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5.xml" ContentType="application/vnd.openxmlformats-officedocument.spreadsheetml.table+xml"/>
  <Override PartName="/xl/tables/table11.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2.xml" ContentType="application/vnd.openxmlformats-officedocument.spreadsheetml.table+xml"/>
  <Override PartName="/xl/tables/table15.xml" ContentType="application/vnd.openxmlformats-officedocument.spreadsheetml.table+xml"/>
  <Override PartName="/customXml/itemProps5.xml" ContentType="application/vnd.openxmlformats-officedocument.customXmlProperties+xml"/>
  <Override PartName="/customXml/itemProps6.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showInkAnnotation="0" updateLinks="never" codeName="ThisWorkbook"/>
  <mc:AlternateContent xmlns:mc="http://schemas.openxmlformats.org/markup-compatibility/2006">
    <mc:Choice Requires="x15">
      <x15ac:absPath xmlns:x15ac="http://schemas.microsoft.com/office/spreadsheetml/2010/11/ac" url="https://fcmat2-my.sharepoint.com/personal/rmontalbano_fcmat_org/Documents/Documents/LCFF CALCULATOR/"/>
    </mc:Choice>
  </mc:AlternateContent>
  <xr:revisionPtr revIDLastSave="0" documentId="8_{38298DB6-A2F1-4EE0-9648-3C23898E6000}" xr6:coauthVersionLast="47" xr6:coauthVersionMax="47" xr10:uidLastSave="{00000000-0000-0000-0000-000000000000}"/>
  <workbookProtection workbookAlgorithmName="SHA-512" workbookHashValue="pvEjXE049T4/NEmsX2aMB6LdaTm2LUB+tuGTiEij9jaF/vOXu0hAUOCB0dYYu8hv8+ZJKPBM1o/THbansQAn6g==" workbookSaltValue="bZrCV1dK8o2Oqih4ofq1OQ==" workbookSpinCount="100000" lockStructure="1"/>
  <bookViews>
    <workbookView xWindow="-108" yWindow="-108" windowWidth="30936" windowHeight="16896" tabRatio="917" firstSheet="3" activeTab="3" xr2:uid="{00000000-000D-0000-FFFF-FFFF00000000}"/>
  </bookViews>
  <sheets>
    <sheet name="Tab Links" sheetId="170" state="hidden" r:id="rId1"/>
    <sheet name="Version" sheetId="16" state="hidden" r:id="rId2"/>
    <sheet name="FY Control" sheetId="95" state="hidden" r:id="rId3"/>
    <sheet name="Caveats" sheetId="154" r:id="rId4"/>
    <sheet name="Instructions" sheetId="7" r:id="rId5"/>
    <sheet name="COE CDS" sheetId="163" state="hidden" r:id="rId6"/>
    <sheet name="Data Entry" sheetId="32" r:id="rId7"/>
    <sheet name="PY1 Local Rev" sheetId="184" state="hidden" r:id="rId8"/>
    <sheet name="PY2 Local Rev" sheetId="183" state="hidden" r:id="rId9"/>
    <sheet name="PY3 Local Rev" sheetId="182" state="hidden" r:id="rId10"/>
    <sheet name="PY1 UPP" sheetId="174" state="hidden" r:id="rId11"/>
    <sheet name="PY2 UPP" sheetId="171" state="hidden" r:id="rId12"/>
    <sheet name="PY3 UPP" sheetId="156" state="hidden" r:id="rId13"/>
    <sheet name="PY1 COG" sheetId="180" state="hidden" r:id="rId14"/>
    <sheet name="PY2 COG" sheetId="155" state="hidden" r:id="rId15"/>
    <sheet name="PY3 COG" sheetId="178" state="hidden" r:id="rId16"/>
    <sheet name="PY1 LCFF Calc" sheetId="181" state="hidden" r:id="rId17"/>
    <sheet name="PY2 LCFF Calc" sheetId="177" state="hidden" r:id="rId18"/>
    <sheet name="PY3 LCFF Calc" sheetId="162" state="hidden" r:id="rId19"/>
    <sheet name="Calculator" sheetId="1" r:id="rId20"/>
    <sheet name="Differentiated Assistance" sheetId="191" r:id="rId21"/>
    <sheet name="PY1 Diff Asst" sheetId="192" state="hidden" r:id="rId22"/>
    <sheet name="EPA" sheetId="27" r:id="rId23"/>
    <sheet name="PY1 EPA" sheetId="167" state="hidden" r:id="rId24"/>
    <sheet name="PY2 EPA" sheetId="166" state="hidden" r:id="rId25"/>
    <sheet name="PY3 EPA" sheetId="161" state="hidden" r:id="rId26"/>
    <sheet name="Summary" sheetId="30" r:id="rId27"/>
    <sheet name="COE Transfers" sheetId="49" r:id="rId28"/>
    <sheet name="PY1 TFR ADA" sheetId="185" state="hidden" r:id="rId29"/>
    <sheet name="Local 1" sheetId="28" r:id="rId30"/>
    <sheet name="Local 2" sheetId="29" r:id="rId31"/>
    <sheet name="Local 3" sheetId="43" r:id="rId32"/>
    <sheet name="Local 4" sheetId="44" r:id="rId33"/>
    <sheet name="Local 5" sheetId="45" r:id="rId34"/>
  </sheets>
  <externalReferences>
    <externalReference r:id="rId35"/>
    <externalReference r:id="rId36"/>
    <externalReference r:id="rId37"/>
    <externalReference r:id="rId38"/>
  </externalReferences>
  <definedNames>
    <definedName name="_1_2005_06_RE_CERTIFICATIO">#REF!</definedName>
    <definedName name="CharterInfoReport">#REF!</definedName>
    <definedName name="DistrictDetailExpanded">#REF!</definedName>
    <definedName name="EL_Count_and_Criteria">'[1]137-MRPD-EL'!#REF!</definedName>
    <definedName name="GAPselection">'[2]District Class Size'!$D$10:$D$11</definedName>
    <definedName name="Merge_ELPD_Base_Data3">#REF!</definedName>
    <definedName name="Merged_CBEDS_Charter_Data">#REF!</definedName>
    <definedName name="Open_ClosedSchools">#REF!</definedName>
    <definedName name="_xlnm.Print_Area" localSheetId="19">Calculator!$A$1:$BG$74</definedName>
    <definedName name="_xlnm.Print_Area" localSheetId="3">Caveats!$A$1:$C$10</definedName>
    <definedName name="_xlnm.Print_Area" localSheetId="27">'COE Transfers'!$A$1:$V$1573</definedName>
    <definedName name="_xlnm.Print_Area" localSheetId="6">'Data Entry'!$A$1:$O$141</definedName>
    <definedName name="_xlnm.Print_Area" localSheetId="20">'Differentiated Assistance'!$A$1:$V$28</definedName>
    <definedName name="_xlnm.Print_Area" localSheetId="22">EPA!$A$1:$N$32</definedName>
    <definedName name="_xlnm.Print_Area" localSheetId="4">Instructions!$A$1:$H$27</definedName>
    <definedName name="_xlnm.Print_Area" localSheetId="21">'PY1 Diff Asst'!$A$1:$K$67</definedName>
    <definedName name="_xlnm.Print_Area" localSheetId="16">'PY1 LCFF Calc'!$A$1:$W$64</definedName>
    <definedName name="_xlnm.Print_Area" localSheetId="28">'PY1 TFR ADA'!$A$1:$AV$843</definedName>
    <definedName name="_xlnm.Print_Area" localSheetId="17">'PY2 LCFF Calc'!$A$1:$W$64</definedName>
    <definedName name="_xlnm.Print_Area" localSheetId="11">'PY2 UPP'!$A$1:$U$64</definedName>
    <definedName name="_xlnm.Print_Area" localSheetId="18">'PY3 LCFF Calc'!$A$1:$X$66</definedName>
    <definedName name="_xlnm.Print_Area" localSheetId="12">'PY3 UPP'!$A$1:$BE$67</definedName>
    <definedName name="_xlnm.Print_Area" localSheetId="26">Summary!$A$1:$I$56</definedName>
    <definedName name="_xlnm.Print_Area" localSheetId="1">Version!$A$1:$K$124</definedName>
    <definedName name="_xlnm.Print_Titles" localSheetId="19">Calculator!$A:$C,Calculator!$1:$2</definedName>
    <definedName name="_xlnm.Print_Titles" localSheetId="3">Caveats!$1:$3</definedName>
    <definedName name="_xlnm.Print_Titles" localSheetId="5">'COE CDS'!$1:$4</definedName>
    <definedName name="_xlnm.Print_Titles" localSheetId="27">'COE Transfers'!$A:$E,'COE Transfers'!$1:$2</definedName>
    <definedName name="_xlnm.Print_Titles" localSheetId="6">'Data Entry'!$C:$F,'Data Entry'!$10:$10</definedName>
    <definedName name="_xlnm.Print_Titles" localSheetId="20">'Differentiated Assistance'!$A:$E,'Differentiated Assistance'!$1:$2</definedName>
    <definedName name="_xlnm.Print_Titles" localSheetId="22">EPA!$A:$C,EPA!$1:$5</definedName>
    <definedName name="_xlnm.Print_Titles" localSheetId="4">Instructions!$1:$2</definedName>
    <definedName name="_xlnm.Print_Titles" localSheetId="28">'PY1 TFR ADA'!$A:$B,'PY1 TFR ADA'!$4:$4</definedName>
    <definedName name="_xlnm.Print_Titles" localSheetId="26">Summary!$A:$A,Summary!$1:$2</definedName>
    <definedName name="_xlnm.Print_Titles" localSheetId="0">'Tab Links'!$1:$1</definedName>
    <definedName name="qry_08_09_AdjSchLvl___Dist___LFs">#REF!</definedName>
    <definedName name="qry_aggr2007_Teacher_ct_to_LEA_level">#REF!</definedName>
    <definedName name="qry_aggre_2007_CBED_PAR_Sch_Level_to_dist_level">#REF!</definedName>
    <definedName name="qry_may_7_master_IV_16_programs">#REF!</definedName>
    <definedName name="qry_Teacher_ct_PAR_File_Sch_Level_to_Dist_Level">#REF!</definedName>
    <definedName name="qry03_District_Level_Data_LEAs">#REF!</definedName>
    <definedName name="qry05_District_Level_Data_NFCS">#REF!</definedName>
    <definedName name="qryChartersActive">#REF!</definedName>
    <definedName name="qryFed_File_District_Level_no_DFCS">#REF!</definedName>
    <definedName name="qryPubschls">#REF!</definedName>
    <definedName name="QryReorgedDistricts">#REF!</definedName>
    <definedName name="SchoolDetailExpanded">#REF!</definedName>
    <definedName name="tblPubschlsDownload">#REF!</definedName>
    <definedName name="TEST">'[3]4a. Rvsd LEA Ent -No DFCS'!$A$1:$G$1030</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61" i="1" l="1"/>
  <c r="P51" i="1"/>
  <c r="O54" i="1"/>
  <c r="P54" i="1" s="1"/>
  <c r="P61" i="1"/>
  <c r="I61" i="1"/>
  <c r="I51" i="1"/>
  <c r="W41" i="1"/>
  <c r="W40" i="1"/>
  <c r="T35" i="1"/>
  <c r="T34" i="1"/>
  <c r="M35" i="1"/>
  <c r="M34" i="1"/>
  <c r="P40" i="1"/>
  <c r="P41" i="1"/>
  <c r="P44" i="1"/>
  <c r="I44" i="1"/>
  <c r="I41" i="1"/>
  <c r="F34" i="1"/>
  <c r="F35" i="1"/>
  <c r="I40" i="1"/>
  <c r="D23" i="27"/>
  <c r="F23" i="27"/>
  <c r="F19" i="27"/>
  <c r="D19" i="27"/>
  <c r="H4" i="27"/>
  <c r="J13" i="32" l="1"/>
  <c r="K13" i="32"/>
  <c r="L13" i="32"/>
  <c r="M13" i="32"/>
  <c r="N13" i="32"/>
  <c r="S17" i="191"/>
  <c r="W15" i="1"/>
  <c r="I23" i="191" l="1"/>
  <c r="I24" i="191" s="1"/>
  <c r="G23" i="191"/>
  <c r="G24" i="191" s="1"/>
  <c r="I21" i="191"/>
  <c r="G21" i="191"/>
  <c r="U17" i="191"/>
  <c r="K19" i="191"/>
  <c r="M19" i="191"/>
  <c r="K21" i="191"/>
  <c r="K23" i="191" s="1"/>
  <c r="K24" i="191" l="1"/>
  <c r="F18" i="27" l="1"/>
  <c r="I37" i="1" l="1"/>
  <c r="P37" i="1"/>
  <c r="W37" i="1"/>
  <c r="P64" i="162" l="1"/>
  <c r="R64" i="162" l="1"/>
  <c r="S64" i="162"/>
  <c r="T64" i="162"/>
  <c r="U64" i="162"/>
  <c r="V64" i="162"/>
  <c r="W64" i="162"/>
  <c r="X64" i="162"/>
  <c r="I64" i="162"/>
  <c r="J64" i="162"/>
  <c r="Q64" i="162"/>
  <c r="X64" i="181"/>
  <c r="J64" i="177" l="1"/>
  <c r="X64" i="177"/>
  <c r="P64" i="181" l="1"/>
  <c r="Q64" i="181"/>
  <c r="R64" i="181"/>
  <c r="S64" i="181"/>
  <c r="T64" i="181"/>
  <c r="U64" i="181"/>
  <c r="V64" i="181"/>
  <c r="I64" i="181"/>
  <c r="J64" i="181"/>
  <c r="F838" i="185" l="1"/>
  <c r="C838" i="185"/>
  <c r="D838" i="185" s="1"/>
  <c r="F837" i="185"/>
  <c r="F836" i="185"/>
  <c r="F835" i="185"/>
  <c r="F834" i="185"/>
  <c r="C834" i="185"/>
  <c r="C835" i="185" s="1"/>
  <c r="F833" i="185"/>
  <c r="D833" i="185"/>
  <c r="C833" i="185"/>
  <c r="F832" i="185"/>
  <c r="F831" i="185"/>
  <c r="F830" i="185"/>
  <c r="F829" i="185"/>
  <c r="F828" i="185"/>
  <c r="D828" i="185"/>
  <c r="C828" i="185"/>
  <c r="C829" i="185" s="1"/>
  <c r="F827" i="185"/>
  <c r="C827" i="185"/>
  <c r="D827" i="185" s="1"/>
  <c r="F826" i="185"/>
  <c r="F825" i="185"/>
  <c r="F824" i="185"/>
  <c r="F823" i="185"/>
  <c r="F822" i="185"/>
  <c r="F821" i="185"/>
  <c r="F820" i="185"/>
  <c r="F819" i="185"/>
  <c r="F818" i="185"/>
  <c r="F817" i="185"/>
  <c r="F816" i="185"/>
  <c r="F815" i="185"/>
  <c r="F814" i="185"/>
  <c r="F813" i="185"/>
  <c r="F812" i="185"/>
  <c r="F811" i="185"/>
  <c r="F810" i="185"/>
  <c r="C810" i="185"/>
  <c r="C811" i="185" s="1"/>
  <c r="F809" i="185"/>
  <c r="D809" i="185"/>
  <c r="C809" i="185"/>
  <c r="F808" i="185"/>
  <c r="F807" i="185"/>
  <c r="F806" i="185"/>
  <c r="F805" i="185"/>
  <c r="F804" i="185"/>
  <c r="F803" i="185"/>
  <c r="F802" i="185"/>
  <c r="F801" i="185"/>
  <c r="F800" i="185"/>
  <c r="F799" i="185"/>
  <c r="C799" i="185"/>
  <c r="F798" i="185"/>
  <c r="C798" i="185"/>
  <c r="D798" i="185" s="1"/>
  <c r="F797" i="185"/>
  <c r="C797" i="185"/>
  <c r="D797" i="185" s="1"/>
  <c r="F796" i="185"/>
  <c r="F795" i="185"/>
  <c r="F794" i="185"/>
  <c r="F793" i="185"/>
  <c r="F792" i="185"/>
  <c r="F791" i="185"/>
  <c r="F790" i="185"/>
  <c r="F789" i="185"/>
  <c r="F788" i="185"/>
  <c r="F787" i="185"/>
  <c r="F786" i="185"/>
  <c r="F785" i="185"/>
  <c r="F784" i="185"/>
  <c r="F783" i="185"/>
  <c r="F782" i="185"/>
  <c r="F781" i="185"/>
  <c r="F780" i="185"/>
  <c r="F779" i="185"/>
  <c r="F778" i="185"/>
  <c r="F777" i="185"/>
  <c r="F776" i="185"/>
  <c r="F775" i="185"/>
  <c r="F774" i="185"/>
  <c r="F773" i="185"/>
  <c r="F772" i="185"/>
  <c r="F771" i="185"/>
  <c r="F770" i="185"/>
  <c r="F769" i="185"/>
  <c r="D769" i="185"/>
  <c r="C769" i="185"/>
  <c r="C770" i="185" s="1"/>
  <c r="F768" i="185"/>
  <c r="C768" i="185"/>
  <c r="D768" i="185" s="1"/>
  <c r="F767" i="185"/>
  <c r="C767" i="185"/>
  <c r="D767" i="185" s="1"/>
  <c r="F766" i="185"/>
  <c r="F765" i="185"/>
  <c r="C765" i="185"/>
  <c r="C766" i="185" s="1"/>
  <c r="D766" i="185" s="1"/>
  <c r="F764" i="185"/>
  <c r="D764" i="185"/>
  <c r="C764" i="185"/>
  <c r="F763" i="185"/>
  <c r="F762" i="185"/>
  <c r="F761" i="185"/>
  <c r="F760" i="185"/>
  <c r="F759" i="185"/>
  <c r="F758" i="185"/>
  <c r="F757" i="185"/>
  <c r="F756" i="185"/>
  <c r="D756" i="185"/>
  <c r="C756" i="185"/>
  <c r="C757" i="185" s="1"/>
  <c r="F755" i="185"/>
  <c r="D755" i="185"/>
  <c r="C755" i="185"/>
  <c r="F754" i="185"/>
  <c r="D754" i="185"/>
  <c r="C754" i="185"/>
  <c r="F753" i="185"/>
  <c r="F752" i="185"/>
  <c r="F751" i="185"/>
  <c r="F750" i="185"/>
  <c r="F749" i="185"/>
  <c r="F748" i="185"/>
  <c r="F747" i="185"/>
  <c r="F746" i="185"/>
  <c r="F745" i="185"/>
  <c r="D745" i="185"/>
  <c r="C745" i="185"/>
  <c r="C746" i="185" s="1"/>
  <c r="F744" i="185"/>
  <c r="C744" i="185"/>
  <c r="D744" i="185" s="1"/>
  <c r="F743" i="185"/>
  <c r="C743" i="185"/>
  <c r="D743" i="185" s="1"/>
  <c r="F742" i="185"/>
  <c r="F741" i="185"/>
  <c r="F740" i="185"/>
  <c r="F739" i="185"/>
  <c r="F738" i="185"/>
  <c r="F737" i="185"/>
  <c r="F736" i="185"/>
  <c r="F735" i="185"/>
  <c r="F734" i="185"/>
  <c r="F733" i="185"/>
  <c r="F732" i="185"/>
  <c r="F731" i="185"/>
  <c r="F730" i="185"/>
  <c r="F729" i="185"/>
  <c r="F728" i="185"/>
  <c r="F727" i="185"/>
  <c r="F726" i="185"/>
  <c r="F725" i="185"/>
  <c r="F724" i="185"/>
  <c r="F723" i="185"/>
  <c r="F722" i="185"/>
  <c r="F721" i="185"/>
  <c r="F720" i="185"/>
  <c r="F719" i="185"/>
  <c r="C719" i="185"/>
  <c r="F718" i="185"/>
  <c r="C718" i="185"/>
  <c r="D718" i="185" s="1"/>
  <c r="F717" i="185"/>
  <c r="C717" i="185"/>
  <c r="D717" i="185" s="1"/>
  <c r="F716" i="185"/>
  <c r="F715" i="185"/>
  <c r="F714" i="185"/>
  <c r="F713" i="185"/>
  <c r="F712" i="185"/>
  <c r="F711" i="185"/>
  <c r="F710" i="185"/>
  <c r="F709" i="185"/>
  <c r="F708" i="185"/>
  <c r="F707" i="185"/>
  <c r="F706" i="185"/>
  <c r="F705" i="185"/>
  <c r="F704" i="185"/>
  <c r="F703" i="185"/>
  <c r="F702" i="185"/>
  <c r="F701" i="185"/>
  <c r="F700" i="185"/>
  <c r="F699" i="185"/>
  <c r="F698" i="185"/>
  <c r="F697" i="185"/>
  <c r="F696" i="185"/>
  <c r="F695" i="185"/>
  <c r="F694" i="185"/>
  <c r="F693" i="185"/>
  <c r="F692" i="185"/>
  <c r="F691" i="185"/>
  <c r="F690" i="185"/>
  <c r="D690" i="185"/>
  <c r="C690" i="185"/>
  <c r="C691" i="185" s="1"/>
  <c r="F689" i="185"/>
  <c r="D689" i="185"/>
  <c r="C689" i="185"/>
  <c r="F688" i="185"/>
  <c r="F687" i="185"/>
  <c r="F686" i="185"/>
  <c r="F685" i="185"/>
  <c r="F684" i="185"/>
  <c r="F683" i="185"/>
  <c r="F682" i="185"/>
  <c r="D682" i="185"/>
  <c r="C682" i="185"/>
  <c r="C683" i="185" s="1"/>
  <c r="F681" i="185"/>
  <c r="D681" i="185"/>
  <c r="C681" i="185"/>
  <c r="F680" i="185"/>
  <c r="F679" i="185"/>
  <c r="F678" i="185"/>
  <c r="F677" i="185"/>
  <c r="F676" i="185"/>
  <c r="F675" i="185"/>
  <c r="F674" i="185"/>
  <c r="F673" i="185"/>
  <c r="F672" i="185"/>
  <c r="F671" i="185"/>
  <c r="F670" i="185"/>
  <c r="F669" i="185"/>
  <c r="F668" i="185"/>
  <c r="D668" i="185"/>
  <c r="C668" i="185"/>
  <c r="C669" i="185" s="1"/>
  <c r="F667" i="185"/>
  <c r="D667" i="185"/>
  <c r="C667" i="185"/>
  <c r="F666" i="185"/>
  <c r="D666" i="185"/>
  <c r="C666" i="185"/>
  <c r="F665" i="185"/>
  <c r="D665" i="185"/>
  <c r="C665" i="185"/>
  <c r="F664" i="185"/>
  <c r="C664" i="185"/>
  <c r="D664" i="185" s="1"/>
  <c r="F663" i="185"/>
  <c r="F662" i="185"/>
  <c r="F661" i="185"/>
  <c r="F660" i="185"/>
  <c r="F659" i="185"/>
  <c r="F658" i="185"/>
  <c r="F657" i="185"/>
  <c r="F656" i="185"/>
  <c r="F655" i="185"/>
  <c r="F654" i="185"/>
  <c r="F653" i="185"/>
  <c r="F652" i="185"/>
  <c r="F651" i="185"/>
  <c r="F650" i="185"/>
  <c r="F649" i="185"/>
  <c r="F648" i="185"/>
  <c r="C648" i="185"/>
  <c r="C649" i="185" s="1"/>
  <c r="F647" i="185"/>
  <c r="C647" i="185"/>
  <c r="D647" i="185" s="1"/>
  <c r="F646" i="185"/>
  <c r="F645" i="185"/>
  <c r="F644" i="185"/>
  <c r="F643" i="185"/>
  <c r="F642" i="185"/>
  <c r="F641" i="185"/>
  <c r="C641" i="185"/>
  <c r="D641" i="185" s="1"/>
  <c r="F640" i="185"/>
  <c r="C640" i="185"/>
  <c r="D640" i="185" s="1"/>
  <c r="F639" i="185"/>
  <c r="F638" i="185"/>
  <c r="F637" i="185"/>
  <c r="F636" i="185"/>
  <c r="F635" i="185"/>
  <c r="F634" i="185"/>
  <c r="F633" i="185"/>
  <c r="F632" i="185"/>
  <c r="F631" i="185"/>
  <c r="F630" i="185"/>
  <c r="F629" i="185"/>
  <c r="F628" i="185"/>
  <c r="F627" i="185"/>
  <c r="F626" i="185"/>
  <c r="F625" i="185"/>
  <c r="F624" i="185"/>
  <c r="F623" i="185"/>
  <c r="F622" i="185"/>
  <c r="F621" i="185"/>
  <c r="F620" i="185"/>
  <c r="F619" i="185"/>
  <c r="F618" i="185"/>
  <c r="F617" i="185"/>
  <c r="F616" i="185"/>
  <c r="F615" i="185"/>
  <c r="F614" i="185"/>
  <c r="F613" i="185"/>
  <c r="F612" i="185"/>
  <c r="F611" i="185"/>
  <c r="F610" i="185"/>
  <c r="F609" i="185"/>
  <c r="C609" i="185"/>
  <c r="F608" i="185"/>
  <c r="C608" i="185"/>
  <c r="D608" i="185" s="1"/>
  <c r="F607" i="185"/>
  <c r="C607" i="185"/>
  <c r="D607" i="185" s="1"/>
  <c r="F606" i="185"/>
  <c r="F605" i="185"/>
  <c r="F604" i="185"/>
  <c r="F603" i="185"/>
  <c r="F602" i="185"/>
  <c r="F601" i="185"/>
  <c r="C601" i="185"/>
  <c r="F600" i="185"/>
  <c r="C600" i="185"/>
  <c r="D600" i="185" s="1"/>
  <c r="F599" i="185"/>
  <c r="F598" i="185"/>
  <c r="F597" i="185"/>
  <c r="F596" i="185"/>
  <c r="F595" i="185"/>
  <c r="F594" i="185"/>
  <c r="F593" i="185"/>
  <c r="F592" i="185"/>
  <c r="F591" i="185"/>
  <c r="F590" i="185"/>
  <c r="F589" i="185"/>
  <c r="F588" i="185"/>
  <c r="D588" i="185"/>
  <c r="C588" i="185"/>
  <c r="C589" i="185" s="1"/>
  <c r="F587" i="185"/>
  <c r="D587" i="185"/>
  <c r="C587" i="185"/>
  <c r="F586" i="185"/>
  <c r="D586" i="185"/>
  <c r="C586" i="185"/>
  <c r="F585" i="185"/>
  <c r="F584" i="185"/>
  <c r="F583" i="185"/>
  <c r="F582" i="185"/>
  <c r="F581" i="185"/>
  <c r="F580" i="185"/>
  <c r="F579" i="185"/>
  <c r="F578" i="185"/>
  <c r="F577" i="185"/>
  <c r="C577" i="185"/>
  <c r="F576" i="185"/>
  <c r="C576" i="185"/>
  <c r="D576" i="185" s="1"/>
  <c r="F575" i="185"/>
  <c r="C575" i="185"/>
  <c r="D575" i="185" s="1"/>
  <c r="F574" i="185"/>
  <c r="F573" i="185"/>
  <c r="F572" i="185"/>
  <c r="F571" i="185"/>
  <c r="F570" i="185"/>
  <c r="F569" i="185"/>
  <c r="F568" i="185"/>
  <c r="F567" i="185"/>
  <c r="F566" i="185"/>
  <c r="F565" i="185"/>
  <c r="F564" i="185"/>
  <c r="F563" i="185"/>
  <c r="F562" i="185"/>
  <c r="F561" i="185"/>
  <c r="C561" i="185"/>
  <c r="F560" i="185"/>
  <c r="C560" i="185"/>
  <c r="D560" i="185" s="1"/>
  <c r="F559" i="185"/>
  <c r="C559" i="185"/>
  <c r="D559" i="185" s="1"/>
  <c r="F558" i="185"/>
  <c r="D558" i="185"/>
  <c r="C558" i="185"/>
  <c r="F557" i="185"/>
  <c r="F556" i="185"/>
  <c r="F555" i="185"/>
  <c r="F554" i="185"/>
  <c r="F553" i="185"/>
  <c r="F552" i="185"/>
  <c r="F551" i="185"/>
  <c r="F550" i="185"/>
  <c r="F549" i="185"/>
  <c r="F548" i="185"/>
  <c r="F547" i="185"/>
  <c r="F546" i="185"/>
  <c r="F545" i="185"/>
  <c r="F544" i="185"/>
  <c r="F543" i="185"/>
  <c r="F542" i="185"/>
  <c r="F541" i="185"/>
  <c r="F540" i="185"/>
  <c r="F539" i="185"/>
  <c r="F538" i="185"/>
  <c r="F537" i="185"/>
  <c r="F536" i="185"/>
  <c r="F535" i="185"/>
  <c r="F534" i="185"/>
  <c r="F533" i="185"/>
  <c r="F532" i="185"/>
  <c r="D532" i="185"/>
  <c r="C532" i="185"/>
  <c r="C533" i="185" s="1"/>
  <c r="F531" i="185"/>
  <c r="D531" i="185"/>
  <c r="C531" i="185"/>
  <c r="F530" i="185"/>
  <c r="F529" i="185"/>
  <c r="F528" i="185"/>
  <c r="F527" i="185"/>
  <c r="F526" i="185"/>
  <c r="F525" i="185"/>
  <c r="F524" i="185"/>
  <c r="F523" i="185"/>
  <c r="F522" i="185"/>
  <c r="F521" i="185"/>
  <c r="F520" i="185"/>
  <c r="F519" i="185"/>
  <c r="F518" i="185"/>
  <c r="F517" i="185"/>
  <c r="F516" i="185"/>
  <c r="F515" i="185"/>
  <c r="F514" i="185"/>
  <c r="F513" i="185"/>
  <c r="F512" i="185"/>
  <c r="F511" i="185"/>
  <c r="F510" i="185"/>
  <c r="F509" i="185"/>
  <c r="F508" i="185"/>
  <c r="F507" i="185"/>
  <c r="F506" i="185"/>
  <c r="F505" i="185"/>
  <c r="F504" i="185"/>
  <c r="F503" i="185"/>
  <c r="F502" i="185"/>
  <c r="F501" i="185"/>
  <c r="F500" i="185"/>
  <c r="D500" i="185"/>
  <c r="C500" i="185"/>
  <c r="C501" i="185" s="1"/>
  <c r="F499" i="185"/>
  <c r="D499" i="185"/>
  <c r="C499" i="185"/>
  <c r="F498" i="185"/>
  <c r="F497" i="185"/>
  <c r="C497" i="185"/>
  <c r="F496" i="185"/>
  <c r="C496" i="185"/>
  <c r="D496" i="185" s="1"/>
  <c r="F495" i="185"/>
  <c r="F494" i="185"/>
  <c r="F493" i="185"/>
  <c r="F492" i="185"/>
  <c r="F491" i="185"/>
  <c r="F490" i="185"/>
  <c r="F489" i="185"/>
  <c r="F488" i="185"/>
  <c r="F487" i="185"/>
  <c r="F486" i="185"/>
  <c r="F485" i="185"/>
  <c r="C485" i="185"/>
  <c r="D485" i="185" s="1"/>
  <c r="F484" i="185"/>
  <c r="D484" i="185"/>
  <c r="C484" i="185"/>
  <c r="F483" i="185"/>
  <c r="D483" i="185"/>
  <c r="C483" i="185"/>
  <c r="F482" i="185"/>
  <c r="F481" i="185"/>
  <c r="F480" i="185"/>
  <c r="F479" i="185"/>
  <c r="F478" i="185"/>
  <c r="F477" i="185"/>
  <c r="F476" i="185"/>
  <c r="F475" i="185"/>
  <c r="F474" i="185"/>
  <c r="F473" i="185"/>
  <c r="F472" i="185"/>
  <c r="F471" i="185"/>
  <c r="F470" i="185"/>
  <c r="F469" i="185"/>
  <c r="F468" i="185"/>
  <c r="F467" i="185"/>
  <c r="F466" i="185"/>
  <c r="F465" i="185"/>
  <c r="F464" i="185"/>
  <c r="F463" i="185"/>
  <c r="F462" i="185"/>
  <c r="F461" i="185"/>
  <c r="F460" i="185"/>
  <c r="F459" i="185"/>
  <c r="F458" i="185"/>
  <c r="C458" i="185"/>
  <c r="C459" i="185" s="1"/>
  <c r="F457" i="185"/>
  <c r="C457" i="185"/>
  <c r="D457" i="185" s="1"/>
  <c r="F456" i="185"/>
  <c r="D456" i="185"/>
  <c r="C456" i="185"/>
  <c r="F455" i="185"/>
  <c r="D455" i="185"/>
  <c r="C455" i="185"/>
  <c r="F454" i="185"/>
  <c r="F453" i="185"/>
  <c r="F452" i="185"/>
  <c r="F451" i="185"/>
  <c r="F450" i="185"/>
  <c r="F449" i="185"/>
  <c r="F448" i="185"/>
  <c r="F447" i="185"/>
  <c r="F446" i="185"/>
  <c r="F445" i="185"/>
  <c r="F444" i="185"/>
  <c r="F443" i="185"/>
  <c r="F442" i="185"/>
  <c r="F441" i="185"/>
  <c r="C441" i="185"/>
  <c r="F440" i="185"/>
  <c r="D440" i="185"/>
  <c r="C440" i="185"/>
  <c r="F439" i="185"/>
  <c r="F438" i="185"/>
  <c r="F437" i="185"/>
  <c r="F436" i="185"/>
  <c r="F435" i="185"/>
  <c r="F434" i="185"/>
  <c r="F433" i="185"/>
  <c r="F432" i="185"/>
  <c r="F431" i="185"/>
  <c r="F430" i="185"/>
  <c r="F429" i="185"/>
  <c r="F428" i="185"/>
  <c r="F427" i="185"/>
  <c r="F426" i="185"/>
  <c r="F425" i="185"/>
  <c r="F424" i="185"/>
  <c r="F423" i="185"/>
  <c r="F422" i="185"/>
  <c r="F421" i="185"/>
  <c r="F420" i="185"/>
  <c r="F419" i="185"/>
  <c r="F418" i="185"/>
  <c r="F417" i="185"/>
  <c r="F416" i="185"/>
  <c r="F415" i="185"/>
  <c r="F414" i="185"/>
  <c r="F413" i="185"/>
  <c r="F412" i="185"/>
  <c r="F411" i="185"/>
  <c r="F410" i="185"/>
  <c r="F409" i="185"/>
  <c r="F408" i="185"/>
  <c r="F407" i="185"/>
  <c r="F406" i="185"/>
  <c r="F405" i="185"/>
  <c r="F404" i="185"/>
  <c r="F403" i="185"/>
  <c r="F402" i="185"/>
  <c r="F401" i="185"/>
  <c r="F400" i="185"/>
  <c r="F399" i="185"/>
  <c r="F398" i="185"/>
  <c r="F397" i="185"/>
  <c r="F396" i="185"/>
  <c r="F395" i="185"/>
  <c r="F394" i="185"/>
  <c r="F393" i="185"/>
  <c r="F392" i="185"/>
  <c r="F391" i="185"/>
  <c r="F390" i="185"/>
  <c r="F389" i="185"/>
  <c r="F388" i="185"/>
  <c r="F387" i="185"/>
  <c r="F386" i="185"/>
  <c r="F385" i="185"/>
  <c r="F384" i="185"/>
  <c r="F383" i="185"/>
  <c r="F382" i="185"/>
  <c r="F381" i="185"/>
  <c r="F380" i="185"/>
  <c r="F379" i="185"/>
  <c r="F378" i="185"/>
  <c r="F377" i="185"/>
  <c r="F376" i="185"/>
  <c r="F375" i="185"/>
  <c r="F374" i="185"/>
  <c r="F373" i="185"/>
  <c r="F372" i="185"/>
  <c r="F371" i="185"/>
  <c r="F370" i="185"/>
  <c r="F369" i="185"/>
  <c r="C369" i="185"/>
  <c r="D369" i="185" s="1"/>
  <c r="F368" i="185"/>
  <c r="F367" i="185"/>
  <c r="D367" i="185"/>
  <c r="F366" i="185"/>
  <c r="D366" i="185"/>
  <c r="C366" i="185"/>
  <c r="C367" i="185" s="1"/>
  <c r="C368" i="185" s="1"/>
  <c r="D368" i="185" s="1"/>
  <c r="F365" i="185"/>
  <c r="D365" i="185"/>
  <c r="C365" i="185"/>
  <c r="F364" i="185"/>
  <c r="F363" i="185"/>
  <c r="F362" i="185"/>
  <c r="F361" i="185"/>
  <c r="C361" i="185"/>
  <c r="D361" i="185" s="1"/>
  <c r="F360" i="185"/>
  <c r="F359" i="185"/>
  <c r="D359" i="185"/>
  <c r="F358" i="185"/>
  <c r="D358" i="185"/>
  <c r="C358" i="185"/>
  <c r="C359" i="185" s="1"/>
  <c r="C360" i="185" s="1"/>
  <c r="D360" i="185" s="1"/>
  <c r="F357" i="185"/>
  <c r="D357" i="185"/>
  <c r="C357" i="185"/>
  <c r="F356" i="185"/>
  <c r="C356" i="185"/>
  <c r="D356" i="185" s="1"/>
  <c r="F355" i="185"/>
  <c r="C355" i="185"/>
  <c r="D355" i="185" s="1"/>
  <c r="F354" i="185"/>
  <c r="C354" i="185"/>
  <c r="D354" i="185" s="1"/>
  <c r="F353" i="185"/>
  <c r="F352" i="185"/>
  <c r="F351" i="185"/>
  <c r="F350" i="185"/>
  <c r="F349" i="185"/>
  <c r="F348" i="185"/>
  <c r="F347" i="185"/>
  <c r="F346" i="185"/>
  <c r="F345" i="185"/>
  <c r="F344" i="185"/>
  <c r="F343" i="185"/>
  <c r="F342" i="185"/>
  <c r="F341" i="185"/>
  <c r="F340" i="185"/>
  <c r="F339" i="185"/>
  <c r="F338" i="185"/>
  <c r="F337" i="185"/>
  <c r="C337" i="185"/>
  <c r="D337" i="185" s="1"/>
  <c r="F336" i="185"/>
  <c r="D336" i="185"/>
  <c r="C336" i="185"/>
  <c r="F335" i="185"/>
  <c r="F334" i="185"/>
  <c r="D334" i="185"/>
  <c r="C334" i="185"/>
  <c r="C335" i="185" s="1"/>
  <c r="D335" i="185" s="1"/>
  <c r="F333" i="185"/>
  <c r="D333" i="185"/>
  <c r="C333" i="185"/>
  <c r="F332" i="185"/>
  <c r="C332" i="185"/>
  <c r="D332" i="185" s="1"/>
  <c r="F331" i="185"/>
  <c r="C331" i="185"/>
  <c r="D331" i="185" s="1"/>
  <c r="F330" i="185"/>
  <c r="F329" i="185"/>
  <c r="F328" i="185"/>
  <c r="F327" i="185"/>
  <c r="F326" i="185"/>
  <c r="F325" i="185"/>
  <c r="F324" i="185"/>
  <c r="F323" i="185"/>
  <c r="F322" i="185"/>
  <c r="F321" i="185"/>
  <c r="F320" i="185"/>
  <c r="F319" i="185"/>
  <c r="F318" i="185"/>
  <c r="F317" i="185"/>
  <c r="F316" i="185"/>
  <c r="F315" i="185"/>
  <c r="F314" i="185"/>
  <c r="C314" i="185"/>
  <c r="F313" i="185"/>
  <c r="C313" i="185"/>
  <c r="D313" i="185" s="1"/>
  <c r="F312" i="185"/>
  <c r="D312" i="185"/>
  <c r="C312" i="185"/>
  <c r="F311" i="185"/>
  <c r="D311" i="185"/>
  <c r="C311" i="185"/>
  <c r="F310" i="185"/>
  <c r="D310" i="185"/>
  <c r="C310" i="185"/>
  <c r="F309" i="185"/>
  <c r="F308" i="185"/>
  <c r="F307" i="185"/>
  <c r="F306" i="185"/>
  <c r="C306" i="185"/>
  <c r="D306" i="185" s="1"/>
  <c r="F305" i="185"/>
  <c r="C305" i="185"/>
  <c r="D305" i="185" s="1"/>
  <c r="F304" i="185"/>
  <c r="D304" i="185"/>
  <c r="C304" i="185"/>
  <c r="F303" i="185"/>
  <c r="D303" i="185"/>
  <c r="C303" i="185"/>
  <c r="F302" i="185"/>
  <c r="D302" i="185"/>
  <c r="C302" i="185"/>
  <c r="F301" i="185"/>
  <c r="D301" i="185"/>
  <c r="C301" i="185"/>
  <c r="F300" i="185"/>
  <c r="F299" i="185"/>
  <c r="F298" i="185"/>
  <c r="F297" i="185"/>
  <c r="F296" i="185"/>
  <c r="F295" i="185"/>
  <c r="F294" i="185"/>
  <c r="F293" i="185"/>
  <c r="F292" i="185"/>
  <c r="F291" i="185"/>
  <c r="C291" i="185"/>
  <c r="F290" i="185"/>
  <c r="C290" i="185"/>
  <c r="D290" i="185" s="1"/>
  <c r="F289" i="185"/>
  <c r="C289" i="185"/>
  <c r="D289" i="185" s="1"/>
  <c r="F288" i="185"/>
  <c r="D288" i="185"/>
  <c r="C288" i="185"/>
  <c r="F287" i="185"/>
  <c r="D287" i="185"/>
  <c r="C287" i="185"/>
  <c r="F286" i="185"/>
  <c r="F285" i="185"/>
  <c r="F284" i="185"/>
  <c r="F283" i="185"/>
  <c r="F282" i="185"/>
  <c r="F281" i="185"/>
  <c r="F280" i="185"/>
  <c r="D280" i="185"/>
  <c r="F279" i="185"/>
  <c r="D279" i="185"/>
  <c r="F278" i="185"/>
  <c r="D278" i="185"/>
  <c r="C278" i="185"/>
  <c r="C279" i="185" s="1"/>
  <c r="C280" i="185" s="1"/>
  <c r="C281" i="185" s="1"/>
  <c r="F277" i="185"/>
  <c r="D277" i="185"/>
  <c r="C277" i="185"/>
  <c r="F276" i="185"/>
  <c r="F275" i="185"/>
  <c r="F274" i="185"/>
  <c r="F273" i="185"/>
  <c r="F272" i="185"/>
  <c r="F271" i="185"/>
  <c r="F270" i="185"/>
  <c r="F269" i="185"/>
  <c r="F268" i="185"/>
  <c r="F267" i="185"/>
  <c r="F266" i="185"/>
  <c r="F265" i="185"/>
  <c r="F264" i="185"/>
  <c r="F263" i="185"/>
  <c r="F262" i="185"/>
  <c r="F261" i="185"/>
  <c r="F260" i="185"/>
  <c r="F259" i="185"/>
  <c r="F258" i="185"/>
  <c r="F257" i="185"/>
  <c r="F256" i="185"/>
  <c r="F255" i="185"/>
  <c r="F254" i="185"/>
  <c r="F253" i="185"/>
  <c r="F252" i="185"/>
  <c r="F251" i="185"/>
  <c r="F250" i="185"/>
  <c r="F249" i="185"/>
  <c r="F248" i="185"/>
  <c r="F247" i="185"/>
  <c r="F246" i="185"/>
  <c r="F245" i="185"/>
  <c r="F244" i="185"/>
  <c r="F243" i="185"/>
  <c r="F242" i="185"/>
  <c r="F241" i="185"/>
  <c r="F240" i="185"/>
  <c r="F239" i="185"/>
  <c r="F238" i="185"/>
  <c r="F237" i="185"/>
  <c r="F236" i="185"/>
  <c r="F235" i="185"/>
  <c r="F234" i="185"/>
  <c r="F233" i="185"/>
  <c r="F232" i="185"/>
  <c r="F231" i="185"/>
  <c r="F230" i="185"/>
  <c r="F229" i="185"/>
  <c r="F228" i="185"/>
  <c r="F227" i="185"/>
  <c r="F226" i="185"/>
  <c r="F225" i="185"/>
  <c r="F224" i="185"/>
  <c r="F223" i="185"/>
  <c r="F222" i="185"/>
  <c r="F221" i="185"/>
  <c r="F220" i="185"/>
  <c r="F219" i="185"/>
  <c r="F218" i="185"/>
  <c r="F217" i="185"/>
  <c r="F216" i="185"/>
  <c r="F215" i="185"/>
  <c r="F214" i="185"/>
  <c r="F213" i="185"/>
  <c r="F212" i="185"/>
  <c r="F211" i="185"/>
  <c r="F210" i="185"/>
  <c r="C210" i="185"/>
  <c r="D210" i="185" s="1"/>
  <c r="F209" i="185"/>
  <c r="C209" i="185"/>
  <c r="D209" i="185" s="1"/>
  <c r="F208" i="185"/>
  <c r="D208" i="185"/>
  <c r="C208" i="185"/>
  <c r="F207" i="185"/>
  <c r="D207" i="185"/>
  <c r="C207" i="185"/>
  <c r="F206" i="185"/>
  <c r="D206" i="185"/>
  <c r="C206" i="185"/>
  <c r="F205" i="185"/>
  <c r="F204" i="185"/>
  <c r="F203" i="185"/>
  <c r="F202" i="185"/>
  <c r="C202" i="185"/>
  <c r="D202" i="185" s="1"/>
  <c r="F201" i="185"/>
  <c r="C201" i="185"/>
  <c r="D201" i="185" s="1"/>
  <c r="F200" i="185"/>
  <c r="C200" i="185"/>
  <c r="D200" i="185" s="1"/>
  <c r="F199" i="185"/>
  <c r="F198" i="185"/>
  <c r="F197" i="185"/>
  <c r="F196" i="185"/>
  <c r="F195" i="185"/>
  <c r="D195" i="185"/>
  <c r="C195" i="185"/>
  <c r="C196" i="185" s="1"/>
  <c r="F194" i="185"/>
  <c r="C194" i="185"/>
  <c r="D194" i="185" s="1"/>
  <c r="F193" i="185"/>
  <c r="C193" i="185"/>
  <c r="D193" i="185" s="1"/>
  <c r="F192" i="185"/>
  <c r="F191" i="185"/>
  <c r="F190" i="185"/>
  <c r="F189" i="185"/>
  <c r="F188" i="185"/>
  <c r="F187" i="185"/>
  <c r="F186" i="185"/>
  <c r="F185" i="185"/>
  <c r="F184" i="185"/>
  <c r="F183" i="185"/>
  <c r="D183" i="185"/>
  <c r="F182" i="185"/>
  <c r="D182" i="185"/>
  <c r="C182" i="185"/>
  <c r="C183" i="185" s="1"/>
  <c r="C184" i="185" s="1"/>
  <c r="F181" i="185"/>
  <c r="D181" i="185"/>
  <c r="C181" i="185"/>
  <c r="F180" i="185"/>
  <c r="D180" i="185"/>
  <c r="C180" i="185"/>
  <c r="F179" i="185"/>
  <c r="F178" i="185"/>
  <c r="F177" i="185"/>
  <c r="F176" i="185"/>
  <c r="F175" i="185"/>
  <c r="F174" i="185"/>
  <c r="F173" i="185"/>
  <c r="F172" i="185"/>
  <c r="F171" i="185"/>
  <c r="F170" i="185"/>
  <c r="F169" i="185"/>
  <c r="F168" i="185"/>
  <c r="F167" i="185"/>
  <c r="F166" i="185"/>
  <c r="F165" i="185"/>
  <c r="F164" i="185"/>
  <c r="F163" i="185"/>
  <c r="F162" i="185"/>
  <c r="F161" i="185"/>
  <c r="F160" i="185"/>
  <c r="F159" i="185"/>
  <c r="F158" i="185"/>
  <c r="F157" i="185"/>
  <c r="F156" i="185"/>
  <c r="F155" i="185"/>
  <c r="F154" i="185"/>
  <c r="F153" i="185"/>
  <c r="F152" i="185"/>
  <c r="F151" i="185"/>
  <c r="F150" i="185"/>
  <c r="F149" i="185"/>
  <c r="F148" i="185"/>
  <c r="F147" i="185"/>
  <c r="F146" i="185"/>
  <c r="F145" i="185"/>
  <c r="F144" i="185"/>
  <c r="F143" i="185"/>
  <c r="C143" i="185"/>
  <c r="C144" i="185" s="1"/>
  <c r="F142" i="185"/>
  <c r="D142" i="185"/>
  <c r="C142" i="185"/>
  <c r="F141" i="185"/>
  <c r="D141" i="185"/>
  <c r="C141" i="185"/>
  <c r="F140" i="185"/>
  <c r="D140" i="185"/>
  <c r="C140" i="185"/>
  <c r="F139" i="185"/>
  <c r="F138" i="185"/>
  <c r="F137" i="185"/>
  <c r="F136" i="185"/>
  <c r="F135" i="185"/>
  <c r="F134" i="185"/>
  <c r="F133" i="185"/>
  <c r="F132" i="185"/>
  <c r="F131" i="185"/>
  <c r="F130" i="185"/>
  <c r="F129" i="185"/>
  <c r="F128" i="185"/>
  <c r="F127" i="185"/>
  <c r="C127" i="185"/>
  <c r="C128" i="185" s="1"/>
  <c r="F126" i="185"/>
  <c r="D126" i="185"/>
  <c r="C126" i="185"/>
  <c r="F125" i="185"/>
  <c r="D125" i="185"/>
  <c r="C125" i="185"/>
  <c r="F124" i="185"/>
  <c r="F123" i="185"/>
  <c r="F122" i="185"/>
  <c r="F121" i="185"/>
  <c r="F120" i="185"/>
  <c r="F119" i="185"/>
  <c r="F118" i="185"/>
  <c r="F117" i="185"/>
  <c r="F116" i="185"/>
  <c r="F115" i="185"/>
  <c r="F114" i="185"/>
  <c r="F113" i="185"/>
  <c r="F112" i="185"/>
  <c r="F111" i="185"/>
  <c r="F110" i="185"/>
  <c r="F109" i="185"/>
  <c r="F108" i="185"/>
  <c r="D108" i="185"/>
  <c r="C108" i="185"/>
  <c r="C109" i="185" s="1"/>
  <c r="F107" i="185"/>
  <c r="C107" i="185"/>
  <c r="D107" i="185" s="1"/>
  <c r="F106" i="185"/>
  <c r="F105" i="185"/>
  <c r="F104" i="185"/>
  <c r="F103" i="185"/>
  <c r="C103" i="185"/>
  <c r="C104" i="185" s="1"/>
  <c r="F102" i="185"/>
  <c r="D102" i="185"/>
  <c r="C102" i="185"/>
  <c r="F101" i="185"/>
  <c r="D101" i="185"/>
  <c r="C101" i="185"/>
  <c r="F100" i="185"/>
  <c r="D100" i="185"/>
  <c r="C100" i="185"/>
  <c r="F99" i="185"/>
  <c r="C99" i="185"/>
  <c r="D99" i="185" s="1"/>
  <c r="F98" i="185"/>
  <c r="F97" i="185"/>
  <c r="F96" i="185"/>
  <c r="F95" i="185"/>
  <c r="F94" i="185"/>
  <c r="F93" i="185"/>
  <c r="F92" i="185"/>
  <c r="F91" i="185"/>
  <c r="F90" i="185"/>
  <c r="F89" i="185"/>
  <c r="F88" i="185"/>
  <c r="F87" i="185"/>
  <c r="F86" i="185"/>
  <c r="F85" i="185"/>
  <c r="F84" i="185"/>
  <c r="F83" i="185"/>
  <c r="F82" i="185"/>
  <c r="F81" i="185"/>
  <c r="F80" i="185"/>
  <c r="F79" i="185"/>
  <c r="F78" i="185"/>
  <c r="F77" i="185"/>
  <c r="F76" i="185"/>
  <c r="F75" i="185"/>
  <c r="F74" i="185"/>
  <c r="F73" i="185"/>
  <c r="C73" i="185"/>
  <c r="C74" i="185" s="1"/>
  <c r="F72" i="185"/>
  <c r="D72" i="185"/>
  <c r="C72" i="185"/>
  <c r="F71" i="185"/>
  <c r="C71" i="185"/>
  <c r="D71" i="185" s="1"/>
  <c r="F70" i="185"/>
  <c r="F69" i="185"/>
  <c r="F68" i="185"/>
  <c r="F67" i="185"/>
  <c r="F66" i="185"/>
  <c r="F65" i="185"/>
  <c r="F64" i="185"/>
  <c r="F63" i="185"/>
  <c r="F62" i="185"/>
  <c r="F61" i="185"/>
  <c r="F60" i="185"/>
  <c r="F59" i="185"/>
  <c r="C59" i="185"/>
  <c r="D59" i="185" s="1"/>
  <c r="F58" i="185"/>
  <c r="D58" i="185"/>
  <c r="C58" i="185"/>
  <c r="F57" i="185"/>
  <c r="C57" i="185"/>
  <c r="D57" i="185" s="1"/>
  <c r="F56" i="185"/>
  <c r="D56" i="185"/>
  <c r="C56" i="185"/>
  <c r="F55" i="185"/>
  <c r="F54" i="185"/>
  <c r="F53" i="185"/>
  <c r="F52" i="185"/>
  <c r="F51" i="185"/>
  <c r="F50" i="185"/>
  <c r="F49" i="185"/>
  <c r="F48" i="185"/>
  <c r="F47" i="185"/>
  <c r="F46" i="185"/>
  <c r="F45" i="185"/>
  <c r="F44" i="185"/>
  <c r="F43" i="185"/>
  <c r="F42" i="185"/>
  <c r="F41" i="185"/>
  <c r="F40" i="185"/>
  <c r="F39" i="185"/>
  <c r="F38" i="185"/>
  <c r="F37" i="185"/>
  <c r="F36" i="185"/>
  <c r="F35" i="185"/>
  <c r="C35" i="185"/>
  <c r="D35" i="185" s="1"/>
  <c r="F34" i="185"/>
  <c r="D34" i="185"/>
  <c r="C34" i="185"/>
  <c r="F33" i="185"/>
  <c r="C33" i="185"/>
  <c r="D33" i="185" s="1"/>
  <c r="F32" i="185"/>
  <c r="F31" i="185"/>
  <c r="C31" i="185"/>
  <c r="C32" i="185" s="1"/>
  <c r="D32" i="185" s="1"/>
  <c r="F30" i="185"/>
  <c r="D30" i="185"/>
  <c r="C30" i="185"/>
  <c r="F29" i="185"/>
  <c r="D29" i="185"/>
  <c r="C29" i="185"/>
  <c r="F28" i="185"/>
  <c r="F27" i="185"/>
  <c r="F26" i="185"/>
  <c r="F25" i="185"/>
  <c r="C25" i="185"/>
  <c r="C26" i="185" s="1"/>
  <c r="F24" i="185"/>
  <c r="D24" i="185"/>
  <c r="C24" i="185"/>
  <c r="F23" i="185"/>
  <c r="F22" i="185"/>
  <c r="F21" i="185"/>
  <c r="F20" i="185"/>
  <c r="F19" i="185"/>
  <c r="F18" i="185"/>
  <c r="F17" i="185"/>
  <c r="F16" i="185"/>
  <c r="F15" i="185"/>
  <c r="F14" i="185"/>
  <c r="D14" i="185"/>
  <c r="C14" i="185"/>
  <c r="C15" i="185" s="1"/>
  <c r="F13" i="185"/>
  <c r="D13" i="185"/>
  <c r="C13" i="185"/>
  <c r="F12" i="185"/>
  <c r="D12" i="185"/>
  <c r="C12" i="185"/>
  <c r="F11" i="185"/>
  <c r="C11" i="185"/>
  <c r="D11" i="185" s="1"/>
  <c r="F10" i="185"/>
  <c r="D10" i="185"/>
  <c r="C10" i="185"/>
  <c r="F9" i="185"/>
  <c r="C9" i="185"/>
  <c r="D9" i="185" s="1"/>
  <c r="F8" i="185"/>
  <c r="D8" i="185"/>
  <c r="C8" i="185"/>
  <c r="F7" i="185"/>
  <c r="C7" i="185"/>
  <c r="D7" i="185" s="1"/>
  <c r="F6" i="185"/>
  <c r="D6" i="185"/>
  <c r="C6" i="185"/>
  <c r="C27" i="185" l="1"/>
  <c r="D26" i="185"/>
  <c r="C110" i="185"/>
  <c r="D109" i="185"/>
  <c r="D144" i="185"/>
  <c r="C145" i="185"/>
  <c r="D281" i="185"/>
  <c r="C282" i="185"/>
  <c r="C16" i="185"/>
  <c r="D15" i="185"/>
  <c r="D104" i="185"/>
  <c r="C105" i="185"/>
  <c r="D128" i="185"/>
  <c r="C129" i="185"/>
  <c r="C75" i="185"/>
  <c r="D74" i="185"/>
  <c r="C185" i="185"/>
  <c r="D184" i="185"/>
  <c r="D291" i="185"/>
  <c r="C292" i="185"/>
  <c r="C315" i="185"/>
  <c r="D314" i="185"/>
  <c r="D25" i="185"/>
  <c r="C36" i="185"/>
  <c r="C60" i="185"/>
  <c r="D73" i="185"/>
  <c r="C307" i="185"/>
  <c r="C836" i="185"/>
  <c r="D835" i="185"/>
  <c r="C211" i="185"/>
  <c r="D31" i="185"/>
  <c r="D103" i="185"/>
  <c r="D127" i="185"/>
  <c r="D143" i="185"/>
  <c r="C338" i="185"/>
  <c r="C370" i="185"/>
  <c r="C442" i="185"/>
  <c r="D441" i="185"/>
  <c r="C362" i="185"/>
  <c r="C197" i="185"/>
  <c r="D196" i="185"/>
  <c r="D459" i="185"/>
  <c r="C460" i="185"/>
  <c r="C203" i="185"/>
  <c r="C590" i="185"/>
  <c r="D589" i="185"/>
  <c r="C502" i="185"/>
  <c r="D501" i="185"/>
  <c r="C692" i="185"/>
  <c r="D691" i="185"/>
  <c r="C720" i="185"/>
  <c r="D719" i="185"/>
  <c r="D458" i="185"/>
  <c r="D497" i="185"/>
  <c r="C498" i="185"/>
  <c r="D498" i="185" s="1"/>
  <c r="D561" i="185"/>
  <c r="C562" i="185"/>
  <c r="D609" i="185"/>
  <c r="C610" i="185"/>
  <c r="C684" i="185"/>
  <c r="D683" i="185"/>
  <c r="C747" i="185"/>
  <c r="D746" i="185"/>
  <c r="C771" i="185"/>
  <c r="D770" i="185"/>
  <c r="C534" i="185"/>
  <c r="D533" i="185"/>
  <c r="D577" i="185"/>
  <c r="C578" i="185"/>
  <c r="C800" i="185"/>
  <c r="D799" i="185"/>
  <c r="C812" i="185"/>
  <c r="D811" i="185"/>
  <c r="C830" i="185"/>
  <c r="D829" i="185"/>
  <c r="C486" i="185"/>
  <c r="D601" i="185"/>
  <c r="C602" i="185"/>
  <c r="D649" i="185"/>
  <c r="C650" i="185"/>
  <c r="C670" i="185"/>
  <c r="D669" i="185"/>
  <c r="C758" i="185"/>
  <c r="D757" i="185"/>
  <c r="C642" i="185"/>
  <c r="D810" i="185"/>
  <c r="D834" i="185"/>
  <c r="D765" i="185"/>
  <c r="D648" i="185"/>
  <c r="C651" i="185" l="1"/>
  <c r="D650" i="185"/>
  <c r="C198" i="185"/>
  <c r="D197" i="185"/>
  <c r="C37" i="185"/>
  <c r="D36" i="185"/>
  <c r="D282" i="185"/>
  <c r="C283" i="185"/>
  <c r="D502" i="185"/>
  <c r="C503" i="185"/>
  <c r="C363" i="185"/>
  <c r="D362" i="185"/>
  <c r="D75" i="185"/>
  <c r="C76" i="185"/>
  <c r="C813" i="185"/>
  <c r="D812" i="185"/>
  <c r="C772" i="185"/>
  <c r="D771" i="185"/>
  <c r="C603" i="185"/>
  <c r="D602" i="185"/>
  <c r="C801" i="185"/>
  <c r="D800" i="185"/>
  <c r="C748" i="185"/>
  <c r="D747" i="185"/>
  <c r="C212" i="185"/>
  <c r="D211" i="185"/>
  <c r="C130" i="185"/>
  <c r="D129" i="185"/>
  <c r="C146" i="185"/>
  <c r="D145" i="185"/>
  <c r="C487" i="185"/>
  <c r="D486" i="185"/>
  <c r="C685" i="185"/>
  <c r="D684" i="185"/>
  <c r="C204" i="185"/>
  <c r="D203" i="185"/>
  <c r="C371" i="185"/>
  <c r="D370" i="185"/>
  <c r="C837" i="185"/>
  <c r="D837" i="185" s="1"/>
  <c r="D836" i="185"/>
  <c r="C293" i="185"/>
  <c r="D292" i="185"/>
  <c r="C106" i="185"/>
  <c r="D106" i="185" s="1"/>
  <c r="D105" i="185"/>
  <c r="C643" i="185"/>
  <c r="D642" i="185"/>
  <c r="C591" i="185"/>
  <c r="D590" i="185"/>
  <c r="C443" i="185"/>
  <c r="D442" i="185"/>
  <c r="D315" i="185"/>
  <c r="C316" i="185"/>
  <c r="D758" i="185"/>
  <c r="C759" i="185"/>
  <c r="C611" i="185"/>
  <c r="D610" i="185"/>
  <c r="C721" i="185"/>
  <c r="D720" i="185"/>
  <c r="C461" i="185"/>
  <c r="D460" i="185"/>
  <c r="C339" i="185"/>
  <c r="D338" i="185"/>
  <c r="D307" i="185"/>
  <c r="C308" i="185"/>
  <c r="D110" i="185"/>
  <c r="C111" i="185"/>
  <c r="C579" i="185"/>
  <c r="D578" i="185"/>
  <c r="D830" i="185"/>
  <c r="C831" i="185"/>
  <c r="C535" i="185"/>
  <c r="D534" i="185"/>
  <c r="D670" i="185"/>
  <c r="C671" i="185"/>
  <c r="C563" i="185"/>
  <c r="D562" i="185"/>
  <c r="C693" i="185"/>
  <c r="D692" i="185"/>
  <c r="C61" i="185"/>
  <c r="D60" i="185"/>
  <c r="D185" i="185"/>
  <c r="C186" i="185"/>
  <c r="D16" i="185"/>
  <c r="C17" i="185"/>
  <c r="D27" i="185"/>
  <c r="C28" i="185"/>
  <c r="D28" i="185" s="1"/>
  <c r="C672" i="185" l="1"/>
  <c r="D671" i="185"/>
  <c r="D443" i="185"/>
  <c r="C444" i="185"/>
  <c r="C213" i="185"/>
  <c r="D212" i="185"/>
  <c r="C652" i="185"/>
  <c r="D651" i="185"/>
  <c r="C309" i="185"/>
  <c r="D309" i="185" s="1"/>
  <c r="D308" i="185"/>
  <c r="D283" i="185"/>
  <c r="C284" i="185"/>
  <c r="C62" i="185"/>
  <c r="D61" i="185"/>
  <c r="C536" i="185"/>
  <c r="D535" i="185"/>
  <c r="C612" i="185"/>
  <c r="D611" i="185"/>
  <c r="C592" i="185"/>
  <c r="D591" i="185"/>
  <c r="C488" i="185"/>
  <c r="D487" i="185"/>
  <c r="C749" i="185"/>
  <c r="D748" i="185"/>
  <c r="C814" i="185"/>
  <c r="D813" i="185"/>
  <c r="C294" i="185"/>
  <c r="D293" i="185"/>
  <c r="C832" i="185"/>
  <c r="D832" i="185" s="1"/>
  <c r="D831" i="185"/>
  <c r="C694" i="185"/>
  <c r="D693" i="185"/>
  <c r="D371" i="185"/>
  <c r="C372" i="185"/>
  <c r="D801" i="185"/>
  <c r="C802" i="185"/>
  <c r="C18" i="185"/>
  <c r="D17" i="185"/>
  <c r="C317" i="185"/>
  <c r="D316" i="185"/>
  <c r="D186" i="185"/>
  <c r="C187" i="185"/>
  <c r="C112" i="185"/>
  <c r="D111" i="185"/>
  <c r="C504" i="185"/>
  <c r="D503" i="185"/>
  <c r="D721" i="185"/>
  <c r="C722" i="185"/>
  <c r="C686" i="185"/>
  <c r="D685" i="185"/>
  <c r="C773" i="185"/>
  <c r="D772" i="185"/>
  <c r="C760" i="185"/>
  <c r="D759" i="185"/>
  <c r="C77" i="185"/>
  <c r="D76" i="185"/>
  <c r="D339" i="185"/>
  <c r="C340" i="185"/>
  <c r="C644" i="185"/>
  <c r="D643" i="185"/>
  <c r="C147" i="185"/>
  <c r="D146" i="185"/>
  <c r="C38" i="185"/>
  <c r="D37" i="185"/>
  <c r="C564" i="185"/>
  <c r="D563" i="185"/>
  <c r="C580" i="185"/>
  <c r="D579" i="185"/>
  <c r="C462" i="185"/>
  <c r="D461" i="185"/>
  <c r="C205" i="185"/>
  <c r="D205" i="185" s="1"/>
  <c r="D204" i="185"/>
  <c r="C131" i="185"/>
  <c r="D130" i="185"/>
  <c r="C604" i="185"/>
  <c r="D603" i="185"/>
  <c r="D363" i="185"/>
  <c r="C364" i="185"/>
  <c r="D364" i="185" s="1"/>
  <c r="C199" i="185"/>
  <c r="D199" i="185" s="1"/>
  <c r="D198" i="185"/>
  <c r="C581" i="185" l="1"/>
  <c r="D580" i="185"/>
  <c r="C774" i="185"/>
  <c r="D773" i="185"/>
  <c r="C295" i="185"/>
  <c r="D294" i="185"/>
  <c r="D592" i="185"/>
  <c r="C593" i="185"/>
  <c r="C341" i="185"/>
  <c r="D340" i="185"/>
  <c r="C373" i="185"/>
  <c r="D372" i="185"/>
  <c r="D814" i="185"/>
  <c r="C815" i="185"/>
  <c r="C613" i="185"/>
  <c r="D612" i="185"/>
  <c r="D38" i="185"/>
  <c r="C39" i="185"/>
  <c r="C78" i="185"/>
  <c r="D77" i="185"/>
  <c r="C318" i="185"/>
  <c r="D317" i="185"/>
  <c r="D694" i="185"/>
  <c r="C695" i="185"/>
  <c r="C750" i="185"/>
  <c r="D749" i="185"/>
  <c r="D536" i="185"/>
  <c r="C537" i="185"/>
  <c r="C653" i="185"/>
  <c r="D652" i="185"/>
  <c r="C645" i="185"/>
  <c r="D644" i="185"/>
  <c r="D112" i="185"/>
  <c r="C113" i="185"/>
  <c r="D131" i="185"/>
  <c r="C132" i="185"/>
  <c r="C723" i="185"/>
  <c r="D722" i="185"/>
  <c r="C605" i="185"/>
  <c r="D604" i="185"/>
  <c r="C188" i="185"/>
  <c r="D187" i="185"/>
  <c r="C565" i="185"/>
  <c r="D564" i="185"/>
  <c r="D686" i="185"/>
  <c r="C687" i="185"/>
  <c r="C673" i="185"/>
  <c r="D672" i="185"/>
  <c r="C463" i="185"/>
  <c r="D462" i="185"/>
  <c r="D147" i="185"/>
  <c r="C148" i="185"/>
  <c r="C761" i="185"/>
  <c r="D760" i="185"/>
  <c r="D504" i="185"/>
  <c r="C505" i="185"/>
  <c r="C19" i="185"/>
  <c r="D18" i="185"/>
  <c r="D488" i="185"/>
  <c r="C489" i="185"/>
  <c r="D62" i="185"/>
  <c r="C63" i="185"/>
  <c r="D213" i="185"/>
  <c r="C214" i="185"/>
  <c r="C803" i="185"/>
  <c r="D802" i="185"/>
  <c r="C285" i="185"/>
  <c r="D284" i="185"/>
  <c r="C445" i="185"/>
  <c r="D444" i="185"/>
  <c r="C464" i="185" l="1"/>
  <c r="D463" i="185"/>
  <c r="C215" i="185"/>
  <c r="D214" i="185"/>
  <c r="D593" i="185"/>
  <c r="C594" i="185"/>
  <c r="D673" i="185"/>
  <c r="C674" i="185"/>
  <c r="C606" i="185"/>
  <c r="D606" i="185" s="1"/>
  <c r="D605" i="185"/>
  <c r="C646" i="185"/>
  <c r="D646" i="185" s="1"/>
  <c r="D645" i="185"/>
  <c r="C614" i="185"/>
  <c r="D613" i="185"/>
  <c r="C40" i="185"/>
  <c r="D39" i="185"/>
  <c r="C804" i="185"/>
  <c r="D803" i="185"/>
  <c r="C189" i="185"/>
  <c r="D188" i="185"/>
  <c r="D505" i="185"/>
  <c r="C506" i="185"/>
  <c r="C696" i="185"/>
  <c r="D695" i="185"/>
  <c r="C64" i="185"/>
  <c r="D63" i="185"/>
  <c r="C688" i="185"/>
  <c r="D688" i="185" s="1"/>
  <c r="D687" i="185"/>
  <c r="C816" i="185"/>
  <c r="D815" i="185"/>
  <c r="D78" i="185"/>
  <c r="C79" i="185"/>
  <c r="C654" i="185"/>
  <c r="D653" i="185"/>
  <c r="C319" i="185"/>
  <c r="D318" i="185"/>
  <c r="C296" i="185"/>
  <c r="D295" i="185"/>
  <c r="C374" i="185"/>
  <c r="D373" i="185"/>
  <c r="C446" i="185"/>
  <c r="D445" i="185"/>
  <c r="D761" i="185"/>
  <c r="C762" i="185"/>
  <c r="C724" i="185"/>
  <c r="D723" i="185"/>
  <c r="D489" i="185"/>
  <c r="C490" i="185"/>
  <c r="C149" i="185"/>
  <c r="D148" i="185"/>
  <c r="C133" i="185"/>
  <c r="D132" i="185"/>
  <c r="D537" i="185"/>
  <c r="C538" i="185"/>
  <c r="C286" i="185"/>
  <c r="D286" i="185" s="1"/>
  <c r="D285" i="185"/>
  <c r="D774" i="185"/>
  <c r="C775" i="185"/>
  <c r="C566" i="185"/>
  <c r="D565" i="185"/>
  <c r="C114" i="185"/>
  <c r="D113" i="185"/>
  <c r="D19" i="185"/>
  <c r="C20" i="185"/>
  <c r="D750" i="185"/>
  <c r="C751" i="185"/>
  <c r="C342" i="185"/>
  <c r="D341" i="185"/>
  <c r="C582" i="185"/>
  <c r="D581" i="185"/>
  <c r="C343" i="185" l="1"/>
  <c r="D342" i="185"/>
  <c r="C134" i="185"/>
  <c r="D133" i="185"/>
  <c r="C752" i="185"/>
  <c r="D751" i="185"/>
  <c r="C150" i="185"/>
  <c r="D149" i="185"/>
  <c r="C21" i="185"/>
  <c r="D20" i="185"/>
  <c r="C491" i="185"/>
  <c r="D490" i="185"/>
  <c r="C80" i="185"/>
  <c r="D79" i="185"/>
  <c r="C675" i="185"/>
  <c r="D674" i="185"/>
  <c r="C375" i="185"/>
  <c r="D374" i="185"/>
  <c r="C697" i="185"/>
  <c r="D696" i="185"/>
  <c r="D40" i="185"/>
  <c r="C41" i="185"/>
  <c r="C567" i="185"/>
  <c r="D566" i="185"/>
  <c r="C216" i="185"/>
  <c r="D215" i="185"/>
  <c r="C776" i="185"/>
  <c r="D775" i="185"/>
  <c r="D654" i="185"/>
  <c r="C655" i="185"/>
  <c r="C65" i="185"/>
  <c r="D64" i="185"/>
  <c r="C805" i="185"/>
  <c r="D804" i="185"/>
  <c r="C507" i="185"/>
  <c r="D506" i="185"/>
  <c r="C595" i="185"/>
  <c r="D594" i="185"/>
  <c r="C583" i="185"/>
  <c r="D582" i="185"/>
  <c r="C115" i="185"/>
  <c r="D114" i="185"/>
  <c r="C725" i="185"/>
  <c r="D724" i="185"/>
  <c r="C297" i="185"/>
  <c r="D296" i="185"/>
  <c r="C817" i="185"/>
  <c r="D816" i="185"/>
  <c r="C615" i="185"/>
  <c r="D614" i="185"/>
  <c r="C320" i="185"/>
  <c r="D319" i="185"/>
  <c r="D189" i="185"/>
  <c r="C190" i="185"/>
  <c r="C447" i="185"/>
  <c r="D446" i="185"/>
  <c r="D464" i="185"/>
  <c r="C465" i="185"/>
  <c r="C539" i="185"/>
  <c r="D538" i="185"/>
  <c r="C763" i="185"/>
  <c r="D763" i="185" s="1"/>
  <c r="D762" i="185"/>
  <c r="C726" i="185" l="1"/>
  <c r="D725" i="185"/>
  <c r="C466" i="185"/>
  <c r="D465" i="185"/>
  <c r="C448" i="185"/>
  <c r="D447" i="185"/>
  <c r="D817" i="185"/>
  <c r="C818" i="185"/>
  <c r="C584" i="185"/>
  <c r="D583" i="185"/>
  <c r="C66" i="185"/>
  <c r="D65" i="185"/>
  <c r="C568" i="185"/>
  <c r="D567" i="185"/>
  <c r="C676" i="185"/>
  <c r="D675" i="185"/>
  <c r="C151" i="185"/>
  <c r="D150" i="185"/>
  <c r="D320" i="185"/>
  <c r="C321" i="185"/>
  <c r="C492" i="185"/>
  <c r="D491" i="185"/>
  <c r="C191" i="185"/>
  <c r="D190" i="185"/>
  <c r="C656" i="185"/>
  <c r="D655" i="185"/>
  <c r="C540" i="185"/>
  <c r="D539" i="185"/>
  <c r="C777" i="185"/>
  <c r="D776" i="185"/>
  <c r="C42" i="185"/>
  <c r="D41" i="185"/>
  <c r="D297" i="185"/>
  <c r="C298" i="185"/>
  <c r="C596" i="185"/>
  <c r="D595" i="185"/>
  <c r="D80" i="185"/>
  <c r="C81" i="185"/>
  <c r="C753" i="185"/>
  <c r="D753" i="185" s="1"/>
  <c r="D752" i="185"/>
  <c r="C508" i="185"/>
  <c r="D507" i="185"/>
  <c r="D134" i="185"/>
  <c r="C135" i="185"/>
  <c r="D697" i="185"/>
  <c r="C698" i="185"/>
  <c r="C616" i="185"/>
  <c r="D615" i="185"/>
  <c r="D115" i="185"/>
  <c r="C116" i="185"/>
  <c r="C806" i="185"/>
  <c r="D805" i="185"/>
  <c r="D216" i="185"/>
  <c r="C217" i="185"/>
  <c r="C376" i="185"/>
  <c r="D375" i="185"/>
  <c r="C22" i="185"/>
  <c r="D21" i="185"/>
  <c r="C344" i="185"/>
  <c r="D343" i="185"/>
  <c r="D22" i="185" l="1"/>
  <c r="C23" i="185"/>
  <c r="D23" i="185" s="1"/>
  <c r="D584" i="185"/>
  <c r="C585" i="185"/>
  <c r="D585" i="185" s="1"/>
  <c r="C819" i="185"/>
  <c r="D818" i="185"/>
  <c r="D376" i="185"/>
  <c r="C377" i="185"/>
  <c r="D616" i="185"/>
  <c r="C617" i="185"/>
  <c r="C43" i="185"/>
  <c r="D42" i="185"/>
  <c r="C192" i="185"/>
  <c r="D192" i="185" s="1"/>
  <c r="D191" i="185"/>
  <c r="C677" i="185"/>
  <c r="D676" i="185"/>
  <c r="D806" i="185"/>
  <c r="C807" i="185"/>
  <c r="C541" i="185"/>
  <c r="D540" i="185"/>
  <c r="C67" i="185"/>
  <c r="D66" i="185"/>
  <c r="D298" i="185"/>
  <c r="C299" i="185"/>
  <c r="C509" i="185"/>
  <c r="D508" i="185"/>
  <c r="C657" i="185"/>
  <c r="D656" i="185"/>
  <c r="C152" i="185"/>
  <c r="D151" i="185"/>
  <c r="D726" i="185"/>
  <c r="C727" i="185"/>
  <c r="D217" i="185"/>
  <c r="C218" i="185"/>
  <c r="C699" i="185"/>
  <c r="D698" i="185"/>
  <c r="C82" i="185"/>
  <c r="D81" i="185"/>
  <c r="D344" i="185"/>
  <c r="C345" i="185"/>
  <c r="C597" i="185"/>
  <c r="D596" i="185"/>
  <c r="C467" i="185"/>
  <c r="D466" i="185"/>
  <c r="C117" i="185"/>
  <c r="D116" i="185"/>
  <c r="D777" i="185"/>
  <c r="C778" i="185"/>
  <c r="C493" i="185"/>
  <c r="D492" i="185"/>
  <c r="D568" i="185"/>
  <c r="C569" i="185"/>
  <c r="D448" i="185"/>
  <c r="C449" i="185"/>
  <c r="C136" i="185"/>
  <c r="D135" i="185"/>
  <c r="D321" i="185"/>
  <c r="C322" i="185"/>
  <c r="C66" i="192"/>
  <c r="C64" i="192"/>
  <c r="C323" i="185" l="1"/>
  <c r="D322" i="185"/>
  <c r="D617" i="185"/>
  <c r="C618" i="185"/>
  <c r="D493" i="185"/>
  <c r="C494" i="185"/>
  <c r="C779" i="185"/>
  <c r="D778" i="185"/>
  <c r="C728" i="185"/>
  <c r="D727" i="185"/>
  <c r="D377" i="185"/>
  <c r="C378" i="185"/>
  <c r="D136" i="185"/>
  <c r="C137" i="185"/>
  <c r="C678" i="185"/>
  <c r="D677" i="185"/>
  <c r="C510" i="185"/>
  <c r="D509" i="185"/>
  <c r="D345" i="185"/>
  <c r="C346" i="185"/>
  <c r="D299" i="185"/>
  <c r="C300" i="185"/>
  <c r="D300" i="185" s="1"/>
  <c r="C450" i="185"/>
  <c r="D449" i="185"/>
  <c r="D218" i="185"/>
  <c r="C219" i="185"/>
  <c r="C83" i="185"/>
  <c r="D82" i="185"/>
  <c r="D152" i="185"/>
  <c r="C153" i="185"/>
  <c r="D67" i="185"/>
  <c r="C68" i="185"/>
  <c r="C820" i="185"/>
  <c r="D819" i="185"/>
  <c r="D569" i="185"/>
  <c r="C570" i="185"/>
  <c r="C808" i="185"/>
  <c r="D808" i="185" s="1"/>
  <c r="D807" i="185"/>
  <c r="C598" i="185"/>
  <c r="D597" i="185"/>
  <c r="C118" i="185"/>
  <c r="D117" i="185"/>
  <c r="D467" i="185"/>
  <c r="C468" i="185"/>
  <c r="C700" i="185"/>
  <c r="D699" i="185"/>
  <c r="D657" i="185"/>
  <c r="C658" i="185"/>
  <c r="C542" i="185"/>
  <c r="D541" i="185"/>
  <c r="D43" i="185"/>
  <c r="C44" i="185"/>
  <c r="K64" i="167"/>
  <c r="K64" i="161"/>
  <c r="K64" i="166"/>
  <c r="C543" i="185" l="1"/>
  <c r="D542" i="185"/>
  <c r="C659" i="185"/>
  <c r="D658" i="185"/>
  <c r="C599" i="185"/>
  <c r="D599" i="185" s="1"/>
  <c r="D598" i="185"/>
  <c r="C451" i="185"/>
  <c r="D450" i="185"/>
  <c r="D678" i="185"/>
  <c r="C679" i="185"/>
  <c r="C780" i="185"/>
  <c r="D779" i="185"/>
  <c r="D83" i="185"/>
  <c r="C84" i="185"/>
  <c r="C69" i="185"/>
  <c r="D68" i="185"/>
  <c r="C154" i="185"/>
  <c r="D153" i="185"/>
  <c r="C138" i="185"/>
  <c r="D137" i="185"/>
  <c r="D494" i="185"/>
  <c r="C495" i="185"/>
  <c r="D495" i="185" s="1"/>
  <c r="C220" i="185"/>
  <c r="D219" i="185"/>
  <c r="C701" i="185"/>
  <c r="D700" i="185"/>
  <c r="C45" i="185"/>
  <c r="D44" i="185"/>
  <c r="C469" i="185"/>
  <c r="D468" i="185"/>
  <c r="C571" i="185"/>
  <c r="D570" i="185"/>
  <c r="C347" i="185"/>
  <c r="D346" i="185"/>
  <c r="C379" i="185"/>
  <c r="D378" i="185"/>
  <c r="C619" i="185"/>
  <c r="D618" i="185"/>
  <c r="D118" i="185"/>
  <c r="C119" i="185"/>
  <c r="C821" i="185"/>
  <c r="D820" i="185"/>
  <c r="C511" i="185"/>
  <c r="D510" i="185"/>
  <c r="C729" i="185"/>
  <c r="D728" i="185"/>
  <c r="D323" i="185"/>
  <c r="C324" i="185"/>
  <c r="A3" i="167"/>
  <c r="C46" i="185" l="1"/>
  <c r="D45" i="185"/>
  <c r="C660" i="185"/>
  <c r="D659" i="185"/>
  <c r="C822" i="185"/>
  <c r="D821" i="185"/>
  <c r="C120" i="185"/>
  <c r="D119" i="185"/>
  <c r="C572" i="185"/>
  <c r="D571" i="185"/>
  <c r="C221" i="185"/>
  <c r="D220" i="185"/>
  <c r="C70" i="185"/>
  <c r="D70" i="185" s="1"/>
  <c r="D69" i="185"/>
  <c r="D451" i="185"/>
  <c r="C452" i="185"/>
  <c r="C512" i="185"/>
  <c r="D511" i="185"/>
  <c r="C139" i="185"/>
  <c r="D139" i="185" s="1"/>
  <c r="D138" i="185"/>
  <c r="C702" i="185"/>
  <c r="D701" i="185"/>
  <c r="C544" i="185"/>
  <c r="D543" i="185"/>
  <c r="C620" i="185"/>
  <c r="D619" i="185"/>
  <c r="C470" i="185"/>
  <c r="D469" i="185"/>
  <c r="D379" i="185"/>
  <c r="C380" i="185"/>
  <c r="C781" i="185"/>
  <c r="D780" i="185"/>
  <c r="C680" i="185"/>
  <c r="D680" i="185" s="1"/>
  <c r="D679" i="185"/>
  <c r="D347" i="185"/>
  <c r="C348" i="185"/>
  <c r="C155" i="185"/>
  <c r="D154" i="185"/>
  <c r="C325" i="185"/>
  <c r="D324" i="185"/>
  <c r="C85" i="185"/>
  <c r="D84" i="185"/>
  <c r="D729" i="185"/>
  <c r="C730" i="185"/>
  <c r="E36" i="16"/>
  <c r="E35" i="16"/>
  <c r="F34" i="16"/>
  <c r="E34" i="16"/>
  <c r="F33" i="16"/>
  <c r="E33" i="16"/>
  <c r="E32" i="16"/>
  <c r="E31" i="16"/>
  <c r="F30" i="16"/>
  <c r="E30" i="16"/>
  <c r="E29" i="16"/>
  <c r="E28" i="16"/>
  <c r="F27" i="16"/>
  <c r="E27" i="16"/>
  <c r="E26" i="16"/>
  <c r="E25" i="16"/>
  <c r="F24" i="16"/>
  <c r="E24" i="16"/>
  <c r="E23" i="16"/>
  <c r="E22" i="16"/>
  <c r="F21" i="16"/>
  <c r="E21" i="16"/>
  <c r="F20" i="16"/>
  <c r="E20" i="16"/>
  <c r="F62" i="16"/>
  <c r="F63" i="16"/>
  <c r="F59" i="16"/>
  <c r="F56" i="16"/>
  <c r="F53" i="16"/>
  <c r="F50" i="16"/>
  <c r="F49" i="16"/>
  <c r="E65" i="16"/>
  <c r="E64" i="16"/>
  <c r="E63" i="16"/>
  <c r="E62" i="16"/>
  <c r="E61" i="16"/>
  <c r="E60" i="16"/>
  <c r="E59" i="16"/>
  <c r="E58" i="16"/>
  <c r="E57" i="16"/>
  <c r="E56" i="16"/>
  <c r="E55" i="16"/>
  <c r="E54" i="16"/>
  <c r="E53" i="16"/>
  <c r="E52" i="16"/>
  <c r="E51" i="16"/>
  <c r="E50" i="16"/>
  <c r="E49" i="16"/>
  <c r="C86" i="185" l="1"/>
  <c r="D85" i="185"/>
  <c r="C453" i="185"/>
  <c r="D452" i="185"/>
  <c r="C326" i="185"/>
  <c r="D325" i="185"/>
  <c r="C782" i="185"/>
  <c r="D781" i="185"/>
  <c r="D544" i="185"/>
  <c r="C545" i="185"/>
  <c r="D120" i="185"/>
  <c r="C121" i="185"/>
  <c r="C471" i="185"/>
  <c r="D470" i="185"/>
  <c r="C381" i="185"/>
  <c r="D380" i="185"/>
  <c r="D155" i="185"/>
  <c r="C156" i="185"/>
  <c r="D702" i="185"/>
  <c r="C703" i="185"/>
  <c r="D822" i="185"/>
  <c r="C823" i="185"/>
  <c r="C731" i="185"/>
  <c r="D730" i="185"/>
  <c r="C349" i="185"/>
  <c r="D348" i="185"/>
  <c r="C661" i="185"/>
  <c r="D660" i="185"/>
  <c r="D221" i="185"/>
  <c r="C222" i="185"/>
  <c r="C621" i="185"/>
  <c r="D620" i="185"/>
  <c r="D512" i="185"/>
  <c r="C513" i="185"/>
  <c r="C573" i="185"/>
  <c r="D572" i="185"/>
  <c r="D46" i="185"/>
  <c r="C47" i="185"/>
  <c r="M64" i="166"/>
  <c r="L64" i="166"/>
  <c r="J64" i="166"/>
  <c r="I64" i="166"/>
  <c r="G64" i="166"/>
  <c r="F64" i="166"/>
  <c r="E64" i="166"/>
  <c r="D64" i="166"/>
  <c r="C64" i="166"/>
  <c r="B65" i="166" s="1"/>
  <c r="A3" i="166"/>
  <c r="M64" i="161"/>
  <c r="L64" i="161"/>
  <c r="J64" i="161"/>
  <c r="I64" i="161"/>
  <c r="G64" i="161"/>
  <c r="F64" i="161"/>
  <c r="E64" i="161"/>
  <c r="D64" i="161"/>
  <c r="C64" i="161"/>
  <c r="B65" i="161" s="1"/>
  <c r="A3" i="161"/>
  <c r="D513" i="185" l="1"/>
  <c r="C514" i="185"/>
  <c r="D545" i="185"/>
  <c r="C546" i="185"/>
  <c r="D86" i="185"/>
  <c r="C87" i="185"/>
  <c r="C622" i="185"/>
  <c r="D621" i="185"/>
  <c r="C732" i="185"/>
  <c r="D731" i="185"/>
  <c r="C382" i="185"/>
  <c r="D381" i="185"/>
  <c r="D782" i="185"/>
  <c r="C783" i="185"/>
  <c r="C574" i="185"/>
  <c r="D574" i="185" s="1"/>
  <c r="D573" i="185"/>
  <c r="C662" i="185"/>
  <c r="D661" i="185"/>
  <c r="C454" i="185"/>
  <c r="D454" i="185" s="1"/>
  <c r="D453" i="185"/>
  <c r="C350" i="185"/>
  <c r="D349" i="185"/>
  <c r="C48" i="185"/>
  <c r="D47" i="185"/>
  <c r="C223" i="185"/>
  <c r="D222" i="185"/>
  <c r="C824" i="185"/>
  <c r="D823" i="185"/>
  <c r="C157" i="185"/>
  <c r="D156" i="185"/>
  <c r="D471" i="185"/>
  <c r="C472" i="185"/>
  <c r="C327" i="185"/>
  <c r="D326" i="185"/>
  <c r="C704" i="185"/>
  <c r="D703" i="185"/>
  <c r="C122" i="185"/>
  <c r="D121" i="185"/>
  <c r="F25" i="27"/>
  <c r="C733" i="185" l="1"/>
  <c r="D732" i="185"/>
  <c r="D48" i="185"/>
  <c r="C49" i="185"/>
  <c r="D622" i="185"/>
  <c r="C623" i="185"/>
  <c r="D662" i="185"/>
  <c r="C663" i="185"/>
  <c r="D663" i="185" s="1"/>
  <c r="D472" i="185"/>
  <c r="C473" i="185"/>
  <c r="C784" i="185"/>
  <c r="D783" i="185"/>
  <c r="C88" i="185"/>
  <c r="D87" i="185"/>
  <c r="C515" i="185"/>
  <c r="D514" i="185"/>
  <c r="C328" i="185"/>
  <c r="D327" i="185"/>
  <c r="C123" i="185"/>
  <c r="D122" i="185"/>
  <c r="C351" i="185"/>
  <c r="D350" i="185"/>
  <c r="C547" i="185"/>
  <c r="D546" i="185"/>
  <c r="C224" i="185"/>
  <c r="D223" i="185"/>
  <c r="C158" i="185"/>
  <c r="D157" i="185"/>
  <c r="C705" i="185"/>
  <c r="D704" i="185"/>
  <c r="C825" i="185"/>
  <c r="D824" i="185"/>
  <c r="C383" i="185"/>
  <c r="D382" i="185"/>
  <c r="U21" i="191"/>
  <c r="S21" i="191"/>
  <c r="Q21" i="191"/>
  <c r="O21" i="191"/>
  <c r="M21" i="191"/>
  <c r="C384" i="185" l="1"/>
  <c r="D383" i="185"/>
  <c r="D825" i="185"/>
  <c r="C826" i="185"/>
  <c r="D826" i="185" s="1"/>
  <c r="C624" i="185"/>
  <c r="D623" i="185"/>
  <c r="C548" i="185"/>
  <c r="D547" i="185"/>
  <c r="D88" i="185"/>
  <c r="C89" i="185"/>
  <c r="C50" i="185"/>
  <c r="D49" i="185"/>
  <c r="D328" i="185"/>
  <c r="C329" i="185"/>
  <c r="D705" i="185"/>
  <c r="C706" i="185"/>
  <c r="D158" i="185"/>
  <c r="C159" i="185"/>
  <c r="D123" i="185"/>
  <c r="C124" i="185"/>
  <c r="D124" i="185" s="1"/>
  <c r="C785" i="185"/>
  <c r="D784" i="185"/>
  <c r="C225" i="185"/>
  <c r="D224" i="185"/>
  <c r="C734" i="185"/>
  <c r="D733" i="185"/>
  <c r="C516" i="185"/>
  <c r="D515" i="185"/>
  <c r="C352" i="185"/>
  <c r="D351" i="185"/>
  <c r="C474" i="185"/>
  <c r="D473" i="185"/>
  <c r="F14" i="27"/>
  <c r="F13" i="27"/>
  <c r="F12" i="27"/>
  <c r="F7" i="27"/>
  <c r="D18" i="27"/>
  <c r="D14" i="27"/>
  <c r="D13" i="27"/>
  <c r="D12" i="27"/>
  <c r="D7" i="27"/>
  <c r="A1509" i="49"/>
  <c r="A1522" i="49" s="1"/>
  <c r="A1444" i="49"/>
  <c r="A1457" i="49" s="1"/>
  <c r="A1379" i="49"/>
  <c r="A1366" i="49"/>
  <c r="A1353" i="49"/>
  <c r="A1340" i="49"/>
  <c r="A1327" i="49"/>
  <c r="A1314" i="49"/>
  <c r="C475" i="185" l="1"/>
  <c r="D474" i="185"/>
  <c r="D225" i="185"/>
  <c r="C226" i="185"/>
  <c r="C549" i="185"/>
  <c r="D548" i="185"/>
  <c r="D352" i="185"/>
  <c r="C353" i="185"/>
  <c r="D353" i="185" s="1"/>
  <c r="D785" i="185"/>
  <c r="C786" i="185"/>
  <c r="D624" i="185"/>
  <c r="C625" i="185"/>
  <c r="D384" i="185"/>
  <c r="C385" i="185"/>
  <c r="D734" i="185"/>
  <c r="C735" i="185"/>
  <c r="D329" i="185"/>
  <c r="C330" i="185"/>
  <c r="D330" i="185" s="1"/>
  <c r="C517" i="185"/>
  <c r="D516" i="185"/>
  <c r="C51" i="185"/>
  <c r="D50" i="185"/>
  <c r="C707" i="185"/>
  <c r="D706" i="185"/>
  <c r="C160" i="185"/>
  <c r="D159" i="185"/>
  <c r="C90" i="185"/>
  <c r="D89" i="185"/>
  <c r="A1535" i="49"/>
  <c r="A1470" i="49"/>
  <c r="A1392" i="49"/>
  <c r="C787" i="185" l="1"/>
  <c r="D786" i="185"/>
  <c r="C476" i="185"/>
  <c r="D475" i="185"/>
  <c r="C550" i="185"/>
  <c r="D549" i="185"/>
  <c r="D160" i="185"/>
  <c r="C161" i="185"/>
  <c r="D385" i="185"/>
  <c r="C386" i="185"/>
  <c r="D51" i="185"/>
  <c r="C52" i="185"/>
  <c r="D625" i="185"/>
  <c r="C626" i="185"/>
  <c r="D226" i="185"/>
  <c r="C227" i="185"/>
  <c r="C736" i="185"/>
  <c r="D735" i="185"/>
  <c r="C708" i="185"/>
  <c r="D707" i="185"/>
  <c r="C91" i="185"/>
  <c r="D90" i="185"/>
  <c r="C518" i="185"/>
  <c r="D517" i="185"/>
  <c r="A1548" i="49"/>
  <c r="A1483" i="49"/>
  <c r="A1405" i="49"/>
  <c r="C788" i="185" l="1"/>
  <c r="D787" i="185"/>
  <c r="D518" i="185"/>
  <c r="C519" i="185"/>
  <c r="C228" i="185"/>
  <c r="D227" i="185"/>
  <c r="C627" i="185"/>
  <c r="D626" i="185"/>
  <c r="C737" i="185"/>
  <c r="D736" i="185"/>
  <c r="C162" i="185"/>
  <c r="D161" i="185"/>
  <c r="C551" i="185"/>
  <c r="D550" i="185"/>
  <c r="D91" i="185"/>
  <c r="C92" i="185"/>
  <c r="C53" i="185"/>
  <c r="D52" i="185"/>
  <c r="C709" i="185"/>
  <c r="D708" i="185"/>
  <c r="D476" i="185"/>
  <c r="C477" i="185"/>
  <c r="C387" i="185"/>
  <c r="D386" i="185"/>
  <c r="A1561" i="49"/>
  <c r="A1496" i="49"/>
  <c r="A1418" i="49"/>
  <c r="D387" i="185" l="1"/>
  <c r="C388" i="185"/>
  <c r="C628" i="185"/>
  <c r="D627" i="185"/>
  <c r="C163" i="185"/>
  <c r="D162" i="185"/>
  <c r="D737" i="185"/>
  <c r="C738" i="185"/>
  <c r="C710" i="185"/>
  <c r="D709" i="185"/>
  <c r="C552" i="185"/>
  <c r="D551" i="185"/>
  <c r="C229" i="185"/>
  <c r="D228" i="185"/>
  <c r="C54" i="185"/>
  <c r="D53" i="185"/>
  <c r="C93" i="185"/>
  <c r="D92" i="185"/>
  <c r="C478" i="185"/>
  <c r="D477" i="185"/>
  <c r="C520" i="185"/>
  <c r="D519" i="185"/>
  <c r="C789" i="185"/>
  <c r="D788" i="185"/>
  <c r="A1431" i="49"/>
  <c r="C479" i="185" l="1"/>
  <c r="D478" i="185"/>
  <c r="C790" i="185"/>
  <c r="D789" i="185"/>
  <c r="D54" i="185"/>
  <c r="C55" i="185"/>
  <c r="D55" i="185" s="1"/>
  <c r="D552" i="185"/>
  <c r="C553" i="185"/>
  <c r="D710" i="185"/>
  <c r="C711" i="185"/>
  <c r="C739" i="185"/>
  <c r="D738" i="185"/>
  <c r="C629" i="185"/>
  <c r="D628" i="185"/>
  <c r="C389" i="185"/>
  <c r="D388" i="185"/>
  <c r="C94" i="185"/>
  <c r="D93" i="185"/>
  <c r="D520" i="185"/>
  <c r="C521" i="185"/>
  <c r="C230" i="185"/>
  <c r="D229" i="185"/>
  <c r="D163" i="185"/>
  <c r="C164" i="185"/>
  <c r="AV839" i="185"/>
  <c r="AU839" i="185"/>
  <c r="AR839" i="185"/>
  <c r="AQ839" i="185"/>
  <c r="AP839" i="185"/>
  <c r="AO839" i="185"/>
  <c r="AM839" i="185"/>
  <c r="AL839" i="185"/>
  <c r="AK839" i="185"/>
  <c r="AJ839" i="185"/>
  <c r="AH839" i="185"/>
  <c r="AG839" i="185"/>
  <c r="AF839" i="185"/>
  <c r="AE839" i="185"/>
  <c r="AC839" i="185"/>
  <c r="AB839" i="185"/>
  <c r="AA839" i="185"/>
  <c r="Z839" i="185"/>
  <c r="X839" i="185"/>
  <c r="W839" i="185"/>
  <c r="V839" i="185"/>
  <c r="U839" i="185"/>
  <c r="S839" i="185"/>
  <c r="R839" i="185"/>
  <c r="Q839" i="185"/>
  <c r="P839" i="185"/>
  <c r="I839" i="185"/>
  <c r="J839" i="185"/>
  <c r="K839" i="185"/>
  <c r="H839" i="185"/>
  <c r="C390" i="185" l="1"/>
  <c r="D389" i="185"/>
  <c r="D553" i="185"/>
  <c r="C554" i="185"/>
  <c r="C231" i="185"/>
  <c r="D230" i="185"/>
  <c r="C630" i="185"/>
  <c r="D629" i="185"/>
  <c r="D521" i="185"/>
  <c r="C522" i="185"/>
  <c r="C165" i="185"/>
  <c r="D164" i="185"/>
  <c r="C740" i="185"/>
  <c r="D739" i="185"/>
  <c r="D790" i="185"/>
  <c r="C791" i="185"/>
  <c r="C712" i="185"/>
  <c r="D711" i="185"/>
  <c r="D94" i="185"/>
  <c r="C95" i="185"/>
  <c r="D479" i="185"/>
  <c r="C480" i="185"/>
  <c r="C166" i="185" l="1"/>
  <c r="D165" i="185"/>
  <c r="C792" i="185"/>
  <c r="D791" i="185"/>
  <c r="C631" i="185"/>
  <c r="D630" i="185"/>
  <c r="C523" i="185"/>
  <c r="D522" i="185"/>
  <c r="C713" i="185"/>
  <c r="D712" i="185"/>
  <c r="C391" i="185"/>
  <c r="D390" i="185"/>
  <c r="C741" i="185"/>
  <c r="D740" i="185"/>
  <c r="D231" i="185"/>
  <c r="C232" i="185"/>
  <c r="D480" i="185"/>
  <c r="C481" i="185"/>
  <c r="C96" i="185"/>
  <c r="D95" i="185"/>
  <c r="C555" i="185"/>
  <c r="D554" i="185"/>
  <c r="C793" i="185" l="1"/>
  <c r="D792" i="185"/>
  <c r="D713" i="185"/>
  <c r="C714" i="185"/>
  <c r="C233" i="185"/>
  <c r="D232" i="185"/>
  <c r="C524" i="185"/>
  <c r="D523" i="185"/>
  <c r="D96" i="185"/>
  <c r="C97" i="185"/>
  <c r="C556" i="185"/>
  <c r="D555" i="185"/>
  <c r="C742" i="185"/>
  <c r="D742" i="185" s="1"/>
  <c r="D741" i="185"/>
  <c r="C632" i="185"/>
  <c r="D631" i="185"/>
  <c r="C392" i="185"/>
  <c r="D391" i="185"/>
  <c r="C482" i="185"/>
  <c r="D482" i="185" s="1"/>
  <c r="D481" i="185"/>
  <c r="D166" i="185"/>
  <c r="C167" i="185"/>
  <c r="C557" i="185" l="1"/>
  <c r="D557" i="185" s="1"/>
  <c r="D556" i="185"/>
  <c r="C98" i="185"/>
  <c r="D98" i="185" s="1"/>
  <c r="D97" i="185"/>
  <c r="D793" i="185"/>
  <c r="C794" i="185"/>
  <c r="D632" i="185"/>
  <c r="C633" i="185"/>
  <c r="C525" i="185"/>
  <c r="D524" i="185"/>
  <c r="D233" i="185"/>
  <c r="C234" i="185"/>
  <c r="C168" i="185"/>
  <c r="D167" i="185"/>
  <c r="C715" i="185"/>
  <c r="D714" i="185"/>
  <c r="D392" i="185"/>
  <c r="C393" i="185"/>
  <c r="C526" i="185" l="1"/>
  <c r="D525" i="185"/>
  <c r="C716" i="185"/>
  <c r="D716" i="185" s="1"/>
  <c r="D715" i="185"/>
  <c r="C795" i="185"/>
  <c r="D794" i="185"/>
  <c r="C394" i="185"/>
  <c r="D393" i="185"/>
  <c r="D633" i="185"/>
  <c r="C634" i="185"/>
  <c r="D168" i="185"/>
  <c r="C169" i="185"/>
  <c r="D234" i="185"/>
  <c r="C235" i="185"/>
  <c r="C635" i="185" l="1"/>
  <c r="D634" i="185"/>
  <c r="C395" i="185"/>
  <c r="D394" i="185"/>
  <c r="C527" i="185"/>
  <c r="D526" i="185"/>
  <c r="C796" i="185"/>
  <c r="D796" i="185" s="1"/>
  <c r="D795" i="185"/>
  <c r="C236" i="185"/>
  <c r="D235" i="185"/>
  <c r="C170" i="185"/>
  <c r="D169" i="185"/>
  <c r="C171" i="185" l="1"/>
  <c r="D170" i="185"/>
  <c r="C528" i="185"/>
  <c r="D527" i="185"/>
  <c r="D395" i="185"/>
  <c r="C396" i="185"/>
  <c r="C237" i="185"/>
  <c r="D236" i="185"/>
  <c r="C636" i="185"/>
  <c r="D635" i="185"/>
  <c r="D171" i="185" l="1"/>
  <c r="C172" i="185"/>
  <c r="C238" i="185"/>
  <c r="D237" i="185"/>
  <c r="C397" i="185"/>
  <c r="D396" i="185"/>
  <c r="D528" i="185"/>
  <c r="C529" i="185"/>
  <c r="C637" i="185"/>
  <c r="D636" i="185"/>
  <c r="C638" i="185" l="1"/>
  <c r="D637" i="185"/>
  <c r="C398" i="185"/>
  <c r="D397" i="185"/>
  <c r="C239" i="185"/>
  <c r="D238" i="185"/>
  <c r="D529" i="185"/>
  <c r="C530" i="185"/>
  <c r="D530" i="185" s="1"/>
  <c r="C173" i="185"/>
  <c r="D172" i="185"/>
  <c r="O19" i="191"/>
  <c r="Q19" i="191"/>
  <c r="S19" i="191"/>
  <c r="U19" i="191"/>
  <c r="C240" i="185" l="1"/>
  <c r="D239" i="185"/>
  <c r="C399" i="185"/>
  <c r="D398" i="185"/>
  <c r="C174" i="185"/>
  <c r="D173" i="185"/>
  <c r="D638" i="185"/>
  <c r="C639" i="185"/>
  <c r="D639" i="185" s="1"/>
  <c r="U23" i="191"/>
  <c r="S23" i="191"/>
  <c r="Q23" i="191"/>
  <c r="O23" i="191"/>
  <c r="M23" i="191"/>
  <c r="U24" i="191" l="1"/>
  <c r="O24" i="191"/>
  <c r="M24" i="191"/>
  <c r="D174" i="185"/>
  <c r="C175" i="185"/>
  <c r="C400" i="185"/>
  <c r="D399" i="185"/>
  <c r="C241" i="185"/>
  <c r="D240" i="185"/>
  <c r="Q24" i="191"/>
  <c r="S24" i="191"/>
  <c r="D241" i="185" l="1"/>
  <c r="C242" i="185"/>
  <c r="C176" i="185"/>
  <c r="D175" i="185"/>
  <c r="D400" i="185"/>
  <c r="C401" i="185"/>
  <c r="J127" i="32"/>
  <c r="K127" i="32"/>
  <c r="L127" i="32"/>
  <c r="M127" i="32"/>
  <c r="N127" i="32"/>
  <c r="J124" i="32"/>
  <c r="K124" i="32"/>
  <c r="L124" i="32"/>
  <c r="M124" i="32"/>
  <c r="N124" i="32"/>
  <c r="D176" i="185" l="1"/>
  <c r="C177" i="185"/>
  <c r="C402" i="185"/>
  <c r="D401" i="185"/>
  <c r="D242" i="185"/>
  <c r="C243" i="185"/>
  <c r="J129" i="32"/>
  <c r="L129" i="32"/>
  <c r="K129" i="32"/>
  <c r="N129" i="32"/>
  <c r="M129" i="32"/>
  <c r="C244" i="185" l="1"/>
  <c r="D243" i="185"/>
  <c r="C178" i="185"/>
  <c r="D177" i="185"/>
  <c r="C403" i="185"/>
  <c r="D402" i="185"/>
  <c r="G841" i="185"/>
  <c r="C179" i="185" l="1"/>
  <c r="D179" i="185" s="1"/>
  <c r="D178" i="185"/>
  <c r="D403" i="185"/>
  <c r="C404" i="185"/>
  <c r="C245" i="185"/>
  <c r="D244" i="185"/>
  <c r="C405" i="185" l="1"/>
  <c r="D404" i="185"/>
  <c r="D245" i="185"/>
  <c r="C246" i="185"/>
  <c r="C247" i="185" l="1"/>
  <c r="D246" i="185"/>
  <c r="C406" i="185"/>
  <c r="D405" i="185"/>
  <c r="C407" i="185" l="1"/>
  <c r="D406" i="185"/>
  <c r="C248" i="185"/>
  <c r="D247" i="185"/>
  <c r="D248" i="185" l="1"/>
  <c r="C249" i="185"/>
  <c r="C408" i="185"/>
  <c r="D407" i="185"/>
  <c r="D249" i="185" l="1"/>
  <c r="C250" i="185"/>
  <c r="D408" i="185"/>
  <c r="C409" i="185"/>
  <c r="D250" i="185" l="1"/>
  <c r="C251" i="185"/>
  <c r="C410" i="185"/>
  <c r="D409" i="185"/>
  <c r="C252" i="185" l="1"/>
  <c r="D251" i="185"/>
  <c r="C411" i="185"/>
  <c r="D410" i="185"/>
  <c r="D411" i="185" l="1"/>
  <c r="C412" i="185"/>
  <c r="C253" i="185"/>
  <c r="D252" i="185"/>
  <c r="D253" i="185" l="1"/>
  <c r="C254" i="185"/>
  <c r="C413" i="185"/>
  <c r="D412" i="185"/>
  <c r="C255" i="185" l="1"/>
  <c r="D254" i="185"/>
  <c r="C414" i="185"/>
  <c r="D413" i="185"/>
  <c r="C415" i="185" l="1"/>
  <c r="D414" i="185"/>
  <c r="C256" i="185"/>
  <c r="D255" i="185"/>
  <c r="D256" i="185" l="1"/>
  <c r="C257" i="185"/>
  <c r="C416" i="185"/>
  <c r="D415" i="185"/>
  <c r="D257" i="185" l="1"/>
  <c r="C258" i="185"/>
  <c r="D416" i="185"/>
  <c r="C417" i="185"/>
  <c r="D258" i="185" l="1"/>
  <c r="C259" i="185"/>
  <c r="C418" i="185"/>
  <c r="D417" i="185"/>
  <c r="C260" i="185" l="1"/>
  <c r="D259" i="185"/>
  <c r="C419" i="185"/>
  <c r="D418" i="185"/>
  <c r="D419" i="185" l="1"/>
  <c r="C420" i="185"/>
  <c r="C261" i="185"/>
  <c r="D260" i="185"/>
  <c r="D261" i="185" l="1"/>
  <c r="C262" i="185"/>
  <c r="C421" i="185"/>
  <c r="D420" i="185"/>
  <c r="C263" i="185" l="1"/>
  <c r="D262" i="185"/>
  <c r="C422" i="185"/>
  <c r="D421" i="185"/>
  <c r="C423" i="185" l="1"/>
  <c r="D422" i="185"/>
  <c r="C264" i="185"/>
  <c r="D263" i="185"/>
  <c r="C265" i="185" l="1"/>
  <c r="D264" i="185"/>
  <c r="C424" i="185"/>
  <c r="D423" i="185"/>
  <c r="D424" i="185" l="1"/>
  <c r="C425" i="185"/>
  <c r="D265" i="185"/>
  <c r="C266" i="185"/>
  <c r="D266" i="185" l="1"/>
  <c r="C267" i="185"/>
  <c r="C426" i="185"/>
  <c r="D425" i="185"/>
  <c r="C268" i="185" l="1"/>
  <c r="D267" i="185"/>
  <c r="C427" i="185"/>
  <c r="D426" i="185"/>
  <c r="D427" i="185" l="1"/>
  <c r="C428" i="185"/>
  <c r="C269" i="185"/>
  <c r="D268" i="185"/>
  <c r="C429" i="185" l="1"/>
  <c r="D428" i="185"/>
  <c r="D269" i="185"/>
  <c r="C270" i="185"/>
  <c r="C271" i="185" l="1"/>
  <c r="D270" i="185"/>
  <c r="C430" i="185"/>
  <c r="D429" i="185"/>
  <c r="C431" i="185" l="1"/>
  <c r="D430" i="185"/>
  <c r="C272" i="185"/>
  <c r="D271" i="185"/>
  <c r="C273" i="185" l="1"/>
  <c r="D272" i="185"/>
  <c r="C432" i="185"/>
  <c r="D431" i="185"/>
  <c r="D432" i="185" l="1"/>
  <c r="C433" i="185"/>
  <c r="D273" i="185"/>
  <c r="C274" i="185"/>
  <c r="C434" i="185" l="1"/>
  <c r="D433" i="185"/>
  <c r="D274" i="185"/>
  <c r="C275" i="185"/>
  <c r="C276" i="185" l="1"/>
  <c r="D276" i="185" s="1"/>
  <c r="D275" i="185"/>
  <c r="C435" i="185"/>
  <c r="D434" i="185"/>
  <c r="D435" i="185" l="1"/>
  <c r="C436" i="185"/>
  <c r="C437" i="185" l="1"/>
  <c r="D436" i="185"/>
  <c r="C438" i="185" l="1"/>
  <c r="D437" i="185"/>
  <c r="C439" i="185" l="1"/>
  <c r="D439" i="185" s="1"/>
  <c r="D438" i="185"/>
  <c r="C1366" i="49" l="1"/>
  <c r="B1366" i="49" s="1"/>
  <c r="C1483" i="49"/>
  <c r="B1483" i="49" s="1"/>
  <c r="C1379" i="49"/>
  <c r="B1379" i="49" s="1"/>
  <c r="D1366" i="49"/>
  <c r="C1418" i="49"/>
  <c r="B1418" i="49" s="1"/>
  <c r="C1509" i="49"/>
  <c r="B1509" i="49" s="1"/>
  <c r="D1483" i="49"/>
  <c r="D1470" i="49"/>
  <c r="C1457" i="49"/>
  <c r="B1457" i="49" s="1"/>
  <c r="C1548" i="49"/>
  <c r="B1548" i="49" s="1"/>
  <c r="C1340" i="49"/>
  <c r="B1340" i="49" s="1"/>
  <c r="D1509" i="49"/>
  <c r="C1470" i="49"/>
  <c r="B1470" i="49" s="1"/>
  <c r="D1392" i="49"/>
  <c r="C1353" i="49"/>
  <c r="B1353" i="49" s="1"/>
  <c r="C1392" i="49"/>
  <c r="B1392" i="49" s="1"/>
  <c r="C1444" i="49"/>
  <c r="B1444" i="49" s="1"/>
  <c r="D1327" i="49"/>
  <c r="D1496" i="49"/>
  <c r="C1496" i="49"/>
  <c r="B1496" i="49" s="1"/>
  <c r="D1431" i="49"/>
  <c r="C1327" i="49"/>
  <c r="B1327" i="49" s="1"/>
  <c r="D1340" i="49"/>
  <c r="D1353" i="49"/>
  <c r="C1522" i="49"/>
  <c r="B1522" i="49" s="1"/>
  <c r="C1314" i="49"/>
  <c r="B1314" i="49" s="1"/>
  <c r="C1535" i="49"/>
  <c r="B1535" i="49" s="1"/>
  <c r="C1405" i="49"/>
  <c r="B1405" i="49" s="1"/>
  <c r="C1561" i="49"/>
  <c r="B1561" i="49" s="1"/>
  <c r="D1535" i="49"/>
  <c r="D1457" i="49"/>
  <c r="D1561" i="49"/>
  <c r="D1405" i="49"/>
  <c r="D1379" i="49"/>
  <c r="D1314" i="49"/>
  <c r="D1444" i="49"/>
  <c r="C1431" i="49"/>
  <c r="B1431" i="49" s="1"/>
  <c r="D1522" i="49"/>
  <c r="D1418" i="49"/>
  <c r="D1548" i="49"/>
  <c r="I1395" i="49" l="1"/>
  <c r="E1397" i="49"/>
  <c r="C1394" i="49"/>
  <c r="I1397" i="49"/>
  <c r="K1401" i="49"/>
  <c r="M1401" i="49"/>
  <c r="I1396" i="49"/>
  <c r="O1395" i="49"/>
  <c r="K1396" i="49"/>
  <c r="K1394" i="49"/>
  <c r="O1396" i="49"/>
  <c r="O1394" i="49"/>
  <c r="O1401" i="49"/>
  <c r="K1397" i="49"/>
  <c r="E1396" i="49"/>
  <c r="G1394" i="49"/>
  <c r="O1397" i="49"/>
  <c r="M1395" i="49"/>
  <c r="Q1394" i="49"/>
  <c r="K1395" i="49"/>
  <c r="G1396" i="49"/>
  <c r="E1395" i="49"/>
  <c r="E1394" i="49"/>
  <c r="Q1401" i="49"/>
  <c r="Q1396" i="49"/>
  <c r="M1394" i="49"/>
  <c r="I1401" i="49"/>
  <c r="C1396" i="49"/>
  <c r="G1395" i="49"/>
  <c r="M1397" i="49"/>
  <c r="Q1397" i="49"/>
  <c r="I1394" i="49"/>
  <c r="I1399" i="49" s="1"/>
  <c r="M1396" i="49"/>
  <c r="G1397" i="49"/>
  <c r="Q1395" i="49"/>
  <c r="C1397" i="49"/>
  <c r="C1395" i="49"/>
  <c r="G1401" i="49"/>
  <c r="M1362" i="49"/>
  <c r="M1357" i="49"/>
  <c r="C1355" i="49"/>
  <c r="C1356" i="49"/>
  <c r="O1362" i="49"/>
  <c r="G1358" i="49"/>
  <c r="M1358" i="49"/>
  <c r="G1357" i="49"/>
  <c r="C1357" i="49"/>
  <c r="G1355" i="49"/>
  <c r="G1356" i="49"/>
  <c r="K1357" i="49"/>
  <c r="O1357" i="49"/>
  <c r="O1358" i="49"/>
  <c r="I1356" i="49"/>
  <c r="E1357" i="49"/>
  <c r="K1358" i="49"/>
  <c r="G1362" i="49"/>
  <c r="Q1358" i="49"/>
  <c r="Q1362" i="49"/>
  <c r="Q1356" i="49"/>
  <c r="M1355" i="49"/>
  <c r="E1358" i="49"/>
  <c r="M1356" i="49"/>
  <c r="I1362" i="49"/>
  <c r="Q1357" i="49"/>
  <c r="O1356" i="49"/>
  <c r="I1355" i="49"/>
  <c r="K1362" i="49"/>
  <c r="C1358" i="49"/>
  <c r="E1355" i="49"/>
  <c r="I1357" i="49"/>
  <c r="Q1355" i="49"/>
  <c r="I1358" i="49"/>
  <c r="K1355" i="49"/>
  <c r="E1356" i="49"/>
  <c r="K1356" i="49"/>
  <c r="O1355" i="49"/>
  <c r="Q1329" i="49"/>
  <c r="O1336" i="49"/>
  <c r="M1336" i="49"/>
  <c r="I1332" i="49"/>
  <c r="I1331" i="49"/>
  <c r="E1330" i="49"/>
  <c r="C1330" i="49"/>
  <c r="O1332" i="49"/>
  <c r="M1330" i="49"/>
  <c r="O1329" i="49"/>
  <c r="C1329" i="49"/>
  <c r="Q1336" i="49"/>
  <c r="G1329" i="49"/>
  <c r="O1331" i="49"/>
  <c r="K1331" i="49"/>
  <c r="E1329" i="49"/>
  <c r="Q1331" i="49"/>
  <c r="Q1332" i="49"/>
  <c r="M1329" i="49"/>
  <c r="K1332" i="49"/>
  <c r="C1332" i="49"/>
  <c r="I1329" i="49"/>
  <c r="E1332" i="49"/>
  <c r="K1336" i="49"/>
  <c r="Q1330" i="49"/>
  <c r="G1336" i="49"/>
  <c r="G1331" i="49"/>
  <c r="G1330" i="49"/>
  <c r="M1331" i="49"/>
  <c r="E1331" i="49"/>
  <c r="K1329" i="49"/>
  <c r="C1331" i="49"/>
  <c r="I1336" i="49"/>
  <c r="K1330" i="49"/>
  <c r="O1330" i="49"/>
  <c r="G1332" i="49"/>
  <c r="I1330" i="49"/>
  <c r="M1332" i="49"/>
  <c r="I1512" i="49"/>
  <c r="O1512" i="49"/>
  <c r="Q1512" i="49"/>
  <c r="I1514" i="49"/>
  <c r="G1518" i="49"/>
  <c r="K1511" i="49"/>
  <c r="G1513" i="49"/>
  <c r="M1514" i="49"/>
  <c r="C1513" i="49"/>
  <c r="Q1511" i="49"/>
  <c r="K1514" i="49"/>
  <c r="I1518" i="49"/>
  <c r="G1511" i="49"/>
  <c r="M1512" i="49"/>
  <c r="E1513" i="49"/>
  <c r="K1513" i="49"/>
  <c r="M1518" i="49"/>
  <c r="I1513" i="49"/>
  <c r="Q1518" i="49"/>
  <c r="G1512" i="49"/>
  <c r="C1514" i="49"/>
  <c r="C1512" i="49"/>
  <c r="E1514" i="49"/>
  <c r="O1514" i="49"/>
  <c r="K1518" i="49"/>
  <c r="M1511" i="49"/>
  <c r="I1511" i="49"/>
  <c r="O1511" i="49"/>
  <c r="E1512" i="49"/>
  <c r="G1514" i="49"/>
  <c r="E1511" i="49"/>
  <c r="C1511" i="49"/>
  <c r="O1518" i="49"/>
  <c r="Q1514" i="49"/>
  <c r="M1513" i="49"/>
  <c r="O1513" i="49"/>
  <c r="K1512" i="49"/>
  <c r="Q1513" i="49"/>
  <c r="Q1440" i="49"/>
  <c r="K1440" i="49"/>
  <c r="M1440" i="49"/>
  <c r="G1435" i="49"/>
  <c r="G1433" i="49"/>
  <c r="I1440" i="49"/>
  <c r="I1436" i="49"/>
  <c r="K1436" i="49"/>
  <c r="O1433" i="49"/>
  <c r="G1440" i="49"/>
  <c r="G1436" i="49"/>
  <c r="K1435" i="49"/>
  <c r="M1435" i="49"/>
  <c r="O1436" i="49"/>
  <c r="I1433" i="49"/>
  <c r="Q1433" i="49"/>
  <c r="M1436" i="49"/>
  <c r="O1434" i="49"/>
  <c r="Q1435" i="49"/>
  <c r="I1435" i="49"/>
  <c r="O1435" i="49"/>
  <c r="C1436" i="49"/>
  <c r="E1434" i="49"/>
  <c r="C1434" i="49"/>
  <c r="K1433" i="49"/>
  <c r="Q1434" i="49"/>
  <c r="G1434" i="49"/>
  <c r="O1440" i="49"/>
  <c r="E1433" i="49"/>
  <c r="E1435" i="49"/>
  <c r="I1434" i="49"/>
  <c r="C1433" i="49"/>
  <c r="K1434" i="49"/>
  <c r="E1436" i="49"/>
  <c r="C1435" i="49"/>
  <c r="M1433" i="49"/>
  <c r="M1434" i="49"/>
  <c r="Q1436" i="49"/>
  <c r="K1570" i="49"/>
  <c r="E1563" i="49"/>
  <c r="C1565" i="49"/>
  <c r="E1564" i="49"/>
  <c r="G1566" i="49"/>
  <c r="Q1564" i="49"/>
  <c r="E1566" i="49"/>
  <c r="K1564" i="49"/>
  <c r="G1563" i="49"/>
  <c r="C1566" i="49"/>
  <c r="C1563" i="49"/>
  <c r="Q1570" i="49"/>
  <c r="Q1565" i="49"/>
  <c r="G1570" i="49"/>
  <c r="I1566" i="49"/>
  <c r="O1563" i="49"/>
  <c r="G1564" i="49"/>
  <c r="C1564" i="49"/>
  <c r="Q1563" i="49"/>
  <c r="G1565" i="49"/>
  <c r="K1565" i="49"/>
  <c r="M1566" i="49"/>
  <c r="I1564" i="49"/>
  <c r="E1565" i="49"/>
  <c r="O1564" i="49"/>
  <c r="M1563" i="49"/>
  <c r="O1565" i="49"/>
  <c r="M1564" i="49"/>
  <c r="O1566" i="49"/>
  <c r="M1570" i="49"/>
  <c r="Q1566" i="49"/>
  <c r="M1565" i="49"/>
  <c r="I1563" i="49"/>
  <c r="I1565" i="49"/>
  <c r="O1570" i="49"/>
  <c r="I1570" i="49"/>
  <c r="K1566" i="49"/>
  <c r="K1563" i="49"/>
  <c r="O1475" i="49"/>
  <c r="C1474" i="49"/>
  <c r="I1479" i="49"/>
  <c r="C1473" i="49"/>
  <c r="I1472" i="49"/>
  <c r="Q1473" i="49"/>
  <c r="K1473" i="49"/>
  <c r="M1474" i="49"/>
  <c r="G1473" i="49"/>
  <c r="O1479" i="49"/>
  <c r="E1475" i="49"/>
  <c r="Q1472" i="49"/>
  <c r="I1475" i="49"/>
  <c r="I1474" i="49"/>
  <c r="Q1475" i="49"/>
  <c r="K1479" i="49"/>
  <c r="K1472" i="49"/>
  <c r="K1475" i="49"/>
  <c r="M1475" i="49"/>
  <c r="M1473" i="49"/>
  <c r="O1474" i="49"/>
  <c r="E1474" i="49"/>
  <c r="C1475" i="49"/>
  <c r="E1472" i="49"/>
  <c r="O1472" i="49"/>
  <c r="I1473" i="49"/>
  <c r="Q1479" i="49"/>
  <c r="G1472" i="49"/>
  <c r="C1472" i="49"/>
  <c r="O1473" i="49"/>
  <c r="G1479" i="49"/>
  <c r="K1474" i="49"/>
  <c r="G1474" i="49"/>
  <c r="M1472" i="49"/>
  <c r="G1475" i="49"/>
  <c r="Q1474" i="49"/>
  <c r="M1479" i="49"/>
  <c r="E1473" i="49"/>
  <c r="C1420" i="49"/>
  <c r="K1423" i="49"/>
  <c r="Q1420" i="49"/>
  <c r="I1420" i="49"/>
  <c r="M1420" i="49"/>
  <c r="Q1421" i="49"/>
  <c r="C1423" i="49"/>
  <c r="I1421" i="49"/>
  <c r="G1421" i="49"/>
  <c r="M1427" i="49"/>
  <c r="Q1427" i="49"/>
  <c r="O1427" i="49"/>
  <c r="O1423" i="49"/>
  <c r="G1427" i="49"/>
  <c r="K1427" i="49"/>
  <c r="G1420" i="49"/>
  <c r="Q1422" i="49"/>
  <c r="E1421" i="49"/>
  <c r="K1421" i="49"/>
  <c r="I1423" i="49"/>
  <c r="K1420" i="49"/>
  <c r="O1422" i="49"/>
  <c r="C1421" i="49"/>
  <c r="I1422" i="49"/>
  <c r="O1421" i="49"/>
  <c r="M1421" i="49"/>
  <c r="C1422" i="49"/>
  <c r="E1420" i="49"/>
  <c r="G1423" i="49"/>
  <c r="M1423" i="49"/>
  <c r="K1422" i="49"/>
  <c r="E1423" i="49"/>
  <c r="E1422" i="49"/>
  <c r="I1427" i="49"/>
  <c r="O1420" i="49"/>
  <c r="Q1423" i="49"/>
  <c r="G1422" i="49"/>
  <c r="M1422" i="49"/>
  <c r="G1407" i="49"/>
  <c r="G1414" i="49"/>
  <c r="O1409" i="49"/>
  <c r="I1408" i="49"/>
  <c r="O1407" i="49"/>
  <c r="M1414" i="49"/>
  <c r="M1408" i="49"/>
  <c r="I1407" i="49"/>
  <c r="K1409" i="49"/>
  <c r="O1414" i="49"/>
  <c r="O1410" i="49"/>
  <c r="Q1410" i="49"/>
  <c r="G1410" i="49"/>
  <c r="K1414" i="49"/>
  <c r="M1410" i="49"/>
  <c r="E1407" i="49"/>
  <c r="G1408" i="49"/>
  <c r="E1409" i="49"/>
  <c r="I1414" i="49"/>
  <c r="C1408" i="49"/>
  <c r="I1410" i="49"/>
  <c r="O1408" i="49"/>
  <c r="K1407" i="49"/>
  <c r="K1410" i="49"/>
  <c r="Q1408" i="49"/>
  <c r="Q1414" i="49"/>
  <c r="Q1407" i="49"/>
  <c r="C1407" i="49"/>
  <c r="K1408" i="49"/>
  <c r="E1410" i="49"/>
  <c r="C1409" i="49"/>
  <c r="G1409" i="49"/>
  <c r="I1409" i="49"/>
  <c r="M1409" i="49"/>
  <c r="M1407" i="49"/>
  <c r="C1410" i="49"/>
  <c r="Q1409" i="49"/>
  <c r="E1408" i="49"/>
  <c r="C1500" i="49"/>
  <c r="M1498" i="49"/>
  <c r="I1505" i="49"/>
  <c r="Q1505" i="49"/>
  <c r="Q1501" i="49"/>
  <c r="I1500" i="49"/>
  <c r="M1501" i="49"/>
  <c r="O1499" i="49"/>
  <c r="O1501" i="49"/>
  <c r="G1499" i="49"/>
  <c r="G1498" i="49"/>
  <c r="G1500" i="49"/>
  <c r="I1498" i="49"/>
  <c r="K1498" i="49"/>
  <c r="M1499" i="49"/>
  <c r="K1500" i="49"/>
  <c r="O1505" i="49"/>
  <c r="M1500" i="49"/>
  <c r="O1500" i="49"/>
  <c r="M1505" i="49"/>
  <c r="C1501" i="49"/>
  <c r="E1499" i="49"/>
  <c r="E1501" i="49"/>
  <c r="G1505" i="49"/>
  <c r="C1499" i="49"/>
  <c r="K1505" i="49"/>
  <c r="I1501" i="49"/>
  <c r="O1498" i="49"/>
  <c r="Q1498" i="49"/>
  <c r="G1501" i="49"/>
  <c r="E1498" i="49"/>
  <c r="C1498" i="49"/>
  <c r="Q1499" i="49"/>
  <c r="E1500" i="49"/>
  <c r="I1499" i="49"/>
  <c r="Q1500" i="49"/>
  <c r="K1499" i="49"/>
  <c r="K1501" i="49"/>
  <c r="C1538" i="49"/>
  <c r="Q1539" i="49"/>
  <c r="E1538" i="49"/>
  <c r="Q1540" i="49"/>
  <c r="E1539" i="49"/>
  <c r="Q1537" i="49"/>
  <c r="E1540" i="49"/>
  <c r="I1544" i="49"/>
  <c r="Q1538" i="49"/>
  <c r="K1537" i="49"/>
  <c r="M1540" i="49"/>
  <c r="G1540" i="49"/>
  <c r="K1539" i="49"/>
  <c r="Q1544" i="49"/>
  <c r="O1539" i="49"/>
  <c r="G1537" i="49"/>
  <c r="G1538" i="49"/>
  <c r="O1537" i="49"/>
  <c r="C1539" i="49"/>
  <c r="E1537" i="49"/>
  <c r="G1544" i="49"/>
  <c r="K1540" i="49"/>
  <c r="O1540" i="49"/>
  <c r="K1544" i="49"/>
  <c r="C1540" i="49"/>
  <c r="M1537" i="49"/>
  <c r="M1538" i="49"/>
  <c r="I1537" i="49"/>
  <c r="M1539" i="49"/>
  <c r="I1538" i="49"/>
  <c r="G1539" i="49"/>
  <c r="K1538" i="49"/>
  <c r="I1540" i="49"/>
  <c r="C1537" i="49"/>
  <c r="I1539" i="49"/>
  <c r="O1544" i="49"/>
  <c r="O1538" i="49"/>
  <c r="M1544" i="49"/>
  <c r="O1344" i="49"/>
  <c r="E1344" i="49"/>
  <c r="K1345" i="49"/>
  <c r="M1349" i="49"/>
  <c r="O1343" i="49"/>
  <c r="K1342" i="49"/>
  <c r="G1345" i="49"/>
  <c r="K1349" i="49"/>
  <c r="E1343" i="49"/>
  <c r="C1342" i="49"/>
  <c r="Q1343" i="49"/>
  <c r="O1342" i="49"/>
  <c r="M1342" i="49"/>
  <c r="C1345" i="49"/>
  <c r="G1342" i="49"/>
  <c r="G1343" i="49"/>
  <c r="G1349" i="49"/>
  <c r="O1349" i="49"/>
  <c r="M1343" i="49"/>
  <c r="E1345" i="49"/>
  <c r="O1345" i="49"/>
  <c r="I1349" i="49"/>
  <c r="Q1344" i="49"/>
  <c r="Q1342" i="49"/>
  <c r="K1343" i="49"/>
  <c r="Q1345" i="49"/>
  <c r="I1343" i="49"/>
  <c r="K1344" i="49"/>
  <c r="G1344" i="49"/>
  <c r="M1345" i="49"/>
  <c r="E1342" i="49"/>
  <c r="I1345" i="49"/>
  <c r="I1344" i="49"/>
  <c r="C1343" i="49"/>
  <c r="I1342" i="49"/>
  <c r="Q1349" i="49"/>
  <c r="C1344" i="49"/>
  <c r="M1344" i="49"/>
  <c r="E1384" i="49"/>
  <c r="Q1388" i="49"/>
  <c r="I1381" i="49"/>
  <c r="O1382" i="49"/>
  <c r="M1383" i="49"/>
  <c r="K1382" i="49"/>
  <c r="C1383" i="49"/>
  <c r="C1384" i="49"/>
  <c r="E1381" i="49"/>
  <c r="G1383" i="49"/>
  <c r="O1388" i="49"/>
  <c r="E1382" i="49"/>
  <c r="G1381" i="49"/>
  <c r="I1382" i="49"/>
  <c r="K1388" i="49"/>
  <c r="M1384" i="49"/>
  <c r="M1381" i="49"/>
  <c r="K1383" i="49"/>
  <c r="I1388" i="49"/>
  <c r="M1388" i="49"/>
  <c r="I1383" i="49"/>
  <c r="G1384" i="49"/>
  <c r="O1383" i="49"/>
  <c r="C1382" i="49"/>
  <c r="I1384" i="49"/>
  <c r="O1384" i="49"/>
  <c r="Q1381" i="49"/>
  <c r="E1383" i="49"/>
  <c r="C1381" i="49"/>
  <c r="O1381" i="49"/>
  <c r="G1388" i="49"/>
  <c r="Q1384" i="49"/>
  <c r="K1381" i="49"/>
  <c r="Q1382" i="49"/>
  <c r="Q1383" i="49"/>
  <c r="M1382" i="49"/>
  <c r="G1382" i="49"/>
  <c r="K1384" i="49"/>
  <c r="E1319" i="49"/>
  <c r="C1317" i="49"/>
  <c r="Q1316" i="49"/>
  <c r="G1318" i="49"/>
  <c r="O1318" i="49"/>
  <c r="M1317" i="49"/>
  <c r="G1317" i="49"/>
  <c r="G1323" i="49"/>
  <c r="M1319" i="49"/>
  <c r="Q1317" i="49"/>
  <c r="Q1319" i="49"/>
  <c r="Q1318" i="49"/>
  <c r="I1317" i="49"/>
  <c r="M1318" i="49"/>
  <c r="I1316" i="49"/>
  <c r="K1323" i="49"/>
  <c r="E1318" i="49"/>
  <c r="C1319" i="49"/>
  <c r="K1316" i="49"/>
  <c r="O1316" i="49"/>
  <c r="K1319" i="49"/>
  <c r="G1319" i="49"/>
  <c r="I1323" i="49"/>
  <c r="C1316" i="49"/>
  <c r="E1316" i="49"/>
  <c r="O1317" i="49"/>
  <c r="M1316" i="49"/>
  <c r="O1323" i="49"/>
  <c r="K1317" i="49"/>
  <c r="E1317" i="49"/>
  <c r="Q1323" i="49"/>
  <c r="K1318" i="49"/>
  <c r="C1318" i="49"/>
  <c r="O1319" i="49"/>
  <c r="I1319" i="49"/>
  <c r="I1318" i="49"/>
  <c r="G1316" i="49"/>
  <c r="M1323" i="49"/>
  <c r="I1553" i="49"/>
  <c r="O1553" i="49"/>
  <c r="C1551" i="49"/>
  <c r="M1550" i="49"/>
  <c r="C1553" i="49"/>
  <c r="C1550" i="49"/>
  <c r="I1550" i="49"/>
  <c r="O1550" i="49"/>
  <c r="M1553" i="49"/>
  <c r="G1553" i="49"/>
  <c r="I1557" i="49"/>
  <c r="O1551" i="49"/>
  <c r="K1552" i="49"/>
  <c r="G1550" i="49"/>
  <c r="G1552" i="49"/>
  <c r="Q1553" i="49"/>
  <c r="E1552" i="49"/>
  <c r="I1551" i="49"/>
  <c r="G1557" i="49"/>
  <c r="K1550" i="49"/>
  <c r="K1551" i="49"/>
  <c r="M1557" i="49"/>
  <c r="Q1550" i="49"/>
  <c r="Q1557" i="49"/>
  <c r="K1553" i="49"/>
  <c r="O1552" i="49"/>
  <c r="E1550" i="49"/>
  <c r="C1552" i="49"/>
  <c r="G1551" i="49"/>
  <c r="M1552" i="49"/>
  <c r="Q1551" i="49"/>
  <c r="M1551" i="49"/>
  <c r="O1557" i="49"/>
  <c r="K1557" i="49"/>
  <c r="E1553" i="49"/>
  <c r="I1552" i="49"/>
  <c r="Q1552" i="49"/>
  <c r="E1551" i="49"/>
  <c r="E1487" i="49"/>
  <c r="I1487" i="49"/>
  <c r="G1492" i="49"/>
  <c r="G1487" i="49"/>
  <c r="M1492" i="49"/>
  <c r="I1486" i="49"/>
  <c r="C1486" i="49"/>
  <c r="O1488" i="49"/>
  <c r="K1486" i="49"/>
  <c r="M1486" i="49"/>
  <c r="O1492" i="49"/>
  <c r="C1485" i="49"/>
  <c r="Q1488" i="49"/>
  <c r="M1485" i="49"/>
  <c r="O1485" i="49"/>
  <c r="E1486" i="49"/>
  <c r="K1485" i="49"/>
  <c r="G1486" i="49"/>
  <c r="M1488" i="49"/>
  <c r="Q1487" i="49"/>
  <c r="I1488" i="49"/>
  <c r="Q1492" i="49"/>
  <c r="K1488" i="49"/>
  <c r="G1485" i="49"/>
  <c r="I1492" i="49"/>
  <c r="O1486" i="49"/>
  <c r="C1487" i="49"/>
  <c r="E1485" i="49"/>
  <c r="G1488" i="49"/>
  <c r="K1487" i="49"/>
  <c r="I1485" i="49"/>
  <c r="K1492" i="49"/>
  <c r="E1488" i="49"/>
  <c r="O1487" i="49"/>
  <c r="Q1485" i="49"/>
  <c r="C1488" i="49"/>
  <c r="M1487" i="49"/>
  <c r="Q1486" i="49"/>
  <c r="O1527" i="49"/>
  <c r="G1525" i="49"/>
  <c r="M1525" i="49"/>
  <c r="Q1524" i="49"/>
  <c r="C1525" i="49"/>
  <c r="Q1525" i="49"/>
  <c r="E1527" i="49"/>
  <c r="Q1531" i="49"/>
  <c r="G1526" i="49"/>
  <c r="Q1526" i="49"/>
  <c r="I1524" i="49"/>
  <c r="E1526" i="49"/>
  <c r="I1525" i="49"/>
  <c r="E1525" i="49"/>
  <c r="K1526" i="49"/>
  <c r="O1531" i="49"/>
  <c r="G1524" i="49"/>
  <c r="I1527" i="49"/>
  <c r="G1527" i="49"/>
  <c r="C1524" i="49"/>
  <c r="O1526" i="49"/>
  <c r="M1527" i="49"/>
  <c r="O1524" i="49"/>
  <c r="I1526" i="49"/>
  <c r="K1531" i="49"/>
  <c r="K1527" i="49"/>
  <c r="E1524" i="49"/>
  <c r="M1531" i="49"/>
  <c r="K1525" i="49"/>
  <c r="M1526" i="49"/>
  <c r="Q1527" i="49"/>
  <c r="G1531" i="49"/>
  <c r="O1525" i="49"/>
  <c r="I1531" i="49"/>
  <c r="K1524" i="49"/>
  <c r="C1527" i="49"/>
  <c r="M1524" i="49"/>
  <c r="C1526" i="49"/>
  <c r="Q1447" i="49"/>
  <c r="M1446" i="49"/>
  <c r="Q1449" i="49"/>
  <c r="C1448" i="49"/>
  <c r="O1449" i="49"/>
  <c r="G1453" i="49"/>
  <c r="I1446" i="49"/>
  <c r="E1447" i="49"/>
  <c r="C1446" i="49"/>
  <c r="Q1448" i="49"/>
  <c r="Q1446" i="49"/>
  <c r="K1449" i="49"/>
  <c r="O1447" i="49"/>
  <c r="O1446" i="49"/>
  <c r="I1453" i="49"/>
  <c r="I1447" i="49"/>
  <c r="K1448" i="49"/>
  <c r="K1447" i="49"/>
  <c r="O1453" i="49"/>
  <c r="K1446" i="49"/>
  <c r="G1448" i="49"/>
  <c r="M1448" i="49"/>
  <c r="M1449" i="49"/>
  <c r="M1447" i="49"/>
  <c r="K1453" i="49"/>
  <c r="M1453" i="49"/>
  <c r="E1446" i="49"/>
  <c r="G1446" i="49"/>
  <c r="E1448" i="49"/>
  <c r="G1449" i="49"/>
  <c r="I1449" i="49"/>
  <c r="C1447" i="49"/>
  <c r="E1449" i="49"/>
  <c r="I1448" i="49"/>
  <c r="O1448" i="49"/>
  <c r="Q1453" i="49"/>
  <c r="G1447" i="49"/>
  <c r="C1449" i="49"/>
  <c r="G1459" i="49"/>
  <c r="O1459" i="49"/>
  <c r="K1461" i="49"/>
  <c r="E1461" i="49"/>
  <c r="E1459" i="49"/>
  <c r="E1462" i="49"/>
  <c r="I1459" i="49"/>
  <c r="M1460" i="49"/>
  <c r="G1462" i="49"/>
  <c r="M1459" i="49"/>
  <c r="C1461" i="49"/>
  <c r="I1461" i="49"/>
  <c r="Q1462" i="49"/>
  <c r="K1462" i="49"/>
  <c r="C1460" i="49"/>
  <c r="I1466" i="49"/>
  <c r="Q1466" i="49"/>
  <c r="K1459" i="49"/>
  <c r="Q1460" i="49"/>
  <c r="K1460" i="49"/>
  <c r="G1460" i="49"/>
  <c r="K1466" i="49"/>
  <c r="G1466" i="49"/>
  <c r="G1461" i="49"/>
  <c r="O1462" i="49"/>
  <c r="O1460" i="49"/>
  <c r="M1461" i="49"/>
  <c r="I1460" i="49"/>
  <c r="O1466" i="49"/>
  <c r="E1460" i="49"/>
  <c r="I1462" i="49"/>
  <c r="M1462" i="49"/>
  <c r="M1466" i="49"/>
  <c r="Q1461" i="49"/>
  <c r="C1459" i="49"/>
  <c r="C1462" i="49"/>
  <c r="Q1459" i="49"/>
  <c r="O1461" i="49"/>
  <c r="M1375" i="49"/>
  <c r="C1371" i="49"/>
  <c r="E1369" i="49"/>
  <c r="G1368" i="49"/>
  <c r="E1370" i="49"/>
  <c r="K1375" i="49"/>
  <c r="C1370" i="49"/>
  <c r="C1369" i="49"/>
  <c r="G1371" i="49"/>
  <c r="Q1369" i="49"/>
  <c r="Q1370" i="49"/>
  <c r="G1375" i="49"/>
  <c r="Q1371" i="49"/>
  <c r="M1368" i="49"/>
  <c r="Q1368" i="49"/>
  <c r="O1370" i="49"/>
  <c r="I1369" i="49"/>
  <c r="I1371" i="49"/>
  <c r="M1369" i="49"/>
  <c r="O1371" i="49"/>
  <c r="G1370" i="49"/>
  <c r="Q1375" i="49"/>
  <c r="K1369" i="49"/>
  <c r="M1370" i="49"/>
  <c r="M1371" i="49"/>
  <c r="O1368" i="49"/>
  <c r="O1369" i="49"/>
  <c r="E1371" i="49"/>
  <c r="C1368" i="49"/>
  <c r="K1371" i="49"/>
  <c r="I1370" i="49"/>
  <c r="K1368" i="49"/>
  <c r="I1375" i="49"/>
  <c r="O1375" i="49"/>
  <c r="E1368" i="49"/>
  <c r="G1369" i="49"/>
  <c r="I1368" i="49"/>
  <c r="K1370" i="49"/>
  <c r="D1249" i="49"/>
  <c r="C274" i="49"/>
  <c r="C118" i="49"/>
  <c r="D950" i="49"/>
  <c r="D833" i="49"/>
  <c r="D716" i="49"/>
  <c r="D365" i="49"/>
  <c r="D248" i="49"/>
  <c r="D222" i="49"/>
  <c r="C885" i="49"/>
  <c r="C1184" i="49"/>
  <c r="C1041" i="49"/>
  <c r="C872" i="49"/>
  <c r="C547" i="49"/>
  <c r="C170" i="49"/>
  <c r="D1106" i="49"/>
  <c r="D976" i="49"/>
  <c r="D547" i="49"/>
  <c r="C1301" i="49"/>
  <c r="D339" i="49"/>
  <c r="C651" i="49"/>
  <c r="C1002" i="49"/>
  <c r="C105" i="49"/>
  <c r="D1301" i="49"/>
  <c r="D66" i="49"/>
  <c r="C859" i="49"/>
  <c r="C638" i="49"/>
  <c r="C716" i="49"/>
  <c r="D768" i="49"/>
  <c r="D703" i="49"/>
  <c r="C1223" i="49"/>
  <c r="D1080" i="49"/>
  <c r="E106" i="16"/>
  <c r="Q2" i="163"/>
  <c r="Q3" i="163"/>
  <c r="K3" i="163"/>
  <c r="K2" i="163"/>
  <c r="O1360" i="49" l="1"/>
  <c r="O1364" i="49" s="1"/>
  <c r="O1490" i="49"/>
  <c r="O1494" i="49" s="1"/>
  <c r="Q1360" i="49"/>
  <c r="Q1364" i="49" s="1"/>
  <c r="K1360" i="49"/>
  <c r="K1364" i="49" s="1"/>
  <c r="I1403" i="49"/>
  <c r="M1347" i="49"/>
  <c r="M1351" i="49" s="1"/>
  <c r="S1423" i="49"/>
  <c r="I1568" i="49"/>
  <c r="I1572" i="49" s="1"/>
  <c r="Q1373" i="49"/>
  <c r="Q1377" i="49" s="1"/>
  <c r="Q1464" i="49"/>
  <c r="Q1468" i="49" s="1"/>
  <c r="S1551" i="49"/>
  <c r="K1321" i="49"/>
  <c r="K1325" i="49" s="1"/>
  <c r="K1386" i="49"/>
  <c r="K1390" i="49" s="1"/>
  <c r="M1386" i="49"/>
  <c r="M1390" i="49" s="1"/>
  <c r="Q1568" i="49"/>
  <c r="Q1572" i="49" s="1"/>
  <c r="S1513" i="49"/>
  <c r="S1460" i="49"/>
  <c r="Q1451" i="49"/>
  <c r="Q1455" i="49" s="1"/>
  <c r="S1526" i="49"/>
  <c r="I1490" i="49"/>
  <c r="I1494" i="49" s="1"/>
  <c r="M1321" i="49"/>
  <c r="M1325" i="49" s="1"/>
  <c r="Q1321" i="49"/>
  <c r="Q1325" i="49" s="1"/>
  <c r="S1345" i="49"/>
  <c r="K1438" i="49"/>
  <c r="K1442" i="49" s="1"/>
  <c r="O1438" i="49"/>
  <c r="O1442" i="49" s="1"/>
  <c r="O1373" i="49"/>
  <c r="O1377" i="49" s="1"/>
  <c r="O1555" i="49"/>
  <c r="O1559" i="49" s="1"/>
  <c r="K1568" i="49"/>
  <c r="K1572" i="49" s="1"/>
  <c r="M1529" i="49"/>
  <c r="M1533" i="49" s="1"/>
  <c r="M1516" i="49"/>
  <c r="M1520" i="49" s="1"/>
  <c r="K1451" i="49"/>
  <c r="K1455" i="49" s="1"/>
  <c r="O1321" i="49"/>
  <c r="O1325" i="49" s="1"/>
  <c r="S1343" i="49"/>
  <c r="Q1542" i="49"/>
  <c r="Q1546" i="49" s="1"/>
  <c r="I1360" i="49"/>
  <c r="I1364" i="49" s="1"/>
  <c r="S1397" i="49"/>
  <c r="U1537" i="49"/>
  <c r="U1539" i="49"/>
  <c r="U1540" i="49"/>
  <c r="U1538" i="49"/>
  <c r="G1503" i="49"/>
  <c r="G1507" i="49" s="1"/>
  <c r="S1498" i="49"/>
  <c r="M1373" i="49"/>
  <c r="M1377" i="49" s="1"/>
  <c r="M1451" i="49"/>
  <c r="M1455" i="49" s="1"/>
  <c r="U1527" i="49"/>
  <c r="U1526" i="49"/>
  <c r="U1525" i="49"/>
  <c r="U1524" i="49"/>
  <c r="M1490" i="49"/>
  <c r="M1494" i="49" s="1"/>
  <c r="K1555" i="49"/>
  <c r="K1559" i="49" s="1"/>
  <c r="M1555" i="49"/>
  <c r="M1559" i="49" s="1"/>
  <c r="K1347" i="49"/>
  <c r="K1351" i="49" s="1"/>
  <c r="I1542" i="49"/>
  <c r="I1546" i="49" s="1"/>
  <c r="S1540" i="49"/>
  <c r="S1499" i="49"/>
  <c r="M1503" i="49"/>
  <c r="M1507" i="49" s="1"/>
  <c r="S1409" i="49"/>
  <c r="I1412" i="49"/>
  <c r="I1416" i="49" s="1"/>
  <c r="U1420" i="49"/>
  <c r="U1422" i="49"/>
  <c r="U1423" i="49"/>
  <c r="U1421" i="49"/>
  <c r="S1472" i="49"/>
  <c r="G1477" i="49"/>
  <c r="G1481" i="49" s="1"/>
  <c r="Q1477" i="49"/>
  <c r="Q1481" i="49" s="1"/>
  <c r="M1568" i="49"/>
  <c r="M1572" i="49" s="1"/>
  <c r="Q1438" i="49"/>
  <c r="Q1442" i="49" s="1"/>
  <c r="S1514" i="49"/>
  <c r="K1516" i="49"/>
  <c r="K1520" i="49" s="1"/>
  <c r="S1332" i="49"/>
  <c r="S1330" i="49"/>
  <c r="U1358" i="49"/>
  <c r="U1357" i="49"/>
  <c r="U1355" i="49"/>
  <c r="U1356" i="49"/>
  <c r="S1355" i="49"/>
  <c r="G1360" i="49"/>
  <c r="G1364" i="49" s="1"/>
  <c r="G1399" i="49"/>
  <c r="G1403" i="49" s="1"/>
  <c r="S1394" i="49"/>
  <c r="I1373" i="49"/>
  <c r="I1377" i="49" s="1"/>
  <c r="S1370" i="49"/>
  <c r="O1529" i="49"/>
  <c r="O1533" i="49" s="1"/>
  <c r="S1488" i="49"/>
  <c r="U1553" i="49"/>
  <c r="U1552" i="49"/>
  <c r="U1551" i="49"/>
  <c r="U1550" i="49"/>
  <c r="U1384" i="49"/>
  <c r="U1382" i="49"/>
  <c r="U1383" i="49"/>
  <c r="U1381" i="49"/>
  <c r="S1344" i="49"/>
  <c r="K1412" i="49"/>
  <c r="K1416" i="49" s="1"/>
  <c r="S1422" i="49"/>
  <c r="K1425" i="49"/>
  <c r="K1429" i="49" s="1"/>
  <c r="M1425" i="49"/>
  <c r="M1429" i="49" s="1"/>
  <c r="S1475" i="49"/>
  <c r="S1564" i="49"/>
  <c r="G1568" i="49"/>
  <c r="G1572" i="49" s="1"/>
  <c r="S1563" i="49"/>
  <c r="I1438" i="49"/>
  <c r="I1442" i="49" s="1"/>
  <c r="G1516" i="49"/>
  <c r="G1520" i="49" s="1"/>
  <c r="S1511" i="49"/>
  <c r="U1514" i="49"/>
  <c r="U1513" i="49"/>
  <c r="U1512" i="49"/>
  <c r="U1511" i="49"/>
  <c r="S1331" i="49"/>
  <c r="M1334" i="49"/>
  <c r="M1338" i="49" s="1"/>
  <c r="S1369" i="49"/>
  <c r="U1371" i="49"/>
  <c r="U1370" i="49"/>
  <c r="U1369" i="49"/>
  <c r="U1368" i="49"/>
  <c r="G1373" i="49"/>
  <c r="G1377" i="49" s="1"/>
  <c r="S1368" i="49"/>
  <c r="K1464" i="49"/>
  <c r="K1468" i="49" s="1"/>
  <c r="M1464" i="49"/>
  <c r="M1468" i="49" s="1"/>
  <c r="O1464" i="49"/>
  <c r="O1468" i="49" s="1"/>
  <c r="S1487" i="49"/>
  <c r="S1553" i="49"/>
  <c r="U1318" i="49"/>
  <c r="U1316" i="49"/>
  <c r="U1319" i="49"/>
  <c r="U1317" i="49"/>
  <c r="O1386" i="49"/>
  <c r="O1390" i="49" s="1"/>
  <c r="S1384" i="49"/>
  <c r="O1347" i="49"/>
  <c r="O1351" i="49" s="1"/>
  <c r="M1542" i="49"/>
  <c r="M1546" i="49" s="1"/>
  <c r="O1542" i="49"/>
  <c r="O1546" i="49" s="1"/>
  <c r="K1542" i="49"/>
  <c r="K1546" i="49" s="1"/>
  <c r="U1500" i="49"/>
  <c r="U1499" i="49"/>
  <c r="U1498" i="49"/>
  <c r="U1501" i="49"/>
  <c r="I1425" i="49"/>
  <c r="I1429" i="49" s="1"/>
  <c r="M1477" i="49"/>
  <c r="M1481" i="49" s="1"/>
  <c r="O1568" i="49"/>
  <c r="O1572" i="49" s="1"/>
  <c r="O1516" i="49"/>
  <c r="O1520" i="49" s="1"/>
  <c r="S1512" i="49"/>
  <c r="U1331" i="49"/>
  <c r="U1330" i="49"/>
  <c r="U1332" i="49"/>
  <c r="U1329" i="49"/>
  <c r="O1334" i="49"/>
  <c r="O1338" i="49" s="1"/>
  <c r="S1357" i="49"/>
  <c r="U1394" i="49"/>
  <c r="U1395" i="49"/>
  <c r="U1396" i="49"/>
  <c r="U1397" i="49"/>
  <c r="S1462" i="49"/>
  <c r="S1459" i="49"/>
  <c r="G1464" i="49"/>
  <c r="G1468" i="49" s="1"/>
  <c r="I1451" i="49"/>
  <c r="I1455" i="49" s="1"/>
  <c r="Q1490" i="49"/>
  <c r="Q1494" i="49" s="1"/>
  <c r="U1487" i="49"/>
  <c r="U1486" i="49"/>
  <c r="U1485" i="49"/>
  <c r="U1488" i="49"/>
  <c r="I1321" i="49"/>
  <c r="I1325" i="49" s="1"/>
  <c r="S1317" i="49"/>
  <c r="S1382" i="49"/>
  <c r="G1386" i="49"/>
  <c r="G1390" i="49" s="1"/>
  <c r="S1381" i="49"/>
  <c r="I1347" i="49"/>
  <c r="I1351" i="49" s="1"/>
  <c r="S1538" i="49"/>
  <c r="S1410" i="49"/>
  <c r="O1412" i="49"/>
  <c r="O1416" i="49" s="1"/>
  <c r="O1425" i="49"/>
  <c r="O1429" i="49" s="1"/>
  <c r="Q1425" i="49"/>
  <c r="Q1429" i="49" s="1"/>
  <c r="S1474" i="49"/>
  <c r="O1477" i="49"/>
  <c r="O1481" i="49" s="1"/>
  <c r="K1477" i="49"/>
  <c r="K1481" i="49" s="1"/>
  <c r="S1473" i="49"/>
  <c r="S1433" i="49"/>
  <c r="G1438" i="49"/>
  <c r="G1442" i="49" s="1"/>
  <c r="I1516" i="49"/>
  <c r="I1520" i="49" s="1"/>
  <c r="Q1334" i="49"/>
  <c r="Q1338" i="49" s="1"/>
  <c r="S1395" i="49"/>
  <c r="S1396" i="49"/>
  <c r="G1412" i="49"/>
  <c r="G1416" i="49" s="1"/>
  <c r="S1407" i="49"/>
  <c r="I1477" i="49"/>
  <c r="I1481" i="49" s="1"/>
  <c r="S1461" i="49"/>
  <c r="S1449" i="49"/>
  <c r="O1451" i="49"/>
  <c r="O1455" i="49" s="1"/>
  <c r="U1449" i="49"/>
  <c r="U1446" i="49"/>
  <c r="U1448" i="49"/>
  <c r="U1447" i="49"/>
  <c r="Q1529" i="49"/>
  <c r="Q1533" i="49" s="1"/>
  <c r="S1486" i="49"/>
  <c r="S1319" i="49"/>
  <c r="G1542" i="49"/>
  <c r="G1546" i="49" s="1"/>
  <c r="S1537" i="49"/>
  <c r="S1501" i="49"/>
  <c r="K1503" i="49"/>
  <c r="K1507" i="49" s="1"/>
  <c r="U1564" i="49"/>
  <c r="U1566" i="49"/>
  <c r="U1563" i="49"/>
  <c r="U1565" i="49"/>
  <c r="M1438" i="49"/>
  <c r="M1442" i="49" s="1"/>
  <c r="S1435" i="49"/>
  <c r="Q1516" i="49"/>
  <c r="Q1520" i="49" s="1"/>
  <c r="M1360" i="49"/>
  <c r="M1364" i="49" s="1"/>
  <c r="S1358" i="49"/>
  <c r="O1399" i="49"/>
  <c r="O1403" i="49" s="1"/>
  <c r="S1524" i="49"/>
  <c r="G1529" i="49"/>
  <c r="G1533" i="49" s="1"/>
  <c r="S1342" i="49"/>
  <c r="G1347" i="49"/>
  <c r="G1351" i="49" s="1"/>
  <c r="S1371" i="49"/>
  <c r="U1462" i="49"/>
  <c r="U1460" i="49"/>
  <c r="U1459" i="49"/>
  <c r="U1461" i="49"/>
  <c r="I1464" i="49"/>
  <c r="I1468" i="49" s="1"/>
  <c r="S1447" i="49"/>
  <c r="S1448" i="49"/>
  <c r="K1529" i="49"/>
  <c r="K1533" i="49" s="1"/>
  <c r="S1527" i="49"/>
  <c r="I1529" i="49"/>
  <c r="I1533" i="49" s="1"/>
  <c r="K1490" i="49"/>
  <c r="K1494" i="49" s="1"/>
  <c r="Q1555" i="49"/>
  <c r="Q1559" i="49" s="1"/>
  <c r="S1552" i="49"/>
  <c r="I1555" i="49"/>
  <c r="I1559" i="49" s="1"/>
  <c r="G1321" i="49"/>
  <c r="G1325" i="49" s="1"/>
  <c r="S1316" i="49"/>
  <c r="Q1386" i="49"/>
  <c r="Q1390" i="49" s="1"/>
  <c r="I1386" i="49"/>
  <c r="I1390" i="49" s="1"/>
  <c r="U1342" i="49"/>
  <c r="U1343" i="49"/>
  <c r="U1345" i="49"/>
  <c r="U1344" i="49"/>
  <c r="S1539" i="49"/>
  <c r="Q1503" i="49"/>
  <c r="Q1507" i="49" s="1"/>
  <c r="I1503" i="49"/>
  <c r="I1507" i="49" s="1"/>
  <c r="M1412" i="49"/>
  <c r="M1416" i="49" s="1"/>
  <c r="Q1412" i="49"/>
  <c r="Q1416" i="49" s="1"/>
  <c r="S1421" i="49"/>
  <c r="U1472" i="49"/>
  <c r="U1474" i="49"/>
  <c r="U1473" i="49"/>
  <c r="U1475" i="49"/>
  <c r="S1566" i="49"/>
  <c r="S1434" i="49"/>
  <c r="S1436" i="49"/>
  <c r="K1334" i="49"/>
  <c r="K1338" i="49" s="1"/>
  <c r="Q1399" i="49"/>
  <c r="Q1403" i="49" s="1"/>
  <c r="S1408" i="49"/>
  <c r="K1373" i="49"/>
  <c r="K1377" i="49" s="1"/>
  <c r="S1446" i="49"/>
  <c r="G1451" i="49"/>
  <c r="G1455" i="49" s="1"/>
  <c r="S1525" i="49"/>
  <c r="S1485" i="49"/>
  <c r="G1490" i="49"/>
  <c r="G1494" i="49" s="1"/>
  <c r="G1555" i="49"/>
  <c r="G1559" i="49" s="1"/>
  <c r="S1550" i="49"/>
  <c r="S1318" i="49"/>
  <c r="S1383" i="49"/>
  <c r="Q1347" i="49"/>
  <c r="Q1351" i="49" s="1"/>
  <c r="O1503" i="49"/>
  <c r="O1507" i="49" s="1"/>
  <c r="S1500" i="49"/>
  <c r="U1410" i="49"/>
  <c r="U1408" i="49"/>
  <c r="U1409" i="49"/>
  <c r="U1407" i="49"/>
  <c r="S1420" i="49"/>
  <c r="G1425" i="49"/>
  <c r="G1429" i="49" s="1"/>
  <c r="S1565" i="49"/>
  <c r="U1433" i="49"/>
  <c r="U1434" i="49"/>
  <c r="U1435" i="49"/>
  <c r="U1436" i="49"/>
  <c r="I1334" i="49"/>
  <c r="I1338" i="49" s="1"/>
  <c r="M1399" i="49"/>
  <c r="M1403" i="49" s="1"/>
  <c r="K1399" i="49"/>
  <c r="K1403" i="49" s="1"/>
  <c r="G1334" i="49"/>
  <c r="G1338" i="49" s="1"/>
  <c r="S1329" i="49"/>
  <c r="S1356" i="49"/>
  <c r="C482" i="49"/>
  <c r="D92" i="49"/>
  <c r="D209" i="49"/>
  <c r="C1028" i="49"/>
  <c r="C1145" i="49"/>
  <c r="D963" i="49"/>
  <c r="C1054" i="49"/>
  <c r="C1210" i="49"/>
  <c r="C690" i="49"/>
  <c r="C963" i="49"/>
  <c r="C326" i="49"/>
  <c r="D534" i="49"/>
  <c r="D742" i="49"/>
  <c r="D573" i="49"/>
  <c r="D235" i="49"/>
  <c r="D664" i="49"/>
  <c r="D781" i="49"/>
  <c r="D1158" i="49"/>
  <c r="C1288" i="49"/>
  <c r="C365" i="49"/>
  <c r="D794" i="49"/>
  <c r="C248" i="49"/>
  <c r="C417" i="49"/>
  <c r="C1262" i="49"/>
  <c r="C469" i="49"/>
  <c r="D79" i="49"/>
  <c r="D508" i="49"/>
  <c r="D625" i="49"/>
  <c r="D1236" i="49"/>
  <c r="C950" i="49"/>
  <c r="D690" i="49"/>
  <c r="C157" i="49"/>
  <c r="C1067" i="49"/>
  <c r="D40" i="49"/>
  <c r="D1223" i="49"/>
  <c r="D196" i="49"/>
  <c r="D313" i="49"/>
  <c r="C612" i="49"/>
  <c r="C1275" i="49"/>
  <c r="D651" i="49"/>
  <c r="D1093" i="49"/>
  <c r="C1197" i="49"/>
  <c r="D638" i="49"/>
  <c r="C1249" i="49"/>
  <c r="C781" i="49"/>
  <c r="C339" i="49"/>
  <c r="C664" i="49"/>
  <c r="C833" i="49"/>
  <c r="D872" i="49"/>
  <c r="D1145" i="49"/>
  <c r="D989" i="49"/>
  <c r="D495" i="49"/>
  <c r="D924" i="49"/>
  <c r="D1041" i="49"/>
  <c r="C807" i="49"/>
  <c r="C79" i="49"/>
  <c r="C404" i="49"/>
  <c r="C573" i="49"/>
  <c r="C560" i="49"/>
  <c r="C53" i="49"/>
  <c r="D183" i="49"/>
  <c r="D612" i="49"/>
  <c r="D729" i="49"/>
  <c r="C66" i="49"/>
  <c r="D1288" i="49"/>
  <c r="D1067" i="49"/>
  <c r="D430" i="49"/>
  <c r="D1184" i="49"/>
  <c r="C313" i="49"/>
  <c r="C235" i="49"/>
  <c r="C222" i="49"/>
  <c r="C755" i="49"/>
  <c r="C1093" i="49"/>
  <c r="C534" i="49"/>
  <c r="C196" i="49"/>
  <c r="C1158" i="49"/>
  <c r="D911" i="49"/>
  <c r="C898" i="49"/>
  <c r="D1132" i="49"/>
  <c r="D859" i="49"/>
  <c r="C495" i="49"/>
  <c r="C820" i="49"/>
  <c r="C989" i="49"/>
  <c r="C703" i="49"/>
  <c r="D157" i="49"/>
  <c r="D599" i="49"/>
  <c r="D1028" i="49"/>
  <c r="D1210" i="49"/>
  <c r="C391" i="49"/>
  <c r="D14" i="49"/>
  <c r="C92" i="49"/>
  <c r="C261" i="49"/>
  <c r="D482" i="49"/>
  <c r="C729" i="49"/>
  <c r="C144" i="49"/>
  <c r="D53" i="49"/>
  <c r="D1262" i="49"/>
  <c r="D898" i="49"/>
  <c r="D105" i="49"/>
  <c r="D1171" i="49"/>
  <c r="C911" i="49"/>
  <c r="C14" i="49"/>
  <c r="B14" i="49" s="1"/>
  <c r="D274" i="49"/>
  <c r="D1275" i="49"/>
  <c r="C1132" i="49"/>
  <c r="D1015" i="49"/>
  <c r="D170" i="49"/>
  <c r="C1236" i="49"/>
  <c r="D27" i="49"/>
  <c r="C183" i="49"/>
  <c r="C508" i="49"/>
  <c r="C677" i="49"/>
  <c r="C976" i="49"/>
  <c r="D1197" i="49"/>
  <c r="D586" i="49"/>
  <c r="D469" i="49"/>
  <c r="D1054" i="49"/>
  <c r="D404" i="49"/>
  <c r="D521" i="49"/>
  <c r="D1002" i="49"/>
  <c r="C27" i="49"/>
  <c r="C352" i="49"/>
  <c r="C521" i="49"/>
  <c r="C1171" i="49"/>
  <c r="C586" i="49"/>
  <c r="C846" i="49"/>
  <c r="D144" i="49"/>
  <c r="D261" i="49"/>
  <c r="D352" i="49"/>
  <c r="C1119" i="49"/>
  <c r="C40" i="49"/>
  <c r="C209" i="49"/>
  <c r="D326" i="49"/>
  <c r="C300" i="49"/>
  <c r="C599" i="49"/>
  <c r="C924" i="49"/>
  <c r="C1106" i="49"/>
  <c r="D118" i="49"/>
  <c r="D1119" i="49"/>
  <c r="D755" i="49"/>
  <c r="D885" i="49"/>
  <c r="D391" i="49"/>
  <c r="D820" i="49"/>
  <c r="D937" i="49"/>
  <c r="D443" i="49"/>
  <c r="C443" i="49"/>
  <c r="C768" i="49"/>
  <c r="C937" i="49"/>
  <c r="C287" i="49"/>
  <c r="C794" i="49"/>
  <c r="D131" i="49"/>
  <c r="D560" i="49"/>
  <c r="D677" i="49"/>
  <c r="C378" i="49"/>
  <c r="C131" i="49"/>
  <c r="C456" i="49"/>
  <c r="C625" i="49"/>
  <c r="D287" i="49"/>
  <c r="D456" i="49"/>
  <c r="C1015" i="49"/>
  <c r="C742" i="49"/>
  <c r="D846" i="49"/>
  <c r="D300" i="49"/>
  <c r="D417" i="49"/>
  <c r="D378" i="49"/>
  <c r="C1080" i="49"/>
  <c r="D807" i="49"/>
  <c r="C430" i="49"/>
  <c r="E107" i="16"/>
  <c r="E108" i="16"/>
  <c r="G1" i="49"/>
  <c r="B1" i="30"/>
  <c r="D1" i="27"/>
  <c r="I1" i="191"/>
  <c r="E1" i="32"/>
  <c r="F103" i="16"/>
  <c r="F107" i="16"/>
  <c r="G25" i="27"/>
  <c r="S1347" i="49" l="1"/>
  <c r="S1334" i="49"/>
  <c r="S1425" i="49"/>
  <c r="U1321" i="49"/>
  <c r="S1364" i="49"/>
  <c r="S1490" i="49"/>
  <c r="U1347" i="49"/>
  <c r="U1464" i="49"/>
  <c r="U1568" i="49"/>
  <c r="S1386" i="49"/>
  <c r="S1516" i="49"/>
  <c r="S1568" i="49"/>
  <c r="S1351" i="49"/>
  <c r="S1442" i="49"/>
  <c r="S1555" i="49"/>
  <c r="S1338" i="49"/>
  <c r="S1559" i="49"/>
  <c r="U1477" i="49"/>
  <c r="S1533" i="49"/>
  <c r="S1542" i="49"/>
  <c r="S1412" i="49"/>
  <c r="S1464" i="49"/>
  <c r="U1386" i="49"/>
  <c r="U1425" i="49"/>
  <c r="S1429" i="49"/>
  <c r="S1494" i="49"/>
  <c r="S1529" i="49"/>
  <c r="S1546" i="49"/>
  <c r="U1451" i="49"/>
  <c r="S1416" i="49"/>
  <c r="U1490" i="49"/>
  <c r="U1334" i="49"/>
  <c r="U1360" i="49"/>
  <c r="S1503" i="49"/>
  <c r="U1412" i="49"/>
  <c r="S1390" i="49"/>
  <c r="U1503" i="49"/>
  <c r="S1481" i="49"/>
  <c r="U1529" i="49"/>
  <c r="S1507" i="49"/>
  <c r="S1455" i="49"/>
  <c r="S1520" i="49"/>
  <c r="U1555" i="49"/>
  <c r="S1399" i="49"/>
  <c r="S1477" i="49"/>
  <c r="S1451" i="49"/>
  <c r="S1321" i="49"/>
  <c r="U1399" i="49"/>
  <c r="S1373" i="49"/>
  <c r="S1403" i="49"/>
  <c r="S1325" i="49"/>
  <c r="S1377" i="49"/>
  <c r="U1438" i="49"/>
  <c r="S1438" i="49"/>
  <c r="S1468" i="49"/>
  <c r="U1373" i="49"/>
  <c r="U1516" i="49"/>
  <c r="S1572" i="49"/>
  <c r="S1360" i="49"/>
  <c r="U1542" i="49"/>
  <c r="E19" i="49"/>
  <c r="E17" i="49"/>
  <c r="E16" i="49"/>
  <c r="C16" i="49"/>
  <c r="E18" i="49"/>
  <c r="F100" i="16"/>
  <c r="E105" i="16"/>
  <c r="E103" i="16"/>
  <c r="E102" i="16"/>
  <c r="E101" i="16"/>
  <c r="E100" i="16"/>
  <c r="E64" i="174" l="1"/>
  <c r="F64" i="174"/>
  <c r="G64" i="174"/>
  <c r="H64" i="174"/>
  <c r="I64" i="174"/>
  <c r="J64" i="174"/>
  <c r="K64" i="174"/>
  <c r="L64" i="174"/>
  <c r="M64" i="174"/>
  <c r="N64" i="174"/>
  <c r="O64" i="174"/>
  <c r="P64" i="174"/>
  <c r="Q64" i="174"/>
  <c r="R64" i="174"/>
  <c r="S64" i="174"/>
  <c r="T64" i="174"/>
  <c r="U64" i="174"/>
  <c r="D64" i="174"/>
  <c r="E64" i="156"/>
  <c r="F64" i="156"/>
  <c r="G64" i="156"/>
  <c r="H64" i="156"/>
  <c r="I64" i="156"/>
  <c r="J64" i="156"/>
  <c r="K64" i="156"/>
  <c r="L64" i="156"/>
  <c r="M64" i="156"/>
  <c r="N64" i="156"/>
  <c r="O64" i="156"/>
  <c r="P64" i="156"/>
  <c r="Q64" i="156"/>
  <c r="R64" i="156"/>
  <c r="S64" i="156"/>
  <c r="T64" i="156"/>
  <c r="U64" i="156"/>
  <c r="V64" i="156"/>
  <c r="W64" i="156"/>
  <c r="X64" i="156"/>
  <c r="Y64" i="156"/>
  <c r="Z64" i="156"/>
  <c r="AA64" i="156"/>
  <c r="AB64" i="156"/>
  <c r="AC64" i="156"/>
  <c r="AD64" i="156"/>
  <c r="AE64" i="156"/>
  <c r="AF64" i="156"/>
  <c r="AG64" i="156"/>
  <c r="AH64" i="156"/>
  <c r="AI64" i="156"/>
  <c r="AJ64" i="156"/>
  <c r="AK64" i="156"/>
  <c r="AL64" i="156"/>
  <c r="AM64" i="156"/>
  <c r="AN64" i="156"/>
  <c r="AO64" i="156"/>
  <c r="AP64" i="156"/>
  <c r="AQ64" i="156"/>
  <c r="AR64" i="156"/>
  <c r="AS64" i="156"/>
  <c r="AT64" i="156"/>
  <c r="AU64" i="156"/>
  <c r="AV64" i="156"/>
  <c r="AW64" i="156"/>
  <c r="AX64" i="156"/>
  <c r="AY64" i="156"/>
  <c r="AZ64" i="156"/>
  <c r="BA64" i="156"/>
  <c r="BB64" i="156"/>
  <c r="BC64" i="156"/>
  <c r="BD64" i="156"/>
  <c r="BE64" i="156"/>
  <c r="D64" i="156"/>
  <c r="E64" i="171"/>
  <c r="F64" i="171"/>
  <c r="G64" i="171"/>
  <c r="H64" i="171"/>
  <c r="I64" i="171"/>
  <c r="J64" i="171"/>
  <c r="K64" i="171"/>
  <c r="L64" i="171"/>
  <c r="M64" i="171"/>
  <c r="N64" i="171"/>
  <c r="O64" i="171"/>
  <c r="P64" i="171"/>
  <c r="Q64" i="171"/>
  <c r="R64" i="171"/>
  <c r="S64" i="171"/>
  <c r="T64" i="171"/>
  <c r="U64" i="171"/>
  <c r="D64" i="171"/>
  <c r="A3" i="163"/>
  <c r="C25" i="170" s="1"/>
  <c r="F94" i="16"/>
  <c r="F97" i="16"/>
  <c r="F93" i="16"/>
  <c r="E96" i="16"/>
  <c r="E95" i="16"/>
  <c r="E94" i="16"/>
  <c r="E97" i="16"/>
  <c r="D66" i="174" l="1"/>
  <c r="D66" i="171"/>
  <c r="D66" i="156"/>
  <c r="E93" i="16"/>
  <c r="U10" i="191"/>
  <c r="S10" i="191"/>
  <c r="O10" i="191"/>
  <c r="Q10" i="191"/>
  <c r="M10" i="191"/>
  <c r="K10" i="191"/>
  <c r="I10" i="191"/>
  <c r="G10" i="191"/>
  <c r="K64" i="192"/>
  <c r="J64" i="192"/>
  <c r="I64" i="192"/>
  <c r="H64" i="192"/>
  <c r="G64" i="192"/>
  <c r="F64" i="192"/>
  <c r="E64" i="192"/>
  <c r="D64" i="192"/>
  <c r="B3" i="191"/>
  <c r="A27" i="49" l="1"/>
  <c r="B27" i="49" l="1"/>
  <c r="A40" i="49"/>
  <c r="A53" i="49" s="1"/>
  <c r="E32" i="49" l="1"/>
  <c r="E31" i="49"/>
  <c r="E30" i="49"/>
  <c r="E29" i="49"/>
  <c r="B53" i="49"/>
  <c r="B40" i="49"/>
  <c r="E45" i="49" l="1"/>
  <c r="E44" i="49"/>
  <c r="E43" i="49"/>
  <c r="E42" i="49"/>
  <c r="E58" i="49"/>
  <c r="E57" i="49"/>
  <c r="E56" i="49"/>
  <c r="E55" i="49"/>
  <c r="A66" i="49"/>
  <c r="I13" i="32"/>
  <c r="B66" i="49" l="1"/>
  <c r="A79" i="49"/>
  <c r="B4" i="49"/>
  <c r="E71" i="49" l="1"/>
  <c r="E70" i="49"/>
  <c r="E69" i="49"/>
  <c r="E68" i="49"/>
  <c r="A92" i="49"/>
  <c r="B79" i="49"/>
  <c r="C71" i="49"/>
  <c r="I69" i="49"/>
  <c r="K71" i="49"/>
  <c r="M71" i="49"/>
  <c r="I71" i="49"/>
  <c r="G70" i="49"/>
  <c r="O69" i="49"/>
  <c r="O70" i="49"/>
  <c r="Q70" i="49"/>
  <c r="Q71" i="49"/>
  <c r="K69" i="49"/>
  <c r="O75" i="49"/>
  <c r="C69" i="49"/>
  <c r="M70" i="49"/>
  <c r="K68" i="49"/>
  <c r="K70" i="49"/>
  <c r="Q68" i="49"/>
  <c r="K75" i="49"/>
  <c r="G71" i="49"/>
  <c r="O68" i="49"/>
  <c r="O71" i="49"/>
  <c r="I75" i="49"/>
  <c r="I68" i="49"/>
  <c r="M68" i="49"/>
  <c r="C70" i="49"/>
  <c r="G68" i="49"/>
  <c r="M69" i="49"/>
  <c r="I70" i="49"/>
  <c r="Q75" i="49"/>
  <c r="G69" i="49"/>
  <c r="G75" i="49"/>
  <c r="Q69" i="49"/>
  <c r="C68" i="49"/>
  <c r="M75" i="49"/>
  <c r="I3" i="32"/>
  <c r="C1" i="1"/>
  <c r="E84" i="49" l="1"/>
  <c r="E83" i="49"/>
  <c r="E82" i="49"/>
  <c r="E81" i="49"/>
  <c r="K30" i="49"/>
  <c r="C31" i="49"/>
  <c r="C30" i="49"/>
  <c r="I29" i="49"/>
  <c r="G32" i="49"/>
  <c r="O31" i="49"/>
  <c r="I30" i="49"/>
  <c r="M36" i="49"/>
  <c r="I31" i="49"/>
  <c r="O36" i="49"/>
  <c r="K36" i="49"/>
  <c r="G29" i="49"/>
  <c r="M30" i="49"/>
  <c r="Q30" i="49"/>
  <c r="K32" i="49"/>
  <c r="M29" i="49"/>
  <c r="Q36" i="49"/>
  <c r="Q31" i="49"/>
  <c r="O32" i="49"/>
  <c r="K29" i="49"/>
  <c r="G36" i="49"/>
  <c r="O29" i="49"/>
  <c r="G31" i="49"/>
  <c r="Q32" i="49"/>
  <c r="M31" i="49"/>
  <c r="Q29" i="49"/>
  <c r="K31" i="49"/>
  <c r="I32" i="49"/>
  <c r="O30" i="49"/>
  <c r="I36" i="49"/>
  <c r="C29" i="49"/>
  <c r="C32" i="49"/>
  <c r="M32" i="49"/>
  <c r="G30" i="49"/>
  <c r="O62" i="49"/>
  <c r="O56" i="49"/>
  <c r="C56" i="49"/>
  <c r="Q58" i="49"/>
  <c r="K55" i="49"/>
  <c r="G42" i="49"/>
  <c r="G43" i="49"/>
  <c r="C45" i="49"/>
  <c r="M44" i="49"/>
  <c r="O42" i="49"/>
  <c r="I17" i="49"/>
  <c r="I18" i="49"/>
  <c r="M17" i="49"/>
  <c r="M18" i="49"/>
  <c r="C58" i="49"/>
  <c r="I62" i="49"/>
  <c r="M62" i="49"/>
  <c r="I57" i="49"/>
  <c r="K44" i="49"/>
  <c r="M42" i="49"/>
  <c r="M23" i="49"/>
  <c r="O17" i="49"/>
  <c r="C18" i="49"/>
  <c r="M16" i="49"/>
  <c r="G23" i="49"/>
  <c r="M57" i="49"/>
  <c r="G57" i="49"/>
  <c r="I58" i="49"/>
  <c r="M56" i="49"/>
  <c r="I56" i="49"/>
  <c r="I42" i="49"/>
  <c r="I45" i="49"/>
  <c r="Q44" i="49"/>
  <c r="I44" i="49"/>
  <c r="O18" i="49"/>
  <c r="O19" i="49"/>
  <c r="G18" i="49"/>
  <c r="C19" i="49"/>
  <c r="Q19" i="49"/>
  <c r="K23" i="49"/>
  <c r="K57" i="49"/>
  <c r="K58" i="49"/>
  <c r="C57" i="49"/>
  <c r="Q57" i="49"/>
  <c r="Q55" i="49"/>
  <c r="O44" i="49"/>
  <c r="C44" i="49"/>
  <c r="C42" i="49"/>
  <c r="Q43" i="49"/>
  <c r="K43" i="49"/>
  <c r="Q18" i="49"/>
  <c r="I19" i="49"/>
  <c r="C17" i="49"/>
  <c r="G55" i="49"/>
  <c r="Q62" i="49"/>
  <c r="K62" i="49"/>
  <c r="M55" i="49"/>
  <c r="G58" i="49"/>
  <c r="G45" i="49"/>
  <c r="I43" i="49"/>
  <c r="C43" i="49"/>
  <c r="G44" i="49"/>
  <c r="M49" i="49"/>
  <c r="K18" i="49"/>
  <c r="G16" i="49"/>
  <c r="Q23" i="49"/>
  <c r="O16" i="49"/>
  <c r="O58" i="49"/>
  <c r="K56" i="49"/>
  <c r="G56" i="49"/>
  <c r="M58" i="49"/>
  <c r="M45" i="49"/>
  <c r="I49" i="49"/>
  <c r="K42" i="49"/>
  <c r="K49" i="49"/>
  <c r="Q42" i="49"/>
  <c r="K19" i="49"/>
  <c r="O23" i="49"/>
  <c r="Q16" i="49"/>
  <c r="I16" i="49"/>
  <c r="K17" i="49"/>
  <c r="I55" i="49"/>
  <c r="O57" i="49"/>
  <c r="C55" i="49"/>
  <c r="O49" i="49"/>
  <c r="O43" i="49"/>
  <c r="O45" i="49"/>
  <c r="Q49" i="49"/>
  <c r="Q45" i="49"/>
  <c r="Q17" i="49"/>
  <c r="M19" i="49"/>
  <c r="I23" i="49"/>
  <c r="K16" i="49"/>
  <c r="G19" i="49"/>
  <c r="Q56" i="49"/>
  <c r="O55" i="49"/>
  <c r="G62" i="49"/>
  <c r="K45" i="49"/>
  <c r="G49" i="49"/>
  <c r="M43" i="49"/>
  <c r="G17" i="49"/>
  <c r="O73" i="49"/>
  <c r="O77" i="49" s="1"/>
  <c r="S71" i="49"/>
  <c r="M73" i="49"/>
  <c r="M77" i="49" s="1"/>
  <c r="Q73" i="49"/>
  <c r="Q77" i="49" s="1"/>
  <c r="B92" i="49"/>
  <c r="A105" i="49"/>
  <c r="G73" i="49"/>
  <c r="G77" i="49" s="1"/>
  <c r="S68" i="49"/>
  <c r="U71" i="49"/>
  <c r="U70" i="49"/>
  <c r="U68" i="49"/>
  <c r="U69" i="49"/>
  <c r="S69" i="49"/>
  <c r="I73" i="49"/>
  <c r="I77" i="49" s="1"/>
  <c r="K73" i="49"/>
  <c r="K77" i="49" s="1"/>
  <c r="S70" i="49"/>
  <c r="M88" i="49"/>
  <c r="K83" i="49"/>
  <c r="I88" i="49"/>
  <c r="M83" i="49"/>
  <c r="Q83" i="49"/>
  <c r="K81" i="49"/>
  <c r="O88" i="49"/>
  <c r="G88" i="49"/>
  <c r="Q81" i="49"/>
  <c r="I82" i="49"/>
  <c r="M84" i="49"/>
  <c r="C81" i="49"/>
  <c r="M81" i="49"/>
  <c r="I83" i="49"/>
  <c r="K88" i="49"/>
  <c r="O81" i="49"/>
  <c r="O84" i="49"/>
  <c r="C84" i="49"/>
  <c r="M82" i="49"/>
  <c r="K84" i="49"/>
  <c r="I84" i="49"/>
  <c r="G82" i="49"/>
  <c r="G83" i="49"/>
  <c r="K82" i="49"/>
  <c r="I81" i="49"/>
  <c r="O83" i="49"/>
  <c r="G84" i="49"/>
  <c r="Q88" i="49"/>
  <c r="C83" i="49"/>
  <c r="Q82" i="49"/>
  <c r="C82" i="49"/>
  <c r="O82" i="49"/>
  <c r="Q84" i="49"/>
  <c r="G81" i="49"/>
  <c r="E97" i="49" l="1"/>
  <c r="E96" i="49"/>
  <c r="E95" i="49"/>
  <c r="E94" i="49"/>
  <c r="I60" i="49"/>
  <c r="I64" i="49" s="1"/>
  <c r="S58" i="49"/>
  <c r="S44" i="49"/>
  <c r="K21" i="49"/>
  <c r="K25" i="49" s="1"/>
  <c r="O34" i="49"/>
  <c r="O38" i="49" s="1"/>
  <c r="Q47" i="49"/>
  <c r="Q51" i="49" s="1"/>
  <c r="I21" i="49"/>
  <c r="I25" i="49" s="1"/>
  <c r="K47" i="49"/>
  <c r="K51" i="49" s="1"/>
  <c r="O21" i="49"/>
  <c r="O25" i="49" s="1"/>
  <c r="O47" i="49"/>
  <c r="O51" i="49" s="1"/>
  <c r="S17" i="49"/>
  <c r="O60" i="49"/>
  <c r="O64" i="49" s="1"/>
  <c r="S45" i="49"/>
  <c r="Q60" i="49"/>
  <c r="Q64" i="49" s="1"/>
  <c r="S18" i="49"/>
  <c r="U32" i="49"/>
  <c r="U29" i="49"/>
  <c r="U30" i="49"/>
  <c r="U31" i="49"/>
  <c r="S30" i="49"/>
  <c r="K34" i="49"/>
  <c r="K38" i="49" s="1"/>
  <c r="S32" i="49"/>
  <c r="S19" i="49"/>
  <c r="S57" i="49"/>
  <c r="S43" i="49"/>
  <c r="S29" i="49"/>
  <c r="G34" i="49"/>
  <c r="G38" i="49" s="1"/>
  <c r="I34" i="49"/>
  <c r="I38" i="49" s="1"/>
  <c r="G21" i="49"/>
  <c r="G25" i="49" s="1"/>
  <c r="S16" i="49"/>
  <c r="M60" i="49"/>
  <c r="M64" i="49" s="1"/>
  <c r="S56" i="49"/>
  <c r="M47" i="49"/>
  <c r="M51" i="49" s="1"/>
  <c r="G47" i="49"/>
  <c r="G51" i="49" s="1"/>
  <c r="S42" i="49"/>
  <c r="Q34" i="49"/>
  <c r="Q38" i="49" s="1"/>
  <c r="U44" i="49"/>
  <c r="U42" i="49"/>
  <c r="U45" i="49"/>
  <c r="U43" i="49"/>
  <c r="Q21" i="49"/>
  <c r="Q25" i="49" s="1"/>
  <c r="U18" i="49"/>
  <c r="U19" i="49"/>
  <c r="U17" i="49"/>
  <c r="U16" i="49"/>
  <c r="K60" i="49"/>
  <c r="K64" i="49" s="1"/>
  <c r="S55" i="49"/>
  <c r="G60" i="49"/>
  <c r="G64" i="49" s="1"/>
  <c r="M21" i="49"/>
  <c r="M25" i="49" s="1"/>
  <c r="U56" i="49"/>
  <c r="U55" i="49"/>
  <c r="U57" i="49"/>
  <c r="U58" i="49"/>
  <c r="I47" i="49"/>
  <c r="I51" i="49" s="1"/>
  <c r="S31" i="49"/>
  <c r="M34" i="49"/>
  <c r="M38" i="49" s="1"/>
  <c r="I86" i="49"/>
  <c r="I90" i="49" s="1"/>
  <c r="S84" i="49"/>
  <c r="K94" i="49"/>
  <c r="K97" i="49"/>
  <c r="G96" i="49"/>
  <c r="C94" i="49"/>
  <c r="M97" i="49"/>
  <c r="I97" i="49"/>
  <c r="O95" i="49"/>
  <c r="K101" i="49"/>
  <c r="I95" i="49"/>
  <c r="M101" i="49"/>
  <c r="O96" i="49"/>
  <c r="I101" i="49"/>
  <c r="K95" i="49"/>
  <c r="M94" i="49"/>
  <c r="C95" i="49"/>
  <c r="Q97" i="49"/>
  <c r="C97" i="49"/>
  <c r="Q96" i="49"/>
  <c r="G94" i="49"/>
  <c r="M96" i="49"/>
  <c r="M95" i="49"/>
  <c r="K96" i="49"/>
  <c r="O101" i="49"/>
  <c r="G97" i="49"/>
  <c r="Q95" i="49"/>
  <c r="O97" i="49"/>
  <c r="Q94" i="49"/>
  <c r="I94" i="49"/>
  <c r="Q101" i="49"/>
  <c r="C96" i="49"/>
  <c r="O94" i="49"/>
  <c r="I96" i="49"/>
  <c r="G101" i="49"/>
  <c r="G95" i="49"/>
  <c r="O86" i="49"/>
  <c r="O90" i="49" s="1"/>
  <c r="U81" i="49"/>
  <c r="U83" i="49"/>
  <c r="U84" i="49"/>
  <c r="U82" i="49"/>
  <c r="U73" i="49"/>
  <c r="S83" i="49"/>
  <c r="Q86" i="49"/>
  <c r="Q90" i="49" s="1"/>
  <c r="S82" i="49"/>
  <c r="K86" i="49"/>
  <c r="K90" i="49" s="1"/>
  <c r="S81" i="49"/>
  <c r="G86" i="49"/>
  <c r="G90" i="49" s="1"/>
  <c r="B105" i="49"/>
  <c r="A118" i="49"/>
  <c r="M86" i="49"/>
  <c r="M90" i="49" s="1"/>
  <c r="S73" i="49"/>
  <c r="S77" i="49"/>
  <c r="D64" i="184"/>
  <c r="D64" i="182"/>
  <c r="E110" i="49" l="1"/>
  <c r="E109" i="49"/>
  <c r="E108" i="49"/>
  <c r="E107" i="49"/>
  <c r="S60" i="49"/>
  <c r="S21" i="49"/>
  <c r="S38" i="49"/>
  <c r="U34" i="49"/>
  <c r="U60" i="49"/>
  <c r="S25" i="49"/>
  <c r="S47" i="49"/>
  <c r="S51" i="49"/>
  <c r="S64" i="49"/>
  <c r="S34" i="49"/>
  <c r="U21" i="49"/>
  <c r="U47" i="49"/>
  <c r="S97" i="49"/>
  <c r="I99" i="49"/>
  <c r="I103" i="49" s="1"/>
  <c r="Q99" i="49"/>
  <c r="Q103" i="49" s="1"/>
  <c r="M99" i="49"/>
  <c r="M103" i="49" s="1"/>
  <c r="S95" i="49"/>
  <c r="A131" i="49"/>
  <c r="B118" i="49"/>
  <c r="U97" i="49"/>
  <c r="U95" i="49"/>
  <c r="U94" i="49"/>
  <c r="U96" i="49"/>
  <c r="S94" i="49"/>
  <c r="G99" i="49"/>
  <c r="G103" i="49" s="1"/>
  <c r="S96" i="49"/>
  <c r="G109" i="49"/>
  <c r="O114" i="49"/>
  <c r="O109" i="49"/>
  <c r="I109" i="49"/>
  <c r="I108" i="49"/>
  <c r="K110" i="49"/>
  <c r="I114" i="49"/>
  <c r="Q110" i="49"/>
  <c r="O108" i="49"/>
  <c r="I110" i="49"/>
  <c r="Q108" i="49"/>
  <c r="G114" i="49"/>
  <c r="M108" i="49"/>
  <c r="K107" i="49"/>
  <c r="Q107" i="49"/>
  <c r="K108" i="49"/>
  <c r="O110" i="49"/>
  <c r="G107" i="49"/>
  <c r="M107" i="49"/>
  <c r="I107" i="49"/>
  <c r="C109" i="49"/>
  <c r="O107" i="49"/>
  <c r="Q109" i="49"/>
  <c r="G110" i="49"/>
  <c r="Q114" i="49"/>
  <c r="K109" i="49"/>
  <c r="M109" i="49"/>
  <c r="C108" i="49"/>
  <c r="M114" i="49"/>
  <c r="K114" i="49"/>
  <c r="M110" i="49"/>
  <c r="C107" i="49"/>
  <c r="G108" i="49"/>
  <c r="C110" i="49"/>
  <c r="O99" i="49"/>
  <c r="O103" i="49" s="1"/>
  <c r="U86" i="49"/>
  <c r="S90" i="49"/>
  <c r="S86" i="49"/>
  <c r="K99" i="49"/>
  <c r="K103" i="49" s="1"/>
  <c r="D64" i="183"/>
  <c r="E123" i="49" l="1"/>
  <c r="E122" i="49"/>
  <c r="E121" i="49"/>
  <c r="E120" i="49"/>
  <c r="K112" i="49"/>
  <c r="K116" i="49" s="1"/>
  <c r="S110" i="49"/>
  <c r="Q112" i="49"/>
  <c r="Q116" i="49" s="1"/>
  <c r="S103" i="49"/>
  <c r="O112" i="49"/>
  <c r="O116" i="49" s="1"/>
  <c r="S109" i="49"/>
  <c r="M122" i="49"/>
  <c r="O123" i="49"/>
  <c r="G120" i="49"/>
  <c r="O122" i="49"/>
  <c r="G122" i="49"/>
  <c r="O121" i="49"/>
  <c r="K127" i="49"/>
  <c r="Q127" i="49"/>
  <c r="Q121" i="49"/>
  <c r="I122" i="49"/>
  <c r="C122" i="49"/>
  <c r="C123" i="49"/>
  <c r="O120" i="49"/>
  <c r="I123" i="49"/>
  <c r="Q123" i="49"/>
  <c r="M121" i="49"/>
  <c r="K120" i="49"/>
  <c r="K121" i="49"/>
  <c r="Q120" i="49"/>
  <c r="M127" i="49"/>
  <c r="G123" i="49"/>
  <c r="M123" i="49"/>
  <c r="I127" i="49"/>
  <c r="G127" i="49"/>
  <c r="K123" i="49"/>
  <c r="I121" i="49"/>
  <c r="Q122" i="49"/>
  <c r="O127" i="49"/>
  <c r="M120" i="49"/>
  <c r="K122" i="49"/>
  <c r="C121" i="49"/>
  <c r="I120" i="49"/>
  <c r="G121" i="49"/>
  <c r="C120" i="49"/>
  <c r="S99" i="49"/>
  <c r="B131" i="49"/>
  <c r="A144" i="49"/>
  <c r="S108" i="49"/>
  <c r="I112" i="49"/>
  <c r="I116" i="49" s="1"/>
  <c r="U110" i="49"/>
  <c r="U109" i="49"/>
  <c r="U108" i="49"/>
  <c r="U107" i="49"/>
  <c r="M112" i="49"/>
  <c r="M116" i="49" s="1"/>
  <c r="G112" i="49"/>
  <c r="G116" i="49" s="1"/>
  <c r="S107" i="49"/>
  <c r="U99" i="49"/>
  <c r="H18" i="27"/>
  <c r="E136" i="49" l="1"/>
  <c r="E135" i="49"/>
  <c r="E134" i="49"/>
  <c r="E133" i="49"/>
  <c r="U112" i="49"/>
  <c r="S123" i="49"/>
  <c r="S112" i="49"/>
  <c r="I125" i="49"/>
  <c r="I129" i="49" s="1"/>
  <c r="O125" i="49"/>
  <c r="O129" i="49" s="1"/>
  <c r="S122" i="49"/>
  <c r="S121" i="49"/>
  <c r="Q125" i="49"/>
  <c r="Q129" i="49" s="1"/>
  <c r="G125" i="49"/>
  <c r="G129" i="49" s="1"/>
  <c r="S120" i="49"/>
  <c r="S116" i="49"/>
  <c r="A157" i="49"/>
  <c r="B144" i="49"/>
  <c r="U122" i="49"/>
  <c r="U120" i="49"/>
  <c r="U123" i="49"/>
  <c r="U121" i="49"/>
  <c r="K125" i="49"/>
  <c r="K129" i="49" s="1"/>
  <c r="C135" i="49"/>
  <c r="G136" i="49"/>
  <c r="C136" i="49"/>
  <c r="I133" i="49"/>
  <c r="M136" i="49"/>
  <c r="I140" i="49"/>
  <c r="O133" i="49"/>
  <c r="M140" i="49"/>
  <c r="M135" i="49"/>
  <c r="Q136" i="49"/>
  <c r="Q134" i="49"/>
  <c r="O136" i="49"/>
  <c r="G134" i="49"/>
  <c r="K135" i="49"/>
  <c r="G135" i="49"/>
  <c r="I134" i="49"/>
  <c r="I136" i="49"/>
  <c r="C134" i="49"/>
  <c r="M134" i="49"/>
  <c r="G140" i="49"/>
  <c r="K133" i="49"/>
  <c r="O134" i="49"/>
  <c r="K134" i="49"/>
  <c r="G133" i="49"/>
  <c r="Q140" i="49"/>
  <c r="C133" i="49"/>
  <c r="K136" i="49"/>
  <c r="O135" i="49"/>
  <c r="K140" i="49"/>
  <c r="I135" i="49"/>
  <c r="O140" i="49"/>
  <c r="M133" i="49"/>
  <c r="Q135" i="49"/>
  <c r="Q133" i="49"/>
  <c r="M125" i="49"/>
  <c r="M129" i="49" s="1"/>
  <c r="M64" i="167"/>
  <c r="L64" i="167"/>
  <c r="J64" i="167"/>
  <c r="I64" i="167"/>
  <c r="G64" i="167"/>
  <c r="F64" i="167"/>
  <c r="E64" i="167"/>
  <c r="D64" i="167"/>
  <c r="C64" i="167"/>
  <c r="E149" i="49" l="1"/>
  <c r="E148" i="49"/>
  <c r="E147" i="49"/>
  <c r="E146" i="49"/>
  <c r="M138" i="49"/>
  <c r="M142" i="49" s="1"/>
  <c r="U125" i="49"/>
  <c r="B157" i="49"/>
  <c r="A170" i="49"/>
  <c r="S135" i="49"/>
  <c r="O138" i="49"/>
  <c r="O142" i="49" s="1"/>
  <c r="G138" i="49"/>
  <c r="G142" i="49" s="1"/>
  <c r="S133" i="49"/>
  <c r="S136" i="49"/>
  <c r="K138" i="49"/>
  <c r="K142" i="49" s="1"/>
  <c r="S125" i="49"/>
  <c r="Q138" i="49"/>
  <c r="Q142" i="49" s="1"/>
  <c r="U133" i="49"/>
  <c r="U136" i="49"/>
  <c r="U135" i="49"/>
  <c r="U134" i="49"/>
  <c r="S134" i="49"/>
  <c r="S129" i="49"/>
  <c r="I138" i="49"/>
  <c r="I142" i="49" s="1"/>
  <c r="K148" i="49"/>
  <c r="G148" i="49"/>
  <c r="K153" i="49"/>
  <c r="C147" i="49"/>
  <c r="Q148" i="49"/>
  <c r="G146" i="49"/>
  <c r="C148" i="49"/>
  <c r="C149" i="49"/>
  <c r="Q147" i="49"/>
  <c r="M153" i="49"/>
  <c r="O147" i="49"/>
  <c r="K147" i="49"/>
  <c r="I153" i="49"/>
  <c r="K146" i="49"/>
  <c r="O146" i="49"/>
  <c r="K149" i="49"/>
  <c r="O149" i="49"/>
  <c r="G149" i="49"/>
  <c r="M146" i="49"/>
  <c r="M149" i="49"/>
  <c r="C146" i="49"/>
  <c r="M148" i="49"/>
  <c r="Q153" i="49"/>
  <c r="G147" i="49"/>
  <c r="O148" i="49"/>
  <c r="I148" i="49"/>
  <c r="Q149" i="49"/>
  <c r="O153" i="49"/>
  <c r="G153" i="49"/>
  <c r="I147" i="49"/>
  <c r="I146" i="49"/>
  <c r="M147" i="49"/>
  <c r="I149" i="49"/>
  <c r="Q146" i="49"/>
  <c r="B65" i="167"/>
  <c r="E162" i="49" l="1"/>
  <c r="E161" i="49"/>
  <c r="E160" i="49"/>
  <c r="E159" i="49"/>
  <c r="Q151" i="49"/>
  <c r="Q155" i="49" s="1"/>
  <c r="U138" i="49"/>
  <c r="O151" i="49"/>
  <c r="O155" i="49" s="1"/>
  <c r="S147" i="49"/>
  <c r="K151" i="49"/>
  <c r="K155" i="49" s="1"/>
  <c r="S138" i="49"/>
  <c r="U149" i="49"/>
  <c r="U146" i="49"/>
  <c r="U147" i="49"/>
  <c r="U148" i="49"/>
  <c r="M151" i="49"/>
  <c r="M155" i="49" s="1"/>
  <c r="S142" i="49"/>
  <c r="G151" i="49"/>
  <c r="G155" i="49" s="1"/>
  <c r="S146" i="49"/>
  <c r="S149" i="49"/>
  <c r="S148" i="49"/>
  <c r="I151" i="49"/>
  <c r="I155" i="49" s="1"/>
  <c r="B170" i="49"/>
  <c r="A183" i="49"/>
  <c r="G159" i="49"/>
  <c r="O159" i="49"/>
  <c r="C161" i="49"/>
  <c r="Q160" i="49"/>
  <c r="G162" i="49"/>
  <c r="Q166" i="49"/>
  <c r="G160" i="49"/>
  <c r="M161" i="49"/>
  <c r="G166" i="49"/>
  <c r="O166" i="49"/>
  <c r="I161" i="49"/>
  <c r="Q162" i="49"/>
  <c r="K159" i="49"/>
  <c r="M162" i="49"/>
  <c r="O160" i="49"/>
  <c r="I160" i="49"/>
  <c r="C162" i="49"/>
  <c r="I159" i="49"/>
  <c r="I162" i="49"/>
  <c r="M160" i="49"/>
  <c r="I166" i="49"/>
  <c r="M166" i="49"/>
  <c r="M159" i="49"/>
  <c r="K166" i="49"/>
  <c r="Q159" i="49"/>
  <c r="Q161" i="49"/>
  <c r="K162" i="49"/>
  <c r="K161" i="49"/>
  <c r="C159" i="49"/>
  <c r="O161" i="49"/>
  <c r="G161" i="49"/>
  <c r="C160" i="49"/>
  <c r="K160" i="49"/>
  <c r="O162" i="49"/>
  <c r="E175" i="49" l="1"/>
  <c r="E174" i="49"/>
  <c r="E173" i="49"/>
  <c r="E172" i="49"/>
  <c r="Q164" i="49"/>
  <c r="Q168" i="49" s="1"/>
  <c r="S161" i="49"/>
  <c r="O164" i="49"/>
  <c r="O168" i="49" s="1"/>
  <c r="M164" i="49"/>
  <c r="M168" i="49" s="1"/>
  <c r="S155" i="49"/>
  <c r="A196" i="49"/>
  <c r="B183" i="49"/>
  <c r="U159" i="49"/>
  <c r="U162" i="49"/>
  <c r="U161" i="49"/>
  <c r="U160" i="49"/>
  <c r="S160" i="49"/>
  <c r="K164" i="49"/>
  <c r="K168" i="49" s="1"/>
  <c r="S162" i="49"/>
  <c r="I179" i="49"/>
  <c r="O172" i="49"/>
  <c r="C174" i="49"/>
  <c r="G179" i="49"/>
  <c r="M173" i="49"/>
  <c r="Q173" i="49"/>
  <c r="K174" i="49"/>
  <c r="G172" i="49"/>
  <c r="G174" i="49"/>
  <c r="O175" i="49"/>
  <c r="I175" i="49"/>
  <c r="Q179" i="49"/>
  <c r="G173" i="49"/>
  <c r="O174" i="49"/>
  <c r="K179" i="49"/>
  <c r="M179" i="49"/>
  <c r="O179" i="49"/>
  <c r="M174" i="49"/>
  <c r="Q175" i="49"/>
  <c r="K172" i="49"/>
  <c r="Q172" i="49"/>
  <c r="I172" i="49"/>
  <c r="I173" i="49"/>
  <c r="M175" i="49"/>
  <c r="I174" i="49"/>
  <c r="G175" i="49"/>
  <c r="Q174" i="49"/>
  <c r="K175" i="49"/>
  <c r="C175" i="49"/>
  <c r="M172" i="49"/>
  <c r="C172" i="49"/>
  <c r="C173" i="49"/>
  <c r="O173" i="49"/>
  <c r="K173" i="49"/>
  <c r="I164" i="49"/>
  <c r="I168" i="49" s="1"/>
  <c r="U151" i="49"/>
  <c r="G164" i="49"/>
  <c r="G168" i="49" s="1"/>
  <c r="S159" i="49"/>
  <c r="S151" i="49"/>
  <c r="S64" i="180"/>
  <c r="L64" i="180"/>
  <c r="K64" i="180"/>
  <c r="J64" i="180"/>
  <c r="I64" i="180"/>
  <c r="H64" i="180"/>
  <c r="G64" i="180"/>
  <c r="F64" i="180"/>
  <c r="E64" i="180"/>
  <c r="D64" i="180"/>
  <c r="E188" i="49" l="1"/>
  <c r="E187" i="49"/>
  <c r="E186" i="49"/>
  <c r="E185" i="49"/>
  <c r="D66" i="180"/>
  <c r="S164" i="49"/>
  <c r="K177" i="49"/>
  <c r="K181" i="49" s="1"/>
  <c r="U172" i="49"/>
  <c r="U174" i="49"/>
  <c r="U173" i="49"/>
  <c r="U175" i="49"/>
  <c r="M177" i="49"/>
  <c r="M181" i="49" s="1"/>
  <c r="S174" i="49"/>
  <c r="O177" i="49"/>
  <c r="O181" i="49" s="1"/>
  <c r="S168" i="49"/>
  <c r="I177" i="49"/>
  <c r="I181" i="49" s="1"/>
  <c r="S172" i="49"/>
  <c r="G177" i="49"/>
  <c r="G181" i="49" s="1"/>
  <c r="U164" i="49"/>
  <c r="C185" i="49"/>
  <c r="C187" i="49"/>
  <c r="K192" i="49"/>
  <c r="G187" i="49"/>
  <c r="I192" i="49"/>
  <c r="C186" i="49"/>
  <c r="O192" i="49"/>
  <c r="O186" i="49"/>
  <c r="Q192" i="49"/>
  <c r="G186" i="49"/>
  <c r="K188" i="49"/>
  <c r="Q186" i="49"/>
  <c r="Q185" i="49"/>
  <c r="I188" i="49"/>
  <c r="I187" i="49"/>
  <c r="Q188" i="49"/>
  <c r="K185" i="49"/>
  <c r="O187" i="49"/>
  <c r="M186" i="49"/>
  <c r="M192" i="49"/>
  <c r="O188" i="49"/>
  <c r="G192" i="49"/>
  <c r="I186" i="49"/>
  <c r="M188" i="49"/>
  <c r="G185" i="49"/>
  <c r="K186" i="49"/>
  <c r="C188" i="49"/>
  <c r="K187" i="49"/>
  <c r="I185" i="49"/>
  <c r="G188" i="49"/>
  <c r="M185" i="49"/>
  <c r="Q187" i="49"/>
  <c r="M187" i="49"/>
  <c r="O185" i="49"/>
  <c r="S175" i="49"/>
  <c r="Q177" i="49"/>
  <c r="Q181" i="49" s="1"/>
  <c r="S173" i="49"/>
  <c r="B196" i="49"/>
  <c r="A209" i="49"/>
  <c r="E201" i="49" l="1"/>
  <c r="E200" i="49"/>
  <c r="E199" i="49"/>
  <c r="E198" i="49"/>
  <c r="O190" i="49"/>
  <c r="O194" i="49" s="1"/>
  <c r="M190" i="49"/>
  <c r="M194" i="49" s="1"/>
  <c r="U185" i="49"/>
  <c r="U187" i="49"/>
  <c r="U186" i="49"/>
  <c r="U188" i="49"/>
  <c r="Q198" i="49"/>
  <c r="Q200" i="49"/>
  <c r="I205" i="49"/>
  <c r="G200" i="49"/>
  <c r="O198" i="49"/>
  <c r="O205" i="49"/>
  <c r="O199" i="49"/>
  <c r="I201" i="49"/>
  <c r="Q205" i="49"/>
  <c r="G198" i="49"/>
  <c r="O201" i="49"/>
  <c r="I198" i="49"/>
  <c r="M200" i="49"/>
  <c r="Q201" i="49"/>
  <c r="C201" i="49"/>
  <c r="C200" i="49"/>
  <c r="K205" i="49"/>
  <c r="Q199" i="49"/>
  <c r="K199" i="49"/>
  <c r="M198" i="49"/>
  <c r="G199" i="49"/>
  <c r="K201" i="49"/>
  <c r="C198" i="49"/>
  <c r="M199" i="49"/>
  <c r="K198" i="49"/>
  <c r="O200" i="49"/>
  <c r="K200" i="49"/>
  <c r="G201" i="49"/>
  <c r="I200" i="49"/>
  <c r="M205" i="49"/>
  <c r="C199" i="49"/>
  <c r="I199" i="49"/>
  <c r="M201" i="49"/>
  <c r="G205" i="49"/>
  <c r="I190" i="49"/>
  <c r="I194" i="49" s="1"/>
  <c r="S188" i="49"/>
  <c r="Q190" i="49"/>
  <c r="Q194" i="49" s="1"/>
  <c r="S181" i="49"/>
  <c r="B209" i="49"/>
  <c r="A222" i="49"/>
  <c r="S177" i="49"/>
  <c r="G190" i="49"/>
  <c r="G194" i="49" s="1"/>
  <c r="S185" i="49"/>
  <c r="U177" i="49"/>
  <c r="K190" i="49"/>
  <c r="K194" i="49" s="1"/>
  <c r="S186" i="49"/>
  <c r="S187" i="49"/>
  <c r="C64" i="155"/>
  <c r="S64" i="155"/>
  <c r="L64" i="155"/>
  <c r="K64" i="155"/>
  <c r="J64" i="155"/>
  <c r="I64" i="155"/>
  <c r="H64" i="155"/>
  <c r="G64" i="155"/>
  <c r="F64" i="155"/>
  <c r="E64" i="155"/>
  <c r="D64" i="155"/>
  <c r="W64" i="181"/>
  <c r="O64" i="181"/>
  <c r="N64" i="181"/>
  <c r="M64" i="181"/>
  <c r="L64" i="181"/>
  <c r="H64" i="181"/>
  <c r="F64" i="181"/>
  <c r="E64" i="181"/>
  <c r="D64" i="181"/>
  <c r="C64" i="181"/>
  <c r="B66" i="181" s="1"/>
  <c r="W64" i="177"/>
  <c r="E214" i="49" l="1"/>
  <c r="E213" i="49"/>
  <c r="E212" i="49"/>
  <c r="E211" i="49"/>
  <c r="S194" i="49"/>
  <c r="S201" i="49"/>
  <c r="S200" i="49"/>
  <c r="I214" i="49"/>
  <c r="C211" i="49"/>
  <c r="Q218" i="49"/>
  <c r="K218" i="49"/>
  <c r="K211" i="49"/>
  <c r="G212" i="49"/>
  <c r="K214" i="49"/>
  <c r="Q211" i="49"/>
  <c r="G211" i="49"/>
  <c r="O214" i="49"/>
  <c r="O212" i="49"/>
  <c r="C214" i="49"/>
  <c r="I211" i="49"/>
  <c r="M213" i="49"/>
  <c r="I213" i="49"/>
  <c r="G214" i="49"/>
  <c r="Q213" i="49"/>
  <c r="G213" i="49"/>
  <c r="Q212" i="49"/>
  <c r="K212" i="49"/>
  <c r="C213" i="49"/>
  <c r="C212" i="49"/>
  <c r="K213" i="49"/>
  <c r="M211" i="49"/>
  <c r="I218" i="49"/>
  <c r="O211" i="49"/>
  <c r="O213" i="49"/>
  <c r="G218" i="49"/>
  <c r="Q214" i="49"/>
  <c r="O218" i="49"/>
  <c r="M218" i="49"/>
  <c r="M212" i="49"/>
  <c r="M214" i="49"/>
  <c r="I212" i="49"/>
  <c r="G203" i="49"/>
  <c r="G207" i="49" s="1"/>
  <c r="S198" i="49"/>
  <c r="S190" i="49"/>
  <c r="Q203" i="49"/>
  <c r="Q207" i="49" s="1"/>
  <c r="S199" i="49"/>
  <c r="B222" i="49"/>
  <c r="A235" i="49"/>
  <c r="U198" i="49"/>
  <c r="U200" i="49"/>
  <c r="U201" i="49"/>
  <c r="U199" i="49"/>
  <c r="K203" i="49"/>
  <c r="K207" i="49" s="1"/>
  <c r="M203" i="49"/>
  <c r="M207" i="49" s="1"/>
  <c r="I203" i="49"/>
  <c r="I207" i="49" s="1"/>
  <c r="O203" i="49"/>
  <c r="O207" i="49" s="1"/>
  <c r="U190" i="49"/>
  <c r="D66" i="155"/>
  <c r="O64" i="162"/>
  <c r="N64" i="162"/>
  <c r="L64" i="162"/>
  <c r="H64" i="162"/>
  <c r="F64" i="162"/>
  <c r="E64" i="162"/>
  <c r="D64" i="162"/>
  <c r="C64" i="162"/>
  <c r="C64" i="177"/>
  <c r="D64" i="177"/>
  <c r="E64" i="177"/>
  <c r="F64" i="177"/>
  <c r="H64" i="177"/>
  <c r="I64" i="177"/>
  <c r="L64" i="177"/>
  <c r="N64" i="177"/>
  <c r="O64" i="177"/>
  <c r="Q64" i="177"/>
  <c r="R64" i="177"/>
  <c r="S64" i="177"/>
  <c r="U64" i="177"/>
  <c r="V64" i="177"/>
  <c r="B65" i="177" l="1"/>
  <c r="E227" i="49"/>
  <c r="E226" i="49"/>
  <c r="E225" i="49"/>
  <c r="E224" i="49"/>
  <c r="B65" i="162"/>
  <c r="S207" i="49"/>
  <c r="S203" i="49"/>
  <c r="U203" i="49"/>
  <c r="I216" i="49"/>
  <c r="I220" i="49" s="1"/>
  <c r="S212" i="49"/>
  <c r="O216" i="49"/>
  <c r="O220" i="49" s="1"/>
  <c r="S213" i="49"/>
  <c r="K216" i="49"/>
  <c r="K220" i="49" s="1"/>
  <c r="A248" i="49"/>
  <c r="B235" i="49"/>
  <c r="U213" i="49"/>
  <c r="U214" i="49"/>
  <c r="U212" i="49"/>
  <c r="U211" i="49"/>
  <c r="M216" i="49"/>
  <c r="M220" i="49" s="1"/>
  <c r="S214" i="49"/>
  <c r="G216" i="49"/>
  <c r="G220" i="49" s="1"/>
  <c r="S211" i="49"/>
  <c r="Q216" i="49"/>
  <c r="Q220" i="49" s="1"/>
  <c r="O227" i="49"/>
  <c r="G224" i="49"/>
  <c r="K226" i="49"/>
  <c r="I224" i="49"/>
  <c r="Q226" i="49"/>
  <c r="M226" i="49"/>
  <c r="K225" i="49"/>
  <c r="Q225" i="49"/>
  <c r="G225" i="49"/>
  <c r="C227" i="49"/>
  <c r="M231" i="49"/>
  <c r="I231" i="49"/>
  <c r="O225" i="49"/>
  <c r="G226" i="49"/>
  <c r="Q227" i="49"/>
  <c r="C225" i="49"/>
  <c r="Q231" i="49"/>
  <c r="M227" i="49"/>
  <c r="I227" i="49"/>
  <c r="C224" i="49"/>
  <c r="C226" i="49"/>
  <c r="K231" i="49"/>
  <c r="I226" i="49"/>
  <c r="I225" i="49"/>
  <c r="K227" i="49"/>
  <c r="M225" i="49"/>
  <c r="O231" i="49"/>
  <c r="G227" i="49"/>
  <c r="M224" i="49"/>
  <c r="O226" i="49"/>
  <c r="G231" i="49"/>
  <c r="Q224" i="49"/>
  <c r="K224" i="49"/>
  <c r="O224" i="49"/>
  <c r="B1" i="1"/>
  <c r="A1" i="191" s="1"/>
  <c r="E240" i="49" l="1"/>
  <c r="E239" i="49"/>
  <c r="E238" i="49"/>
  <c r="E237" i="49"/>
  <c r="O229" i="49"/>
  <c r="O233" i="49" s="1"/>
  <c r="S216" i="49"/>
  <c r="S226" i="49"/>
  <c r="S220" i="49"/>
  <c r="O240" i="49"/>
  <c r="Q239" i="49"/>
  <c r="M239" i="49"/>
  <c r="G244" i="49"/>
  <c r="G239" i="49"/>
  <c r="K240" i="49"/>
  <c r="G238" i="49"/>
  <c r="I244" i="49"/>
  <c r="O244" i="49"/>
  <c r="M237" i="49"/>
  <c r="G240" i="49"/>
  <c r="C238" i="49"/>
  <c r="O238" i="49"/>
  <c r="M244" i="49"/>
  <c r="Q237" i="49"/>
  <c r="C239" i="49"/>
  <c r="G237" i="49"/>
  <c r="C237" i="49"/>
  <c r="I239" i="49"/>
  <c r="K238" i="49"/>
  <c r="M238" i="49"/>
  <c r="Q244" i="49"/>
  <c r="K237" i="49"/>
  <c r="O239" i="49"/>
  <c r="M240" i="49"/>
  <c r="O237" i="49"/>
  <c r="Q240" i="49"/>
  <c r="Q238" i="49"/>
  <c r="K239" i="49"/>
  <c r="I238" i="49"/>
  <c r="I237" i="49"/>
  <c r="K244" i="49"/>
  <c r="C240" i="49"/>
  <c r="I240" i="49"/>
  <c r="Q229" i="49"/>
  <c r="Q233" i="49" s="1"/>
  <c r="I229" i="49"/>
  <c r="I233" i="49" s="1"/>
  <c r="K229" i="49"/>
  <c r="K233" i="49" s="1"/>
  <c r="A261" i="49"/>
  <c r="B248" i="49"/>
  <c r="U226" i="49"/>
  <c r="U225" i="49"/>
  <c r="U227" i="49"/>
  <c r="U224" i="49"/>
  <c r="U216" i="49"/>
  <c r="S225" i="49"/>
  <c r="G229" i="49"/>
  <c r="G233" i="49" s="1"/>
  <c r="S224" i="49"/>
  <c r="M229" i="49"/>
  <c r="M233" i="49" s="1"/>
  <c r="S227" i="49"/>
  <c r="R3" i="1"/>
  <c r="E253" i="49" l="1"/>
  <c r="E252" i="49"/>
  <c r="E251" i="49"/>
  <c r="E250" i="49"/>
  <c r="S233" i="49"/>
  <c r="U229" i="49"/>
  <c r="Q242" i="49"/>
  <c r="Q246" i="49" s="1"/>
  <c r="S238" i="49"/>
  <c r="S229" i="49"/>
  <c r="S239" i="49"/>
  <c r="C253" i="49"/>
  <c r="K250" i="49"/>
  <c r="M250" i="49"/>
  <c r="M252" i="49"/>
  <c r="K253" i="49"/>
  <c r="G252" i="49"/>
  <c r="M257" i="49"/>
  <c r="O251" i="49"/>
  <c r="I251" i="49"/>
  <c r="I252" i="49"/>
  <c r="G251" i="49"/>
  <c r="G257" i="49"/>
  <c r="K251" i="49"/>
  <c r="M253" i="49"/>
  <c r="G250" i="49"/>
  <c r="C250" i="49"/>
  <c r="I253" i="49"/>
  <c r="O250" i="49"/>
  <c r="Q252" i="49"/>
  <c r="Q257" i="49"/>
  <c r="O257" i="49"/>
  <c r="O252" i="49"/>
  <c r="G253" i="49"/>
  <c r="O253" i="49"/>
  <c r="I250" i="49"/>
  <c r="M251" i="49"/>
  <c r="Q250" i="49"/>
  <c r="C252" i="49"/>
  <c r="C251" i="49"/>
  <c r="I257" i="49"/>
  <c r="Q251" i="49"/>
  <c r="Q253" i="49"/>
  <c r="K252" i="49"/>
  <c r="K257" i="49"/>
  <c r="O242" i="49"/>
  <c r="O246" i="49" s="1"/>
  <c r="S240" i="49"/>
  <c r="U239" i="49"/>
  <c r="U238" i="49"/>
  <c r="U237" i="49"/>
  <c r="U240" i="49"/>
  <c r="M242" i="49"/>
  <c r="M246" i="49" s="1"/>
  <c r="G242" i="49"/>
  <c r="G246" i="49" s="1"/>
  <c r="S237" i="49"/>
  <c r="B261" i="49"/>
  <c r="A274" i="49"/>
  <c r="I242" i="49"/>
  <c r="I246" i="49" s="1"/>
  <c r="K242" i="49"/>
  <c r="K246" i="49" s="1"/>
  <c r="C2" i="154"/>
  <c r="A2" i="154"/>
  <c r="E266" i="49" l="1"/>
  <c r="E265" i="49"/>
  <c r="E264" i="49"/>
  <c r="E263" i="49"/>
  <c r="S242" i="49"/>
  <c r="Q255" i="49"/>
  <c r="Q259" i="49" s="1"/>
  <c r="I255" i="49"/>
  <c r="I259" i="49" s="1"/>
  <c r="U251" i="49"/>
  <c r="U252" i="49"/>
  <c r="U253" i="49"/>
  <c r="U250" i="49"/>
  <c r="S251" i="49"/>
  <c r="M255" i="49"/>
  <c r="M259" i="49" s="1"/>
  <c r="A287" i="49"/>
  <c r="B274" i="49"/>
  <c r="O255" i="49"/>
  <c r="O259" i="49" s="1"/>
  <c r="K255" i="49"/>
  <c r="K259" i="49" s="1"/>
  <c r="S253" i="49"/>
  <c r="U242" i="49"/>
  <c r="G255" i="49"/>
  <c r="G259" i="49" s="1"/>
  <c r="S250" i="49"/>
  <c r="Q266" i="49"/>
  <c r="I263" i="49"/>
  <c r="K263" i="49"/>
  <c r="K265" i="49"/>
  <c r="C265" i="49"/>
  <c r="M263" i="49"/>
  <c r="O266" i="49"/>
  <c r="C264" i="49"/>
  <c r="C266" i="49"/>
  <c r="K270" i="49"/>
  <c r="M264" i="49"/>
  <c r="G264" i="49"/>
  <c r="Q263" i="49"/>
  <c r="O265" i="49"/>
  <c r="O270" i="49"/>
  <c r="M265" i="49"/>
  <c r="Q264" i="49"/>
  <c r="I264" i="49"/>
  <c r="K266" i="49"/>
  <c r="G270" i="49"/>
  <c r="O263" i="49"/>
  <c r="G266" i="49"/>
  <c r="M270" i="49"/>
  <c r="I265" i="49"/>
  <c r="G265" i="49"/>
  <c r="O264" i="49"/>
  <c r="M266" i="49"/>
  <c r="G263" i="49"/>
  <c r="K264" i="49"/>
  <c r="I266" i="49"/>
  <c r="Q265" i="49"/>
  <c r="C263" i="49"/>
  <c r="Q270" i="49"/>
  <c r="I270" i="49"/>
  <c r="S246" i="49"/>
  <c r="S252" i="49"/>
  <c r="E98" i="16"/>
  <c r="E99" i="16"/>
  <c r="E279" i="49" l="1"/>
  <c r="E278" i="49"/>
  <c r="E277" i="49"/>
  <c r="E276" i="49"/>
  <c r="O268" i="49"/>
  <c r="O272" i="49" s="1"/>
  <c r="C278" i="49"/>
  <c r="I283" i="49"/>
  <c r="Q278" i="49"/>
  <c r="I278" i="49"/>
  <c r="O276" i="49"/>
  <c r="K276" i="49"/>
  <c r="C276" i="49"/>
  <c r="O277" i="49"/>
  <c r="Q277" i="49"/>
  <c r="G278" i="49"/>
  <c r="M276" i="49"/>
  <c r="G283" i="49"/>
  <c r="O279" i="49"/>
  <c r="G277" i="49"/>
  <c r="I279" i="49"/>
  <c r="K277" i="49"/>
  <c r="C279" i="49"/>
  <c r="M279" i="49"/>
  <c r="I276" i="49"/>
  <c r="M278" i="49"/>
  <c r="K283" i="49"/>
  <c r="M283" i="49"/>
  <c r="O283" i="49"/>
  <c r="Q283" i="49"/>
  <c r="K279" i="49"/>
  <c r="K278" i="49"/>
  <c r="G279" i="49"/>
  <c r="G276" i="49"/>
  <c r="Q279" i="49"/>
  <c r="O278" i="49"/>
  <c r="M277" i="49"/>
  <c r="I277" i="49"/>
  <c r="C277" i="49"/>
  <c r="Q276" i="49"/>
  <c r="U264" i="49"/>
  <c r="U265" i="49"/>
  <c r="U266" i="49"/>
  <c r="U263" i="49"/>
  <c r="S255" i="49"/>
  <c r="B287" i="49"/>
  <c r="A300" i="49"/>
  <c r="S266" i="49"/>
  <c r="I268" i="49"/>
  <c r="I272" i="49" s="1"/>
  <c r="S263" i="49"/>
  <c r="G268" i="49"/>
  <c r="G272" i="49" s="1"/>
  <c r="Q268" i="49"/>
  <c r="Q272" i="49" s="1"/>
  <c r="S259" i="49"/>
  <c r="S264" i="49"/>
  <c r="M268" i="49"/>
  <c r="M272" i="49" s="1"/>
  <c r="S265" i="49"/>
  <c r="U255" i="49"/>
  <c r="K268" i="49"/>
  <c r="K272" i="49" s="1"/>
  <c r="E64" i="178"/>
  <c r="F64" i="178"/>
  <c r="G64" i="178"/>
  <c r="H64" i="178"/>
  <c r="I64" i="178"/>
  <c r="J64" i="178"/>
  <c r="K64" i="178"/>
  <c r="L64" i="178"/>
  <c r="S64" i="178"/>
  <c r="D64" i="178"/>
  <c r="E292" i="49" l="1"/>
  <c r="E291" i="49"/>
  <c r="E290" i="49"/>
  <c r="E289" i="49"/>
  <c r="Q281" i="49"/>
  <c r="Q285" i="49" s="1"/>
  <c r="U268" i="49"/>
  <c r="G281" i="49"/>
  <c r="G285" i="49" s="1"/>
  <c r="S276" i="49"/>
  <c r="S277" i="49"/>
  <c r="S279" i="49"/>
  <c r="K281" i="49"/>
  <c r="K285" i="49" s="1"/>
  <c r="I289" i="49"/>
  <c r="K291" i="49"/>
  <c r="I290" i="49"/>
  <c r="K292" i="49"/>
  <c r="M290" i="49"/>
  <c r="O289" i="49"/>
  <c r="Q291" i="49"/>
  <c r="I296" i="49"/>
  <c r="O290" i="49"/>
  <c r="K296" i="49"/>
  <c r="K289" i="49"/>
  <c r="O296" i="49"/>
  <c r="I292" i="49"/>
  <c r="C289" i="49"/>
  <c r="Q292" i="49"/>
  <c r="Q289" i="49"/>
  <c r="M291" i="49"/>
  <c r="Q296" i="49"/>
  <c r="I291" i="49"/>
  <c r="C292" i="49"/>
  <c r="M296" i="49"/>
  <c r="Q290" i="49"/>
  <c r="K290" i="49"/>
  <c r="G290" i="49"/>
  <c r="C291" i="49"/>
  <c r="M292" i="49"/>
  <c r="G289" i="49"/>
  <c r="G296" i="49"/>
  <c r="G292" i="49"/>
  <c r="O291" i="49"/>
  <c r="C290" i="49"/>
  <c r="M289" i="49"/>
  <c r="O292" i="49"/>
  <c r="G291" i="49"/>
  <c r="I281" i="49"/>
  <c r="I285" i="49" s="1"/>
  <c r="U278" i="49"/>
  <c r="U276" i="49"/>
  <c r="U279" i="49"/>
  <c r="U277" i="49"/>
  <c r="O281" i="49"/>
  <c r="O285" i="49" s="1"/>
  <c r="M281" i="49"/>
  <c r="M285" i="49" s="1"/>
  <c r="S278" i="49"/>
  <c r="A313" i="49"/>
  <c r="B300" i="49"/>
  <c r="S272" i="49"/>
  <c r="S268" i="49"/>
  <c r="D66" i="178"/>
  <c r="E305" i="49" l="1"/>
  <c r="E304" i="49"/>
  <c r="E303" i="49"/>
  <c r="E302" i="49"/>
  <c r="M294" i="49"/>
  <c r="M298" i="49" s="1"/>
  <c r="K294" i="49"/>
  <c r="K298" i="49" s="1"/>
  <c r="S291" i="49"/>
  <c r="S290" i="49"/>
  <c r="S285" i="49"/>
  <c r="Q294" i="49"/>
  <c r="Q298" i="49" s="1"/>
  <c r="G305" i="49"/>
  <c r="O309" i="49"/>
  <c r="I309" i="49"/>
  <c r="O302" i="49"/>
  <c r="C305" i="49"/>
  <c r="C302" i="49"/>
  <c r="Q303" i="49"/>
  <c r="O304" i="49"/>
  <c r="M305" i="49"/>
  <c r="I304" i="49"/>
  <c r="M304" i="49"/>
  <c r="Q309" i="49"/>
  <c r="G303" i="49"/>
  <c r="K304" i="49"/>
  <c r="Q304" i="49"/>
  <c r="O305" i="49"/>
  <c r="M309" i="49"/>
  <c r="C303" i="49"/>
  <c r="K303" i="49"/>
  <c r="M303" i="49"/>
  <c r="I305" i="49"/>
  <c r="K309" i="49"/>
  <c r="O303" i="49"/>
  <c r="I303" i="49"/>
  <c r="G304" i="49"/>
  <c r="M302" i="49"/>
  <c r="K305" i="49"/>
  <c r="K302" i="49"/>
  <c r="Q305" i="49"/>
  <c r="C304" i="49"/>
  <c r="G302" i="49"/>
  <c r="Q302" i="49"/>
  <c r="I302" i="49"/>
  <c r="G309" i="49"/>
  <c r="U281" i="49"/>
  <c r="S292" i="49"/>
  <c r="I294" i="49"/>
  <c r="I298" i="49" s="1"/>
  <c r="A326" i="49"/>
  <c r="B313" i="49"/>
  <c r="U291" i="49"/>
  <c r="U290" i="49"/>
  <c r="U289" i="49"/>
  <c r="U292" i="49"/>
  <c r="O294" i="49"/>
  <c r="O298" i="49" s="1"/>
  <c r="G294" i="49"/>
  <c r="G298" i="49" s="1"/>
  <c r="S289" i="49"/>
  <c r="S281" i="49"/>
  <c r="J1" i="27"/>
  <c r="E318" i="49" l="1"/>
  <c r="E317" i="49"/>
  <c r="E316" i="49"/>
  <c r="E315" i="49"/>
  <c r="S294" i="49"/>
  <c r="S298" i="49"/>
  <c r="K307" i="49"/>
  <c r="K311" i="49" s="1"/>
  <c r="S303" i="49"/>
  <c r="I307" i="49"/>
  <c r="I311" i="49" s="1"/>
  <c r="Q307" i="49"/>
  <c r="Q311" i="49" s="1"/>
  <c r="M307" i="49"/>
  <c r="M311" i="49" s="1"/>
  <c r="O307" i="49"/>
  <c r="O311" i="49" s="1"/>
  <c r="O315" i="49"/>
  <c r="K317" i="49"/>
  <c r="G318" i="49"/>
  <c r="I316" i="49"/>
  <c r="M322" i="49"/>
  <c r="M315" i="49"/>
  <c r="G317" i="49"/>
  <c r="K316" i="49"/>
  <c r="G315" i="49"/>
  <c r="M318" i="49"/>
  <c r="Q322" i="49"/>
  <c r="Q315" i="49"/>
  <c r="G316" i="49"/>
  <c r="K318" i="49"/>
  <c r="Q316" i="49"/>
  <c r="C317" i="49"/>
  <c r="I317" i="49"/>
  <c r="Q318" i="49"/>
  <c r="G322" i="49"/>
  <c r="K315" i="49"/>
  <c r="O317" i="49"/>
  <c r="I322" i="49"/>
  <c r="O322" i="49"/>
  <c r="M316" i="49"/>
  <c r="O316" i="49"/>
  <c r="K322" i="49"/>
  <c r="Q317" i="49"/>
  <c r="I318" i="49"/>
  <c r="C318" i="49"/>
  <c r="C315" i="49"/>
  <c r="C316" i="49"/>
  <c r="I315" i="49"/>
  <c r="M317" i="49"/>
  <c r="O318" i="49"/>
  <c r="G307" i="49"/>
  <c r="G311" i="49" s="1"/>
  <c r="S302" i="49"/>
  <c r="S304" i="49"/>
  <c r="S305" i="49"/>
  <c r="U304" i="49"/>
  <c r="U303" i="49"/>
  <c r="U305" i="49"/>
  <c r="U302" i="49"/>
  <c r="B326" i="49"/>
  <c r="A339" i="49"/>
  <c r="U294" i="49"/>
  <c r="E1" i="30"/>
  <c r="C2" i="1"/>
  <c r="E331" i="49" l="1"/>
  <c r="E330" i="49"/>
  <c r="E329" i="49"/>
  <c r="E328" i="49"/>
  <c r="S311" i="49"/>
  <c r="U307" i="49"/>
  <c r="S317" i="49"/>
  <c r="O320" i="49"/>
  <c r="O324" i="49" s="1"/>
  <c r="A352" i="49"/>
  <c r="B339" i="49"/>
  <c r="M320" i="49"/>
  <c r="M324" i="49" s="1"/>
  <c r="G330" i="49"/>
  <c r="K335" i="49"/>
  <c r="K331" i="49"/>
  <c r="O335" i="49"/>
  <c r="C330" i="49"/>
  <c r="I331" i="49"/>
  <c r="Q331" i="49"/>
  <c r="M335" i="49"/>
  <c r="O330" i="49"/>
  <c r="I328" i="49"/>
  <c r="K329" i="49"/>
  <c r="O331" i="49"/>
  <c r="Q330" i="49"/>
  <c r="M329" i="49"/>
  <c r="K330" i="49"/>
  <c r="G335" i="49"/>
  <c r="O328" i="49"/>
  <c r="M330" i="49"/>
  <c r="M331" i="49"/>
  <c r="C331" i="49"/>
  <c r="G331" i="49"/>
  <c r="Q335" i="49"/>
  <c r="Q328" i="49"/>
  <c r="G328" i="49"/>
  <c r="I335" i="49"/>
  <c r="O329" i="49"/>
  <c r="M328" i="49"/>
  <c r="K328" i="49"/>
  <c r="G329" i="49"/>
  <c r="C328" i="49"/>
  <c r="I329" i="49"/>
  <c r="I330" i="49"/>
  <c r="Q329" i="49"/>
  <c r="C329" i="49"/>
  <c r="S307" i="49"/>
  <c r="S316" i="49"/>
  <c r="K320" i="49"/>
  <c r="K324" i="49" s="1"/>
  <c r="Q320" i="49"/>
  <c r="Q324" i="49" s="1"/>
  <c r="U315" i="49"/>
  <c r="U318" i="49"/>
  <c r="U316" i="49"/>
  <c r="U317" i="49"/>
  <c r="I320" i="49"/>
  <c r="I324" i="49" s="1"/>
  <c r="S315" i="49"/>
  <c r="G320" i="49"/>
  <c r="G324" i="49" s="1"/>
  <c r="S318" i="49"/>
  <c r="E109" i="16"/>
  <c r="E104" i="16"/>
  <c r="E344" i="49" l="1"/>
  <c r="E343" i="49"/>
  <c r="E342" i="49"/>
  <c r="E341" i="49"/>
  <c r="S331" i="49"/>
  <c r="K333" i="49"/>
  <c r="K337" i="49" s="1"/>
  <c r="O333" i="49"/>
  <c r="O337" i="49" s="1"/>
  <c r="U331" i="49"/>
  <c r="U328" i="49"/>
  <c r="U330" i="49"/>
  <c r="U329" i="49"/>
  <c r="S330" i="49"/>
  <c r="Q333" i="49"/>
  <c r="Q337" i="49" s="1"/>
  <c r="S324" i="49"/>
  <c r="S320" i="49"/>
  <c r="S329" i="49"/>
  <c r="M341" i="49"/>
  <c r="K343" i="49"/>
  <c r="C344" i="49"/>
  <c r="K342" i="49"/>
  <c r="Q341" i="49"/>
  <c r="K344" i="49"/>
  <c r="Q343" i="49"/>
  <c r="C341" i="49"/>
  <c r="G341" i="49"/>
  <c r="G344" i="49"/>
  <c r="I342" i="49"/>
  <c r="I343" i="49"/>
  <c r="O348" i="49"/>
  <c r="C342" i="49"/>
  <c r="Q342" i="49"/>
  <c r="M342" i="49"/>
  <c r="O344" i="49"/>
  <c r="G348" i="49"/>
  <c r="I341" i="49"/>
  <c r="M343" i="49"/>
  <c r="C343" i="49"/>
  <c r="M348" i="49"/>
  <c r="M344" i="49"/>
  <c r="Q348" i="49"/>
  <c r="G342" i="49"/>
  <c r="G343" i="49"/>
  <c r="O342" i="49"/>
  <c r="K348" i="49"/>
  <c r="I344" i="49"/>
  <c r="I348" i="49"/>
  <c r="O341" i="49"/>
  <c r="O343" i="49"/>
  <c r="Q344" i="49"/>
  <c r="K341" i="49"/>
  <c r="M333" i="49"/>
  <c r="M337" i="49" s="1"/>
  <c r="A365" i="49"/>
  <c r="B352" i="49"/>
  <c r="U320" i="49"/>
  <c r="S328" i="49"/>
  <c r="G333" i="49"/>
  <c r="G337" i="49" s="1"/>
  <c r="I333" i="49"/>
  <c r="I337" i="49" s="1"/>
  <c r="I28" i="27"/>
  <c r="I5" i="27"/>
  <c r="E357" i="49" l="1"/>
  <c r="E356" i="49"/>
  <c r="E355" i="49"/>
  <c r="E354" i="49"/>
  <c r="S333" i="49"/>
  <c r="S342" i="49"/>
  <c r="U333" i="49"/>
  <c r="O346" i="49"/>
  <c r="O350" i="49" s="1"/>
  <c r="Q346" i="49"/>
  <c r="Q350" i="49" s="1"/>
  <c r="S337" i="49"/>
  <c r="I346" i="49"/>
  <c r="I350" i="49" s="1"/>
  <c r="K346" i="49"/>
  <c r="K350" i="49" s="1"/>
  <c r="S343" i="49"/>
  <c r="U341" i="49"/>
  <c r="U344" i="49"/>
  <c r="U342" i="49"/>
  <c r="U343" i="49"/>
  <c r="S344" i="49"/>
  <c r="G346" i="49"/>
  <c r="G350" i="49" s="1"/>
  <c r="S341" i="49"/>
  <c r="M346" i="49"/>
  <c r="M350" i="49" s="1"/>
  <c r="C356" i="49"/>
  <c r="G361" i="49"/>
  <c r="Q355" i="49"/>
  <c r="K361" i="49"/>
  <c r="I356" i="49"/>
  <c r="I355" i="49"/>
  <c r="M361" i="49"/>
  <c r="G354" i="49"/>
  <c r="K355" i="49"/>
  <c r="I361" i="49"/>
  <c r="G357" i="49"/>
  <c r="M355" i="49"/>
  <c r="I354" i="49"/>
  <c r="G355" i="49"/>
  <c r="K357" i="49"/>
  <c r="M354" i="49"/>
  <c r="M356" i="49"/>
  <c r="C357" i="49"/>
  <c r="K354" i="49"/>
  <c r="O355" i="49"/>
  <c r="G356" i="49"/>
  <c r="I357" i="49"/>
  <c r="C354" i="49"/>
  <c r="M357" i="49"/>
  <c r="Q361" i="49"/>
  <c r="Q356" i="49"/>
  <c r="C355" i="49"/>
  <c r="O354" i="49"/>
  <c r="O356" i="49"/>
  <c r="Q354" i="49"/>
  <c r="K356" i="49"/>
  <c r="O357" i="49"/>
  <c r="Q357" i="49"/>
  <c r="O361" i="49"/>
  <c r="A378" i="49"/>
  <c r="B365" i="49"/>
  <c r="G5" i="27"/>
  <c r="F5" i="27"/>
  <c r="E370" i="49" l="1"/>
  <c r="E369" i="49"/>
  <c r="E368" i="49"/>
  <c r="E367" i="49"/>
  <c r="I359" i="49"/>
  <c r="I363" i="49" s="1"/>
  <c r="S350" i="49"/>
  <c r="I368" i="49"/>
  <c r="K370" i="49"/>
  <c r="Q367" i="49"/>
  <c r="G374" i="49"/>
  <c r="O369" i="49"/>
  <c r="O374" i="49"/>
  <c r="G368" i="49"/>
  <c r="M367" i="49"/>
  <c r="O370" i="49"/>
  <c r="I369" i="49"/>
  <c r="G367" i="49"/>
  <c r="K368" i="49"/>
  <c r="Q369" i="49"/>
  <c r="I370" i="49"/>
  <c r="C367" i="49"/>
  <c r="K369" i="49"/>
  <c r="M374" i="49"/>
  <c r="C368" i="49"/>
  <c r="Q368" i="49"/>
  <c r="M369" i="49"/>
  <c r="M370" i="49"/>
  <c r="O367" i="49"/>
  <c r="C370" i="49"/>
  <c r="G369" i="49"/>
  <c r="I374" i="49"/>
  <c r="Q370" i="49"/>
  <c r="K367" i="49"/>
  <c r="M368" i="49"/>
  <c r="O368" i="49"/>
  <c r="I367" i="49"/>
  <c r="C369" i="49"/>
  <c r="G370" i="49"/>
  <c r="K374" i="49"/>
  <c r="Q374" i="49"/>
  <c r="Q359" i="49"/>
  <c r="Q363" i="49" s="1"/>
  <c r="U346" i="49"/>
  <c r="S355" i="49"/>
  <c r="S354" i="49"/>
  <c r="G359" i="49"/>
  <c r="G363" i="49" s="1"/>
  <c r="M359" i="49"/>
  <c r="M363" i="49" s="1"/>
  <c r="U356" i="49"/>
  <c r="U355" i="49"/>
  <c r="U354" i="49"/>
  <c r="U357" i="49"/>
  <c r="A391" i="49"/>
  <c r="B378" i="49"/>
  <c r="S356" i="49"/>
  <c r="S346" i="49"/>
  <c r="O359" i="49"/>
  <c r="O363" i="49" s="1"/>
  <c r="K359" i="49"/>
  <c r="K363" i="49" s="1"/>
  <c r="S357" i="49"/>
  <c r="H5" i="27"/>
  <c r="J5" i="27"/>
  <c r="K5" i="27"/>
  <c r="L5" i="27"/>
  <c r="M5" i="27"/>
  <c r="N5" i="27"/>
  <c r="E5" i="27"/>
  <c r="D5" i="27"/>
  <c r="B55" i="30"/>
  <c r="C55" i="30"/>
  <c r="B2" i="30"/>
  <c r="C2" i="30"/>
  <c r="D2" i="30"/>
  <c r="E2" i="30"/>
  <c r="F2" i="30"/>
  <c r="G2" i="30"/>
  <c r="H2" i="30"/>
  <c r="I2" i="30"/>
  <c r="BA2" i="1"/>
  <c r="AT2" i="1"/>
  <c r="AM2" i="1"/>
  <c r="AF2" i="1"/>
  <c r="AI33" i="1" s="1"/>
  <c r="Y2" i="1"/>
  <c r="R2" i="1"/>
  <c r="K2" i="1"/>
  <c r="N33" i="1" s="1"/>
  <c r="D2" i="1"/>
  <c r="G10" i="32"/>
  <c r="H10" i="32"/>
  <c r="I10" i="32"/>
  <c r="J10" i="32"/>
  <c r="K10" i="32"/>
  <c r="L10" i="32"/>
  <c r="M10" i="32"/>
  <c r="N10" i="32"/>
  <c r="E383" i="49" l="1"/>
  <c r="E382" i="49"/>
  <c r="E381" i="49"/>
  <c r="E380" i="49"/>
  <c r="A3" i="185"/>
  <c r="A3" i="192"/>
  <c r="S359" i="49"/>
  <c r="I372" i="49"/>
  <c r="I376" i="49" s="1"/>
  <c r="S363" i="49"/>
  <c r="S368" i="49"/>
  <c r="U359" i="49"/>
  <c r="K372" i="49"/>
  <c r="K376" i="49" s="1"/>
  <c r="S367" i="49"/>
  <c r="G372" i="49"/>
  <c r="G376" i="49" s="1"/>
  <c r="U370" i="49"/>
  <c r="U367" i="49"/>
  <c r="U368" i="49"/>
  <c r="U369" i="49"/>
  <c r="M380" i="49"/>
  <c r="O382" i="49"/>
  <c r="G387" i="49"/>
  <c r="G380" i="49"/>
  <c r="K381" i="49"/>
  <c r="M387" i="49"/>
  <c r="O381" i="49"/>
  <c r="K383" i="49"/>
  <c r="G383" i="49"/>
  <c r="C381" i="49"/>
  <c r="K387" i="49"/>
  <c r="M383" i="49"/>
  <c r="O380" i="49"/>
  <c r="G381" i="49"/>
  <c r="C382" i="49"/>
  <c r="Q382" i="49"/>
  <c r="I387" i="49"/>
  <c r="K380" i="49"/>
  <c r="Q387" i="49"/>
  <c r="O383" i="49"/>
  <c r="K382" i="49"/>
  <c r="I383" i="49"/>
  <c r="G382" i="49"/>
  <c r="Q383" i="49"/>
  <c r="I380" i="49"/>
  <c r="M382" i="49"/>
  <c r="I382" i="49"/>
  <c r="Q381" i="49"/>
  <c r="I381" i="49"/>
  <c r="C383" i="49"/>
  <c r="M381" i="49"/>
  <c r="Q380" i="49"/>
  <c r="C380" i="49"/>
  <c r="O387" i="49"/>
  <c r="B391" i="49"/>
  <c r="A404" i="49"/>
  <c r="S370" i="49"/>
  <c r="S369" i="49"/>
  <c r="Q372" i="49"/>
  <c r="Q376" i="49" s="1"/>
  <c r="O372" i="49"/>
  <c r="O376" i="49" s="1"/>
  <c r="M372" i="49"/>
  <c r="M376" i="49" s="1"/>
  <c r="BD33" i="1"/>
  <c r="AP33" i="1"/>
  <c r="AB33" i="1"/>
  <c r="AW33" i="1"/>
  <c r="U33" i="1"/>
  <c r="A2" i="184"/>
  <c r="I43" i="32" s="1"/>
  <c r="A2" i="183"/>
  <c r="H43" i="32" s="1"/>
  <c r="A3" i="177"/>
  <c r="A3" i="162"/>
  <c r="A2" i="182"/>
  <c r="A3" i="181"/>
  <c r="A3" i="180"/>
  <c r="I111" i="32" s="1"/>
  <c r="A3" i="174"/>
  <c r="A3" i="171"/>
  <c r="A3" i="155"/>
  <c r="A3" i="156"/>
  <c r="A3" i="178"/>
  <c r="G22" i="32" s="1"/>
  <c r="G33" i="1"/>
  <c r="H54" i="1" l="1"/>
  <c r="I54" i="1" s="1"/>
  <c r="V54" i="1"/>
  <c r="W54" i="1" s="1"/>
  <c r="I17" i="1"/>
  <c r="B14" i="30" s="1"/>
  <c r="P36" i="1"/>
  <c r="I36" i="1"/>
  <c r="I15" i="1"/>
  <c r="B12" i="30" s="1"/>
  <c r="I16" i="1"/>
  <c r="B13" i="30" s="1"/>
  <c r="P16" i="1"/>
  <c r="P17" i="1"/>
  <c r="W16" i="1"/>
  <c r="AD16" i="1" s="1"/>
  <c r="W17" i="1"/>
  <c r="AD17" i="1" s="1"/>
  <c r="W36" i="1"/>
  <c r="AD36" i="1" s="1"/>
  <c r="G136" i="32"/>
  <c r="G12" i="191" s="1"/>
  <c r="G137" i="32"/>
  <c r="G13" i="191" s="1"/>
  <c r="D24" i="27"/>
  <c r="D29" i="27" s="1"/>
  <c r="D22" i="27"/>
  <c r="F24" i="27"/>
  <c r="F22" i="27"/>
  <c r="G52" i="32"/>
  <c r="G77" i="32"/>
  <c r="G79" i="32"/>
  <c r="G61" i="32"/>
  <c r="G88" i="32"/>
  <c r="G70" i="32"/>
  <c r="H138" i="32"/>
  <c r="I14" i="191" s="1"/>
  <c r="I138" i="32"/>
  <c r="G138" i="32"/>
  <c r="G14" i="191" s="1"/>
  <c r="AD40" i="1"/>
  <c r="AK40" i="1" s="1"/>
  <c r="AR40" i="1" s="1"/>
  <c r="AY40" i="1" s="1"/>
  <c r="BF40" i="1" s="1"/>
  <c r="P70" i="1"/>
  <c r="C23" i="30"/>
  <c r="E396" i="49"/>
  <c r="E395" i="49"/>
  <c r="E394" i="49"/>
  <c r="E393" i="49"/>
  <c r="C28" i="170"/>
  <c r="G43" i="32"/>
  <c r="C26" i="170"/>
  <c r="H136" i="32"/>
  <c r="I12" i="191" s="1"/>
  <c r="I137" i="32"/>
  <c r="H137" i="32"/>
  <c r="I13" i="191" s="1"/>
  <c r="I136" i="32"/>
  <c r="S382" i="49"/>
  <c r="M385" i="49"/>
  <c r="M389" i="49" s="1"/>
  <c r="O385" i="49"/>
  <c r="O389" i="49" s="1"/>
  <c r="U372" i="49"/>
  <c r="S383" i="49"/>
  <c r="B404" i="49"/>
  <c r="A417" i="49"/>
  <c r="K400" i="49"/>
  <c r="I400" i="49"/>
  <c r="G395" i="49"/>
  <c r="M400" i="49"/>
  <c r="I393" i="49"/>
  <c r="I395" i="49"/>
  <c r="M394" i="49"/>
  <c r="I394" i="49"/>
  <c r="K396" i="49"/>
  <c r="K395" i="49"/>
  <c r="M396" i="49"/>
  <c r="G394" i="49"/>
  <c r="M393" i="49"/>
  <c r="O395" i="49"/>
  <c r="C393" i="49"/>
  <c r="Q393" i="49"/>
  <c r="C394" i="49"/>
  <c r="Q394" i="49"/>
  <c r="O394" i="49"/>
  <c r="M395" i="49"/>
  <c r="K393" i="49"/>
  <c r="O400" i="49"/>
  <c r="G400" i="49"/>
  <c r="C396" i="49"/>
  <c r="O396" i="49"/>
  <c r="G393" i="49"/>
  <c r="I396" i="49"/>
  <c r="Q395" i="49"/>
  <c r="G396" i="49"/>
  <c r="Q396" i="49"/>
  <c r="C395" i="49"/>
  <c r="O393" i="49"/>
  <c r="Q400" i="49"/>
  <c r="K394" i="49"/>
  <c r="S381" i="49"/>
  <c r="Q385" i="49"/>
  <c r="Q389" i="49" s="1"/>
  <c r="I385" i="49"/>
  <c r="I389" i="49" s="1"/>
  <c r="K385" i="49"/>
  <c r="K389" i="49" s="1"/>
  <c r="G385" i="49"/>
  <c r="G389" i="49" s="1"/>
  <c r="S380" i="49"/>
  <c r="S376" i="49"/>
  <c r="U383" i="49"/>
  <c r="U382" i="49"/>
  <c r="U380" i="49"/>
  <c r="U381" i="49"/>
  <c r="S372" i="49"/>
  <c r="P15" i="1"/>
  <c r="C12" i="30" s="1"/>
  <c r="G122" i="32"/>
  <c r="C27" i="170"/>
  <c r="G116" i="32"/>
  <c r="G115" i="32"/>
  <c r="G114" i="32"/>
  <c r="G113" i="32"/>
  <c r="G112" i="32"/>
  <c r="G111" i="32"/>
  <c r="G117" i="32"/>
  <c r="G118" i="32"/>
  <c r="G110" i="32"/>
  <c r="I112" i="32"/>
  <c r="I118" i="32"/>
  <c r="I110" i="32"/>
  <c r="I113" i="32"/>
  <c r="I117" i="32"/>
  <c r="I22" i="32"/>
  <c r="J22" i="32" s="1"/>
  <c r="I116" i="32"/>
  <c r="I115" i="32"/>
  <c r="I114" i="32"/>
  <c r="G126" i="32"/>
  <c r="D10" i="1" s="1"/>
  <c r="G125" i="32"/>
  <c r="G123" i="32"/>
  <c r="D6" i="1" s="1"/>
  <c r="H117" i="32"/>
  <c r="H116" i="32"/>
  <c r="H115" i="32"/>
  <c r="H114" i="32"/>
  <c r="H110" i="32"/>
  <c r="H113" i="32"/>
  <c r="H118" i="32"/>
  <c r="H112" i="32"/>
  <c r="H111" i="32"/>
  <c r="I123" i="32"/>
  <c r="R6" i="1" s="1"/>
  <c r="I122" i="32"/>
  <c r="R5" i="1" s="1"/>
  <c r="I125" i="32"/>
  <c r="R9" i="1" s="1"/>
  <c r="I126" i="32"/>
  <c r="R10" i="1" s="1"/>
  <c r="G38" i="32"/>
  <c r="H123" i="32"/>
  <c r="K6" i="1" s="1"/>
  <c r="H122" i="32"/>
  <c r="H126" i="32"/>
  <c r="K10" i="1" s="1"/>
  <c r="H125" i="32"/>
  <c r="F9" i="27"/>
  <c r="D9" i="27"/>
  <c r="D25" i="27"/>
  <c r="E25" i="27" s="1"/>
  <c r="I56" i="32"/>
  <c r="I65" i="32"/>
  <c r="I52" i="32"/>
  <c r="I92" i="32"/>
  <c r="I79" i="32"/>
  <c r="I70" i="32"/>
  <c r="I74" i="32"/>
  <c r="I88" i="32"/>
  <c r="I83" i="32"/>
  <c r="I61" i="32"/>
  <c r="H56" i="32"/>
  <c r="H52" i="32"/>
  <c r="H79" i="32"/>
  <c r="H83" i="32"/>
  <c r="H92" i="32"/>
  <c r="H88" i="32"/>
  <c r="H70" i="32"/>
  <c r="H61" i="32"/>
  <c r="H74" i="32"/>
  <c r="H65" i="32"/>
  <c r="G51" i="32"/>
  <c r="G56" i="32"/>
  <c r="G50" i="32"/>
  <c r="G54" i="32"/>
  <c r="G55" i="32"/>
  <c r="G87" i="32"/>
  <c r="G72" i="32"/>
  <c r="G64" i="32"/>
  <c r="G83" i="32"/>
  <c r="G60" i="32"/>
  <c r="G82" i="32"/>
  <c r="G81" i="32"/>
  <c r="G86" i="32"/>
  <c r="G63" i="32"/>
  <c r="G59" i="32"/>
  <c r="G65" i="32"/>
  <c r="G92" i="32"/>
  <c r="G78" i="32"/>
  <c r="G91" i="32"/>
  <c r="G69" i="32"/>
  <c r="G90" i="32"/>
  <c r="G68" i="32"/>
  <c r="G74" i="32"/>
  <c r="G73" i="32"/>
  <c r="I23" i="32"/>
  <c r="J23" i="32" s="1"/>
  <c r="I24" i="32"/>
  <c r="J24" i="32" s="1"/>
  <c r="I27" i="32"/>
  <c r="J27" i="32" s="1"/>
  <c r="I30" i="32"/>
  <c r="I28" i="32"/>
  <c r="J28" i="32" s="1"/>
  <c r="I25" i="32"/>
  <c r="J25" i="32" s="1"/>
  <c r="I38" i="32"/>
  <c r="T60" i="1"/>
  <c r="U60" i="1"/>
  <c r="B23" i="30"/>
  <c r="G60" i="1"/>
  <c r="I70" i="1"/>
  <c r="B30" i="30" s="1"/>
  <c r="F60" i="1"/>
  <c r="M60" i="1"/>
  <c r="N60" i="1"/>
  <c r="G44" i="32"/>
  <c r="H44" i="32"/>
  <c r="I44" i="32"/>
  <c r="J44" i="32" s="1"/>
  <c r="H28" i="32"/>
  <c r="H27" i="32"/>
  <c r="H25" i="32"/>
  <c r="H24" i="32"/>
  <c r="H23" i="32"/>
  <c r="H30" i="32"/>
  <c r="L60" i="1" s="1"/>
  <c r="H22" i="32"/>
  <c r="AD41" i="1"/>
  <c r="AK41" i="1" s="1"/>
  <c r="AR41" i="1" s="1"/>
  <c r="AY41" i="1" s="1"/>
  <c r="BF41" i="1" s="1"/>
  <c r="H38" i="32"/>
  <c r="G30" i="32"/>
  <c r="G28" i="32"/>
  <c r="G29" i="1" s="1"/>
  <c r="E21" i="1"/>
  <c r="G27" i="32"/>
  <c r="I28" i="1" s="1"/>
  <c r="G25" i="32"/>
  <c r="H21" i="1" s="1"/>
  <c r="G24" i="32"/>
  <c r="G21" i="1" s="1"/>
  <c r="G23" i="32"/>
  <c r="F21" i="1" s="1"/>
  <c r="G98" i="32" l="1"/>
  <c r="G16" i="191"/>
  <c r="I16" i="191"/>
  <c r="P60" i="1"/>
  <c r="C22" i="30" s="1"/>
  <c r="C24" i="30" s="1"/>
  <c r="G39" i="32"/>
  <c r="J38" i="32"/>
  <c r="I124" i="32"/>
  <c r="I127" i="32"/>
  <c r="K5" i="1"/>
  <c r="L5" i="1" s="1"/>
  <c r="H124" i="32"/>
  <c r="D5" i="1"/>
  <c r="E5" i="1" s="1"/>
  <c r="G124" i="32"/>
  <c r="D9" i="1"/>
  <c r="D11" i="1" s="1"/>
  <c r="G35" i="1" s="1"/>
  <c r="I35" i="1" s="1"/>
  <c r="G127" i="32"/>
  <c r="K9" i="1"/>
  <c r="K11" i="1" s="1"/>
  <c r="H127" i="32"/>
  <c r="E409" i="49"/>
  <c r="E408" i="49"/>
  <c r="E407" i="49"/>
  <c r="E406" i="49"/>
  <c r="K13" i="191"/>
  <c r="K14" i="191"/>
  <c r="K12" i="191"/>
  <c r="S385" i="49"/>
  <c r="O398" i="49"/>
  <c r="O402" i="49" s="1"/>
  <c r="U385" i="49"/>
  <c r="K398" i="49"/>
  <c r="K402" i="49" s="1"/>
  <c r="S396" i="49"/>
  <c r="M398" i="49"/>
  <c r="M402" i="49" s="1"/>
  <c r="B417" i="49"/>
  <c r="A430" i="49"/>
  <c r="K406" i="49"/>
  <c r="M408" i="49"/>
  <c r="Q409" i="49"/>
  <c r="G409" i="49"/>
  <c r="K408" i="49"/>
  <c r="M413" i="49"/>
  <c r="Q407" i="49"/>
  <c r="M407" i="49"/>
  <c r="O408" i="49"/>
  <c r="C409" i="49"/>
  <c r="I408" i="49"/>
  <c r="M406" i="49"/>
  <c r="Q408" i="49"/>
  <c r="Q413" i="49"/>
  <c r="K413" i="49"/>
  <c r="K407" i="49"/>
  <c r="C408" i="49"/>
  <c r="Q406" i="49"/>
  <c r="I409" i="49"/>
  <c r="O407" i="49"/>
  <c r="M409" i="49"/>
  <c r="C407" i="49"/>
  <c r="I407" i="49"/>
  <c r="O413" i="49"/>
  <c r="G408" i="49"/>
  <c r="I406" i="49"/>
  <c r="I413" i="49"/>
  <c r="K409" i="49"/>
  <c r="C406" i="49"/>
  <c r="G407" i="49"/>
  <c r="O406" i="49"/>
  <c r="G406" i="49"/>
  <c r="G413" i="49"/>
  <c r="O409" i="49"/>
  <c r="S394" i="49"/>
  <c r="I398" i="49"/>
  <c r="I402" i="49" s="1"/>
  <c r="G398" i="49"/>
  <c r="G402" i="49" s="1"/>
  <c r="S393" i="49"/>
  <c r="S395" i="49"/>
  <c r="S389" i="49"/>
  <c r="Q398" i="49"/>
  <c r="Q402" i="49" s="1"/>
  <c r="U394" i="49"/>
  <c r="U395" i="49"/>
  <c r="U396" i="49"/>
  <c r="U393" i="49"/>
  <c r="J45" i="32"/>
  <c r="Y10" i="1"/>
  <c r="J98" i="32"/>
  <c r="Y9" i="1"/>
  <c r="J102" i="32"/>
  <c r="Y6" i="1"/>
  <c r="G40" i="32"/>
  <c r="E6" i="1"/>
  <c r="E10" i="1"/>
  <c r="G10" i="1" s="1"/>
  <c r="B15" i="30"/>
  <c r="I18" i="1"/>
  <c r="B53" i="30"/>
  <c r="I102" i="32"/>
  <c r="G96" i="32"/>
  <c r="G97" i="32"/>
  <c r="G102" i="32"/>
  <c r="G101" i="32"/>
  <c r="H98" i="32"/>
  <c r="H102" i="32"/>
  <c r="I98" i="32"/>
  <c r="G100" i="32"/>
  <c r="C30" i="30"/>
  <c r="M70" i="1"/>
  <c r="N70" i="1" s="1"/>
  <c r="K44" i="32"/>
  <c r="H45" i="32"/>
  <c r="I45" i="32"/>
  <c r="N29" i="1"/>
  <c r="G45" i="32"/>
  <c r="I40" i="32"/>
  <c r="AK17" i="1"/>
  <c r="AR17" i="1" s="1"/>
  <c r="D14" i="30"/>
  <c r="AK16" i="1"/>
  <c r="AR16" i="1" s="1"/>
  <c r="D13" i="30"/>
  <c r="E29" i="1"/>
  <c r="I29" i="1" s="1"/>
  <c r="E60" i="1"/>
  <c r="I60" i="1" s="1"/>
  <c r="B22" i="30" s="1"/>
  <c r="AA35" i="1"/>
  <c r="AA34" i="1"/>
  <c r="AH34" i="1" s="1"/>
  <c r="U21" i="1"/>
  <c r="N21" i="1"/>
  <c r="S21" i="1"/>
  <c r="L21" i="1"/>
  <c r="V21" i="1"/>
  <c r="O21" i="1"/>
  <c r="L29" i="1"/>
  <c r="T21" i="1"/>
  <c r="M21" i="1"/>
  <c r="P28" i="1"/>
  <c r="P18" i="1"/>
  <c r="D12" i="30"/>
  <c r="L6" i="1"/>
  <c r="G105" i="32" l="1"/>
  <c r="K16" i="191"/>
  <c r="K7" i="1"/>
  <c r="N34" i="1" s="1"/>
  <c r="H129" i="32"/>
  <c r="B33" i="30"/>
  <c r="G129" i="32"/>
  <c r="I129" i="32"/>
  <c r="D7" i="1"/>
  <c r="G34" i="1" s="1"/>
  <c r="I34" i="1" s="1"/>
  <c r="I38" i="1" s="1"/>
  <c r="E9" i="1"/>
  <c r="H9" i="1" s="1"/>
  <c r="E422" i="49"/>
  <c r="E421" i="49"/>
  <c r="E420" i="49"/>
  <c r="E419" i="49"/>
  <c r="D23" i="30"/>
  <c r="M12" i="191"/>
  <c r="M14" i="191"/>
  <c r="M13" i="191"/>
  <c r="K45" i="32"/>
  <c r="S407" i="49"/>
  <c r="S402" i="49"/>
  <c r="K411" i="49"/>
  <c r="K415" i="49" s="1"/>
  <c r="S398" i="49"/>
  <c r="B430" i="49"/>
  <c r="A443" i="49"/>
  <c r="Q421" i="49"/>
  <c r="G426" i="49"/>
  <c r="O422" i="49"/>
  <c r="I421" i="49"/>
  <c r="K420" i="49"/>
  <c r="C421" i="49"/>
  <c r="O420" i="49"/>
  <c r="C422" i="49"/>
  <c r="I426" i="49"/>
  <c r="O419" i="49"/>
  <c r="M420" i="49"/>
  <c r="G422" i="49"/>
  <c r="G421" i="49"/>
  <c r="K419" i="49"/>
  <c r="Q419" i="49"/>
  <c r="M421" i="49"/>
  <c r="I419" i="49"/>
  <c r="K421" i="49"/>
  <c r="I422" i="49"/>
  <c r="Q426" i="49"/>
  <c r="K426" i="49"/>
  <c r="K422" i="49"/>
  <c r="C419" i="49"/>
  <c r="G420" i="49"/>
  <c r="O421" i="49"/>
  <c r="Q420" i="49"/>
  <c r="M426" i="49"/>
  <c r="O426" i="49"/>
  <c r="C420" i="49"/>
  <c r="Q422" i="49"/>
  <c r="M422" i="49"/>
  <c r="M419" i="49"/>
  <c r="G419" i="49"/>
  <c r="I420" i="49"/>
  <c r="U409" i="49"/>
  <c r="U407" i="49"/>
  <c r="U408" i="49"/>
  <c r="U406" i="49"/>
  <c r="I411" i="49"/>
  <c r="I415" i="49" s="1"/>
  <c r="S406" i="49"/>
  <c r="G411" i="49"/>
  <c r="G415" i="49" s="1"/>
  <c r="S408" i="49"/>
  <c r="M411" i="49"/>
  <c r="M415" i="49" s="1"/>
  <c r="S409" i="49"/>
  <c r="O411" i="49"/>
  <c r="O415" i="49" s="1"/>
  <c r="Q411" i="49"/>
  <c r="Q415" i="49" s="1"/>
  <c r="U398" i="49"/>
  <c r="G106" i="32"/>
  <c r="F6" i="1" s="1"/>
  <c r="G6" i="1" s="1"/>
  <c r="Y11" i="1"/>
  <c r="AB35" i="1" s="1"/>
  <c r="AD35" i="1" s="1"/>
  <c r="H10" i="1"/>
  <c r="E7" i="1"/>
  <c r="K102" i="32"/>
  <c r="Y5" i="1"/>
  <c r="Y7" i="1" s="1"/>
  <c r="AB34" i="1" s="1"/>
  <c r="J105" i="32"/>
  <c r="AF10" i="1"/>
  <c r="AF9" i="1"/>
  <c r="AF6" i="1"/>
  <c r="K98" i="32"/>
  <c r="P62" i="1"/>
  <c r="AH35" i="1"/>
  <c r="L44" i="32"/>
  <c r="J46" i="32"/>
  <c r="J13" i="27" s="1"/>
  <c r="E33" i="30"/>
  <c r="G46" i="32"/>
  <c r="C33" i="30"/>
  <c r="H46" i="32"/>
  <c r="I46" i="32"/>
  <c r="D33" i="30"/>
  <c r="P29" i="1"/>
  <c r="E13" i="30"/>
  <c r="I62" i="1"/>
  <c r="B24" i="30"/>
  <c r="E14" i="30"/>
  <c r="N35" i="1"/>
  <c r="P35" i="1" s="1"/>
  <c r="I105" i="32"/>
  <c r="J106" i="32"/>
  <c r="H105" i="32"/>
  <c r="S60" i="1"/>
  <c r="W60" i="1" s="1"/>
  <c r="S29" i="1"/>
  <c r="AO34" i="1"/>
  <c r="W28" i="1"/>
  <c r="J30" i="32"/>
  <c r="AD15" i="1"/>
  <c r="E12" i="30" s="1"/>
  <c r="W18" i="1"/>
  <c r="L7" i="1"/>
  <c r="I106" i="32"/>
  <c r="H106" i="32"/>
  <c r="AT3" i="1"/>
  <c r="K17" i="191" l="1"/>
  <c r="K26" i="191" s="1"/>
  <c r="AY17" i="1"/>
  <c r="AY16" i="1"/>
  <c r="K13" i="1"/>
  <c r="G7" i="27" s="1"/>
  <c r="E11" i="1"/>
  <c r="E13" i="1" s="1"/>
  <c r="B34" i="30"/>
  <c r="B32" i="30" s="1"/>
  <c r="I49" i="1"/>
  <c r="H11" i="1"/>
  <c r="C34" i="30"/>
  <c r="C32" i="30" s="1"/>
  <c r="P49" i="1"/>
  <c r="G9" i="1"/>
  <c r="D13" i="1"/>
  <c r="E7" i="27" s="1"/>
  <c r="E9" i="27" s="1"/>
  <c r="I42" i="1"/>
  <c r="E12" i="27"/>
  <c r="D34" i="30"/>
  <c r="D32" i="30" s="1"/>
  <c r="W49" i="1"/>
  <c r="H13" i="27" s="1"/>
  <c r="E435" i="49"/>
  <c r="E434" i="49"/>
  <c r="E433" i="49"/>
  <c r="E432" i="49"/>
  <c r="L45" i="32"/>
  <c r="O13" i="191"/>
  <c r="O14" i="191"/>
  <c r="M16" i="191"/>
  <c r="Q17" i="191" s="1"/>
  <c r="O12" i="191"/>
  <c r="E34" i="30"/>
  <c r="E32" i="30" s="1"/>
  <c r="AD49" i="1"/>
  <c r="AD71" i="1" s="1"/>
  <c r="U411" i="49"/>
  <c r="Q424" i="49"/>
  <c r="Q428" i="49" s="1"/>
  <c r="K424" i="49"/>
  <c r="K428" i="49" s="1"/>
  <c r="B443" i="49"/>
  <c r="A456" i="49"/>
  <c r="G432" i="49"/>
  <c r="M433" i="49"/>
  <c r="M435" i="49"/>
  <c r="C435" i="49"/>
  <c r="C432" i="49"/>
  <c r="K435" i="49"/>
  <c r="K434" i="49"/>
  <c r="I433" i="49"/>
  <c r="I439" i="49"/>
  <c r="Q432" i="49"/>
  <c r="O433" i="49"/>
  <c r="I435" i="49"/>
  <c r="O439" i="49"/>
  <c r="M432" i="49"/>
  <c r="M434" i="49"/>
  <c r="C434" i="49"/>
  <c r="G439" i="49"/>
  <c r="O434" i="49"/>
  <c r="C433" i="49"/>
  <c r="G435" i="49"/>
  <c r="Q434" i="49"/>
  <c r="Q439" i="49"/>
  <c r="K439" i="49"/>
  <c r="O432" i="49"/>
  <c r="K432" i="49"/>
  <c r="Q435" i="49"/>
  <c r="I434" i="49"/>
  <c r="I432" i="49"/>
  <c r="M439" i="49"/>
  <c r="G434" i="49"/>
  <c r="Q433" i="49"/>
  <c r="O435" i="49"/>
  <c r="K433" i="49"/>
  <c r="G433" i="49"/>
  <c r="G424" i="49"/>
  <c r="G428" i="49" s="1"/>
  <c r="S419" i="49"/>
  <c r="S411" i="49"/>
  <c r="M424" i="49"/>
  <c r="M428" i="49" s="1"/>
  <c r="S420" i="49"/>
  <c r="S421" i="49"/>
  <c r="S422" i="49"/>
  <c r="S415" i="49"/>
  <c r="I424" i="49"/>
  <c r="I428" i="49" s="1"/>
  <c r="O424" i="49"/>
  <c r="O428" i="49" s="1"/>
  <c r="U421" i="49"/>
  <c r="U422" i="49"/>
  <c r="U420" i="49"/>
  <c r="U419" i="49"/>
  <c r="K106" i="32"/>
  <c r="AH6" i="1" s="1"/>
  <c r="AF11" i="1"/>
  <c r="AI35" i="1" s="1"/>
  <c r="AK35" i="1" s="1"/>
  <c r="AM9" i="1"/>
  <c r="AM10" i="1"/>
  <c r="Y13" i="1"/>
  <c r="J7" i="27" s="1"/>
  <c r="AF5" i="1"/>
  <c r="AF7" i="1" s="1"/>
  <c r="AI34" i="1" s="1"/>
  <c r="AK34" i="1" s="1"/>
  <c r="AM6" i="1"/>
  <c r="L98" i="32"/>
  <c r="K105" i="32"/>
  <c r="L102" i="32"/>
  <c r="AA6" i="1"/>
  <c r="AA5" i="1"/>
  <c r="T6" i="1"/>
  <c r="T5" i="1"/>
  <c r="AO35" i="1"/>
  <c r="F33" i="30"/>
  <c r="K46" i="32"/>
  <c r="AK49" i="1" s="1"/>
  <c r="AK71" i="1" s="1"/>
  <c r="M44" i="32"/>
  <c r="W62" i="1"/>
  <c r="D22" i="30"/>
  <c r="D24" i="30" s="1"/>
  <c r="F14" i="30"/>
  <c r="F13" i="30"/>
  <c r="K30" i="32"/>
  <c r="Z60" i="1"/>
  <c r="Z29" i="1"/>
  <c r="AD28" i="1"/>
  <c r="AV34" i="1"/>
  <c r="AK15" i="1"/>
  <c r="F12" i="30" s="1"/>
  <c r="AD18" i="1"/>
  <c r="M6" i="1"/>
  <c r="N6" i="1" s="1"/>
  <c r="M5" i="1"/>
  <c r="F5" i="1"/>
  <c r="M17" i="191" l="1"/>
  <c r="M26" i="191" s="1"/>
  <c r="B7" i="30"/>
  <c r="B41" i="30"/>
  <c r="P71" i="1"/>
  <c r="G13" i="27"/>
  <c r="I71" i="1"/>
  <c r="E13" i="27"/>
  <c r="E14" i="27" s="1"/>
  <c r="F34" i="30"/>
  <c r="F32" i="30" s="1"/>
  <c r="K13" i="27"/>
  <c r="W71" i="1"/>
  <c r="I13" i="27"/>
  <c r="E448" i="49"/>
  <c r="E447" i="49"/>
  <c r="E446" i="49"/>
  <c r="E445" i="49"/>
  <c r="O16" i="191"/>
  <c r="Q12" i="191"/>
  <c r="Q14" i="191"/>
  <c r="Q13" i="191"/>
  <c r="AH71" i="1"/>
  <c r="AI71" i="1" s="1"/>
  <c r="U424" i="49"/>
  <c r="S424" i="49"/>
  <c r="M437" i="49"/>
  <c r="M441" i="49" s="1"/>
  <c r="S433" i="49"/>
  <c r="K437" i="49"/>
  <c r="K441" i="49" s="1"/>
  <c r="Q437" i="49"/>
  <c r="Q441" i="49" s="1"/>
  <c r="U433" i="49"/>
  <c r="U432" i="49"/>
  <c r="U435" i="49"/>
  <c r="U434" i="49"/>
  <c r="O437" i="49"/>
  <c r="O441" i="49" s="1"/>
  <c r="S434" i="49"/>
  <c r="S432" i="49"/>
  <c r="G437" i="49"/>
  <c r="G441" i="49" s="1"/>
  <c r="B456" i="49"/>
  <c r="A469" i="49"/>
  <c r="S428" i="49"/>
  <c r="I437" i="49"/>
  <c r="I441" i="49" s="1"/>
  <c r="S435" i="49"/>
  <c r="K447" i="49"/>
  <c r="Q448" i="49"/>
  <c r="C447" i="49"/>
  <c r="M446" i="49"/>
  <c r="K445" i="49"/>
  <c r="K446" i="49"/>
  <c r="I452" i="49"/>
  <c r="O446" i="49"/>
  <c r="O447" i="49"/>
  <c r="Q445" i="49"/>
  <c r="I446" i="49"/>
  <c r="C446" i="49"/>
  <c r="G447" i="49"/>
  <c r="G452" i="49"/>
  <c r="I448" i="49"/>
  <c r="C445" i="49"/>
  <c r="G446" i="49"/>
  <c r="M448" i="49"/>
  <c r="K452" i="49"/>
  <c r="Q446" i="49"/>
  <c r="M447" i="49"/>
  <c r="C448" i="49"/>
  <c r="M445" i="49"/>
  <c r="O448" i="49"/>
  <c r="I447" i="49"/>
  <c r="Q452" i="49"/>
  <c r="O445" i="49"/>
  <c r="G445" i="49"/>
  <c r="G448" i="49"/>
  <c r="K448" i="49"/>
  <c r="O452" i="49"/>
  <c r="I445" i="49"/>
  <c r="M452" i="49"/>
  <c r="Q447" i="49"/>
  <c r="AH5" i="1"/>
  <c r="BA10" i="1"/>
  <c r="AT10" i="1"/>
  <c r="N98" i="32"/>
  <c r="M98" i="32"/>
  <c r="N102" i="32"/>
  <c r="M102" i="32"/>
  <c r="BA9" i="1"/>
  <c r="AT9" i="1"/>
  <c r="BA6" i="1"/>
  <c r="AT6" i="1"/>
  <c r="AF13" i="1"/>
  <c r="K7" i="27" s="1"/>
  <c r="L105" i="32"/>
  <c r="L106" i="32"/>
  <c r="AM5" i="1"/>
  <c r="AM7" i="1" s="1"/>
  <c r="AP34" i="1" s="1"/>
  <c r="AR34" i="1" s="1"/>
  <c r="AM11" i="1"/>
  <c r="O6" i="1"/>
  <c r="O5" i="1"/>
  <c r="N5" i="1"/>
  <c r="N7" i="1" s="1"/>
  <c r="AV35" i="1"/>
  <c r="G33" i="30"/>
  <c r="L46" i="32"/>
  <c r="AR49" i="1" s="1"/>
  <c r="AR71" i="1" s="1"/>
  <c r="AO71" i="1" s="1"/>
  <c r="AP71" i="1" s="1"/>
  <c r="N44" i="32"/>
  <c r="H6" i="1"/>
  <c r="I6" i="1" s="1"/>
  <c r="H5" i="1"/>
  <c r="G5" i="1"/>
  <c r="G7" i="1" s="1"/>
  <c r="G13" i="30"/>
  <c r="G14" i="30"/>
  <c r="L30" i="32"/>
  <c r="AG29" i="1"/>
  <c r="AG60" i="1"/>
  <c r="BC34" i="1"/>
  <c r="AR15" i="1"/>
  <c r="G12" i="30" s="1"/>
  <c r="AK18" i="1"/>
  <c r="G11" i="1"/>
  <c r="I9" i="1"/>
  <c r="I10" i="1"/>
  <c r="H40" i="32"/>
  <c r="H39" i="32"/>
  <c r="L9" i="1"/>
  <c r="N9" i="1" s="1"/>
  <c r="L10" i="1"/>
  <c r="O17" i="191" l="1"/>
  <c r="O26" i="191" s="1"/>
  <c r="AK61" i="1" s="1"/>
  <c r="F23" i="30" s="1"/>
  <c r="T71" i="1"/>
  <c r="U71" i="1" s="1"/>
  <c r="M71" i="1"/>
  <c r="G34" i="30"/>
  <c r="G32" i="30" s="1"/>
  <c r="L13" i="27"/>
  <c r="AA71" i="1"/>
  <c r="AB71" i="1" s="1"/>
  <c r="AD61" i="1"/>
  <c r="E23" i="30" s="1"/>
  <c r="E461" i="49"/>
  <c r="E460" i="49"/>
  <c r="E459" i="49"/>
  <c r="E458" i="49"/>
  <c r="M45" i="32"/>
  <c r="M46" i="32" s="1"/>
  <c r="AY49" i="1" s="1"/>
  <c r="AY71" i="1" s="1"/>
  <c r="AV71" i="1" s="1"/>
  <c r="AW71" i="1" s="1"/>
  <c r="S13" i="191"/>
  <c r="U13" i="191"/>
  <c r="U14" i="191"/>
  <c r="S14" i="191"/>
  <c r="U12" i="191"/>
  <c r="S12" i="191"/>
  <c r="Q16" i="191"/>
  <c r="Q450" i="49"/>
  <c r="Q454" i="49" s="1"/>
  <c r="S448" i="49"/>
  <c r="U448" i="49"/>
  <c r="U445" i="49"/>
  <c r="U447" i="49"/>
  <c r="U446" i="49"/>
  <c r="G450" i="49"/>
  <c r="G454" i="49" s="1"/>
  <c r="S445" i="49"/>
  <c r="O450" i="49"/>
  <c r="O454" i="49" s="1"/>
  <c r="S447" i="49"/>
  <c r="K450" i="49"/>
  <c r="K454" i="49" s="1"/>
  <c r="B469" i="49"/>
  <c r="A482" i="49"/>
  <c r="G465" i="49"/>
  <c r="Q458" i="49"/>
  <c r="M460" i="49"/>
  <c r="C461" i="49"/>
  <c r="M465" i="49"/>
  <c r="C458" i="49"/>
  <c r="G461" i="49"/>
  <c r="Q465" i="49"/>
  <c r="K458" i="49"/>
  <c r="O460" i="49"/>
  <c r="I459" i="49"/>
  <c r="Q459" i="49"/>
  <c r="O465" i="49"/>
  <c r="K465" i="49"/>
  <c r="G458" i="49"/>
  <c r="K460" i="49"/>
  <c r="Q461" i="49"/>
  <c r="I465" i="49"/>
  <c r="G459" i="49"/>
  <c r="M461" i="49"/>
  <c r="I458" i="49"/>
  <c r="C459" i="49"/>
  <c r="O461" i="49"/>
  <c r="O459" i="49"/>
  <c r="K461" i="49"/>
  <c r="C460" i="49"/>
  <c r="G460" i="49"/>
  <c r="Q460" i="49"/>
  <c r="M459" i="49"/>
  <c r="O458" i="49"/>
  <c r="M458" i="49"/>
  <c r="K459" i="49"/>
  <c r="I460" i="49"/>
  <c r="I461" i="49"/>
  <c r="U437" i="49"/>
  <c r="I450" i="49"/>
  <c r="I454" i="49" s="1"/>
  <c r="S446" i="49"/>
  <c r="M450" i="49"/>
  <c r="M454" i="49" s="1"/>
  <c r="S441" i="49"/>
  <c r="S437" i="49"/>
  <c r="AT11" i="1"/>
  <c r="AW35" i="1" s="1"/>
  <c r="AY35" i="1" s="1"/>
  <c r="N45" i="32"/>
  <c r="N46" i="32" s="1"/>
  <c r="BF49" i="1" s="1"/>
  <c r="BF71" i="1" s="1"/>
  <c r="BA5" i="1"/>
  <c r="BA7" i="1" s="1"/>
  <c r="BD34" i="1" s="1"/>
  <c r="BF34" i="1" s="1"/>
  <c r="AT5" i="1"/>
  <c r="AT7" i="1" s="1"/>
  <c r="AW34" i="1" s="1"/>
  <c r="AY34" i="1" s="1"/>
  <c r="N106" i="32"/>
  <c r="N105" i="32"/>
  <c r="AO5" i="1"/>
  <c r="AO6" i="1"/>
  <c r="M105" i="32"/>
  <c r="M106" i="32"/>
  <c r="AP35" i="1"/>
  <c r="AR35" i="1" s="1"/>
  <c r="AM13" i="1"/>
  <c r="L7" i="27" s="1"/>
  <c r="BA11" i="1"/>
  <c r="BC35" i="1"/>
  <c r="O10" i="1"/>
  <c r="N10" i="1"/>
  <c r="G13" i="1"/>
  <c r="O9" i="1"/>
  <c r="H13" i="30"/>
  <c r="H14" i="30"/>
  <c r="M30" i="32"/>
  <c r="AN29" i="1"/>
  <c r="AN60" i="1"/>
  <c r="P6" i="1"/>
  <c r="AY15" i="1"/>
  <c r="H12" i="30" s="1"/>
  <c r="AR18" i="1"/>
  <c r="H7" i="1"/>
  <c r="L11" i="1"/>
  <c r="L13" i="1" s="1"/>
  <c r="O7" i="1"/>
  <c r="I5" i="1"/>
  <c r="I7" i="1" s="1"/>
  <c r="I11" i="1"/>
  <c r="P5" i="1"/>
  <c r="BF16" i="1" l="1"/>
  <c r="BF17" i="1"/>
  <c r="C7" i="30"/>
  <c r="C41" i="30"/>
  <c r="BC71" i="1"/>
  <c r="BD71" i="1" s="1"/>
  <c r="H34" i="30"/>
  <c r="M13" i="27"/>
  <c r="I34" i="30"/>
  <c r="N13" i="27"/>
  <c r="H33" i="30"/>
  <c r="E474" i="49"/>
  <c r="E473" i="49"/>
  <c r="E472" i="49"/>
  <c r="E471" i="49"/>
  <c r="U16" i="191"/>
  <c r="S16" i="191"/>
  <c r="S26" i="191" s="1"/>
  <c r="Q26" i="191"/>
  <c r="O463" i="49"/>
  <c r="O467" i="49" s="1"/>
  <c r="S461" i="49"/>
  <c r="M463" i="49"/>
  <c r="M467" i="49" s="1"/>
  <c r="K463" i="49"/>
  <c r="K467" i="49" s="1"/>
  <c r="Q463" i="49"/>
  <c r="Q467" i="49" s="1"/>
  <c r="S450" i="49"/>
  <c r="U458" i="49"/>
  <c r="U459" i="49"/>
  <c r="U461" i="49"/>
  <c r="U460" i="49"/>
  <c r="S454" i="49"/>
  <c r="I463" i="49"/>
  <c r="I467" i="49" s="1"/>
  <c r="G463" i="49"/>
  <c r="G467" i="49" s="1"/>
  <c r="S458" i="49"/>
  <c r="A495" i="49"/>
  <c r="B482" i="49"/>
  <c r="I473" i="49"/>
  <c r="O474" i="49"/>
  <c r="G478" i="49"/>
  <c r="M473" i="49"/>
  <c r="Q473" i="49"/>
  <c r="M472" i="49"/>
  <c r="C473" i="49"/>
  <c r="K474" i="49"/>
  <c r="C471" i="49"/>
  <c r="G471" i="49"/>
  <c r="Q471" i="49"/>
  <c r="G472" i="49"/>
  <c r="O472" i="49"/>
  <c r="M478" i="49"/>
  <c r="Q478" i="49"/>
  <c r="C474" i="49"/>
  <c r="K471" i="49"/>
  <c r="G474" i="49"/>
  <c r="I472" i="49"/>
  <c r="O473" i="49"/>
  <c r="Q472" i="49"/>
  <c r="C472" i="49"/>
  <c r="G473" i="49"/>
  <c r="I478" i="49"/>
  <c r="M471" i="49"/>
  <c r="Q474" i="49"/>
  <c r="K472" i="49"/>
  <c r="M474" i="49"/>
  <c r="K478" i="49"/>
  <c r="O471" i="49"/>
  <c r="K473" i="49"/>
  <c r="I471" i="49"/>
  <c r="I474" i="49"/>
  <c r="O478" i="49"/>
  <c r="U450" i="49"/>
  <c r="S460" i="49"/>
  <c r="S459" i="49"/>
  <c r="I33" i="30"/>
  <c r="BD35" i="1"/>
  <c r="BF35" i="1" s="1"/>
  <c r="BA13" i="1"/>
  <c r="N7" i="27" s="1"/>
  <c r="AT13" i="1"/>
  <c r="M7" i="27" s="1"/>
  <c r="BC5" i="1"/>
  <c r="BC6" i="1"/>
  <c r="AV6" i="1"/>
  <c r="AV5" i="1"/>
  <c r="H13" i="1"/>
  <c r="I13" i="1" s="1"/>
  <c r="N11" i="1"/>
  <c r="N13" i="1" s="1"/>
  <c r="B8" i="30"/>
  <c r="BA3" i="1"/>
  <c r="N30" i="32"/>
  <c r="AU60" i="1"/>
  <c r="AU29" i="1"/>
  <c r="P7" i="1"/>
  <c r="O11" i="1"/>
  <c r="O13" i="1" s="1"/>
  <c r="BF15" i="1"/>
  <c r="AY18" i="1"/>
  <c r="P10" i="1"/>
  <c r="P9" i="1"/>
  <c r="U26" i="191" l="1"/>
  <c r="I32" i="30"/>
  <c r="B45" i="30"/>
  <c r="H32" i="30"/>
  <c r="AY61" i="1"/>
  <c r="H23" i="30" s="1"/>
  <c r="AR61" i="1"/>
  <c r="G23" i="30" s="1"/>
  <c r="E487" i="49"/>
  <c r="E486" i="49"/>
  <c r="E485" i="49"/>
  <c r="E484" i="49"/>
  <c r="I476" i="49"/>
  <c r="I480" i="49" s="1"/>
  <c r="O476" i="49"/>
  <c r="O480" i="49" s="1"/>
  <c r="K476" i="49"/>
  <c r="K480" i="49" s="1"/>
  <c r="I485" i="49"/>
  <c r="K487" i="49"/>
  <c r="G484" i="49"/>
  <c r="K491" i="49"/>
  <c r="K484" i="49"/>
  <c r="C487" i="49"/>
  <c r="M484" i="49"/>
  <c r="I486" i="49"/>
  <c r="O487" i="49"/>
  <c r="M486" i="49"/>
  <c r="K486" i="49"/>
  <c r="M485" i="49"/>
  <c r="I484" i="49"/>
  <c r="G486" i="49"/>
  <c r="M491" i="49"/>
  <c r="I487" i="49"/>
  <c r="C485" i="49"/>
  <c r="C484" i="49"/>
  <c r="G487" i="49"/>
  <c r="Q486" i="49"/>
  <c r="Q484" i="49"/>
  <c r="O485" i="49"/>
  <c r="K485" i="49"/>
  <c r="M487" i="49"/>
  <c r="C486" i="49"/>
  <c r="I491" i="49"/>
  <c r="G485" i="49"/>
  <c r="O484" i="49"/>
  <c r="O486" i="49"/>
  <c r="Q491" i="49"/>
  <c r="Q485" i="49"/>
  <c r="O491" i="49"/>
  <c r="Q487" i="49"/>
  <c r="G491" i="49"/>
  <c r="S473" i="49"/>
  <c r="B495" i="49"/>
  <c r="A508" i="49"/>
  <c r="U463" i="49"/>
  <c r="S463" i="49"/>
  <c r="S472" i="49"/>
  <c r="S467" i="49"/>
  <c r="M476" i="49"/>
  <c r="M480" i="49" s="1"/>
  <c r="S474" i="49"/>
  <c r="Q476" i="49"/>
  <c r="Q480" i="49" s="1"/>
  <c r="U472" i="49"/>
  <c r="U473" i="49"/>
  <c r="U474" i="49"/>
  <c r="U471" i="49"/>
  <c r="G476" i="49"/>
  <c r="G480" i="49" s="1"/>
  <c r="S471" i="49"/>
  <c r="B9" i="30"/>
  <c r="B10" i="30" s="1"/>
  <c r="C9" i="30"/>
  <c r="C8" i="30"/>
  <c r="BF18" i="1"/>
  <c r="I12" i="30"/>
  <c r="BB60" i="1"/>
  <c r="BB29" i="1"/>
  <c r="P11" i="1"/>
  <c r="I39" i="32"/>
  <c r="BF61" i="1" l="1"/>
  <c r="I23" i="30" s="1"/>
  <c r="E500" i="49"/>
  <c r="E499" i="49"/>
  <c r="E498" i="49"/>
  <c r="E497" i="49"/>
  <c r="U476" i="49"/>
  <c r="S486" i="49"/>
  <c r="S480" i="49"/>
  <c r="O489" i="49"/>
  <c r="O493" i="49" s="1"/>
  <c r="Q489" i="49"/>
  <c r="Q493" i="49" s="1"/>
  <c r="I489" i="49"/>
  <c r="I493" i="49" s="1"/>
  <c r="K489" i="49"/>
  <c r="K493" i="49" s="1"/>
  <c r="U484" i="49"/>
  <c r="U487" i="49"/>
  <c r="U486" i="49"/>
  <c r="U485" i="49"/>
  <c r="S485" i="49"/>
  <c r="S487" i="49"/>
  <c r="S484" i="49"/>
  <c r="G489" i="49"/>
  <c r="G493" i="49" s="1"/>
  <c r="B508" i="49"/>
  <c r="A521" i="49"/>
  <c r="O504" i="49"/>
  <c r="C498" i="49"/>
  <c r="Q497" i="49"/>
  <c r="I499" i="49"/>
  <c r="Q498" i="49"/>
  <c r="M504" i="49"/>
  <c r="K499" i="49"/>
  <c r="K504" i="49"/>
  <c r="K500" i="49"/>
  <c r="O500" i="49"/>
  <c r="G497" i="49"/>
  <c r="C500" i="49"/>
  <c r="O498" i="49"/>
  <c r="Q500" i="49"/>
  <c r="Q499" i="49"/>
  <c r="M498" i="49"/>
  <c r="M499" i="49"/>
  <c r="C499" i="49"/>
  <c r="I504" i="49"/>
  <c r="G498" i="49"/>
  <c r="K498" i="49"/>
  <c r="K497" i="49"/>
  <c r="I500" i="49"/>
  <c r="O497" i="49"/>
  <c r="G499" i="49"/>
  <c r="M497" i="49"/>
  <c r="G500" i="49"/>
  <c r="Q504" i="49"/>
  <c r="I497" i="49"/>
  <c r="G504" i="49"/>
  <c r="I498" i="49"/>
  <c r="M500" i="49"/>
  <c r="O499" i="49"/>
  <c r="C497" i="49"/>
  <c r="S476" i="49"/>
  <c r="M489" i="49"/>
  <c r="M493" i="49" s="1"/>
  <c r="C45" i="30"/>
  <c r="C10" i="30"/>
  <c r="Z6" i="1"/>
  <c r="Z5" i="1"/>
  <c r="Z10" i="1"/>
  <c r="J40" i="32"/>
  <c r="J39" i="32"/>
  <c r="Z9" i="1"/>
  <c r="E513" i="49" l="1"/>
  <c r="E512" i="49"/>
  <c r="E511" i="49"/>
  <c r="E510" i="49"/>
  <c r="K502" i="49"/>
  <c r="K506" i="49" s="1"/>
  <c r="O502" i="49"/>
  <c r="O506" i="49" s="1"/>
  <c r="I502" i="49"/>
  <c r="I506" i="49" s="1"/>
  <c r="B521" i="49"/>
  <c r="A534" i="49"/>
  <c r="K510" i="49"/>
  <c r="M512" i="49"/>
  <c r="G510" i="49"/>
  <c r="G512" i="49"/>
  <c r="O517" i="49"/>
  <c r="O511" i="49"/>
  <c r="I517" i="49"/>
  <c r="I513" i="49"/>
  <c r="M517" i="49"/>
  <c r="Q511" i="49"/>
  <c r="Q510" i="49"/>
  <c r="Q517" i="49"/>
  <c r="I511" i="49"/>
  <c r="O510" i="49"/>
  <c r="K517" i="49"/>
  <c r="M510" i="49"/>
  <c r="M513" i="49"/>
  <c r="O512" i="49"/>
  <c r="Q512" i="49"/>
  <c r="K511" i="49"/>
  <c r="Q513" i="49"/>
  <c r="C510" i="49"/>
  <c r="G513" i="49"/>
  <c r="G517" i="49"/>
  <c r="C513" i="49"/>
  <c r="C512" i="49"/>
  <c r="K512" i="49"/>
  <c r="K513" i="49"/>
  <c r="G511" i="49"/>
  <c r="O513" i="49"/>
  <c r="I510" i="49"/>
  <c r="I512" i="49"/>
  <c r="C511" i="49"/>
  <c r="M511" i="49"/>
  <c r="U489" i="49"/>
  <c r="U498" i="49"/>
  <c r="U497" i="49"/>
  <c r="U500" i="49"/>
  <c r="U499" i="49"/>
  <c r="S498" i="49"/>
  <c r="S500" i="49"/>
  <c r="S497" i="49"/>
  <c r="G502" i="49"/>
  <c r="G506" i="49" s="1"/>
  <c r="S493" i="49"/>
  <c r="M502" i="49"/>
  <c r="M506" i="49" s="1"/>
  <c r="S489" i="49"/>
  <c r="S499" i="49"/>
  <c r="Q502" i="49"/>
  <c r="Q506" i="49" s="1"/>
  <c r="AC10" i="1"/>
  <c r="AB10" i="1"/>
  <c r="AB6" i="1"/>
  <c r="AC6" i="1"/>
  <c r="AC9" i="1"/>
  <c r="AB9" i="1"/>
  <c r="AB5" i="1"/>
  <c r="AC5" i="1"/>
  <c r="Z7" i="1"/>
  <c r="Z11" i="1"/>
  <c r="E526" i="49" l="1"/>
  <c r="E525" i="49"/>
  <c r="E524" i="49"/>
  <c r="E523" i="49"/>
  <c r="S502" i="49"/>
  <c r="S506" i="49"/>
  <c r="O515" i="49"/>
  <c r="O519" i="49" s="1"/>
  <c r="I515" i="49"/>
  <c r="I519" i="49" s="1"/>
  <c r="Q515" i="49"/>
  <c r="Q519" i="49" s="1"/>
  <c r="S513" i="49"/>
  <c r="G515" i="49"/>
  <c r="G519" i="49" s="1"/>
  <c r="S510" i="49"/>
  <c r="U512" i="49"/>
  <c r="U511" i="49"/>
  <c r="U513" i="49"/>
  <c r="U510" i="49"/>
  <c r="U502" i="49"/>
  <c r="S511" i="49"/>
  <c r="M515" i="49"/>
  <c r="M519" i="49" s="1"/>
  <c r="K515" i="49"/>
  <c r="K519" i="49" s="1"/>
  <c r="B534" i="49"/>
  <c r="A547" i="49"/>
  <c r="K526" i="49"/>
  <c r="C523" i="49"/>
  <c r="M523" i="49"/>
  <c r="I524" i="49"/>
  <c r="Q526" i="49"/>
  <c r="G523" i="49"/>
  <c r="I525" i="49"/>
  <c r="C525" i="49"/>
  <c r="G526" i="49"/>
  <c r="C526" i="49"/>
  <c r="K530" i="49"/>
  <c r="O525" i="49"/>
  <c r="O526" i="49"/>
  <c r="M524" i="49"/>
  <c r="Q530" i="49"/>
  <c r="Q525" i="49"/>
  <c r="I530" i="49"/>
  <c r="M530" i="49"/>
  <c r="C524" i="49"/>
  <c r="G525" i="49"/>
  <c r="K523" i="49"/>
  <c r="I526" i="49"/>
  <c r="M526" i="49"/>
  <c r="K524" i="49"/>
  <c r="O523" i="49"/>
  <c r="O530" i="49"/>
  <c r="G530" i="49"/>
  <c r="G524" i="49"/>
  <c r="I523" i="49"/>
  <c r="Q523" i="49"/>
  <c r="M525" i="49"/>
  <c r="K525" i="49"/>
  <c r="Q524" i="49"/>
  <c r="O524" i="49"/>
  <c r="S512" i="49"/>
  <c r="AC7" i="1"/>
  <c r="AC11" i="1"/>
  <c r="AB7" i="1"/>
  <c r="AB11" i="1"/>
  <c r="Z13" i="1"/>
  <c r="AD5" i="1"/>
  <c r="AD6" i="1"/>
  <c r="AD10" i="1"/>
  <c r="AD9" i="1"/>
  <c r="E7" i="30" l="1"/>
  <c r="E41" i="30"/>
  <c r="E539" i="49"/>
  <c r="E538" i="49"/>
  <c r="E537" i="49"/>
  <c r="E536" i="49"/>
  <c r="O528" i="49"/>
  <c r="O532" i="49" s="1"/>
  <c r="U515" i="49"/>
  <c r="S526" i="49"/>
  <c r="Q528" i="49"/>
  <c r="Q532" i="49" s="1"/>
  <c r="I528" i="49"/>
  <c r="I532" i="49" s="1"/>
  <c r="B547" i="49"/>
  <c r="A560" i="49"/>
  <c r="Q543" i="49"/>
  <c r="O537" i="49"/>
  <c r="I538" i="49"/>
  <c r="C538" i="49"/>
  <c r="O543" i="49"/>
  <c r="M543" i="49"/>
  <c r="K543" i="49"/>
  <c r="Q539" i="49"/>
  <c r="K536" i="49"/>
  <c r="Q536" i="49"/>
  <c r="M536" i="49"/>
  <c r="G537" i="49"/>
  <c r="O539" i="49"/>
  <c r="K538" i="49"/>
  <c r="I543" i="49"/>
  <c r="G536" i="49"/>
  <c r="M539" i="49"/>
  <c r="C539" i="49"/>
  <c r="M537" i="49"/>
  <c r="Q538" i="49"/>
  <c r="O536" i="49"/>
  <c r="G543" i="49"/>
  <c r="I537" i="49"/>
  <c r="K539" i="49"/>
  <c r="M538" i="49"/>
  <c r="G538" i="49"/>
  <c r="K537" i="49"/>
  <c r="C536" i="49"/>
  <c r="I536" i="49"/>
  <c r="I539" i="49"/>
  <c r="C537" i="49"/>
  <c r="G539" i="49"/>
  <c r="O538" i="49"/>
  <c r="Q537" i="49"/>
  <c r="S524" i="49"/>
  <c r="S523" i="49"/>
  <c r="G528" i="49"/>
  <c r="G532" i="49" s="1"/>
  <c r="K528" i="49"/>
  <c r="K532" i="49" s="1"/>
  <c r="S515" i="49"/>
  <c r="U525" i="49"/>
  <c r="U524" i="49"/>
  <c r="U526" i="49"/>
  <c r="U523" i="49"/>
  <c r="S525" i="49"/>
  <c r="S519" i="49"/>
  <c r="M528" i="49"/>
  <c r="M532" i="49" s="1"/>
  <c r="AC13" i="1"/>
  <c r="E9" i="30" s="1"/>
  <c r="AB13" i="1"/>
  <c r="AD7" i="1"/>
  <c r="AD11" i="1"/>
  <c r="E552" i="49" l="1"/>
  <c r="E551" i="49"/>
  <c r="E550" i="49"/>
  <c r="E549" i="49"/>
  <c r="S532" i="49"/>
  <c r="U528" i="49"/>
  <c r="S538" i="49"/>
  <c r="U539" i="49"/>
  <c r="U538" i="49"/>
  <c r="U536" i="49"/>
  <c r="U537" i="49"/>
  <c r="K541" i="49"/>
  <c r="K545" i="49" s="1"/>
  <c r="I541" i="49"/>
  <c r="I545" i="49" s="1"/>
  <c r="O541" i="49"/>
  <c r="O545" i="49" s="1"/>
  <c r="S528" i="49"/>
  <c r="B560" i="49"/>
  <c r="A573" i="49"/>
  <c r="Q556" i="49"/>
  <c r="G550" i="49"/>
  <c r="G551" i="49"/>
  <c r="O550" i="49"/>
  <c r="M551" i="49"/>
  <c r="Q552" i="49"/>
  <c r="K549" i="49"/>
  <c r="G552" i="49"/>
  <c r="I552" i="49"/>
  <c r="C552" i="49"/>
  <c r="Q550" i="49"/>
  <c r="G549" i="49"/>
  <c r="I556" i="49"/>
  <c r="K550" i="49"/>
  <c r="I550" i="49"/>
  <c r="O551" i="49"/>
  <c r="M556" i="49"/>
  <c r="M549" i="49"/>
  <c r="K551" i="49"/>
  <c r="I551" i="49"/>
  <c r="M550" i="49"/>
  <c r="G556" i="49"/>
  <c r="Q549" i="49"/>
  <c r="Q551" i="49"/>
  <c r="O549" i="49"/>
  <c r="M552" i="49"/>
  <c r="I549" i="49"/>
  <c r="C550" i="49"/>
  <c r="K552" i="49"/>
  <c r="C549" i="49"/>
  <c r="O556" i="49"/>
  <c r="O552" i="49"/>
  <c r="K556" i="49"/>
  <c r="C551" i="49"/>
  <c r="M541" i="49"/>
  <c r="M545" i="49" s="1"/>
  <c r="S537" i="49"/>
  <c r="S539" i="49"/>
  <c r="G541" i="49"/>
  <c r="G545" i="49" s="1"/>
  <c r="S536" i="49"/>
  <c r="Q541" i="49"/>
  <c r="Q545" i="49" s="1"/>
  <c r="E8" i="30"/>
  <c r="E10" i="30" s="1"/>
  <c r="E45" i="30"/>
  <c r="E565" i="49" l="1"/>
  <c r="E564" i="49"/>
  <c r="E563" i="49"/>
  <c r="E562" i="49"/>
  <c r="U541" i="49"/>
  <c r="I554" i="49"/>
  <c r="I558" i="49" s="1"/>
  <c r="O554" i="49"/>
  <c r="O558" i="49" s="1"/>
  <c r="K554" i="49"/>
  <c r="K558" i="49" s="1"/>
  <c r="M554" i="49"/>
  <c r="M558" i="49" s="1"/>
  <c r="S541" i="49"/>
  <c r="S551" i="49"/>
  <c r="Q554" i="49"/>
  <c r="Q558" i="49" s="1"/>
  <c r="S550" i="49"/>
  <c r="S545" i="49"/>
  <c r="U550" i="49"/>
  <c r="U551" i="49"/>
  <c r="U552" i="49"/>
  <c r="U549" i="49"/>
  <c r="G554" i="49"/>
  <c r="G558" i="49" s="1"/>
  <c r="S549" i="49"/>
  <c r="S552" i="49"/>
  <c r="A586" i="49"/>
  <c r="B573" i="49"/>
  <c r="G564" i="49"/>
  <c r="M569" i="49"/>
  <c r="I565" i="49"/>
  <c r="Q565" i="49"/>
  <c r="O564" i="49"/>
  <c r="M565" i="49"/>
  <c r="M563" i="49"/>
  <c r="M562" i="49"/>
  <c r="G569" i="49"/>
  <c r="K562" i="49"/>
  <c r="I569" i="49"/>
  <c r="K563" i="49"/>
  <c r="Q562" i="49"/>
  <c r="O565" i="49"/>
  <c r="G562" i="49"/>
  <c r="I564" i="49"/>
  <c r="O562" i="49"/>
  <c r="Q564" i="49"/>
  <c r="Q569" i="49"/>
  <c r="C562" i="49"/>
  <c r="I562" i="49"/>
  <c r="K564" i="49"/>
  <c r="O569" i="49"/>
  <c r="Q563" i="49"/>
  <c r="G565" i="49"/>
  <c r="M564" i="49"/>
  <c r="K569" i="49"/>
  <c r="K565" i="49"/>
  <c r="I563" i="49"/>
  <c r="C563" i="49"/>
  <c r="C564" i="49"/>
  <c r="C565" i="49"/>
  <c r="G563" i="49"/>
  <c r="O563" i="49"/>
  <c r="G13" i="32"/>
  <c r="D3" i="1" s="1"/>
  <c r="E578" i="49" l="1"/>
  <c r="E577" i="49"/>
  <c r="E576" i="49"/>
  <c r="E575" i="49"/>
  <c r="M567" i="49"/>
  <c r="M571" i="49" s="1"/>
  <c r="I567" i="49"/>
  <c r="I571" i="49" s="1"/>
  <c r="S554" i="49"/>
  <c r="S562" i="49"/>
  <c r="G567" i="49"/>
  <c r="G571" i="49" s="1"/>
  <c r="Q567" i="49"/>
  <c r="Q571" i="49" s="1"/>
  <c r="B586" i="49"/>
  <c r="A599" i="49"/>
  <c r="S565" i="49"/>
  <c r="S563" i="49"/>
  <c r="S558" i="49"/>
  <c r="O567" i="49"/>
  <c r="O571" i="49" s="1"/>
  <c r="K567" i="49"/>
  <c r="K571" i="49" s="1"/>
  <c r="U554" i="49"/>
  <c r="U564" i="49"/>
  <c r="U565" i="49"/>
  <c r="U563" i="49"/>
  <c r="U562" i="49"/>
  <c r="S564" i="49"/>
  <c r="K582" i="49"/>
  <c r="C577" i="49"/>
  <c r="O582" i="49"/>
  <c r="I576" i="49"/>
  <c r="K578" i="49"/>
  <c r="Q575" i="49"/>
  <c r="M576" i="49"/>
  <c r="Q576" i="49"/>
  <c r="M575" i="49"/>
  <c r="O577" i="49"/>
  <c r="C578" i="49"/>
  <c r="G576" i="49"/>
  <c r="C575" i="49"/>
  <c r="K575" i="49"/>
  <c r="M577" i="49"/>
  <c r="O575" i="49"/>
  <c r="Q578" i="49"/>
  <c r="K576" i="49"/>
  <c r="M582" i="49"/>
  <c r="C576" i="49"/>
  <c r="O576" i="49"/>
  <c r="I582" i="49"/>
  <c r="I577" i="49"/>
  <c r="G582" i="49"/>
  <c r="Q577" i="49"/>
  <c r="M578" i="49"/>
  <c r="G575" i="49"/>
  <c r="G577" i="49"/>
  <c r="I578" i="49"/>
  <c r="G578" i="49"/>
  <c r="K577" i="49"/>
  <c r="Q582" i="49"/>
  <c r="O578" i="49"/>
  <c r="I575" i="49"/>
  <c r="G119" i="32"/>
  <c r="D26" i="1" l="1"/>
  <c r="D22" i="1" s="1"/>
  <c r="E591" i="49"/>
  <c r="E590" i="49"/>
  <c r="E589" i="49"/>
  <c r="E588" i="49"/>
  <c r="M580" i="49"/>
  <c r="M584" i="49" s="1"/>
  <c r="O580" i="49"/>
  <c r="O584" i="49" s="1"/>
  <c r="S576" i="49"/>
  <c r="S577" i="49"/>
  <c r="U567" i="49"/>
  <c r="I580" i="49"/>
  <c r="I584" i="49" s="1"/>
  <c r="S575" i="49"/>
  <c r="G580" i="49"/>
  <c r="G584" i="49" s="1"/>
  <c r="B599" i="49"/>
  <c r="A612" i="49"/>
  <c r="K588" i="49"/>
  <c r="M590" i="49"/>
  <c r="M589" i="49"/>
  <c r="Q590" i="49"/>
  <c r="O589" i="49"/>
  <c r="Q595" i="49"/>
  <c r="O591" i="49"/>
  <c r="G590" i="49"/>
  <c r="O588" i="49"/>
  <c r="M591" i="49"/>
  <c r="K595" i="49"/>
  <c r="Q589" i="49"/>
  <c r="I588" i="49"/>
  <c r="G595" i="49"/>
  <c r="I589" i="49"/>
  <c r="C591" i="49"/>
  <c r="K591" i="49"/>
  <c r="Q591" i="49"/>
  <c r="K590" i="49"/>
  <c r="G591" i="49"/>
  <c r="M588" i="49"/>
  <c r="C589" i="49"/>
  <c r="I590" i="49"/>
  <c r="G588" i="49"/>
  <c r="C588" i="49"/>
  <c r="I595" i="49"/>
  <c r="M595" i="49"/>
  <c r="O590" i="49"/>
  <c r="K589" i="49"/>
  <c r="Q588" i="49"/>
  <c r="C590" i="49"/>
  <c r="G589" i="49"/>
  <c r="O595" i="49"/>
  <c r="I591" i="49"/>
  <c r="U578" i="49"/>
  <c r="U577" i="49"/>
  <c r="U575" i="49"/>
  <c r="U576" i="49"/>
  <c r="S578" i="49"/>
  <c r="K580" i="49"/>
  <c r="K584" i="49" s="1"/>
  <c r="S571" i="49"/>
  <c r="Q580" i="49"/>
  <c r="Q584" i="49" s="1"/>
  <c r="S567" i="49"/>
  <c r="H119" i="32"/>
  <c r="K26" i="1" s="1"/>
  <c r="E604" i="49" l="1"/>
  <c r="E603" i="49"/>
  <c r="E602" i="49"/>
  <c r="E601" i="49"/>
  <c r="M593" i="49"/>
  <c r="M597" i="49" s="1"/>
  <c r="Q593" i="49"/>
  <c r="Q597" i="49" s="1"/>
  <c r="S590" i="49"/>
  <c r="S589" i="49"/>
  <c r="S591" i="49"/>
  <c r="B612" i="49"/>
  <c r="A625" i="49"/>
  <c r="I604" i="49"/>
  <c r="C601" i="49"/>
  <c r="M601" i="49"/>
  <c r="G602" i="49"/>
  <c r="M603" i="49"/>
  <c r="G608" i="49"/>
  <c r="K608" i="49"/>
  <c r="M602" i="49"/>
  <c r="C602" i="49"/>
  <c r="I603" i="49"/>
  <c r="Q601" i="49"/>
  <c r="Q603" i="49"/>
  <c r="K604" i="49"/>
  <c r="K603" i="49"/>
  <c r="I602" i="49"/>
  <c r="M608" i="49"/>
  <c r="Q602" i="49"/>
  <c r="Q604" i="49"/>
  <c r="K601" i="49"/>
  <c r="O604" i="49"/>
  <c r="K602" i="49"/>
  <c r="G601" i="49"/>
  <c r="M604" i="49"/>
  <c r="Q608" i="49"/>
  <c r="C603" i="49"/>
  <c r="O603" i="49"/>
  <c r="G603" i="49"/>
  <c r="O602" i="49"/>
  <c r="G604" i="49"/>
  <c r="O608" i="49"/>
  <c r="O601" i="49"/>
  <c r="I608" i="49"/>
  <c r="I601" i="49"/>
  <c r="C604" i="49"/>
  <c r="U591" i="49"/>
  <c r="U588" i="49"/>
  <c r="U589" i="49"/>
  <c r="U590" i="49"/>
  <c r="I593" i="49"/>
  <c r="I597" i="49" s="1"/>
  <c r="S584" i="49"/>
  <c r="S580" i="49"/>
  <c r="G593" i="49"/>
  <c r="G597" i="49" s="1"/>
  <c r="S588" i="49"/>
  <c r="U580" i="49"/>
  <c r="O593" i="49"/>
  <c r="O597" i="49" s="1"/>
  <c r="K593" i="49"/>
  <c r="K597" i="49" s="1"/>
  <c r="D23" i="1"/>
  <c r="E22" i="1"/>
  <c r="E617" i="49" l="1"/>
  <c r="E616" i="49"/>
  <c r="E615" i="49"/>
  <c r="E614" i="49"/>
  <c r="S593" i="49"/>
  <c r="S603" i="49"/>
  <c r="K606" i="49"/>
  <c r="K610" i="49" s="1"/>
  <c r="Q606" i="49"/>
  <c r="Q610" i="49" s="1"/>
  <c r="M606" i="49"/>
  <c r="M610" i="49" s="1"/>
  <c r="G606" i="49"/>
  <c r="G610" i="49" s="1"/>
  <c r="S601" i="49"/>
  <c r="I606" i="49"/>
  <c r="I610" i="49" s="1"/>
  <c r="S602" i="49"/>
  <c r="O606" i="49"/>
  <c r="O610" i="49" s="1"/>
  <c r="S604" i="49"/>
  <c r="U593" i="49"/>
  <c r="B625" i="49"/>
  <c r="A638" i="49"/>
  <c r="O616" i="49"/>
  <c r="M617" i="49"/>
  <c r="K614" i="49"/>
  <c r="M621" i="49"/>
  <c r="C615" i="49"/>
  <c r="I616" i="49"/>
  <c r="Q617" i="49"/>
  <c r="M616" i="49"/>
  <c r="G616" i="49"/>
  <c r="Q621" i="49"/>
  <c r="G615" i="49"/>
  <c r="G617" i="49"/>
  <c r="C617" i="49"/>
  <c r="M614" i="49"/>
  <c r="Q615" i="49"/>
  <c r="G614" i="49"/>
  <c r="M615" i="49"/>
  <c r="I617" i="49"/>
  <c r="K615" i="49"/>
  <c r="C616" i="49"/>
  <c r="I621" i="49"/>
  <c r="O617" i="49"/>
  <c r="Q616" i="49"/>
  <c r="O615" i="49"/>
  <c r="K617" i="49"/>
  <c r="G621" i="49"/>
  <c r="Q614" i="49"/>
  <c r="I614" i="49"/>
  <c r="O614" i="49"/>
  <c r="O621" i="49"/>
  <c r="K616" i="49"/>
  <c r="K621" i="49"/>
  <c r="I615" i="49"/>
  <c r="C614" i="49"/>
  <c r="S597" i="49"/>
  <c r="U602" i="49"/>
  <c r="U601" i="49"/>
  <c r="U604" i="49"/>
  <c r="U603" i="49"/>
  <c r="E26" i="1"/>
  <c r="I22" i="1"/>
  <c r="D24" i="1"/>
  <c r="G24" i="1" s="1"/>
  <c r="F23" i="1"/>
  <c r="E630" i="49" l="1"/>
  <c r="E629" i="49"/>
  <c r="E628" i="49"/>
  <c r="E627" i="49"/>
  <c r="Q619" i="49"/>
  <c r="Q623" i="49" s="1"/>
  <c r="M619" i="49"/>
  <c r="M623" i="49" s="1"/>
  <c r="S606" i="49"/>
  <c r="U606" i="49"/>
  <c r="I619" i="49"/>
  <c r="I623" i="49" s="1"/>
  <c r="S617" i="49"/>
  <c r="S610" i="49"/>
  <c r="S615" i="49"/>
  <c r="U615" i="49"/>
  <c r="U617" i="49"/>
  <c r="U614" i="49"/>
  <c r="U616" i="49"/>
  <c r="K619" i="49"/>
  <c r="K623" i="49" s="1"/>
  <c r="S616" i="49"/>
  <c r="S614" i="49"/>
  <c r="G619" i="49"/>
  <c r="G623" i="49" s="1"/>
  <c r="O619" i="49"/>
  <c r="O623" i="49" s="1"/>
  <c r="B638" i="49"/>
  <c r="A651" i="49"/>
  <c r="O627" i="49"/>
  <c r="M627" i="49"/>
  <c r="G627" i="49"/>
  <c r="K629" i="49"/>
  <c r="Q630" i="49"/>
  <c r="O629" i="49"/>
  <c r="C628" i="49"/>
  <c r="K630" i="49"/>
  <c r="C629" i="49"/>
  <c r="G634" i="49"/>
  <c r="K627" i="49"/>
  <c r="M634" i="49"/>
  <c r="K634" i="49"/>
  <c r="M630" i="49"/>
  <c r="O628" i="49"/>
  <c r="O634" i="49"/>
  <c r="Q629" i="49"/>
  <c r="Q628" i="49"/>
  <c r="I629" i="49"/>
  <c r="Q634" i="49"/>
  <c r="I634" i="49"/>
  <c r="G628" i="49"/>
  <c r="M628" i="49"/>
  <c r="I627" i="49"/>
  <c r="G629" i="49"/>
  <c r="K628" i="49"/>
  <c r="Q627" i="49"/>
  <c r="M629" i="49"/>
  <c r="G630" i="49"/>
  <c r="I630" i="49"/>
  <c r="C630" i="49"/>
  <c r="C627" i="49"/>
  <c r="O630" i="49"/>
  <c r="I628" i="49"/>
  <c r="D25" i="1"/>
  <c r="I23" i="1"/>
  <c r="F26" i="1"/>
  <c r="G26" i="1"/>
  <c r="I24" i="1"/>
  <c r="J119" i="32"/>
  <c r="Y26" i="1" s="1"/>
  <c r="K119" i="32"/>
  <c r="AF26" i="1" s="1"/>
  <c r="E643" i="49" l="1"/>
  <c r="E642" i="49"/>
  <c r="E641" i="49"/>
  <c r="E640" i="49"/>
  <c r="S629" i="49"/>
  <c r="I632" i="49"/>
  <c r="I636" i="49" s="1"/>
  <c r="U630" i="49"/>
  <c r="U628" i="49"/>
  <c r="U629" i="49"/>
  <c r="U627" i="49"/>
  <c r="S623" i="49"/>
  <c r="M632" i="49"/>
  <c r="M636" i="49" s="1"/>
  <c r="S619" i="49"/>
  <c r="O632" i="49"/>
  <c r="O636" i="49" s="1"/>
  <c r="S628" i="49"/>
  <c r="S630" i="49"/>
  <c r="Q632" i="49"/>
  <c r="Q636" i="49" s="1"/>
  <c r="B651" i="49"/>
  <c r="A664" i="49"/>
  <c r="U619" i="49"/>
  <c r="K641" i="49"/>
  <c r="C642" i="49"/>
  <c r="Q642" i="49"/>
  <c r="O643" i="49"/>
  <c r="Q643" i="49"/>
  <c r="O642" i="49"/>
  <c r="I641" i="49"/>
  <c r="G642" i="49"/>
  <c r="G647" i="49"/>
  <c r="O640" i="49"/>
  <c r="I643" i="49"/>
  <c r="M641" i="49"/>
  <c r="M642" i="49"/>
  <c r="I647" i="49"/>
  <c r="M643" i="49"/>
  <c r="Q641" i="49"/>
  <c r="M640" i="49"/>
  <c r="G643" i="49"/>
  <c r="Q647" i="49"/>
  <c r="Q640" i="49"/>
  <c r="G640" i="49"/>
  <c r="O641" i="49"/>
  <c r="G641" i="49"/>
  <c r="C643" i="49"/>
  <c r="C641" i="49"/>
  <c r="K643" i="49"/>
  <c r="K647" i="49"/>
  <c r="K642" i="49"/>
  <c r="M647" i="49"/>
  <c r="K640" i="49"/>
  <c r="C640" i="49"/>
  <c r="I642" i="49"/>
  <c r="I640" i="49"/>
  <c r="O647" i="49"/>
  <c r="K632" i="49"/>
  <c r="K636" i="49" s="1"/>
  <c r="G632" i="49"/>
  <c r="G636" i="49" s="1"/>
  <c r="S627" i="49"/>
  <c r="AF22" i="1"/>
  <c r="AF23" i="1" s="1"/>
  <c r="Y22" i="1"/>
  <c r="Y23" i="1" s="1"/>
  <c r="H25" i="1"/>
  <c r="H26" i="1" s="1"/>
  <c r="I26" i="1" s="1"/>
  <c r="L119" i="32"/>
  <c r="AM26" i="1" s="1"/>
  <c r="E656" i="49" l="1"/>
  <c r="E655" i="49"/>
  <c r="E654" i="49"/>
  <c r="E653" i="49"/>
  <c r="Q645" i="49"/>
  <c r="Q649" i="49" s="1"/>
  <c r="M645" i="49"/>
  <c r="M649" i="49" s="1"/>
  <c r="O645" i="49"/>
  <c r="O649" i="49" s="1"/>
  <c r="S641" i="49"/>
  <c r="K645" i="49"/>
  <c r="K649" i="49" s="1"/>
  <c r="S632" i="49"/>
  <c r="S642" i="49"/>
  <c r="S636" i="49"/>
  <c r="B664" i="49"/>
  <c r="A677" i="49"/>
  <c r="I645" i="49"/>
  <c r="I649" i="49" s="1"/>
  <c r="Q656" i="49"/>
  <c r="K653" i="49"/>
  <c r="O654" i="49"/>
  <c r="C653" i="49"/>
  <c r="Q655" i="49"/>
  <c r="I656" i="49"/>
  <c r="G653" i="49"/>
  <c r="K660" i="49"/>
  <c r="K655" i="49"/>
  <c r="C656" i="49"/>
  <c r="Q654" i="49"/>
  <c r="I660" i="49"/>
  <c r="I654" i="49"/>
  <c r="G656" i="49"/>
  <c r="O655" i="49"/>
  <c r="M656" i="49"/>
  <c r="O660" i="49"/>
  <c r="C654" i="49"/>
  <c r="O656" i="49"/>
  <c r="I653" i="49"/>
  <c r="G655" i="49"/>
  <c r="M653" i="49"/>
  <c r="O653" i="49"/>
  <c r="K654" i="49"/>
  <c r="G660" i="49"/>
  <c r="C655" i="49"/>
  <c r="K656" i="49"/>
  <c r="Q660" i="49"/>
  <c r="I655" i="49"/>
  <c r="Q653" i="49"/>
  <c r="M654" i="49"/>
  <c r="M660" i="49"/>
  <c r="G654" i="49"/>
  <c r="M655" i="49"/>
  <c r="U632" i="49"/>
  <c r="S643" i="49"/>
  <c r="U641" i="49"/>
  <c r="U643" i="49"/>
  <c r="U642" i="49"/>
  <c r="U640" i="49"/>
  <c r="G645" i="49"/>
  <c r="G649" i="49" s="1"/>
  <c r="S640" i="49"/>
  <c r="I30" i="1"/>
  <c r="AF24" i="1"/>
  <c r="AF25" i="1" s="1"/>
  <c r="Y24" i="1"/>
  <c r="Y25" i="1" s="1"/>
  <c r="AM22" i="1"/>
  <c r="AM23" i="1" s="1"/>
  <c r="I25" i="1"/>
  <c r="M119" i="32"/>
  <c r="AT26" i="1" s="1"/>
  <c r="I119" i="32"/>
  <c r="R26" i="1" s="1"/>
  <c r="R22" i="1" l="1"/>
  <c r="S22" i="1" s="1"/>
  <c r="S10" i="1"/>
  <c r="S6" i="1"/>
  <c r="S9" i="1"/>
  <c r="E669" i="49"/>
  <c r="E668" i="49"/>
  <c r="E667" i="49"/>
  <c r="E666" i="49"/>
  <c r="U645" i="49"/>
  <c r="I658" i="49"/>
  <c r="I662" i="49" s="1"/>
  <c r="S654" i="49"/>
  <c r="S649" i="49"/>
  <c r="S655" i="49"/>
  <c r="S656" i="49"/>
  <c r="B677" i="49"/>
  <c r="A690" i="49"/>
  <c r="S645" i="49"/>
  <c r="C666" i="49"/>
  <c r="O666" i="49"/>
  <c r="Q668" i="49"/>
  <c r="I669" i="49"/>
  <c r="G667" i="49"/>
  <c r="Q673" i="49"/>
  <c r="O673" i="49"/>
  <c r="C667" i="49"/>
  <c r="Q669" i="49"/>
  <c r="M666" i="49"/>
  <c r="M668" i="49"/>
  <c r="I668" i="49"/>
  <c r="O669" i="49"/>
  <c r="I666" i="49"/>
  <c r="K673" i="49"/>
  <c r="Q666" i="49"/>
  <c r="O668" i="49"/>
  <c r="G668" i="49"/>
  <c r="M667" i="49"/>
  <c r="C668" i="49"/>
  <c r="I673" i="49"/>
  <c r="M673" i="49"/>
  <c r="G673" i="49"/>
  <c r="Q667" i="49"/>
  <c r="I667" i="49"/>
  <c r="K667" i="49"/>
  <c r="G669" i="49"/>
  <c r="C669" i="49"/>
  <c r="K666" i="49"/>
  <c r="K669" i="49"/>
  <c r="M669" i="49"/>
  <c r="K668" i="49"/>
  <c r="O667" i="49"/>
  <c r="G666" i="49"/>
  <c r="U655" i="49"/>
  <c r="U656" i="49"/>
  <c r="U654" i="49"/>
  <c r="U653" i="49"/>
  <c r="Q658" i="49"/>
  <c r="Q662" i="49" s="1"/>
  <c r="O658" i="49"/>
  <c r="O662" i="49" s="1"/>
  <c r="K658" i="49"/>
  <c r="K662" i="49" s="1"/>
  <c r="M658" i="49"/>
  <c r="M662" i="49" s="1"/>
  <c r="S653" i="49"/>
  <c r="G658" i="49"/>
  <c r="G662" i="49" s="1"/>
  <c r="B5" i="30"/>
  <c r="B17" i="30" s="1"/>
  <c r="B42" i="30"/>
  <c r="B43" i="30" s="1"/>
  <c r="B46" i="30" s="1"/>
  <c r="AT22" i="1"/>
  <c r="AT23" i="1" s="1"/>
  <c r="AM24" i="1"/>
  <c r="AM25" i="1" s="1"/>
  <c r="N119" i="32"/>
  <c r="BA26" i="1" s="1"/>
  <c r="R11" i="1" l="1"/>
  <c r="U35" i="1" s="1"/>
  <c r="W35" i="1" s="1"/>
  <c r="V9" i="1"/>
  <c r="U9" i="1"/>
  <c r="R7" i="1"/>
  <c r="U34" i="1" s="1"/>
  <c r="W34" i="1" s="1"/>
  <c r="S5" i="1"/>
  <c r="U6" i="1"/>
  <c r="V6" i="1"/>
  <c r="U10" i="1"/>
  <c r="V10" i="1"/>
  <c r="S11" i="1"/>
  <c r="E682" i="49"/>
  <c r="E681" i="49"/>
  <c r="E680" i="49"/>
  <c r="E679" i="49"/>
  <c r="U658" i="49"/>
  <c r="S658" i="49"/>
  <c r="I671" i="49"/>
  <c r="I675" i="49" s="1"/>
  <c r="O671" i="49"/>
  <c r="O675" i="49" s="1"/>
  <c r="K671" i="49"/>
  <c r="K675" i="49" s="1"/>
  <c r="S669" i="49"/>
  <c r="B690" i="49"/>
  <c r="A703" i="49"/>
  <c r="G671" i="49"/>
  <c r="G675" i="49" s="1"/>
  <c r="S666" i="49"/>
  <c r="S668" i="49"/>
  <c r="M671" i="49"/>
  <c r="M675" i="49" s="1"/>
  <c r="S667" i="49"/>
  <c r="C682" i="49"/>
  <c r="M679" i="49"/>
  <c r="O681" i="49"/>
  <c r="O686" i="49"/>
  <c r="C681" i="49"/>
  <c r="C679" i="49"/>
  <c r="Q681" i="49"/>
  <c r="G686" i="49"/>
  <c r="Q686" i="49"/>
  <c r="M681" i="49"/>
  <c r="O680" i="49"/>
  <c r="G680" i="49"/>
  <c r="G681" i="49"/>
  <c r="M686" i="49"/>
  <c r="C680" i="49"/>
  <c r="G682" i="49"/>
  <c r="Q680" i="49"/>
  <c r="I681" i="49"/>
  <c r="M680" i="49"/>
  <c r="K680" i="49"/>
  <c r="M682" i="49"/>
  <c r="G679" i="49"/>
  <c r="I686" i="49"/>
  <c r="O679" i="49"/>
  <c r="I679" i="49"/>
  <c r="K679" i="49"/>
  <c r="K681" i="49"/>
  <c r="I680" i="49"/>
  <c r="Q682" i="49"/>
  <c r="K686" i="49"/>
  <c r="O682" i="49"/>
  <c r="I682" i="49"/>
  <c r="K682" i="49"/>
  <c r="Q679" i="49"/>
  <c r="Q671" i="49"/>
  <c r="Q675" i="49" s="1"/>
  <c r="S662" i="49"/>
  <c r="U668" i="49"/>
  <c r="U669" i="49"/>
  <c r="U667" i="49"/>
  <c r="U666" i="49"/>
  <c r="S26" i="1"/>
  <c r="W22" i="1"/>
  <c r="R23" i="1"/>
  <c r="T23" i="1" s="1"/>
  <c r="BA22" i="1"/>
  <c r="BA23" i="1" s="1"/>
  <c r="BA24" i="1" s="1"/>
  <c r="BA25" i="1" s="1"/>
  <c r="AT24" i="1"/>
  <c r="AT25" i="1" s="1"/>
  <c r="K22" i="1"/>
  <c r="H12" i="27" l="1"/>
  <c r="H14" i="27" s="1"/>
  <c r="I12" i="27"/>
  <c r="U11" i="1"/>
  <c r="W6" i="1"/>
  <c r="R13" i="1"/>
  <c r="H7" i="27" s="1"/>
  <c r="W9" i="1"/>
  <c r="U5" i="1"/>
  <c r="U7" i="1" s="1"/>
  <c r="V5" i="1"/>
  <c r="S7" i="1"/>
  <c r="S13" i="1" s="1"/>
  <c r="V11" i="1"/>
  <c r="W10" i="1"/>
  <c r="E695" i="49"/>
  <c r="E694" i="49"/>
  <c r="E693" i="49"/>
  <c r="E692" i="49"/>
  <c r="U671" i="49"/>
  <c r="K684" i="49"/>
  <c r="K688" i="49" s="1"/>
  <c r="S680" i="49"/>
  <c r="S675" i="49"/>
  <c r="I684" i="49"/>
  <c r="I688" i="49" s="1"/>
  <c r="M684" i="49"/>
  <c r="M688" i="49" s="1"/>
  <c r="B703" i="49"/>
  <c r="A716" i="49"/>
  <c r="C695" i="49"/>
  <c r="M692" i="49"/>
  <c r="O694" i="49"/>
  <c r="O693" i="49"/>
  <c r="Q694" i="49"/>
  <c r="O699" i="49"/>
  <c r="C693" i="49"/>
  <c r="I692" i="49"/>
  <c r="G693" i="49"/>
  <c r="M699" i="49"/>
  <c r="I693" i="49"/>
  <c r="G694" i="49"/>
  <c r="M695" i="49"/>
  <c r="Q692" i="49"/>
  <c r="I699" i="49"/>
  <c r="Q699" i="49"/>
  <c r="Q693" i="49"/>
  <c r="G699" i="49"/>
  <c r="K693" i="49"/>
  <c r="O695" i="49"/>
  <c r="G692" i="49"/>
  <c r="M693" i="49"/>
  <c r="K694" i="49"/>
  <c r="C694" i="49"/>
  <c r="I695" i="49"/>
  <c r="M694" i="49"/>
  <c r="O692" i="49"/>
  <c r="G695" i="49"/>
  <c r="I694" i="49"/>
  <c r="K692" i="49"/>
  <c r="K695" i="49"/>
  <c r="Q695" i="49"/>
  <c r="C692" i="49"/>
  <c r="K699" i="49"/>
  <c r="O684" i="49"/>
  <c r="O688" i="49" s="1"/>
  <c r="S682" i="49"/>
  <c r="U680" i="49"/>
  <c r="U679" i="49"/>
  <c r="U682" i="49"/>
  <c r="U681" i="49"/>
  <c r="Q684" i="49"/>
  <c r="Q688" i="49" s="1"/>
  <c r="S679" i="49"/>
  <c r="G684" i="49"/>
  <c r="G688" i="49" s="1"/>
  <c r="S681" i="49"/>
  <c r="S671" i="49"/>
  <c r="R24" i="1"/>
  <c r="U24" i="1" s="1"/>
  <c r="W24" i="1" s="1"/>
  <c r="T26" i="1"/>
  <c r="W23" i="1"/>
  <c r="K23" i="1"/>
  <c r="L22" i="1"/>
  <c r="I7" i="27" l="1"/>
  <c r="H9" i="27"/>
  <c r="I14" i="27"/>
  <c r="U13" i="1"/>
  <c r="D8" i="30" s="1"/>
  <c r="W11" i="1"/>
  <c r="D41" i="30"/>
  <c r="D7" i="30"/>
  <c r="V7" i="1"/>
  <c r="V13" i="1" s="1"/>
  <c r="D9" i="30" s="1"/>
  <c r="W5" i="1"/>
  <c r="W7" i="1" s="1"/>
  <c r="E708" i="49"/>
  <c r="E707" i="49"/>
  <c r="E706" i="49"/>
  <c r="E705" i="49"/>
  <c r="S688" i="49"/>
  <c r="I697" i="49"/>
  <c r="I701" i="49" s="1"/>
  <c r="A729" i="49"/>
  <c r="B716" i="49"/>
  <c r="K697" i="49"/>
  <c r="K701" i="49" s="1"/>
  <c r="Q697" i="49"/>
  <c r="Q701" i="49" s="1"/>
  <c r="M705" i="49"/>
  <c r="Q707" i="49"/>
  <c r="G712" i="49"/>
  <c r="G705" i="49"/>
  <c r="G708" i="49"/>
  <c r="G707" i="49"/>
  <c r="C708" i="49"/>
  <c r="G706" i="49"/>
  <c r="Q705" i="49"/>
  <c r="M706" i="49"/>
  <c r="K708" i="49"/>
  <c r="M708" i="49"/>
  <c r="O712" i="49"/>
  <c r="C706" i="49"/>
  <c r="C707" i="49"/>
  <c r="Q708" i="49"/>
  <c r="O707" i="49"/>
  <c r="O708" i="49"/>
  <c r="I705" i="49"/>
  <c r="K707" i="49"/>
  <c r="K712" i="49"/>
  <c r="O706" i="49"/>
  <c r="I708" i="49"/>
  <c r="I706" i="49"/>
  <c r="K706" i="49"/>
  <c r="I712" i="49"/>
  <c r="Q712" i="49"/>
  <c r="M707" i="49"/>
  <c r="C705" i="49"/>
  <c r="M712" i="49"/>
  <c r="O705" i="49"/>
  <c r="I707" i="49"/>
  <c r="K705" i="49"/>
  <c r="Q706" i="49"/>
  <c r="S684" i="49"/>
  <c r="S695" i="49"/>
  <c r="S694" i="49"/>
  <c r="S692" i="49"/>
  <c r="G697" i="49"/>
  <c r="G701" i="49" s="1"/>
  <c r="O697" i="49"/>
  <c r="O701" i="49" s="1"/>
  <c r="U695" i="49"/>
  <c r="U694" i="49"/>
  <c r="U692" i="49"/>
  <c r="U693" i="49"/>
  <c r="M697" i="49"/>
  <c r="M701" i="49" s="1"/>
  <c r="U684" i="49"/>
  <c r="S693" i="49"/>
  <c r="U26" i="1"/>
  <c r="R25" i="1"/>
  <c r="V25" i="1" s="1"/>
  <c r="V26" i="1" s="1"/>
  <c r="L26" i="1"/>
  <c r="P22" i="1"/>
  <c r="K24" i="1"/>
  <c r="N24" i="1" s="1"/>
  <c r="M23" i="1"/>
  <c r="D17" i="27"/>
  <c r="D10" i="30" l="1"/>
  <c r="D45" i="30"/>
  <c r="E721" i="49"/>
  <c r="E720" i="49"/>
  <c r="E719" i="49"/>
  <c r="E718" i="49"/>
  <c r="S701" i="49"/>
  <c r="S697" i="49"/>
  <c r="S706" i="49"/>
  <c r="M710" i="49"/>
  <c r="M714" i="49" s="1"/>
  <c r="B729" i="49"/>
  <c r="A742" i="49"/>
  <c r="U705" i="49"/>
  <c r="U708" i="49"/>
  <c r="U707" i="49"/>
  <c r="U706" i="49"/>
  <c r="Q710" i="49"/>
  <c r="Q714" i="49" s="1"/>
  <c r="K710" i="49"/>
  <c r="K714" i="49" s="1"/>
  <c r="U697" i="49"/>
  <c r="I710" i="49"/>
  <c r="I714" i="49" s="1"/>
  <c r="S707" i="49"/>
  <c r="S708" i="49"/>
  <c r="G719" i="49"/>
  <c r="K721" i="49"/>
  <c r="C718" i="49"/>
  <c r="I719" i="49"/>
  <c r="K718" i="49"/>
  <c r="O720" i="49"/>
  <c r="C721" i="49"/>
  <c r="Q719" i="49"/>
  <c r="C719" i="49"/>
  <c r="Q721" i="49"/>
  <c r="O721" i="49"/>
  <c r="K720" i="49"/>
  <c r="C720" i="49"/>
  <c r="O718" i="49"/>
  <c r="G718" i="49"/>
  <c r="M719" i="49"/>
  <c r="Q720" i="49"/>
  <c r="M720" i="49"/>
  <c r="G721" i="49"/>
  <c r="K725" i="49"/>
  <c r="M725" i="49"/>
  <c r="I720" i="49"/>
  <c r="I725" i="49"/>
  <c r="G725" i="49"/>
  <c r="O725" i="49"/>
  <c r="O719" i="49"/>
  <c r="M721" i="49"/>
  <c r="Q718" i="49"/>
  <c r="M718" i="49"/>
  <c r="Q725" i="49"/>
  <c r="G720" i="49"/>
  <c r="I718" i="49"/>
  <c r="K719" i="49"/>
  <c r="I721" i="49"/>
  <c r="G710" i="49"/>
  <c r="G714" i="49" s="1"/>
  <c r="S705" i="49"/>
  <c r="O710" i="49"/>
  <c r="O714" i="49" s="1"/>
  <c r="W26" i="1"/>
  <c r="W25" i="1"/>
  <c r="N26" i="1"/>
  <c r="P24" i="1"/>
  <c r="M26" i="1"/>
  <c r="P23" i="1"/>
  <c r="K25" i="1"/>
  <c r="O25" i="1" s="1"/>
  <c r="E734" i="49" l="1"/>
  <c r="E733" i="49"/>
  <c r="E732" i="49"/>
  <c r="E731" i="49"/>
  <c r="S710" i="49"/>
  <c r="S720" i="49"/>
  <c r="G723" i="49"/>
  <c r="G727" i="49" s="1"/>
  <c r="S718" i="49"/>
  <c r="S714" i="49"/>
  <c r="M723" i="49"/>
  <c r="M727" i="49" s="1"/>
  <c r="U710" i="49"/>
  <c r="Q723" i="49"/>
  <c r="Q727" i="49" s="1"/>
  <c r="K723" i="49"/>
  <c r="K727" i="49" s="1"/>
  <c r="A755" i="49"/>
  <c r="B742" i="49"/>
  <c r="M734" i="49"/>
  <c r="G731" i="49"/>
  <c r="K733" i="49"/>
  <c r="K732" i="49"/>
  <c r="Q738" i="49"/>
  <c r="I731" i="49"/>
  <c r="C731" i="49"/>
  <c r="Q732" i="49"/>
  <c r="G732" i="49"/>
  <c r="Q731" i="49"/>
  <c r="O733" i="49"/>
  <c r="G738" i="49"/>
  <c r="G733" i="49"/>
  <c r="Q733" i="49"/>
  <c r="I738" i="49"/>
  <c r="O732" i="49"/>
  <c r="O731" i="49"/>
  <c r="I733" i="49"/>
  <c r="C733" i="49"/>
  <c r="M732" i="49"/>
  <c r="K734" i="49"/>
  <c r="O738" i="49"/>
  <c r="I734" i="49"/>
  <c r="O734" i="49"/>
  <c r="Q734" i="49"/>
  <c r="M733" i="49"/>
  <c r="K738" i="49"/>
  <c r="K731" i="49"/>
  <c r="I732" i="49"/>
  <c r="M738" i="49"/>
  <c r="M731" i="49"/>
  <c r="C732" i="49"/>
  <c r="G734" i="49"/>
  <c r="C734" i="49"/>
  <c r="U720" i="49"/>
  <c r="U718" i="49"/>
  <c r="U721" i="49"/>
  <c r="U719" i="49"/>
  <c r="S721" i="49"/>
  <c r="I723" i="49"/>
  <c r="I727" i="49" s="1"/>
  <c r="S719" i="49"/>
  <c r="O723" i="49"/>
  <c r="O727" i="49" s="1"/>
  <c r="O26" i="1"/>
  <c r="P25" i="1"/>
  <c r="E747" i="49" l="1"/>
  <c r="E746" i="49"/>
  <c r="E745" i="49"/>
  <c r="E744" i="49"/>
  <c r="S723" i="49"/>
  <c r="K736" i="49"/>
  <c r="K740" i="49" s="1"/>
  <c r="M736" i="49"/>
  <c r="M740" i="49" s="1"/>
  <c r="Q736" i="49"/>
  <c r="Q740" i="49" s="1"/>
  <c r="S732" i="49"/>
  <c r="O736" i="49"/>
  <c r="O740" i="49" s="1"/>
  <c r="S734" i="49"/>
  <c r="S733" i="49"/>
  <c r="U723" i="49"/>
  <c r="S727" i="49"/>
  <c r="A768" i="49"/>
  <c r="B755" i="49"/>
  <c r="U734" i="49"/>
  <c r="U733" i="49"/>
  <c r="U732" i="49"/>
  <c r="U731" i="49"/>
  <c r="I747" i="49"/>
  <c r="C744" i="49"/>
  <c r="O744" i="49"/>
  <c r="C746" i="49"/>
  <c r="I744" i="49"/>
  <c r="M746" i="49"/>
  <c r="G745" i="49"/>
  <c r="Q744" i="49"/>
  <c r="C747" i="49"/>
  <c r="G744" i="49"/>
  <c r="I751" i="49"/>
  <c r="O747" i="49"/>
  <c r="Q751" i="49"/>
  <c r="K751" i="49"/>
  <c r="Q745" i="49"/>
  <c r="I746" i="49"/>
  <c r="Q747" i="49"/>
  <c r="K744" i="49"/>
  <c r="M745" i="49"/>
  <c r="I745" i="49"/>
  <c r="G747" i="49"/>
  <c r="M747" i="49"/>
  <c r="K747" i="49"/>
  <c r="O746" i="49"/>
  <c r="G751" i="49"/>
  <c r="G746" i="49"/>
  <c r="O745" i="49"/>
  <c r="M751" i="49"/>
  <c r="C745" i="49"/>
  <c r="M744" i="49"/>
  <c r="K746" i="49"/>
  <c r="Q746" i="49"/>
  <c r="K745" i="49"/>
  <c r="O751" i="49"/>
  <c r="I736" i="49"/>
  <c r="I740" i="49" s="1"/>
  <c r="S731" i="49"/>
  <c r="G736" i="49"/>
  <c r="G740" i="49" s="1"/>
  <c r="P26" i="1"/>
  <c r="P30" i="1" s="1"/>
  <c r="E760" i="49" l="1"/>
  <c r="E759" i="49"/>
  <c r="E758" i="49"/>
  <c r="E757" i="49"/>
  <c r="S740" i="49"/>
  <c r="I749" i="49"/>
  <c r="I753" i="49" s="1"/>
  <c r="S736" i="49"/>
  <c r="G749" i="49"/>
  <c r="G753" i="49" s="1"/>
  <c r="S744" i="49"/>
  <c r="M749" i="49"/>
  <c r="M753" i="49" s="1"/>
  <c r="Q749" i="49"/>
  <c r="Q753" i="49" s="1"/>
  <c r="B768" i="49"/>
  <c r="A781" i="49"/>
  <c r="S745" i="49"/>
  <c r="O749" i="49"/>
  <c r="O753" i="49" s="1"/>
  <c r="S747" i="49"/>
  <c r="U736" i="49"/>
  <c r="K749" i="49"/>
  <c r="K753" i="49" s="1"/>
  <c r="S746" i="49"/>
  <c r="U746" i="49"/>
  <c r="U745" i="49"/>
  <c r="U744" i="49"/>
  <c r="U747" i="49"/>
  <c r="M759" i="49"/>
  <c r="Q764" i="49"/>
  <c r="G758" i="49"/>
  <c r="G759" i="49"/>
  <c r="O758" i="49"/>
  <c r="K764" i="49"/>
  <c r="Q758" i="49"/>
  <c r="I759" i="49"/>
  <c r="Q760" i="49"/>
  <c r="K757" i="49"/>
  <c r="I757" i="49"/>
  <c r="O757" i="49"/>
  <c r="K760" i="49"/>
  <c r="M758" i="49"/>
  <c r="M764" i="49"/>
  <c r="M760" i="49"/>
  <c r="G760" i="49"/>
  <c r="Q759" i="49"/>
  <c r="K758" i="49"/>
  <c r="O759" i="49"/>
  <c r="G764" i="49"/>
  <c r="Q757" i="49"/>
  <c r="I758" i="49"/>
  <c r="C760" i="49"/>
  <c r="O760" i="49"/>
  <c r="C759" i="49"/>
  <c r="C758" i="49"/>
  <c r="M757" i="49"/>
  <c r="C757" i="49"/>
  <c r="G757" i="49"/>
  <c r="K759" i="49"/>
  <c r="O764" i="49"/>
  <c r="I760" i="49"/>
  <c r="I764" i="49"/>
  <c r="C5" i="30"/>
  <c r="C42" i="30"/>
  <c r="H15" i="30"/>
  <c r="C14" i="30"/>
  <c r="I14" i="30"/>
  <c r="C13" i="30"/>
  <c r="I13" i="30"/>
  <c r="E773" i="49" l="1"/>
  <c r="E772" i="49"/>
  <c r="E771" i="49"/>
  <c r="E770" i="49"/>
  <c r="S758" i="49"/>
  <c r="K762" i="49"/>
  <c r="K766" i="49" s="1"/>
  <c r="O762" i="49"/>
  <c r="O766" i="49" s="1"/>
  <c r="S759" i="49"/>
  <c r="A794" i="49"/>
  <c r="B781" i="49"/>
  <c r="I771" i="49"/>
  <c r="K777" i="49"/>
  <c r="Q772" i="49"/>
  <c r="M773" i="49"/>
  <c r="Q771" i="49"/>
  <c r="K773" i="49"/>
  <c r="I772" i="49"/>
  <c r="K771" i="49"/>
  <c r="O771" i="49"/>
  <c r="Q770" i="49"/>
  <c r="M770" i="49"/>
  <c r="M771" i="49"/>
  <c r="O770" i="49"/>
  <c r="C771" i="49"/>
  <c r="K772" i="49"/>
  <c r="I770" i="49"/>
  <c r="O777" i="49"/>
  <c r="O772" i="49"/>
  <c r="I777" i="49"/>
  <c r="M772" i="49"/>
  <c r="C772" i="49"/>
  <c r="O773" i="49"/>
  <c r="I773" i="49"/>
  <c r="G770" i="49"/>
  <c r="C770" i="49"/>
  <c r="M777" i="49"/>
  <c r="G777" i="49"/>
  <c r="G772" i="49"/>
  <c r="Q773" i="49"/>
  <c r="Q777" i="49"/>
  <c r="G771" i="49"/>
  <c r="C773" i="49"/>
  <c r="G773" i="49"/>
  <c r="K770" i="49"/>
  <c r="S760" i="49"/>
  <c r="S757" i="49"/>
  <c r="G762" i="49"/>
  <c r="G766" i="49" s="1"/>
  <c r="Q762" i="49"/>
  <c r="Q766" i="49" s="1"/>
  <c r="U758" i="49"/>
  <c r="U759" i="49"/>
  <c r="U757" i="49"/>
  <c r="U760" i="49"/>
  <c r="M762" i="49"/>
  <c r="M766" i="49" s="1"/>
  <c r="S749" i="49"/>
  <c r="I762" i="49"/>
  <c r="I766" i="49" s="1"/>
  <c r="U749" i="49"/>
  <c r="S753" i="49"/>
  <c r="I15" i="30"/>
  <c r="C15" i="30"/>
  <c r="C17" i="30" s="1"/>
  <c r="G15" i="30"/>
  <c r="F15" i="30"/>
  <c r="E15" i="30"/>
  <c r="D15" i="30"/>
  <c r="E786" i="49" l="1"/>
  <c r="E785" i="49"/>
  <c r="E784" i="49"/>
  <c r="E783" i="49"/>
  <c r="S762" i="49"/>
  <c r="M775" i="49"/>
  <c r="M779" i="49" s="1"/>
  <c r="S772" i="49"/>
  <c r="G775" i="49"/>
  <c r="G779" i="49" s="1"/>
  <c r="S770" i="49"/>
  <c r="S771" i="49"/>
  <c r="Q775" i="49"/>
  <c r="Q779" i="49" s="1"/>
  <c r="S766" i="49"/>
  <c r="I775" i="49"/>
  <c r="I779" i="49" s="1"/>
  <c r="G784" i="49"/>
  <c r="K786" i="49"/>
  <c r="C786" i="49"/>
  <c r="K785" i="49"/>
  <c r="Q783" i="49"/>
  <c r="G785" i="49"/>
  <c r="I783" i="49"/>
  <c r="C783" i="49"/>
  <c r="K783" i="49"/>
  <c r="O785" i="49"/>
  <c r="G790" i="49"/>
  <c r="I790" i="49"/>
  <c r="K790" i="49"/>
  <c r="I785" i="49"/>
  <c r="M790" i="49"/>
  <c r="C784" i="49"/>
  <c r="O784" i="49"/>
  <c r="O783" i="49"/>
  <c r="G783" i="49"/>
  <c r="Q786" i="49"/>
  <c r="Q785" i="49"/>
  <c r="K784" i="49"/>
  <c r="I786" i="49"/>
  <c r="O786" i="49"/>
  <c r="C785" i="49"/>
  <c r="Q784" i="49"/>
  <c r="M784" i="49"/>
  <c r="M786" i="49"/>
  <c r="M783" i="49"/>
  <c r="O790" i="49"/>
  <c r="M785" i="49"/>
  <c r="G786" i="49"/>
  <c r="I784" i="49"/>
  <c r="Q790" i="49"/>
  <c r="U770" i="49"/>
  <c r="U771" i="49"/>
  <c r="U772" i="49"/>
  <c r="U773" i="49"/>
  <c r="O775" i="49"/>
  <c r="O779" i="49" s="1"/>
  <c r="A807" i="49"/>
  <c r="B794" i="49"/>
  <c r="U762" i="49"/>
  <c r="K775" i="49"/>
  <c r="K779" i="49" s="1"/>
  <c r="S773" i="49"/>
  <c r="A1" i="27"/>
  <c r="A1" i="30"/>
  <c r="A1" i="49"/>
  <c r="AM3" i="1"/>
  <c r="E799" i="49" l="1"/>
  <c r="E798" i="49"/>
  <c r="E797" i="49"/>
  <c r="E796" i="49"/>
  <c r="S786" i="49"/>
  <c r="K788" i="49"/>
  <c r="K792" i="49" s="1"/>
  <c r="M788" i="49"/>
  <c r="M792" i="49" s="1"/>
  <c r="S784" i="49"/>
  <c r="I788" i="49"/>
  <c r="I792" i="49" s="1"/>
  <c r="S783" i="49"/>
  <c r="G788" i="49"/>
  <c r="G792" i="49" s="1"/>
  <c r="S785" i="49"/>
  <c r="U775" i="49"/>
  <c r="C799" i="49"/>
  <c r="I796" i="49"/>
  <c r="M798" i="49"/>
  <c r="C798" i="49"/>
  <c r="O803" i="49"/>
  <c r="G798" i="49"/>
  <c r="K803" i="49"/>
  <c r="Q799" i="49"/>
  <c r="I798" i="49"/>
  <c r="M803" i="49"/>
  <c r="K796" i="49"/>
  <c r="G796" i="49"/>
  <c r="Q798" i="49"/>
  <c r="Q797" i="49"/>
  <c r="Q796" i="49"/>
  <c r="O796" i="49"/>
  <c r="G803" i="49"/>
  <c r="O799" i="49"/>
  <c r="C797" i="49"/>
  <c r="G799" i="49"/>
  <c r="I797" i="49"/>
  <c r="K798" i="49"/>
  <c r="K797" i="49"/>
  <c r="K799" i="49"/>
  <c r="M797" i="49"/>
  <c r="M796" i="49"/>
  <c r="O798" i="49"/>
  <c r="G797" i="49"/>
  <c r="I803" i="49"/>
  <c r="I799" i="49"/>
  <c r="M799" i="49"/>
  <c r="Q803" i="49"/>
  <c r="C796" i="49"/>
  <c r="O797" i="49"/>
  <c r="O788" i="49"/>
  <c r="O792" i="49" s="1"/>
  <c r="U785" i="49"/>
  <c r="U786" i="49"/>
  <c r="U784" i="49"/>
  <c r="U783" i="49"/>
  <c r="Q788" i="49"/>
  <c r="Q792" i="49" s="1"/>
  <c r="A820" i="49"/>
  <c r="B807" i="49"/>
  <c r="S775" i="49"/>
  <c r="S779" i="49"/>
  <c r="AF3" i="1"/>
  <c r="K23" i="32"/>
  <c r="L23" i="32" s="1"/>
  <c r="M23" i="32" s="1"/>
  <c r="N23" i="32" s="1"/>
  <c r="K24" i="32"/>
  <c r="L24" i="32" s="1"/>
  <c r="M24" i="32" s="1"/>
  <c r="N24" i="32" s="1"/>
  <c r="K27" i="32"/>
  <c r="K22" i="32"/>
  <c r="L22" i="32" s="1"/>
  <c r="M22" i="32" s="1"/>
  <c r="N22" i="32" s="1"/>
  <c r="K25" i="32"/>
  <c r="L25" i="32" s="1"/>
  <c r="M25" i="32" s="1"/>
  <c r="N25" i="32" s="1"/>
  <c r="K38" i="32"/>
  <c r="K28" i="32"/>
  <c r="L28" i="32" s="1"/>
  <c r="M28" i="32" s="1"/>
  <c r="N28" i="32" s="1"/>
  <c r="E812" i="49" l="1"/>
  <c r="E811" i="49"/>
  <c r="E810" i="49"/>
  <c r="E809" i="49"/>
  <c r="S788" i="49"/>
  <c r="M801" i="49"/>
  <c r="M805" i="49" s="1"/>
  <c r="S798" i="49"/>
  <c r="S792" i="49"/>
  <c r="S799" i="49"/>
  <c r="S797" i="49"/>
  <c r="A833" i="49"/>
  <c r="B820" i="49"/>
  <c r="M809" i="49"/>
  <c r="M811" i="49"/>
  <c r="O816" i="49"/>
  <c r="I809" i="49"/>
  <c r="C812" i="49"/>
  <c r="Q809" i="49"/>
  <c r="Q816" i="49"/>
  <c r="O809" i="49"/>
  <c r="G809" i="49"/>
  <c r="K809" i="49"/>
  <c r="K816" i="49"/>
  <c r="Q810" i="49"/>
  <c r="I811" i="49"/>
  <c r="C811" i="49"/>
  <c r="G816" i="49"/>
  <c r="C810" i="49"/>
  <c r="K810" i="49"/>
  <c r="C809" i="49"/>
  <c r="K812" i="49"/>
  <c r="M810" i="49"/>
  <c r="O811" i="49"/>
  <c r="O812" i="49"/>
  <c r="Q812" i="49"/>
  <c r="I816" i="49"/>
  <c r="I810" i="49"/>
  <c r="M816" i="49"/>
  <c r="G812" i="49"/>
  <c r="K811" i="49"/>
  <c r="M812" i="49"/>
  <c r="I812" i="49"/>
  <c r="G811" i="49"/>
  <c r="Q811" i="49"/>
  <c r="G810" i="49"/>
  <c r="O810" i="49"/>
  <c r="G801" i="49"/>
  <c r="G805" i="49" s="1"/>
  <c r="S796" i="49"/>
  <c r="U788" i="49"/>
  <c r="K801" i="49"/>
  <c r="K805" i="49" s="1"/>
  <c r="U797" i="49"/>
  <c r="U796" i="49"/>
  <c r="U799" i="49"/>
  <c r="U798" i="49"/>
  <c r="I801" i="49"/>
  <c r="I805" i="49" s="1"/>
  <c r="O801" i="49"/>
  <c r="O805" i="49" s="1"/>
  <c r="Q801" i="49"/>
  <c r="Q805" i="49" s="1"/>
  <c r="L38" i="32"/>
  <c r="AG9" i="1"/>
  <c r="AG5" i="1"/>
  <c r="AG6" i="1"/>
  <c r="K40" i="32"/>
  <c r="K39" i="32"/>
  <c r="AG10" i="1"/>
  <c r="L27" i="32"/>
  <c r="AK28" i="1"/>
  <c r="E825" i="49" l="1"/>
  <c r="E824" i="49"/>
  <c r="E823" i="49"/>
  <c r="E822" i="49"/>
  <c r="S805" i="49"/>
  <c r="U801" i="49"/>
  <c r="Q814" i="49"/>
  <c r="Q818" i="49" s="1"/>
  <c r="K814" i="49"/>
  <c r="K818" i="49" s="1"/>
  <c r="M814" i="49"/>
  <c r="M818" i="49" s="1"/>
  <c r="S801" i="49"/>
  <c r="U809" i="49"/>
  <c r="U812" i="49"/>
  <c r="U810" i="49"/>
  <c r="U811" i="49"/>
  <c r="S812" i="49"/>
  <c r="K822" i="49"/>
  <c r="C822" i="49"/>
  <c r="K823" i="49"/>
  <c r="O829" i="49"/>
  <c r="I825" i="49"/>
  <c r="Q824" i="49"/>
  <c r="C825" i="49"/>
  <c r="O825" i="49"/>
  <c r="O822" i="49"/>
  <c r="Q825" i="49"/>
  <c r="G825" i="49"/>
  <c r="G824" i="49"/>
  <c r="K829" i="49"/>
  <c r="M824" i="49"/>
  <c r="I824" i="49"/>
  <c r="I823" i="49"/>
  <c r="I822" i="49"/>
  <c r="I829" i="49"/>
  <c r="Q829" i="49"/>
  <c r="C823" i="49"/>
  <c r="O823" i="49"/>
  <c r="K825" i="49"/>
  <c r="Q823" i="49"/>
  <c r="M823" i="49"/>
  <c r="Q822" i="49"/>
  <c r="G822" i="49"/>
  <c r="K824" i="49"/>
  <c r="G823" i="49"/>
  <c r="O824" i="49"/>
  <c r="M829" i="49"/>
  <c r="M825" i="49"/>
  <c r="C824" i="49"/>
  <c r="G829" i="49"/>
  <c r="M822" i="49"/>
  <c r="S810" i="49"/>
  <c r="I814" i="49"/>
  <c r="I818" i="49" s="1"/>
  <c r="A846" i="49"/>
  <c r="B833" i="49"/>
  <c r="S809" i="49"/>
  <c r="G814" i="49"/>
  <c r="G818" i="49" s="1"/>
  <c r="S811" i="49"/>
  <c r="O814" i="49"/>
  <c r="O818" i="49" s="1"/>
  <c r="AJ10" i="1"/>
  <c r="AI10" i="1"/>
  <c r="AI6" i="1"/>
  <c r="AJ6" i="1"/>
  <c r="AI5" i="1"/>
  <c r="AJ5" i="1"/>
  <c r="AJ9" i="1"/>
  <c r="AI9" i="1"/>
  <c r="M27" i="32"/>
  <c r="AR28" i="1"/>
  <c r="B52" i="30"/>
  <c r="AG7" i="1"/>
  <c r="AG11" i="1"/>
  <c r="M38" i="32"/>
  <c r="L39" i="32"/>
  <c r="AN10" i="1"/>
  <c r="AN9" i="1"/>
  <c r="AN5" i="1"/>
  <c r="AN6" i="1"/>
  <c r="L40" i="32"/>
  <c r="Y3" i="1"/>
  <c r="AA60" i="1" s="1"/>
  <c r="E23" i="27"/>
  <c r="D26" i="27"/>
  <c r="E838" i="49" l="1"/>
  <c r="E837" i="49"/>
  <c r="E836" i="49"/>
  <c r="E835" i="49"/>
  <c r="I827" i="49"/>
  <c r="I831" i="49" s="1"/>
  <c r="O827" i="49"/>
  <c r="O831" i="49" s="1"/>
  <c r="S823" i="49"/>
  <c r="M827" i="49"/>
  <c r="M831" i="49" s="1"/>
  <c r="U824" i="49"/>
  <c r="U822" i="49"/>
  <c r="U825" i="49"/>
  <c r="U823" i="49"/>
  <c r="G827" i="49"/>
  <c r="G831" i="49" s="1"/>
  <c r="S822" i="49"/>
  <c r="S824" i="49"/>
  <c r="B846" i="49"/>
  <c r="A859" i="49"/>
  <c r="S818" i="49"/>
  <c r="S814" i="49"/>
  <c r="Q827" i="49"/>
  <c r="Q831" i="49" s="1"/>
  <c r="S825" i="49"/>
  <c r="U814" i="49"/>
  <c r="Q838" i="49"/>
  <c r="Q836" i="49"/>
  <c r="I835" i="49"/>
  <c r="C835" i="49"/>
  <c r="Q837" i="49"/>
  <c r="Q835" i="49"/>
  <c r="O836" i="49"/>
  <c r="G835" i="49"/>
  <c r="K836" i="49"/>
  <c r="K838" i="49"/>
  <c r="O837" i="49"/>
  <c r="G836" i="49"/>
  <c r="G842" i="49"/>
  <c r="M838" i="49"/>
  <c r="K837" i="49"/>
  <c r="C838" i="49"/>
  <c r="M837" i="49"/>
  <c r="K835" i="49"/>
  <c r="I836" i="49"/>
  <c r="K842" i="49"/>
  <c r="I837" i="49"/>
  <c r="C837" i="49"/>
  <c r="M842" i="49"/>
  <c r="O838" i="49"/>
  <c r="I842" i="49"/>
  <c r="M835" i="49"/>
  <c r="C836" i="49"/>
  <c r="O842" i="49"/>
  <c r="G838" i="49"/>
  <c r="O835" i="49"/>
  <c r="M836" i="49"/>
  <c r="I838" i="49"/>
  <c r="Q842" i="49"/>
  <c r="G837" i="49"/>
  <c r="K827" i="49"/>
  <c r="K831" i="49" s="1"/>
  <c r="AI11" i="1"/>
  <c r="AJ7" i="1"/>
  <c r="AJ11" i="1"/>
  <c r="AP6" i="1"/>
  <c r="AQ6" i="1"/>
  <c r="AQ10" i="1"/>
  <c r="AP10" i="1"/>
  <c r="AI7" i="1"/>
  <c r="AP5" i="1"/>
  <c r="AQ5" i="1"/>
  <c r="AP9" i="1"/>
  <c r="AQ9" i="1"/>
  <c r="AG13" i="1"/>
  <c r="N38" i="32"/>
  <c r="AU5" i="1"/>
  <c r="M40" i="32"/>
  <c r="M39" i="32"/>
  <c r="AU10" i="1"/>
  <c r="AU6" i="1"/>
  <c r="AU9" i="1"/>
  <c r="AK10" i="1"/>
  <c r="AK9" i="1"/>
  <c r="AK6" i="1"/>
  <c r="AN7" i="1"/>
  <c r="AK5" i="1"/>
  <c r="AN11" i="1"/>
  <c r="N27" i="32"/>
  <c r="BF28" i="1" s="1"/>
  <c r="AY28" i="1"/>
  <c r="AB60" i="1"/>
  <c r="AI60" i="1" s="1"/>
  <c r="AP60" i="1" s="1"/>
  <c r="AW60" i="1" s="1"/>
  <c r="BD60" i="1" s="1"/>
  <c r="AH60" i="1"/>
  <c r="AB21" i="1"/>
  <c r="AB24" i="1" s="1"/>
  <c r="AA21" i="1"/>
  <c r="AA23" i="1" s="1"/>
  <c r="AC21" i="1"/>
  <c r="AC25" i="1" s="1"/>
  <c r="Z21" i="1"/>
  <c r="Z22" i="1" s="1"/>
  <c r="D55" i="30"/>
  <c r="H13" i="32"/>
  <c r="K3" i="1" s="1"/>
  <c r="F7" i="30" l="1"/>
  <c r="F41" i="30"/>
  <c r="E851" i="49"/>
  <c r="E850" i="49"/>
  <c r="E849" i="49"/>
  <c r="E848" i="49"/>
  <c r="M840" i="49"/>
  <c r="M844" i="49" s="1"/>
  <c r="K840" i="49"/>
  <c r="K844" i="49" s="1"/>
  <c r="O840" i="49"/>
  <c r="O844" i="49" s="1"/>
  <c r="S838" i="49"/>
  <c r="G840" i="49"/>
  <c r="G844" i="49" s="1"/>
  <c r="S835" i="49"/>
  <c r="S837" i="49"/>
  <c r="Q840" i="49"/>
  <c r="Q844" i="49" s="1"/>
  <c r="S827" i="49"/>
  <c r="S831" i="49"/>
  <c r="I840" i="49"/>
  <c r="I844" i="49" s="1"/>
  <c r="U827" i="49"/>
  <c r="A872" i="49"/>
  <c r="B859" i="49"/>
  <c r="M855" i="49"/>
  <c r="O849" i="49"/>
  <c r="I851" i="49"/>
  <c r="M849" i="49"/>
  <c r="I849" i="49"/>
  <c r="C848" i="49"/>
  <c r="I848" i="49"/>
  <c r="C850" i="49"/>
  <c r="Q849" i="49"/>
  <c r="K850" i="49"/>
  <c r="M851" i="49"/>
  <c r="G848" i="49"/>
  <c r="I855" i="49"/>
  <c r="Q855" i="49"/>
  <c r="O851" i="49"/>
  <c r="I850" i="49"/>
  <c r="O848" i="49"/>
  <c r="G855" i="49"/>
  <c r="Q850" i="49"/>
  <c r="Q848" i="49"/>
  <c r="O855" i="49"/>
  <c r="O850" i="49"/>
  <c r="C851" i="49"/>
  <c r="G849" i="49"/>
  <c r="K855" i="49"/>
  <c r="Q851" i="49"/>
  <c r="K849" i="49"/>
  <c r="C849" i="49"/>
  <c r="G851" i="49"/>
  <c r="K848" i="49"/>
  <c r="M848" i="49"/>
  <c r="G850" i="49"/>
  <c r="M850" i="49"/>
  <c r="K851" i="49"/>
  <c r="U837" i="49"/>
  <c r="U835" i="49"/>
  <c r="U836" i="49"/>
  <c r="U838" i="49"/>
  <c r="S836" i="49"/>
  <c r="AA26" i="1"/>
  <c r="AD23" i="1"/>
  <c r="AB26" i="1"/>
  <c r="AD24" i="1"/>
  <c r="Z26" i="1"/>
  <c r="AD22" i="1"/>
  <c r="AC26" i="1"/>
  <c r="AD25" i="1"/>
  <c r="AP7" i="1"/>
  <c r="AI13" i="1"/>
  <c r="F8" i="30" s="1"/>
  <c r="AJ13" i="1"/>
  <c r="F9" i="30" s="1"/>
  <c r="AX10" i="1"/>
  <c r="AW10" i="1"/>
  <c r="AW5" i="1"/>
  <c r="AX5" i="1"/>
  <c r="AQ7" i="1"/>
  <c r="AQ11" i="1"/>
  <c r="AX9" i="1"/>
  <c r="AW9" i="1"/>
  <c r="AW6" i="1"/>
  <c r="AX6" i="1"/>
  <c r="AP11" i="1"/>
  <c r="AK7" i="1"/>
  <c r="AN13" i="1"/>
  <c r="AR6" i="1"/>
  <c r="AK11" i="1"/>
  <c r="AU11" i="1"/>
  <c r="AR9" i="1"/>
  <c r="AU7" i="1"/>
  <c r="AR10" i="1"/>
  <c r="AR5" i="1"/>
  <c r="N40" i="32"/>
  <c r="BB10" i="1"/>
  <c r="BB5" i="1"/>
  <c r="N39" i="32"/>
  <c r="BB6" i="1"/>
  <c r="BB9" i="1"/>
  <c r="AD60" i="1"/>
  <c r="AO60" i="1"/>
  <c r="AK60" i="1"/>
  <c r="AH21" i="1"/>
  <c r="AH23" i="1" s="1"/>
  <c r="AH26" i="1" s="1"/>
  <c r="AG21" i="1"/>
  <c r="AG22" i="1" s="1"/>
  <c r="AG26" i="1" s="1"/>
  <c r="AJ21" i="1"/>
  <c r="AJ25" i="1" s="1"/>
  <c r="AJ26" i="1" s="1"/>
  <c r="AI21" i="1"/>
  <c r="AI24" i="1" s="1"/>
  <c r="AI26" i="1" s="1"/>
  <c r="U29" i="1"/>
  <c r="E55" i="30"/>
  <c r="G7" i="30" l="1"/>
  <c r="G41" i="30"/>
  <c r="E864" i="49"/>
  <c r="E863" i="49"/>
  <c r="E862" i="49"/>
  <c r="E861" i="49"/>
  <c r="M853" i="49"/>
  <c r="M857" i="49" s="1"/>
  <c r="U840" i="49"/>
  <c r="I853" i="49"/>
  <c r="I857" i="49" s="1"/>
  <c r="Q853" i="49"/>
  <c r="Q857" i="49" s="1"/>
  <c r="S849" i="49"/>
  <c r="S850" i="49"/>
  <c r="O853" i="49"/>
  <c r="O857" i="49" s="1"/>
  <c r="U849" i="49"/>
  <c r="U848" i="49"/>
  <c r="U850" i="49"/>
  <c r="U851" i="49"/>
  <c r="S848" i="49"/>
  <c r="G853" i="49"/>
  <c r="G857" i="49" s="1"/>
  <c r="K853" i="49"/>
  <c r="K857" i="49" s="1"/>
  <c r="S851" i="49"/>
  <c r="K868" i="49"/>
  <c r="Q861" i="49"/>
  <c r="O861" i="49"/>
  <c r="G862" i="49"/>
  <c r="I861" i="49"/>
  <c r="K864" i="49"/>
  <c r="G868" i="49"/>
  <c r="C864" i="49"/>
  <c r="O868" i="49"/>
  <c r="O863" i="49"/>
  <c r="O864" i="49"/>
  <c r="Q862" i="49"/>
  <c r="M863" i="49"/>
  <c r="M868" i="49"/>
  <c r="C862" i="49"/>
  <c r="G863" i="49"/>
  <c r="M861" i="49"/>
  <c r="I862" i="49"/>
  <c r="M864" i="49"/>
  <c r="G861" i="49"/>
  <c r="I864" i="49"/>
  <c r="O862" i="49"/>
  <c r="C861" i="49"/>
  <c r="K863" i="49"/>
  <c r="Q863" i="49"/>
  <c r="K861" i="49"/>
  <c r="I868" i="49"/>
  <c r="M862" i="49"/>
  <c r="K862" i="49"/>
  <c r="I863" i="49"/>
  <c r="G864" i="49"/>
  <c r="Q868" i="49"/>
  <c r="Q864" i="49"/>
  <c r="C863" i="49"/>
  <c r="S840" i="49"/>
  <c r="B872" i="49"/>
  <c r="A885" i="49"/>
  <c r="S844" i="49"/>
  <c r="AD26" i="1"/>
  <c r="AP13" i="1"/>
  <c r="G8" i="30" s="1"/>
  <c r="AW7" i="1"/>
  <c r="AW11" i="1"/>
  <c r="AQ13" i="1"/>
  <c r="G9" i="30" s="1"/>
  <c r="AX7" i="1"/>
  <c r="BE9" i="1"/>
  <c r="BD9" i="1"/>
  <c r="BE10" i="1"/>
  <c r="BD10" i="1"/>
  <c r="BD6" i="1"/>
  <c r="BE6" i="1"/>
  <c r="BD5" i="1"/>
  <c r="BE5" i="1"/>
  <c r="AX11" i="1"/>
  <c r="AR7" i="1"/>
  <c r="F10" i="30"/>
  <c r="F45" i="30"/>
  <c r="AK62" i="1"/>
  <c r="F22" i="30"/>
  <c r="F24" i="30" s="1"/>
  <c r="AD62" i="1"/>
  <c r="E22" i="30"/>
  <c r="E24" i="30" s="1"/>
  <c r="AY6" i="1"/>
  <c r="BB7" i="1"/>
  <c r="AY5" i="1"/>
  <c r="AR11" i="1"/>
  <c r="AU13" i="1"/>
  <c r="AY9" i="1"/>
  <c r="AY10" i="1"/>
  <c r="BB11" i="1"/>
  <c r="AK26" i="1"/>
  <c r="AV60" i="1"/>
  <c r="AR60" i="1"/>
  <c r="W29" i="1"/>
  <c r="W30" i="1" s="1"/>
  <c r="AN21" i="1"/>
  <c r="AN22" i="1" s="1"/>
  <c r="AN26" i="1" s="1"/>
  <c r="AP21" i="1"/>
  <c r="AP24" i="1" s="1"/>
  <c r="AP26" i="1" s="1"/>
  <c r="AQ21" i="1"/>
  <c r="AQ25" i="1" s="1"/>
  <c r="AQ26" i="1" s="1"/>
  <c r="AO21" i="1"/>
  <c r="AO23" i="1" s="1"/>
  <c r="AO26" i="1" s="1"/>
  <c r="F55" i="30"/>
  <c r="H7" i="30" l="1"/>
  <c r="H41" i="30"/>
  <c r="E877" i="49"/>
  <c r="E876" i="49"/>
  <c r="E875" i="49"/>
  <c r="E874" i="49"/>
  <c r="K866" i="49"/>
  <c r="K870" i="49" s="1"/>
  <c r="S857" i="49"/>
  <c r="I866" i="49"/>
  <c r="I870" i="49" s="1"/>
  <c r="S861" i="49"/>
  <c r="G866" i="49"/>
  <c r="G870" i="49" s="1"/>
  <c r="S862" i="49"/>
  <c r="S853" i="49"/>
  <c r="A898" i="49"/>
  <c r="B885" i="49"/>
  <c r="S864" i="49"/>
  <c r="O866" i="49"/>
  <c r="O870" i="49" s="1"/>
  <c r="M866" i="49"/>
  <c r="M870" i="49" s="1"/>
  <c r="Q866" i="49"/>
  <c r="Q870" i="49" s="1"/>
  <c r="S863" i="49"/>
  <c r="U853" i="49"/>
  <c r="M876" i="49"/>
  <c r="Q881" i="49"/>
  <c r="Q877" i="49"/>
  <c r="Q875" i="49"/>
  <c r="G877" i="49"/>
  <c r="O881" i="49"/>
  <c r="G876" i="49"/>
  <c r="I875" i="49"/>
  <c r="O877" i="49"/>
  <c r="K874" i="49"/>
  <c r="K881" i="49"/>
  <c r="M875" i="49"/>
  <c r="K876" i="49"/>
  <c r="Q874" i="49"/>
  <c r="O875" i="49"/>
  <c r="I877" i="49"/>
  <c r="K877" i="49"/>
  <c r="C876" i="49"/>
  <c r="I874" i="49"/>
  <c r="G875" i="49"/>
  <c r="C875" i="49"/>
  <c r="O876" i="49"/>
  <c r="C877" i="49"/>
  <c r="I876" i="49"/>
  <c r="Q876" i="49"/>
  <c r="G881" i="49"/>
  <c r="I881" i="49"/>
  <c r="C874" i="49"/>
  <c r="M881" i="49"/>
  <c r="G874" i="49"/>
  <c r="K875" i="49"/>
  <c r="M874" i="49"/>
  <c r="O874" i="49"/>
  <c r="M877" i="49"/>
  <c r="U862" i="49"/>
  <c r="U864" i="49"/>
  <c r="U861" i="49"/>
  <c r="U863" i="49"/>
  <c r="BE11" i="1"/>
  <c r="AW13" i="1"/>
  <c r="H8" i="30" s="1"/>
  <c r="BD11" i="1"/>
  <c r="AX13" i="1"/>
  <c r="H9" i="30" s="1"/>
  <c r="AY7" i="1"/>
  <c r="BD7" i="1"/>
  <c r="BE7" i="1"/>
  <c r="G10" i="30"/>
  <c r="BB13" i="1"/>
  <c r="G45" i="30"/>
  <c r="D5" i="30"/>
  <c r="D17" i="30" s="1"/>
  <c r="D42" i="30"/>
  <c r="AR62" i="1"/>
  <c r="G22" i="30"/>
  <c r="G24" i="30" s="1"/>
  <c r="BF10" i="1"/>
  <c r="BF5" i="1"/>
  <c r="BF6" i="1"/>
  <c r="BF9" i="1"/>
  <c r="AY11" i="1"/>
  <c r="AR26" i="1"/>
  <c r="AB29" i="1"/>
  <c r="BC60" i="1"/>
  <c r="BF60" i="1" s="1"/>
  <c r="AY60" i="1"/>
  <c r="BE21" i="1"/>
  <c r="BE25" i="1" s="1"/>
  <c r="BE26" i="1" s="1"/>
  <c r="AX21" i="1"/>
  <c r="AX25" i="1" s="1"/>
  <c r="AX26" i="1" s="1"/>
  <c r="BD21" i="1"/>
  <c r="BD24" i="1" s="1"/>
  <c r="BD26" i="1" s="1"/>
  <c r="AW21" i="1"/>
  <c r="AW24" i="1" s="1"/>
  <c r="AW26" i="1" s="1"/>
  <c r="BC21" i="1"/>
  <c r="BC23" i="1" s="1"/>
  <c r="BC26" i="1" s="1"/>
  <c r="AV21" i="1"/>
  <c r="AV23" i="1" s="1"/>
  <c r="AV26" i="1" s="1"/>
  <c r="BB21" i="1"/>
  <c r="BB22" i="1" s="1"/>
  <c r="BB26" i="1" s="1"/>
  <c r="AU21" i="1"/>
  <c r="AU22" i="1" s="1"/>
  <c r="AU26" i="1" s="1"/>
  <c r="G55" i="30"/>
  <c r="AD29" i="1" l="1"/>
  <c r="AD30" i="1" s="1"/>
  <c r="I7" i="30"/>
  <c r="I41" i="30"/>
  <c r="E890" i="49"/>
  <c r="E889" i="49"/>
  <c r="E888" i="49"/>
  <c r="E887" i="49"/>
  <c r="O879" i="49"/>
  <c r="O883" i="49" s="1"/>
  <c r="I879" i="49"/>
  <c r="I883" i="49" s="1"/>
  <c r="M879" i="49"/>
  <c r="M883" i="49" s="1"/>
  <c r="S866" i="49"/>
  <c r="G890" i="49"/>
  <c r="M887" i="49"/>
  <c r="M888" i="49"/>
  <c r="G888" i="49"/>
  <c r="I887" i="49"/>
  <c r="C887" i="49"/>
  <c r="Q889" i="49"/>
  <c r="Q890" i="49"/>
  <c r="I888" i="49"/>
  <c r="O889" i="49"/>
  <c r="K889" i="49"/>
  <c r="K890" i="49"/>
  <c r="K894" i="49"/>
  <c r="Q887" i="49"/>
  <c r="G889" i="49"/>
  <c r="K887" i="49"/>
  <c r="I894" i="49"/>
  <c r="O888" i="49"/>
  <c r="C889" i="49"/>
  <c r="O894" i="49"/>
  <c r="O890" i="49"/>
  <c r="I890" i="49"/>
  <c r="I889" i="49"/>
  <c r="M889" i="49"/>
  <c r="K888" i="49"/>
  <c r="O887" i="49"/>
  <c r="M890" i="49"/>
  <c r="C890" i="49"/>
  <c r="G894" i="49"/>
  <c r="Q894" i="49"/>
  <c r="Q888" i="49"/>
  <c r="G887" i="49"/>
  <c r="M894" i="49"/>
  <c r="C888" i="49"/>
  <c r="U866" i="49"/>
  <c r="B898" i="49"/>
  <c r="A911" i="49"/>
  <c r="S876" i="49"/>
  <c r="G879" i="49"/>
  <c r="G883" i="49" s="1"/>
  <c r="S874" i="49"/>
  <c r="Q879" i="49"/>
  <c r="Q883" i="49" s="1"/>
  <c r="S875" i="49"/>
  <c r="S877" i="49"/>
  <c r="U876" i="49"/>
  <c r="U877" i="49"/>
  <c r="U874" i="49"/>
  <c r="U875" i="49"/>
  <c r="S870" i="49"/>
  <c r="K879" i="49"/>
  <c r="K883" i="49" s="1"/>
  <c r="BE13" i="1"/>
  <c r="I9" i="30" s="1"/>
  <c r="BD13" i="1"/>
  <c r="H10" i="30"/>
  <c r="BF7" i="1"/>
  <c r="BF11" i="1"/>
  <c r="H45" i="30"/>
  <c r="BF62" i="1"/>
  <c r="I22" i="30"/>
  <c r="I24" i="30" s="1"/>
  <c r="AY62" i="1"/>
  <c r="H22" i="30"/>
  <c r="H24" i="30" s="1"/>
  <c r="AY26" i="1"/>
  <c r="BF26" i="1"/>
  <c r="AI29" i="1"/>
  <c r="AK29" i="1" s="1"/>
  <c r="AK30" i="1" s="1"/>
  <c r="I55" i="30"/>
  <c r="H55" i="30"/>
  <c r="E5" i="30" l="1"/>
  <c r="E17" i="30" s="1"/>
  <c r="E42" i="30"/>
  <c r="E903" i="49"/>
  <c r="E902" i="49"/>
  <c r="E901" i="49"/>
  <c r="E900" i="49"/>
  <c r="U879" i="49"/>
  <c r="S883" i="49"/>
  <c r="S889" i="49"/>
  <c r="K892" i="49"/>
  <c r="K896" i="49" s="1"/>
  <c r="M892" i="49"/>
  <c r="M896" i="49" s="1"/>
  <c r="U888" i="49"/>
  <c r="U887" i="49"/>
  <c r="U890" i="49"/>
  <c r="U889" i="49"/>
  <c r="B911" i="49"/>
  <c r="A924" i="49"/>
  <c r="Q892" i="49"/>
  <c r="Q896" i="49" s="1"/>
  <c r="I902" i="49"/>
  <c r="I903" i="49"/>
  <c r="K901" i="49"/>
  <c r="M902" i="49"/>
  <c r="Q903" i="49"/>
  <c r="M901" i="49"/>
  <c r="O900" i="49"/>
  <c r="G900" i="49"/>
  <c r="M900" i="49"/>
  <c r="K902" i="49"/>
  <c r="I901" i="49"/>
  <c r="C902" i="49"/>
  <c r="G907" i="49"/>
  <c r="Q900" i="49"/>
  <c r="C903" i="49"/>
  <c r="M907" i="49"/>
  <c r="I907" i="49"/>
  <c r="O907" i="49"/>
  <c r="O902" i="49"/>
  <c r="O903" i="49"/>
  <c r="G902" i="49"/>
  <c r="I900" i="49"/>
  <c r="C900" i="49"/>
  <c r="K907" i="49"/>
  <c r="G903" i="49"/>
  <c r="M903" i="49"/>
  <c r="C901" i="49"/>
  <c r="K903" i="49"/>
  <c r="Q901" i="49"/>
  <c r="Q907" i="49"/>
  <c r="O901" i="49"/>
  <c r="G901" i="49"/>
  <c r="K900" i="49"/>
  <c r="Q902" i="49"/>
  <c r="S890" i="49"/>
  <c r="S879" i="49"/>
  <c r="O892" i="49"/>
  <c r="O896" i="49" s="1"/>
  <c r="I892" i="49"/>
  <c r="I896" i="49" s="1"/>
  <c r="G892" i="49"/>
  <c r="G896" i="49" s="1"/>
  <c r="S887" i="49"/>
  <c r="S888" i="49"/>
  <c r="I8" i="30"/>
  <c r="I10" i="30" s="1"/>
  <c r="I45" i="30"/>
  <c r="F5" i="30"/>
  <c r="F17" i="30" s="1"/>
  <c r="F42" i="30"/>
  <c r="AP29" i="1"/>
  <c r="AR29" i="1" s="1"/>
  <c r="AR30" i="1" s="1"/>
  <c r="F43" i="30" l="1"/>
  <c r="F46" i="30" s="1"/>
  <c r="E916" i="49"/>
  <c r="E915" i="49"/>
  <c r="E914" i="49"/>
  <c r="E913" i="49"/>
  <c r="K905" i="49"/>
  <c r="K909" i="49" s="1"/>
  <c r="I905" i="49"/>
  <c r="I909" i="49" s="1"/>
  <c r="O905" i="49"/>
  <c r="O909" i="49" s="1"/>
  <c r="S902" i="49"/>
  <c r="U901" i="49"/>
  <c r="U900" i="49"/>
  <c r="U903" i="49"/>
  <c r="U902" i="49"/>
  <c r="A937" i="49"/>
  <c r="B924" i="49"/>
  <c r="M914" i="49"/>
  <c r="Q915" i="49"/>
  <c r="G913" i="49"/>
  <c r="C913" i="49"/>
  <c r="I916" i="49"/>
  <c r="I920" i="49"/>
  <c r="C916" i="49"/>
  <c r="O916" i="49"/>
  <c r="O913" i="49"/>
  <c r="Q916" i="49"/>
  <c r="O914" i="49"/>
  <c r="Q913" i="49"/>
  <c r="O915" i="49"/>
  <c r="C915" i="49"/>
  <c r="I914" i="49"/>
  <c r="K913" i="49"/>
  <c r="K916" i="49"/>
  <c r="I915" i="49"/>
  <c r="I913" i="49"/>
  <c r="G916" i="49"/>
  <c r="M920" i="49"/>
  <c r="K914" i="49"/>
  <c r="C914" i="49"/>
  <c r="K920" i="49"/>
  <c r="Q914" i="49"/>
  <c r="M916" i="49"/>
  <c r="G915" i="49"/>
  <c r="K915" i="49"/>
  <c r="M913" i="49"/>
  <c r="G920" i="49"/>
  <c r="M915" i="49"/>
  <c r="O920" i="49"/>
  <c r="Q920" i="49"/>
  <c r="G914" i="49"/>
  <c r="S903" i="49"/>
  <c r="S892" i="49"/>
  <c r="S896" i="49"/>
  <c r="S901" i="49"/>
  <c r="M905" i="49"/>
  <c r="M909" i="49" s="1"/>
  <c r="U892" i="49"/>
  <c r="S900" i="49"/>
  <c r="G905" i="49"/>
  <c r="G909" i="49" s="1"/>
  <c r="Q905" i="49"/>
  <c r="Q909" i="49" s="1"/>
  <c r="G5" i="30"/>
  <c r="G17" i="30" s="1"/>
  <c r="G42" i="30"/>
  <c r="BD29" i="1"/>
  <c r="BF29" i="1" s="1"/>
  <c r="BF30" i="1" s="1"/>
  <c r="AW29" i="1"/>
  <c r="AY29" i="1" s="1"/>
  <c r="AY30" i="1" s="1"/>
  <c r="B51" i="30"/>
  <c r="B50" i="30"/>
  <c r="E929" i="49" l="1"/>
  <c r="E928" i="49"/>
  <c r="E927" i="49"/>
  <c r="E926" i="49"/>
  <c r="K918" i="49"/>
  <c r="K922" i="49" s="1"/>
  <c r="S909" i="49"/>
  <c r="S915" i="49"/>
  <c r="I918" i="49"/>
  <c r="I922" i="49" s="1"/>
  <c r="Q918" i="49"/>
  <c r="Q922" i="49" s="1"/>
  <c r="B937" i="49"/>
  <c r="A950" i="49"/>
  <c r="U915" i="49"/>
  <c r="U913" i="49"/>
  <c r="U916" i="49"/>
  <c r="U914" i="49"/>
  <c r="S914" i="49"/>
  <c r="M918" i="49"/>
  <c r="M922" i="49" s="1"/>
  <c r="S905" i="49"/>
  <c r="O918" i="49"/>
  <c r="O922" i="49" s="1"/>
  <c r="G918" i="49"/>
  <c r="G922" i="49" s="1"/>
  <c r="S913" i="49"/>
  <c r="U905" i="49"/>
  <c r="S916" i="49"/>
  <c r="K933" i="49"/>
  <c r="Q927" i="49"/>
  <c r="C928" i="49"/>
  <c r="O933" i="49"/>
  <c r="G926" i="49"/>
  <c r="I929" i="49"/>
  <c r="I926" i="49"/>
  <c r="I927" i="49"/>
  <c r="K929" i="49"/>
  <c r="O927" i="49"/>
  <c r="C926" i="49"/>
  <c r="I933" i="49"/>
  <c r="Q933" i="49"/>
  <c r="M928" i="49"/>
  <c r="M926" i="49"/>
  <c r="O928" i="49"/>
  <c r="I928" i="49"/>
  <c r="K927" i="49"/>
  <c r="G933" i="49"/>
  <c r="C927" i="49"/>
  <c r="Q926" i="49"/>
  <c r="O929" i="49"/>
  <c r="K928" i="49"/>
  <c r="M929" i="49"/>
  <c r="Q929" i="49"/>
  <c r="M927" i="49"/>
  <c r="M933" i="49"/>
  <c r="G927" i="49"/>
  <c r="O926" i="49"/>
  <c r="G928" i="49"/>
  <c r="Q928" i="49"/>
  <c r="G929" i="49"/>
  <c r="C929" i="49"/>
  <c r="K926" i="49"/>
  <c r="H5" i="30"/>
  <c r="H42" i="30"/>
  <c r="I5" i="30"/>
  <c r="I17" i="30" s="1"/>
  <c r="I42" i="30"/>
  <c r="C51" i="30"/>
  <c r="E942" i="49" l="1"/>
  <c r="E941" i="49"/>
  <c r="E940" i="49"/>
  <c r="E939" i="49"/>
  <c r="S929" i="49"/>
  <c r="S928" i="49"/>
  <c r="S927" i="49"/>
  <c r="G931" i="49"/>
  <c r="G935" i="49" s="1"/>
  <c r="S926" i="49"/>
  <c r="S918" i="49"/>
  <c r="U918" i="49"/>
  <c r="K931" i="49"/>
  <c r="K935" i="49" s="1"/>
  <c r="U929" i="49"/>
  <c r="U928" i="49"/>
  <c r="U926" i="49"/>
  <c r="U927" i="49"/>
  <c r="S922" i="49"/>
  <c r="A963" i="49"/>
  <c r="B950" i="49"/>
  <c r="M946" i="49"/>
  <c r="I946" i="49"/>
  <c r="O940" i="49"/>
  <c r="I939" i="49"/>
  <c r="G942" i="49"/>
  <c r="Q946" i="49"/>
  <c r="M942" i="49"/>
  <c r="I942" i="49"/>
  <c r="C939" i="49"/>
  <c r="Q940" i="49"/>
  <c r="O942" i="49"/>
  <c r="G941" i="49"/>
  <c r="G946" i="49"/>
  <c r="I940" i="49"/>
  <c r="G940" i="49"/>
  <c r="K941" i="49"/>
  <c r="Q942" i="49"/>
  <c r="Q941" i="49"/>
  <c r="M941" i="49"/>
  <c r="I941" i="49"/>
  <c r="C942" i="49"/>
  <c r="O946" i="49"/>
  <c r="O939" i="49"/>
  <c r="M940" i="49"/>
  <c r="M939" i="49"/>
  <c r="G939" i="49"/>
  <c r="K946" i="49"/>
  <c r="O941" i="49"/>
  <c r="C940" i="49"/>
  <c r="K942" i="49"/>
  <c r="C941" i="49"/>
  <c r="K939" i="49"/>
  <c r="K940" i="49"/>
  <c r="Q939" i="49"/>
  <c r="M931" i="49"/>
  <c r="M935" i="49" s="1"/>
  <c r="I931" i="49"/>
  <c r="I935" i="49" s="1"/>
  <c r="O931" i="49"/>
  <c r="O935" i="49" s="1"/>
  <c r="Q931" i="49"/>
  <c r="Q935" i="49" s="1"/>
  <c r="H17" i="30"/>
  <c r="C50" i="30"/>
  <c r="D51" i="30"/>
  <c r="E28" i="27"/>
  <c r="G28" i="27"/>
  <c r="E955" i="49" l="1"/>
  <c r="E954" i="49"/>
  <c r="E953" i="49"/>
  <c r="E952" i="49"/>
  <c r="M944" i="49"/>
  <c r="M948" i="49" s="1"/>
  <c r="S942" i="49"/>
  <c r="S931" i="49"/>
  <c r="K944" i="49"/>
  <c r="K948" i="49" s="1"/>
  <c r="I944" i="49"/>
  <c r="I948" i="49" s="1"/>
  <c r="S935" i="49"/>
  <c r="U931" i="49"/>
  <c r="O944" i="49"/>
  <c r="O948" i="49" s="1"/>
  <c r="S940" i="49"/>
  <c r="U939" i="49"/>
  <c r="U942" i="49"/>
  <c r="U941" i="49"/>
  <c r="U940" i="49"/>
  <c r="S941" i="49"/>
  <c r="M959" i="49"/>
  <c r="C953" i="49"/>
  <c r="G955" i="49"/>
  <c r="G954" i="49"/>
  <c r="Q955" i="49"/>
  <c r="M955" i="49"/>
  <c r="K954" i="49"/>
  <c r="O955" i="49"/>
  <c r="M954" i="49"/>
  <c r="I954" i="49"/>
  <c r="K953" i="49"/>
  <c r="G952" i="49"/>
  <c r="Q959" i="49"/>
  <c r="I955" i="49"/>
  <c r="C952" i="49"/>
  <c r="K955" i="49"/>
  <c r="I953" i="49"/>
  <c r="G959" i="49"/>
  <c r="Q954" i="49"/>
  <c r="I959" i="49"/>
  <c r="O953" i="49"/>
  <c r="G953" i="49"/>
  <c r="O959" i="49"/>
  <c r="O952" i="49"/>
  <c r="I952" i="49"/>
  <c r="C955" i="49"/>
  <c r="K952" i="49"/>
  <c r="Q953" i="49"/>
  <c r="O954" i="49"/>
  <c r="C954" i="49"/>
  <c r="K959" i="49"/>
  <c r="Q952" i="49"/>
  <c r="M953" i="49"/>
  <c r="M952" i="49"/>
  <c r="Q944" i="49"/>
  <c r="Q948" i="49" s="1"/>
  <c r="S939" i="49"/>
  <c r="G944" i="49"/>
  <c r="G948" i="49" s="1"/>
  <c r="B963" i="49"/>
  <c r="A976" i="49"/>
  <c r="D50" i="30"/>
  <c r="E968" i="49" l="1"/>
  <c r="E967" i="49"/>
  <c r="E966" i="49"/>
  <c r="E965" i="49"/>
  <c r="Q957" i="49"/>
  <c r="Q961" i="49" s="1"/>
  <c r="U944" i="49"/>
  <c r="I957" i="49"/>
  <c r="I961" i="49" s="1"/>
  <c r="S953" i="49"/>
  <c r="S944" i="49"/>
  <c r="M957" i="49"/>
  <c r="M961" i="49" s="1"/>
  <c r="B976" i="49"/>
  <c r="A989" i="49"/>
  <c r="K957" i="49"/>
  <c r="K961" i="49" s="1"/>
  <c r="S954" i="49"/>
  <c r="G957" i="49"/>
  <c r="G961" i="49" s="1"/>
  <c r="S952" i="49"/>
  <c r="S955" i="49"/>
  <c r="Q967" i="49"/>
  <c r="I972" i="49"/>
  <c r="O966" i="49"/>
  <c r="K966" i="49"/>
  <c r="I966" i="49"/>
  <c r="I967" i="49"/>
  <c r="O968" i="49"/>
  <c r="K968" i="49"/>
  <c r="G972" i="49"/>
  <c r="C966" i="49"/>
  <c r="C968" i="49"/>
  <c r="M968" i="49"/>
  <c r="K967" i="49"/>
  <c r="I968" i="49"/>
  <c r="C965" i="49"/>
  <c r="O965" i="49"/>
  <c r="G966" i="49"/>
  <c r="Q966" i="49"/>
  <c r="M966" i="49"/>
  <c r="I965" i="49"/>
  <c r="M967" i="49"/>
  <c r="Q972" i="49"/>
  <c r="K965" i="49"/>
  <c r="O972" i="49"/>
  <c r="Q965" i="49"/>
  <c r="C967" i="49"/>
  <c r="M972" i="49"/>
  <c r="G968" i="49"/>
  <c r="M965" i="49"/>
  <c r="K972" i="49"/>
  <c r="O967" i="49"/>
  <c r="Q968" i="49"/>
  <c r="G965" i="49"/>
  <c r="G967" i="49"/>
  <c r="O957" i="49"/>
  <c r="O961" i="49" s="1"/>
  <c r="U955" i="49"/>
  <c r="U954" i="49"/>
  <c r="U953" i="49"/>
  <c r="U952" i="49"/>
  <c r="S948" i="49"/>
  <c r="E51" i="30"/>
  <c r="J18" i="27"/>
  <c r="E50" i="30"/>
  <c r="J28" i="27"/>
  <c r="E981" i="49" l="1"/>
  <c r="E980" i="49"/>
  <c r="E979" i="49"/>
  <c r="E978" i="49"/>
  <c r="M970" i="49"/>
  <c r="M974" i="49" s="1"/>
  <c r="K970" i="49"/>
  <c r="K974" i="49" s="1"/>
  <c r="S966" i="49"/>
  <c r="S968" i="49"/>
  <c r="O970" i="49"/>
  <c r="O974" i="49" s="1"/>
  <c r="S957" i="49"/>
  <c r="G970" i="49"/>
  <c r="G974" i="49" s="1"/>
  <c r="S965" i="49"/>
  <c r="S967" i="49"/>
  <c r="Q970" i="49"/>
  <c r="Q974" i="49" s="1"/>
  <c r="I970" i="49"/>
  <c r="I974" i="49" s="1"/>
  <c r="S961" i="49"/>
  <c r="U957" i="49"/>
  <c r="A1002" i="49"/>
  <c r="B989" i="49"/>
  <c r="U968" i="49"/>
  <c r="U967" i="49"/>
  <c r="U965" i="49"/>
  <c r="U966" i="49"/>
  <c r="K981" i="49"/>
  <c r="M979" i="49"/>
  <c r="I978" i="49"/>
  <c r="O980" i="49"/>
  <c r="G985" i="49"/>
  <c r="I979" i="49"/>
  <c r="K980" i="49"/>
  <c r="G979" i="49"/>
  <c r="O979" i="49"/>
  <c r="C978" i="49"/>
  <c r="M980" i="49"/>
  <c r="Q985" i="49"/>
  <c r="K985" i="49"/>
  <c r="Q978" i="49"/>
  <c r="M981" i="49"/>
  <c r="C979" i="49"/>
  <c r="G981" i="49"/>
  <c r="C981" i="49"/>
  <c r="Q980" i="49"/>
  <c r="G978" i="49"/>
  <c r="O985" i="49"/>
  <c r="M985" i="49"/>
  <c r="Q981" i="49"/>
  <c r="M978" i="49"/>
  <c r="G980" i="49"/>
  <c r="I985" i="49"/>
  <c r="C980" i="49"/>
  <c r="O978" i="49"/>
  <c r="Q979" i="49"/>
  <c r="K979" i="49"/>
  <c r="O981" i="49"/>
  <c r="I980" i="49"/>
  <c r="I981" i="49"/>
  <c r="K978" i="49"/>
  <c r="M18" i="27"/>
  <c r="H51" i="30"/>
  <c r="K18" i="27"/>
  <c r="F51" i="30"/>
  <c r="F50" i="30"/>
  <c r="K28" i="27"/>
  <c r="E994" i="49" l="1"/>
  <c r="E993" i="49"/>
  <c r="E992" i="49"/>
  <c r="E991" i="49"/>
  <c r="K983" i="49"/>
  <c r="K987" i="49" s="1"/>
  <c r="S970" i="49"/>
  <c r="S980" i="49"/>
  <c r="O983" i="49"/>
  <c r="O987" i="49" s="1"/>
  <c r="M983" i="49"/>
  <c r="M987" i="49" s="1"/>
  <c r="S979" i="49"/>
  <c r="B1002" i="49"/>
  <c r="A1015" i="49"/>
  <c r="S974" i="49"/>
  <c r="U980" i="49"/>
  <c r="U978" i="49"/>
  <c r="U979" i="49"/>
  <c r="U981" i="49"/>
  <c r="U970" i="49"/>
  <c r="Q983" i="49"/>
  <c r="Q987" i="49" s="1"/>
  <c r="G983" i="49"/>
  <c r="G987" i="49" s="1"/>
  <c r="S978" i="49"/>
  <c r="I983" i="49"/>
  <c r="I987" i="49" s="1"/>
  <c r="G994" i="49"/>
  <c r="C994" i="49"/>
  <c r="M991" i="49"/>
  <c r="M994" i="49"/>
  <c r="O991" i="49"/>
  <c r="O993" i="49"/>
  <c r="K991" i="49"/>
  <c r="I992" i="49"/>
  <c r="K993" i="49"/>
  <c r="G993" i="49"/>
  <c r="O998" i="49"/>
  <c r="I991" i="49"/>
  <c r="Q993" i="49"/>
  <c r="Q992" i="49"/>
  <c r="C992" i="49"/>
  <c r="I998" i="49"/>
  <c r="O992" i="49"/>
  <c r="K992" i="49"/>
  <c r="O994" i="49"/>
  <c r="K994" i="49"/>
  <c r="C991" i="49"/>
  <c r="M993" i="49"/>
  <c r="G992" i="49"/>
  <c r="Q994" i="49"/>
  <c r="Q991" i="49"/>
  <c r="I994" i="49"/>
  <c r="C993" i="49"/>
  <c r="Q998" i="49"/>
  <c r="I993" i="49"/>
  <c r="G991" i="49"/>
  <c r="M992" i="49"/>
  <c r="K998" i="49"/>
  <c r="G998" i="49"/>
  <c r="M998" i="49"/>
  <c r="S981" i="49"/>
  <c r="M28" i="27"/>
  <c r="H50" i="30"/>
  <c r="N18" i="27"/>
  <c r="I51" i="30"/>
  <c r="G50" i="30"/>
  <c r="L28" i="27"/>
  <c r="E1007" i="49" l="1"/>
  <c r="E1006" i="49"/>
  <c r="E1005" i="49"/>
  <c r="E1004" i="49"/>
  <c r="S992" i="49"/>
  <c r="U983" i="49"/>
  <c r="I996" i="49"/>
  <c r="I1000" i="49" s="1"/>
  <c r="O996" i="49"/>
  <c r="O1000" i="49" s="1"/>
  <c r="S983" i="49"/>
  <c r="S991" i="49"/>
  <c r="G996" i="49"/>
  <c r="G1000" i="49" s="1"/>
  <c r="U993" i="49"/>
  <c r="U992" i="49"/>
  <c r="U991" i="49"/>
  <c r="U994" i="49"/>
  <c r="S987" i="49"/>
  <c r="Q996" i="49"/>
  <c r="Q1000" i="49" s="1"/>
  <c r="S993" i="49"/>
  <c r="M996" i="49"/>
  <c r="M1000" i="49" s="1"/>
  <c r="B1015" i="49"/>
  <c r="A1028" i="49"/>
  <c r="O1011" i="49"/>
  <c r="I1006" i="49"/>
  <c r="M1007" i="49"/>
  <c r="G1004" i="49"/>
  <c r="M1005" i="49"/>
  <c r="G1006" i="49"/>
  <c r="I1011" i="49"/>
  <c r="M1011" i="49"/>
  <c r="I1005" i="49"/>
  <c r="Q1006" i="49"/>
  <c r="O1006" i="49"/>
  <c r="G1007" i="49"/>
  <c r="I1004" i="49"/>
  <c r="C1006" i="49"/>
  <c r="O1005" i="49"/>
  <c r="G1011" i="49"/>
  <c r="Q1004" i="49"/>
  <c r="M1004" i="49"/>
  <c r="M1006" i="49"/>
  <c r="C1007" i="49"/>
  <c r="C1005" i="49"/>
  <c r="K1011" i="49"/>
  <c r="K1005" i="49"/>
  <c r="I1007" i="49"/>
  <c r="C1004" i="49"/>
  <c r="K1007" i="49"/>
  <c r="O1007" i="49"/>
  <c r="G1005" i="49"/>
  <c r="O1004" i="49"/>
  <c r="Q1011" i="49"/>
  <c r="K1006" i="49"/>
  <c r="Q1005" i="49"/>
  <c r="K1004" i="49"/>
  <c r="Q1007" i="49"/>
  <c r="K996" i="49"/>
  <c r="K1000" i="49" s="1"/>
  <c r="S994" i="49"/>
  <c r="N28" i="27"/>
  <c r="I50" i="30"/>
  <c r="L18" i="27"/>
  <c r="G51" i="30"/>
  <c r="E1020" i="49" l="1"/>
  <c r="E1019" i="49"/>
  <c r="E1018" i="49"/>
  <c r="E1017" i="49"/>
  <c r="I1009" i="49"/>
  <c r="I1013" i="49" s="1"/>
  <c r="S1006" i="49"/>
  <c r="M1017" i="49"/>
  <c r="O1019" i="49"/>
  <c r="O1017" i="49"/>
  <c r="K1018" i="49"/>
  <c r="G1019" i="49"/>
  <c r="C1018" i="49"/>
  <c r="C1020" i="49"/>
  <c r="G1024" i="49"/>
  <c r="I1024" i="49"/>
  <c r="Q1019" i="49"/>
  <c r="K1017" i="49"/>
  <c r="G1018" i="49"/>
  <c r="Q1017" i="49"/>
  <c r="O1020" i="49"/>
  <c r="K1024" i="49"/>
  <c r="K1020" i="49"/>
  <c r="M1024" i="49"/>
  <c r="C1017" i="49"/>
  <c r="G1017" i="49"/>
  <c r="M1018" i="49"/>
  <c r="Q1020" i="49"/>
  <c r="I1020" i="49"/>
  <c r="M1019" i="49"/>
  <c r="M1020" i="49"/>
  <c r="O1018" i="49"/>
  <c r="K1019" i="49"/>
  <c r="C1019" i="49"/>
  <c r="I1018" i="49"/>
  <c r="G1020" i="49"/>
  <c r="I1017" i="49"/>
  <c r="Q1018" i="49"/>
  <c r="Q1024" i="49"/>
  <c r="O1024" i="49"/>
  <c r="I1019" i="49"/>
  <c r="S1007" i="49"/>
  <c r="K1009" i="49"/>
  <c r="K1013" i="49" s="1"/>
  <c r="S1004" i="49"/>
  <c r="G1009" i="49"/>
  <c r="G1013" i="49" s="1"/>
  <c r="S1000" i="49"/>
  <c r="M1009" i="49"/>
  <c r="M1013" i="49" s="1"/>
  <c r="S996" i="49"/>
  <c r="Q1009" i="49"/>
  <c r="Q1013" i="49" s="1"/>
  <c r="U1007" i="49"/>
  <c r="U1005" i="49"/>
  <c r="U1006" i="49"/>
  <c r="U1004" i="49"/>
  <c r="O1009" i="49"/>
  <c r="O1013" i="49" s="1"/>
  <c r="S1005" i="49"/>
  <c r="B1028" i="49"/>
  <c r="A1041" i="49"/>
  <c r="U996" i="49"/>
  <c r="B17" i="27"/>
  <c r="E1033" i="49" l="1"/>
  <c r="E1032" i="49"/>
  <c r="E1031" i="49"/>
  <c r="E1030" i="49"/>
  <c r="U1009" i="49"/>
  <c r="S1013" i="49"/>
  <c r="S1020" i="49"/>
  <c r="S1009" i="49"/>
  <c r="M1022" i="49"/>
  <c r="M1026" i="49" s="1"/>
  <c r="I1022" i="49"/>
  <c r="I1026" i="49" s="1"/>
  <c r="U1017" i="49"/>
  <c r="U1018" i="49"/>
  <c r="U1020" i="49"/>
  <c r="U1019" i="49"/>
  <c r="O1037" i="49"/>
  <c r="C1031" i="49"/>
  <c r="O1030" i="49"/>
  <c r="K1031" i="49"/>
  <c r="G1030" i="49"/>
  <c r="M1032" i="49"/>
  <c r="K1037" i="49"/>
  <c r="K1033" i="49"/>
  <c r="I1032" i="49"/>
  <c r="O1033" i="49"/>
  <c r="C1033" i="49"/>
  <c r="C1030" i="49"/>
  <c r="G1032" i="49"/>
  <c r="G1031" i="49"/>
  <c r="K1032" i="49"/>
  <c r="K1030" i="49"/>
  <c r="I1031" i="49"/>
  <c r="Q1031" i="49"/>
  <c r="Q1030" i="49"/>
  <c r="Q1033" i="49"/>
  <c r="O1032" i="49"/>
  <c r="C1032" i="49"/>
  <c r="I1037" i="49"/>
  <c r="O1031" i="49"/>
  <c r="M1037" i="49"/>
  <c r="I1033" i="49"/>
  <c r="M1033" i="49"/>
  <c r="M1031" i="49"/>
  <c r="G1037" i="49"/>
  <c r="M1030" i="49"/>
  <c r="G1033" i="49"/>
  <c r="I1030" i="49"/>
  <c r="Q1032" i="49"/>
  <c r="Q1037" i="49"/>
  <c r="Q1022" i="49"/>
  <c r="Q1026" i="49" s="1"/>
  <c r="S1018" i="49"/>
  <c r="S1019" i="49"/>
  <c r="A1054" i="49"/>
  <c r="B1041" i="49"/>
  <c r="G1022" i="49"/>
  <c r="G1026" i="49" s="1"/>
  <c r="S1017" i="49"/>
  <c r="K1022" i="49"/>
  <c r="K1026" i="49" s="1"/>
  <c r="O1022" i="49"/>
  <c r="O1026" i="49" s="1"/>
  <c r="M9" i="27"/>
  <c r="E1046" i="49" l="1"/>
  <c r="E1045" i="49"/>
  <c r="E1044" i="49"/>
  <c r="E1043" i="49"/>
  <c r="K1035" i="49"/>
  <c r="K1039" i="49" s="1"/>
  <c r="M1035" i="49"/>
  <c r="M1039" i="49" s="1"/>
  <c r="U1033" i="49"/>
  <c r="U1032" i="49"/>
  <c r="U1030" i="49"/>
  <c r="U1031" i="49"/>
  <c r="S1031" i="49"/>
  <c r="S1032" i="49"/>
  <c r="S1030" i="49"/>
  <c r="G1035" i="49"/>
  <c r="G1039" i="49" s="1"/>
  <c r="S1026" i="49"/>
  <c r="U1022" i="49"/>
  <c r="Q1035" i="49"/>
  <c r="Q1039" i="49" s="1"/>
  <c r="I1035" i="49"/>
  <c r="I1039" i="49" s="1"/>
  <c r="O1035" i="49"/>
  <c r="O1039" i="49" s="1"/>
  <c r="S1022" i="49"/>
  <c r="G1046" i="49"/>
  <c r="K1044" i="49"/>
  <c r="K1050" i="49"/>
  <c r="C1044" i="49"/>
  <c r="C1046" i="49"/>
  <c r="G1044" i="49"/>
  <c r="I1043" i="49"/>
  <c r="K1045" i="49"/>
  <c r="G1043" i="49"/>
  <c r="O1046" i="49"/>
  <c r="C1045" i="49"/>
  <c r="I1046" i="49"/>
  <c r="M1045" i="49"/>
  <c r="Q1043" i="49"/>
  <c r="M1043" i="49"/>
  <c r="K1043" i="49"/>
  <c r="I1050" i="49"/>
  <c r="O1044" i="49"/>
  <c r="O1045" i="49"/>
  <c r="G1045" i="49"/>
  <c r="I1044" i="49"/>
  <c r="O1050" i="49"/>
  <c r="O1043" i="49"/>
  <c r="G1050" i="49"/>
  <c r="C1043" i="49"/>
  <c r="Q1044" i="49"/>
  <c r="Q1046" i="49"/>
  <c r="M1046" i="49"/>
  <c r="Q1050" i="49"/>
  <c r="M1044" i="49"/>
  <c r="M1050" i="49"/>
  <c r="I1045" i="49"/>
  <c r="Q1045" i="49"/>
  <c r="K1046" i="49"/>
  <c r="A1067" i="49"/>
  <c r="B1054" i="49"/>
  <c r="S1033" i="49"/>
  <c r="AY13" i="1"/>
  <c r="AY32" i="1" l="1"/>
  <c r="H43" i="30"/>
  <c r="H46" i="30" s="1"/>
  <c r="E1059" i="49"/>
  <c r="E1058" i="49"/>
  <c r="E1057" i="49"/>
  <c r="E1056" i="49"/>
  <c r="O1048" i="49"/>
  <c r="O1052" i="49" s="1"/>
  <c r="M1048" i="49"/>
  <c r="M1052" i="49" s="1"/>
  <c r="I1048" i="49"/>
  <c r="I1052" i="49" s="1"/>
  <c r="S1035" i="49"/>
  <c r="Q1048" i="49"/>
  <c r="Q1052" i="49" s="1"/>
  <c r="S1044" i="49"/>
  <c r="Q1058" i="49"/>
  <c r="G1063" i="49"/>
  <c r="Q1056" i="49"/>
  <c r="I1063" i="49"/>
  <c r="G1059" i="49"/>
  <c r="M1056" i="49"/>
  <c r="C1056" i="49"/>
  <c r="O1063" i="49"/>
  <c r="Q1057" i="49"/>
  <c r="O1056" i="49"/>
  <c r="K1059" i="49"/>
  <c r="Q1063" i="49"/>
  <c r="G1056" i="49"/>
  <c r="C1059" i="49"/>
  <c r="O1059" i="49"/>
  <c r="I1056" i="49"/>
  <c r="K1058" i="49"/>
  <c r="Q1059" i="49"/>
  <c r="M1058" i="49"/>
  <c r="M1063" i="49"/>
  <c r="M1057" i="49"/>
  <c r="C1058" i="49"/>
  <c r="K1063" i="49"/>
  <c r="O1057" i="49"/>
  <c r="K1057" i="49"/>
  <c r="G1058" i="49"/>
  <c r="G1057" i="49"/>
  <c r="I1059" i="49"/>
  <c r="I1058" i="49"/>
  <c r="K1056" i="49"/>
  <c r="O1058" i="49"/>
  <c r="I1057" i="49"/>
  <c r="C1057" i="49"/>
  <c r="M1059" i="49"/>
  <c r="S1045" i="49"/>
  <c r="U1035" i="49"/>
  <c r="U1046" i="49"/>
  <c r="U1045" i="49"/>
  <c r="U1044" i="49"/>
  <c r="U1043" i="49"/>
  <c r="S1043" i="49"/>
  <c r="G1048" i="49"/>
  <c r="G1052" i="49" s="1"/>
  <c r="B1067" i="49"/>
  <c r="A1080" i="49"/>
  <c r="K1048" i="49"/>
  <c r="K1052" i="49" s="1"/>
  <c r="S1046" i="49"/>
  <c r="S1039" i="49"/>
  <c r="E1072" i="49" l="1"/>
  <c r="E1071" i="49"/>
  <c r="E1070" i="49"/>
  <c r="E1069" i="49"/>
  <c r="U1048" i="49"/>
  <c r="S1052" i="49"/>
  <c r="S1057" i="49"/>
  <c r="S1056" i="49"/>
  <c r="G1061" i="49"/>
  <c r="G1065" i="49" s="1"/>
  <c r="M1061" i="49"/>
  <c r="M1065" i="49" s="1"/>
  <c r="S1048" i="49"/>
  <c r="S1058" i="49"/>
  <c r="S1059" i="49"/>
  <c r="O1061" i="49"/>
  <c r="O1065" i="49" s="1"/>
  <c r="Q1061" i="49"/>
  <c r="Q1065" i="49" s="1"/>
  <c r="U1058" i="49"/>
  <c r="U1056" i="49"/>
  <c r="U1057" i="49"/>
  <c r="U1059" i="49"/>
  <c r="Q1071" i="49"/>
  <c r="I1076" i="49"/>
  <c r="Q1069" i="49"/>
  <c r="I1070" i="49"/>
  <c r="K1069" i="49"/>
  <c r="O1076" i="49"/>
  <c r="G1076" i="49"/>
  <c r="M1069" i="49"/>
  <c r="I1072" i="49"/>
  <c r="C1072" i="49"/>
  <c r="Q1076" i="49"/>
  <c r="C1069" i="49"/>
  <c r="K1072" i="49"/>
  <c r="C1070" i="49"/>
  <c r="M1070" i="49"/>
  <c r="K1071" i="49"/>
  <c r="I1069" i="49"/>
  <c r="M1071" i="49"/>
  <c r="G1071" i="49"/>
  <c r="G1072" i="49"/>
  <c r="C1071" i="49"/>
  <c r="Q1070" i="49"/>
  <c r="G1070" i="49"/>
  <c r="O1069" i="49"/>
  <c r="I1071" i="49"/>
  <c r="M1072" i="49"/>
  <c r="O1072" i="49"/>
  <c r="K1076" i="49"/>
  <c r="K1070" i="49"/>
  <c r="O1071" i="49"/>
  <c r="M1076" i="49"/>
  <c r="Q1072" i="49"/>
  <c r="O1070" i="49"/>
  <c r="G1069" i="49"/>
  <c r="B1080" i="49"/>
  <c r="A1093" i="49"/>
  <c r="K1061" i="49"/>
  <c r="K1065" i="49" s="1"/>
  <c r="I1061" i="49"/>
  <c r="I1065" i="49" s="1"/>
  <c r="E1085" i="49" l="1"/>
  <c r="E1084" i="49"/>
  <c r="E1083" i="49"/>
  <c r="E1082" i="49"/>
  <c r="O1074" i="49"/>
  <c r="O1078" i="49" s="1"/>
  <c r="Q1074" i="49"/>
  <c r="Q1078" i="49" s="1"/>
  <c r="A1106" i="49"/>
  <c r="B1093" i="49"/>
  <c r="I1089" i="49"/>
  <c r="O1083" i="49"/>
  <c r="C1084" i="49"/>
  <c r="I1083" i="49"/>
  <c r="K1085" i="49"/>
  <c r="M1085" i="49"/>
  <c r="I1085" i="49"/>
  <c r="C1082" i="49"/>
  <c r="O1082" i="49"/>
  <c r="C1083" i="49"/>
  <c r="Q1085" i="49"/>
  <c r="M1084" i="49"/>
  <c r="C1085" i="49"/>
  <c r="M1082" i="49"/>
  <c r="M1089" i="49"/>
  <c r="O1085" i="49"/>
  <c r="K1083" i="49"/>
  <c r="G1089" i="49"/>
  <c r="I1084" i="49"/>
  <c r="K1084" i="49"/>
  <c r="I1082" i="49"/>
  <c r="K1089" i="49"/>
  <c r="Q1083" i="49"/>
  <c r="G1084" i="49"/>
  <c r="Q1082" i="49"/>
  <c r="M1083" i="49"/>
  <c r="O1084" i="49"/>
  <c r="G1085" i="49"/>
  <c r="G1082" i="49"/>
  <c r="Q1084" i="49"/>
  <c r="Q1089" i="49"/>
  <c r="O1089" i="49"/>
  <c r="K1082" i="49"/>
  <c r="G1083" i="49"/>
  <c r="M1074" i="49"/>
  <c r="M1078" i="49" s="1"/>
  <c r="S1070" i="49"/>
  <c r="S1072" i="49"/>
  <c r="U1072" i="49"/>
  <c r="U1071" i="49"/>
  <c r="U1070" i="49"/>
  <c r="U1069" i="49"/>
  <c r="S1069" i="49"/>
  <c r="G1074" i="49"/>
  <c r="G1078" i="49" s="1"/>
  <c r="S1071" i="49"/>
  <c r="U1061" i="49"/>
  <c r="S1065" i="49"/>
  <c r="K1074" i="49"/>
  <c r="K1078" i="49" s="1"/>
  <c r="S1061" i="49"/>
  <c r="I1074" i="49"/>
  <c r="I1078" i="49" s="1"/>
  <c r="E1098" i="49" l="1"/>
  <c r="E1097" i="49"/>
  <c r="E1096" i="49"/>
  <c r="E1095" i="49"/>
  <c r="S1078" i="49"/>
  <c r="S1083" i="49"/>
  <c r="A1119" i="49"/>
  <c r="B1106" i="49"/>
  <c r="U1074" i="49"/>
  <c r="K1087" i="49"/>
  <c r="K1091" i="49" s="1"/>
  <c r="Q1087" i="49"/>
  <c r="Q1091" i="49" s="1"/>
  <c r="O1087" i="49"/>
  <c r="O1091" i="49" s="1"/>
  <c r="I1087" i="49"/>
  <c r="I1091" i="49" s="1"/>
  <c r="S1084" i="49"/>
  <c r="S1082" i="49"/>
  <c r="G1087" i="49"/>
  <c r="G1091" i="49" s="1"/>
  <c r="M1087" i="49"/>
  <c r="M1091" i="49" s="1"/>
  <c r="S1085" i="49"/>
  <c r="C1096" i="49"/>
  <c r="I1095" i="49"/>
  <c r="G1096" i="49"/>
  <c r="Q1096" i="49"/>
  <c r="O1096" i="49"/>
  <c r="G1095" i="49"/>
  <c r="C1095" i="49"/>
  <c r="Q1098" i="49"/>
  <c r="O1097" i="49"/>
  <c r="M1102" i="49"/>
  <c r="G1102" i="49"/>
  <c r="O1102" i="49"/>
  <c r="M1095" i="49"/>
  <c r="I1102" i="49"/>
  <c r="K1096" i="49"/>
  <c r="M1098" i="49"/>
  <c r="G1098" i="49"/>
  <c r="M1097" i="49"/>
  <c r="O1098" i="49"/>
  <c r="I1098" i="49"/>
  <c r="Q1095" i="49"/>
  <c r="Q1097" i="49"/>
  <c r="K1097" i="49"/>
  <c r="I1096" i="49"/>
  <c r="G1097" i="49"/>
  <c r="K1102" i="49"/>
  <c r="O1095" i="49"/>
  <c r="C1098" i="49"/>
  <c r="M1096" i="49"/>
  <c r="C1097" i="49"/>
  <c r="K1098" i="49"/>
  <c r="K1095" i="49"/>
  <c r="Q1102" i="49"/>
  <c r="I1097" i="49"/>
  <c r="S1074" i="49"/>
  <c r="U1083" i="49"/>
  <c r="U1084" i="49"/>
  <c r="U1082" i="49"/>
  <c r="U1085" i="49"/>
  <c r="I54" i="30"/>
  <c r="E1111" i="49" l="1"/>
  <c r="E1110" i="49"/>
  <c r="E1109" i="49"/>
  <c r="E1108" i="49"/>
  <c r="O1100" i="49"/>
  <c r="O1104" i="49" s="1"/>
  <c r="M1100" i="49"/>
  <c r="M1104" i="49" s="1"/>
  <c r="S1091" i="49"/>
  <c r="S1087" i="49"/>
  <c r="K1100" i="49"/>
  <c r="K1104" i="49" s="1"/>
  <c r="U1087" i="49"/>
  <c r="S1097" i="49"/>
  <c r="S1098" i="49"/>
  <c r="S1096" i="49"/>
  <c r="I1100" i="49"/>
  <c r="I1104" i="49" s="1"/>
  <c r="Q1100" i="49"/>
  <c r="Q1104" i="49" s="1"/>
  <c r="G1100" i="49"/>
  <c r="G1104" i="49" s="1"/>
  <c r="S1095" i="49"/>
  <c r="G1108" i="49"/>
  <c r="M1109" i="49"/>
  <c r="K1110" i="49"/>
  <c r="G1111" i="49"/>
  <c r="K1109" i="49"/>
  <c r="K1115" i="49"/>
  <c r="Q1115" i="49"/>
  <c r="I1115" i="49"/>
  <c r="Q1108" i="49"/>
  <c r="G1109" i="49"/>
  <c r="C1110" i="49"/>
  <c r="I1108" i="49"/>
  <c r="I1109" i="49"/>
  <c r="I1111" i="49"/>
  <c r="O1115" i="49"/>
  <c r="G1115" i="49"/>
  <c r="O1108" i="49"/>
  <c r="O1111" i="49"/>
  <c r="M1108" i="49"/>
  <c r="O1109" i="49"/>
  <c r="M1115" i="49"/>
  <c r="K1108" i="49"/>
  <c r="I1110" i="49"/>
  <c r="M1110" i="49"/>
  <c r="Q1110" i="49"/>
  <c r="C1111" i="49"/>
  <c r="Q1109" i="49"/>
  <c r="K1111" i="49"/>
  <c r="G1110" i="49"/>
  <c r="M1111" i="49"/>
  <c r="C1108" i="49"/>
  <c r="C1109" i="49"/>
  <c r="O1110" i="49"/>
  <c r="Q1111" i="49"/>
  <c r="U1095" i="49"/>
  <c r="U1097" i="49"/>
  <c r="U1096" i="49"/>
  <c r="U1098" i="49"/>
  <c r="A1132" i="49"/>
  <c r="B1119" i="49"/>
  <c r="E1124" i="49" l="1"/>
  <c r="E1123" i="49"/>
  <c r="E1122" i="49"/>
  <c r="E1121" i="49"/>
  <c r="K1113" i="49"/>
  <c r="K1117" i="49" s="1"/>
  <c r="I1113" i="49"/>
  <c r="I1117" i="49" s="1"/>
  <c r="M1113" i="49"/>
  <c r="M1117" i="49" s="1"/>
  <c r="S1110" i="49"/>
  <c r="S1100" i="49"/>
  <c r="U1100" i="49"/>
  <c r="S1104" i="49"/>
  <c r="G1128" i="49"/>
  <c r="O1121" i="49"/>
  <c r="M1121" i="49"/>
  <c r="I1122" i="49"/>
  <c r="M1128" i="49"/>
  <c r="M1122" i="49"/>
  <c r="M1123" i="49"/>
  <c r="Q1122" i="49"/>
  <c r="G1124" i="49"/>
  <c r="M1124" i="49"/>
  <c r="K1121" i="49"/>
  <c r="O1123" i="49"/>
  <c r="O1128" i="49"/>
  <c r="K1123" i="49"/>
  <c r="Q1124" i="49"/>
  <c r="Q1128" i="49"/>
  <c r="C1122" i="49"/>
  <c r="I1121" i="49"/>
  <c r="C1123" i="49"/>
  <c r="K1122" i="49"/>
  <c r="I1128" i="49"/>
  <c r="O1122" i="49"/>
  <c r="C1124" i="49"/>
  <c r="O1124" i="49"/>
  <c r="I1124" i="49"/>
  <c r="C1121" i="49"/>
  <c r="G1122" i="49"/>
  <c r="K1124" i="49"/>
  <c r="K1128" i="49"/>
  <c r="G1121" i="49"/>
  <c r="G1123" i="49"/>
  <c r="Q1121" i="49"/>
  <c r="I1123" i="49"/>
  <c r="Q1123" i="49"/>
  <c r="A1145" i="49"/>
  <c r="B1132" i="49"/>
  <c r="S1109" i="49"/>
  <c r="S1111" i="49"/>
  <c r="O1113" i="49"/>
  <c r="O1117" i="49" s="1"/>
  <c r="Q1113" i="49"/>
  <c r="Q1117" i="49" s="1"/>
  <c r="U1111" i="49"/>
  <c r="U1108" i="49"/>
  <c r="U1109" i="49"/>
  <c r="U1110" i="49"/>
  <c r="S1108" i="49"/>
  <c r="G1113" i="49"/>
  <c r="G1117" i="49" s="1"/>
  <c r="E1137" i="49" l="1"/>
  <c r="E1136" i="49"/>
  <c r="E1135" i="49"/>
  <c r="E1134" i="49"/>
  <c r="S1123" i="49"/>
  <c r="S1117" i="49"/>
  <c r="U1113" i="49"/>
  <c r="S1122" i="49"/>
  <c r="I1126" i="49"/>
  <c r="I1130" i="49" s="1"/>
  <c r="Q1126" i="49"/>
  <c r="Q1130" i="49" s="1"/>
  <c r="K1126" i="49"/>
  <c r="K1130" i="49" s="1"/>
  <c r="M1126" i="49"/>
  <c r="M1130" i="49" s="1"/>
  <c r="O1126" i="49"/>
  <c r="O1130" i="49" s="1"/>
  <c r="G1126" i="49"/>
  <c r="G1130" i="49" s="1"/>
  <c r="S1121" i="49"/>
  <c r="S1124" i="49"/>
  <c r="S1113" i="49"/>
  <c r="U1124" i="49"/>
  <c r="U1123" i="49"/>
  <c r="U1121" i="49"/>
  <c r="U1122" i="49"/>
  <c r="G1141" i="49"/>
  <c r="Q1134" i="49"/>
  <c r="M1136" i="49"/>
  <c r="I1137" i="49"/>
  <c r="K1135" i="49"/>
  <c r="K1141" i="49"/>
  <c r="O1137" i="49"/>
  <c r="G1137" i="49"/>
  <c r="Q1141" i="49"/>
  <c r="O1134" i="49"/>
  <c r="G1134" i="49"/>
  <c r="O1141" i="49"/>
  <c r="K1136" i="49"/>
  <c r="Q1137" i="49"/>
  <c r="I1141" i="49"/>
  <c r="C1137" i="49"/>
  <c r="O1136" i="49"/>
  <c r="G1136" i="49"/>
  <c r="I1134" i="49"/>
  <c r="I1136" i="49"/>
  <c r="M1135" i="49"/>
  <c r="O1135" i="49"/>
  <c r="M1137" i="49"/>
  <c r="K1134" i="49"/>
  <c r="G1135" i="49"/>
  <c r="M1141" i="49"/>
  <c r="C1134" i="49"/>
  <c r="I1135" i="49"/>
  <c r="Q1135" i="49"/>
  <c r="C1136" i="49"/>
  <c r="M1134" i="49"/>
  <c r="C1135" i="49"/>
  <c r="K1137" i="49"/>
  <c r="Q1136" i="49"/>
  <c r="A1158" i="49"/>
  <c r="B1145" i="49"/>
  <c r="E1150" i="49" l="1"/>
  <c r="E1149" i="49"/>
  <c r="E1148" i="49"/>
  <c r="E1147" i="49"/>
  <c r="S1126" i="49"/>
  <c r="S1130" i="49"/>
  <c r="G1139" i="49"/>
  <c r="G1143" i="49" s="1"/>
  <c r="S1134" i="49"/>
  <c r="M1139" i="49"/>
  <c r="M1143" i="49" s="1"/>
  <c r="S1135" i="49"/>
  <c r="S1136" i="49"/>
  <c r="O1139" i="49"/>
  <c r="O1143" i="49" s="1"/>
  <c r="K1139" i="49"/>
  <c r="K1143" i="49" s="1"/>
  <c r="Q1139" i="49"/>
  <c r="Q1143" i="49" s="1"/>
  <c r="U1134" i="49"/>
  <c r="U1137" i="49"/>
  <c r="U1136" i="49"/>
  <c r="U1135" i="49"/>
  <c r="Q1147" i="49"/>
  <c r="G1148" i="49"/>
  <c r="O1148" i="49"/>
  <c r="M1149" i="49"/>
  <c r="C1147" i="49"/>
  <c r="M1150" i="49"/>
  <c r="Q1148" i="49"/>
  <c r="I1149" i="49"/>
  <c r="Q1154" i="49"/>
  <c r="M1148" i="49"/>
  <c r="Q1150" i="49"/>
  <c r="C1150" i="49"/>
  <c r="K1147" i="49"/>
  <c r="I1150" i="49"/>
  <c r="G1147" i="49"/>
  <c r="G1150" i="49"/>
  <c r="M1147" i="49"/>
  <c r="O1149" i="49"/>
  <c r="K1149" i="49"/>
  <c r="O1154" i="49"/>
  <c r="C1149" i="49"/>
  <c r="Q1149" i="49"/>
  <c r="G1149" i="49"/>
  <c r="I1154" i="49"/>
  <c r="M1154" i="49"/>
  <c r="K1148" i="49"/>
  <c r="O1147" i="49"/>
  <c r="I1148" i="49"/>
  <c r="C1148" i="49"/>
  <c r="G1154" i="49"/>
  <c r="K1150" i="49"/>
  <c r="I1147" i="49"/>
  <c r="O1150" i="49"/>
  <c r="K1154" i="49"/>
  <c r="S1137" i="49"/>
  <c r="A1171" i="49"/>
  <c r="B1158" i="49"/>
  <c r="U1126" i="49"/>
  <c r="I1139" i="49"/>
  <c r="I1143" i="49" s="1"/>
  <c r="E1163" i="49" l="1"/>
  <c r="E1162" i="49"/>
  <c r="E1161" i="49"/>
  <c r="E1160" i="49"/>
  <c r="U1139" i="49"/>
  <c r="S1143" i="49"/>
  <c r="M1152" i="49"/>
  <c r="M1156" i="49" s="1"/>
  <c r="I1152" i="49"/>
  <c r="I1156" i="49" s="1"/>
  <c r="S1150" i="49"/>
  <c r="S1149" i="49"/>
  <c r="S1148" i="49"/>
  <c r="G1152" i="49"/>
  <c r="G1156" i="49" s="1"/>
  <c r="S1147" i="49"/>
  <c r="G1162" i="49"/>
  <c r="M1167" i="49"/>
  <c r="I1163" i="49"/>
  <c r="G1160" i="49"/>
  <c r="C1160" i="49"/>
  <c r="K1161" i="49"/>
  <c r="M1163" i="49"/>
  <c r="C1162" i="49"/>
  <c r="O1167" i="49"/>
  <c r="C1161" i="49"/>
  <c r="Q1160" i="49"/>
  <c r="Q1163" i="49"/>
  <c r="K1167" i="49"/>
  <c r="K1163" i="49"/>
  <c r="C1163" i="49"/>
  <c r="O1160" i="49"/>
  <c r="Q1162" i="49"/>
  <c r="G1163" i="49"/>
  <c r="O1162" i="49"/>
  <c r="I1167" i="49"/>
  <c r="O1163" i="49"/>
  <c r="I1160" i="49"/>
  <c r="K1162" i="49"/>
  <c r="G1167" i="49"/>
  <c r="M1162" i="49"/>
  <c r="G1161" i="49"/>
  <c r="Q1167" i="49"/>
  <c r="M1161" i="49"/>
  <c r="Q1161" i="49"/>
  <c r="I1161" i="49"/>
  <c r="M1160" i="49"/>
  <c r="K1160" i="49"/>
  <c r="I1162" i="49"/>
  <c r="O1161" i="49"/>
  <c r="Q1152" i="49"/>
  <c r="Q1156" i="49" s="1"/>
  <c r="A1184" i="49"/>
  <c r="B1171" i="49"/>
  <c r="K1152" i="49"/>
  <c r="K1156" i="49" s="1"/>
  <c r="U1147" i="49"/>
  <c r="U1150" i="49"/>
  <c r="U1148" i="49"/>
  <c r="U1149" i="49"/>
  <c r="O1152" i="49"/>
  <c r="O1156" i="49" s="1"/>
  <c r="S1139" i="49"/>
  <c r="I17" i="27"/>
  <c r="I9" i="27"/>
  <c r="E1176" i="49" l="1"/>
  <c r="E1175" i="49"/>
  <c r="E1174" i="49"/>
  <c r="E1173" i="49"/>
  <c r="M1165" i="49"/>
  <c r="M1169" i="49" s="1"/>
  <c r="S1163" i="49"/>
  <c r="Q1165" i="49"/>
  <c r="Q1169" i="49" s="1"/>
  <c r="I1165" i="49"/>
  <c r="I1169" i="49" s="1"/>
  <c r="U1162" i="49"/>
  <c r="U1161" i="49"/>
  <c r="U1160" i="49"/>
  <c r="U1163" i="49"/>
  <c r="O1165" i="49"/>
  <c r="O1169" i="49" s="1"/>
  <c r="S1162" i="49"/>
  <c r="B1184" i="49"/>
  <c r="A1197" i="49"/>
  <c r="S1152" i="49"/>
  <c r="S1156" i="49"/>
  <c r="U1152" i="49"/>
  <c r="K1165" i="49"/>
  <c r="K1169" i="49" s="1"/>
  <c r="S1161" i="49"/>
  <c r="S1160" i="49"/>
  <c r="G1165" i="49"/>
  <c r="G1169" i="49" s="1"/>
  <c r="I1180" i="49"/>
  <c r="I1175" i="49"/>
  <c r="O1180" i="49"/>
  <c r="Q1176" i="49"/>
  <c r="M1175" i="49"/>
  <c r="K1176" i="49"/>
  <c r="O1175" i="49"/>
  <c r="G1175" i="49"/>
  <c r="C1174" i="49"/>
  <c r="K1174" i="49"/>
  <c r="G1173" i="49"/>
  <c r="K1173" i="49"/>
  <c r="I1176" i="49"/>
  <c r="M1174" i="49"/>
  <c r="Q1175" i="49"/>
  <c r="Q1174" i="49"/>
  <c r="G1180" i="49"/>
  <c r="Q1173" i="49"/>
  <c r="I1174" i="49"/>
  <c r="I1173" i="49"/>
  <c r="C1173" i="49"/>
  <c r="K1175" i="49"/>
  <c r="C1175" i="49"/>
  <c r="O1174" i="49"/>
  <c r="G1174" i="49"/>
  <c r="M1176" i="49"/>
  <c r="G1176" i="49"/>
  <c r="Q1180" i="49"/>
  <c r="M1173" i="49"/>
  <c r="O1176" i="49"/>
  <c r="K1180" i="49"/>
  <c r="M1180" i="49"/>
  <c r="O1173" i="49"/>
  <c r="C1176" i="49"/>
  <c r="E17" i="27"/>
  <c r="E19" i="27" s="1"/>
  <c r="E22" i="27" s="1"/>
  <c r="E1189" i="49" l="1"/>
  <c r="E1188" i="49"/>
  <c r="E1187" i="49"/>
  <c r="E1186" i="49"/>
  <c r="I1178" i="49"/>
  <c r="I1182" i="49" s="1"/>
  <c r="S1169" i="49"/>
  <c r="S1174" i="49"/>
  <c r="M1178" i="49"/>
  <c r="M1182" i="49" s="1"/>
  <c r="G1193" i="49"/>
  <c r="Q1186" i="49"/>
  <c r="I1187" i="49"/>
  <c r="G1188" i="49"/>
  <c r="M1186" i="49"/>
  <c r="G1189" i="49"/>
  <c r="Q1187" i="49"/>
  <c r="C1186" i="49"/>
  <c r="I1189" i="49"/>
  <c r="C1188" i="49"/>
  <c r="Q1188" i="49"/>
  <c r="K1188" i="49"/>
  <c r="K1186" i="49"/>
  <c r="M1193" i="49"/>
  <c r="M1189" i="49"/>
  <c r="Q1193" i="49"/>
  <c r="K1187" i="49"/>
  <c r="M1188" i="49"/>
  <c r="O1188" i="49"/>
  <c r="K1193" i="49"/>
  <c r="O1187" i="49"/>
  <c r="Q1189" i="49"/>
  <c r="G1187" i="49"/>
  <c r="G1186" i="49"/>
  <c r="C1189" i="49"/>
  <c r="K1189" i="49"/>
  <c r="I1186" i="49"/>
  <c r="I1193" i="49"/>
  <c r="M1187" i="49"/>
  <c r="C1187" i="49"/>
  <c r="I1188" i="49"/>
  <c r="O1193" i="49"/>
  <c r="O1186" i="49"/>
  <c r="O1189" i="49"/>
  <c r="S1176" i="49"/>
  <c r="S1165" i="49"/>
  <c r="S1175" i="49"/>
  <c r="K1178" i="49"/>
  <c r="K1182" i="49" s="1"/>
  <c r="U1174" i="49"/>
  <c r="U1175" i="49"/>
  <c r="U1173" i="49"/>
  <c r="U1176" i="49"/>
  <c r="G1178" i="49"/>
  <c r="G1182" i="49" s="1"/>
  <c r="S1173" i="49"/>
  <c r="O1178" i="49"/>
  <c r="O1182" i="49" s="1"/>
  <c r="Q1178" i="49"/>
  <c r="Q1182" i="49" s="1"/>
  <c r="U1165" i="49"/>
  <c r="B1197" i="49"/>
  <c r="A1210" i="49"/>
  <c r="E1202" i="49" l="1"/>
  <c r="E1201" i="49"/>
  <c r="E1200" i="49"/>
  <c r="E1199" i="49"/>
  <c r="S1178" i="49"/>
  <c r="K1191" i="49"/>
  <c r="K1195" i="49" s="1"/>
  <c r="I1206" i="49"/>
  <c r="Q1199" i="49"/>
  <c r="O1206" i="49"/>
  <c r="C1199" i="49"/>
  <c r="C1200" i="49"/>
  <c r="G1199" i="49"/>
  <c r="O1201" i="49"/>
  <c r="G1200" i="49"/>
  <c r="I1202" i="49"/>
  <c r="C1202" i="49"/>
  <c r="Q1201" i="49"/>
  <c r="K1206" i="49"/>
  <c r="K1202" i="49"/>
  <c r="K1201" i="49"/>
  <c r="Q1206" i="49"/>
  <c r="K1199" i="49"/>
  <c r="O1200" i="49"/>
  <c r="I1199" i="49"/>
  <c r="M1201" i="49"/>
  <c r="G1201" i="49"/>
  <c r="I1200" i="49"/>
  <c r="O1202" i="49"/>
  <c r="C1201" i="49"/>
  <c r="Q1200" i="49"/>
  <c r="K1200" i="49"/>
  <c r="O1199" i="49"/>
  <c r="M1199" i="49"/>
  <c r="G1206" i="49"/>
  <c r="I1201" i="49"/>
  <c r="M1200" i="49"/>
  <c r="G1202" i="49"/>
  <c r="Q1202" i="49"/>
  <c r="M1202" i="49"/>
  <c r="M1206" i="49"/>
  <c r="S1182" i="49"/>
  <c r="I1191" i="49"/>
  <c r="I1195" i="49" s="1"/>
  <c r="S1189" i="49"/>
  <c r="A1223" i="49"/>
  <c r="B1210" i="49"/>
  <c r="U1178" i="49"/>
  <c r="O1191" i="49"/>
  <c r="O1195" i="49" s="1"/>
  <c r="M1191" i="49"/>
  <c r="M1195" i="49" s="1"/>
  <c r="S1188" i="49"/>
  <c r="Q1191" i="49"/>
  <c r="Q1195" i="49" s="1"/>
  <c r="G1191" i="49"/>
  <c r="G1195" i="49" s="1"/>
  <c r="S1186" i="49"/>
  <c r="S1187" i="49"/>
  <c r="U1188" i="49"/>
  <c r="U1186" i="49"/>
  <c r="U1187" i="49"/>
  <c r="U1189" i="49"/>
  <c r="B54" i="30"/>
  <c r="E1215" i="49" l="1"/>
  <c r="E1214" i="49"/>
  <c r="E1213" i="49"/>
  <c r="E1212" i="49"/>
  <c r="O1204" i="49"/>
  <c r="O1208" i="49" s="1"/>
  <c r="S1200" i="49"/>
  <c r="U1191" i="49"/>
  <c r="U1199" i="49"/>
  <c r="U1202" i="49"/>
  <c r="U1201" i="49"/>
  <c r="U1200" i="49"/>
  <c r="G1204" i="49"/>
  <c r="G1208" i="49" s="1"/>
  <c r="S1199" i="49"/>
  <c r="S1201" i="49"/>
  <c r="C1212" i="49"/>
  <c r="I1213" i="49"/>
  <c r="G1213" i="49"/>
  <c r="I1214" i="49"/>
  <c r="Q1213" i="49"/>
  <c r="C1213" i="49"/>
  <c r="Q1219" i="49"/>
  <c r="M1219" i="49"/>
  <c r="K1212" i="49"/>
  <c r="C1215" i="49"/>
  <c r="M1212" i="49"/>
  <c r="I1212" i="49"/>
  <c r="Q1212" i="49"/>
  <c r="Q1215" i="49"/>
  <c r="O1214" i="49"/>
  <c r="G1214" i="49"/>
  <c r="O1219" i="49"/>
  <c r="K1219" i="49"/>
  <c r="K1215" i="49"/>
  <c r="M1214" i="49"/>
  <c r="K1213" i="49"/>
  <c r="Q1214" i="49"/>
  <c r="O1215" i="49"/>
  <c r="C1214" i="49"/>
  <c r="M1213" i="49"/>
  <c r="K1214" i="49"/>
  <c r="G1219" i="49"/>
  <c r="O1212" i="49"/>
  <c r="I1215" i="49"/>
  <c r="O1213" i="49"/>
  <c r="M1215" i="49"/>
  <c r="G1215" i="49"/>
  <c r="G1212" i="49"/>
  <c r="I1219" i="49"/>
  <c r="S1195" i="49"/>
  <c r="B1223" i="49"/>
  <c r="A1236" i="49"/>
  <c r="Q1204" i="49"/>
  <c r="Q1208" i="49" s="1"/>
  <c r="M1204" i="49"/>
  <c r="M1208" i="49" s="1"/>
  <c r="S1191" i="49"/>
  <c r="I1204" i="49"/>
  <c r="I1208" i="49" s="1"/>
  <c r="S1202" i="49"/>
  <c r="K1204" i="49"/>
  <c r="K1208" i="49" s="1"/>
  <c r="W13" i="1"/>
  <c r="W32" i="1" l="1"/>
  <c r="D43" i="30"/>
  <c r="D46" i="30" s="1"/>
  <c r="E1228" i="49"/>
  <c r="E1227" i="49"/>
  <c r="E1226" i="49"/>
  <c r="E1225" i="49"/>
  <c r="O1217" i="49"/>
  <c r="O1221" i="49" s="1"/>
  <c r="S1204" i="49"/>
  <c r="I1227" i="49"/>
  <c r="Q1228" i="49"/>
  <c r="K1225" i="49"/>
  <c r="C1225" i="49"/>
  <c r="M1227" i="49"/>
  <c r="K1226" i="49"/>
  <c r="C1227" i="49"/>
  <c r="G1228" i="49"/>
  <c r="M1226" i="49"/>
  <c r="I1232" i="49"/>
  <c r="Q1226" i="49"/>
  <c r="K1232" i="49"/>
  <c r="Q1225" i="49"/>
  <c r="I1226" i="49"/>
  <c r="Q1227" i="49"/>
  <c r="M1228" i="49"/>
  <c r="O1232" i="49"/>
  <c r="I1225" i="49"/>
  <c r="O1225" i="49"/>
  <c r="M1232" i="49"/>
  <c r="K1228" i="49"/>
  <c r="C1228" i="49"/>
  <c r="M1225" i="49"/>
  <c r="G1232" i="49"/>
  <c r="O1226" i="49"/>
  <c r="G1227" i="49"/>
  <c r="I1228" i="49"/>
  <c r="C1226" i="49"/>
  <c r="O1228" i="49"/>
  <c r="G1225" i="49"/>
  <c r="O1227" i="49"/>
  <c r="K1227" i="49"/>
  <c r="Q1232" i="49"/>
  <c r="G1226" i="49"/>
  <c r="U1214" i="49"/>
  <c r="U1215" i="49"/>
  <c r="U1212" i="49"/>
  <c r="U1213" i="49"/>
  <c r="Q1217" i="49"/>
  <c r="Q1221" i="49" s="1"/>
  <c r="S1208" i="49"/>
  <c r="I1217" i="49"/>
  <c r="I1221" i="49" s="1"/>
  <c r="G1217" i="49"/>
  <c r="G1221" i="49" s="1"/>
  <c r="S1212" i="49"/>
  <c r="M1217" i="49"/>
  <c r="M1221" i="49" s="1"/>
  <c r="S1213" i="49"/>
  <c r="A1249" i="49"/>
  <c r="B1236" i="49"/>
  <c r="S1215" i="49"/>
  <c r="U1204" i="49"/>
  <c r="S1214" i="49"/>
  <c r="K1217" i="49"/>
  <c r="K1221" i="49" s="1"/>
  <c r="E1241" i="49" l="1"/>
  <c r="E1240" i="49"/>
  <c r="E1239" i="49"/>
  <c r="E1238" i="49"/>
  <c r="S1221" i="49"/>
  <c r="U1225" i="49"/>
  <c r="U1228" i="49"/>
  <c r="U1227" i="49"/>
  <c r="U1226" i="49"/>
  <c r="U1217" i="49"/>
  <c r="S1226" i="49"/>
  <c r="O1230" i="49"/>
  <c r="O1234" i="49" s="1"/>
  <c r="Q1239" i="49"/>
  <c r="M1245" i="49"/>
  <c r="K1240" i="49"/>
  <c r="C1239" i="49"/>
  <c r="M1238" i="49"/>
  <c r="I1240" i="49"/>
  <c r="C1238" i="49"/>
  <c r="I1245" i="49"/>
  <c r="C1240" i="49"/>
  <c r="Q1238" i="49"/>
  <c r="I1239" i="49"/>
  <c r="M1241" i="49"/>
  <c r="G1238" i="49"/>
  <c r="K1245" i="49"/>
  <c r="I1241" i="49"/>
  <c r="G1241" i="49"/>
  <c r="C1241" i="49"/>
  <c r="Q1240" i="49"/>
  <c r="O1241" i="49"/>
  <c r="O1238" i="49"/>
  <c r="K1241" i="49"/>
  <c r="G1239" i="49"/>
  <c r="M1239" i="49"/>
  <c r="Q1241" i="49"/>
  <c r="G1240" i="49"/>
  <c r="O1245" i="49"/>
  <c r="K1239" i="49"/>
  <c r="I1238" i="49"/>
  <c r="G1245" i="49"/>
  <c r="O1240" i="49"/>
  <c r="K1238" i="49"/>
  <c r="O1239" i="49"/>
  <c r="Q1245" i="49"/>
  <c r="M1240" i="49"/>
  <c r="S1227" i="49"/>
  <c r="I1230" i="49"/>
  <c r="I1234" i="49" s="1"/>
  <c r="K1230" i="49"/>
  <c r="K1234" i="49" s="1"/>
  <c r="A1262" i="49"/>
  <c r="B1249" i="49"/>
  <c r="S1225" i="49"/>
  <c r="G1230" i="49"/>
  <c r="G1234" i="49" s="1"/>
  <c r="S1228" i="49"/>
  <c r="M1230" i="49"/>
  <c r="M1234" i="49" s="1"/>
  <c r="S1217" i="49"/>
  <c r="Q1230" i="49"/>
  <c r="Q1234" i="49" s="1"/>
  <c r="E1254" i="49" l="1"/>
  <c r="E1253" i="49"/>
  <c r="E1252" i="49"/>
  <c r="E1251" i="49"/>
  <c r="S1230" i="49"/>
  <c r="I1243" i="49"/>
  <c r="I1247" i="49" s="1"/>
  <c r="S1234" i="49"/>
  <c r="S1240" i="49"/>
  <c r="K1243" i="49"/>
  <c r="K1247" i="49" s="1"/>
  <c r="U1238" i="49"/>
  <c r="U1239" i="49"/>
  <c r="U1241" i="49"/>
  <c r="U1240" i="49"/>
  <c r="O1243" i="49"/>
  <c r="O1247" i="49" s="1"/>
  <c r="S1238" i="49"/>
  <c r="G1243" i="49"/>
  <c r="G1247" i="49" s="1"/>
  <c r="M1243" i="49"/>
  <c r="M1247" i="49" s="1"/>
  <c r="M1258" i="49"/>
  <c r="C1252" i="49"/>
  <c r="M1252" i="49"/>
  <c r="Q1253" i="49"/>
  <c r="Q1251" i="49"/>
  <c r="G1252" i="49"/>
  <c r="G1253" i="49"/>
  <c r="O1253" i="49"/>
  <c r="G1258" i="49"/>
  <c r="I1252" i="49"/>
  <c r="M1254" i="49"/>
  <c r="G1251" i="49"/>
  <c r="I1254" i="49"/>
  <c r="G1254" i="49"/>
  <c r="M1253" i="49"/>
  <c r="K1252" i="49"/>
  <c r="K1253" i="49"/>
  <c r="O1258" i="49"/>
  <c r="O1254" i="49"/>
  <c r="K1251" i="49"/>
  <c r="M1251" i="49"/>
  <c r="O1251" i="49"/>
  <c r="O1252" i="49"/>
  <c r="I1251" i="49"/>
  <c r="I1253" i="49"/>
  <c r="C1254" i="49"/>
  <c r="Q1252" i="49"/>
  <c r="C1251" i="49"/>
  <c r="C1253" i="49"/>
  <c r="K1258" i="49"/>
  <c r="I1258" i="49"/>
  <c r="Q1258" i="49"/>
  <c r="K1254" i="49"/>
  <c r="Q1254" i="49"/>
  <c r="S1241" i="49"/>
  <c r="Q1243" i="49"/>
  <c r="Q1247" i="49" s="1"/>
  <c r="B1262" i="49"/>
  <c r="A1275" i="49"/>
  <c r="S1239" i="49"/>
  <c r="U1230" i="49"/>
  <c r="E1267" i="49" l="1"/>
  <c r="E1266" i="49"/>
  <c r="E1265" i="49"/>
  <c r="E1264" i="49"/>
  <c r="C1264" i="49"/>
  <c r="I1256" i="49"/>
  <c r="I1260" i="49" s="1"/>
  <c r="K1256" i="49"/>
  <c r="K1260" i="49" s="1"/>
  <c r="S1254" i="49"/>
  <c r="S1252" i="49"/>
  <c r="Q1256" i="49"/>
  <c r="Q1260" i="49" s="1"/>
  <c r="S1247" i="49"/>
  <c r="G1256" i="49"/>
  <c r="G1260" i="49" s="1"/>
  <c r="S1251" i="49"/>
  <c r="S1243" i="49"/>
  <c r="A1288" i="49"/>
  <c r="B1275" i="49"/>
  <c r="U1254" i="49"/>
  <c r="U1253" i="49"/>
  <c r="U1252" i="49"/>
  <c r="U1251" i="49"/>
  <c r="O1256" i="49"/>
  <c r="O1260" i="49" s="1"/>
  <c r="C1266" i="49"/>
  <c r="K1271" i="49"/>
  <c r="Q1265" i="49"/>
  <c r="Q1267" i="49"/>
  <c r="G1265" i="49"/>
  <c r="K1267" i="49"/>
  <c r="K1265" i="49"/>
  <c r="I1271" i="49"/>
  <c r="O1264" i="49"/>
  <c r="K1264" i="49"/>
  <c r="O1266" i="49"/>
  <c r="K1266" i="49"/>
  <c r="G1267" i="49"/>
  <c r="I1265" i="49"/>
  <c r="M1267" i="49"/>
  <c r="G1266" i="49"/>
  <c r="Q1264" i="49"/>
  <c r="M1266" i="49"/>
  <c r="I1266" i="49"/>
  <c r="M1271" i="49"/>
  <c r="C1265" i="49"/>
  <c r="M1264" i="49"/>
  <c r="G1264" i="49"/>
  <c r="Q1266" i="49"/>
  <c r="C1267" i="49"/>
  <c r="I1264" i="49"/>
  <c r="M1265" i="49"/>
  <c r="Q1271" i="49"/>
  <c r="O1265" i="49"/>
  <c r="O1271" i="49"/>
  <c r="I1267" i="49"/>
  <c r="G1271" i="49"/>
  <c r="O1267" i="49"/>
  <c r="M1256" i="49"/>
  <c r="M1260" i="49" s="1"/>
  <c r="S1253" i="49"/>
  <c r="U1243" i="49"/>
  <c r="E1280" i="49" l="1"/>
  <c r="E1279" i="49"/>
  <c r="E1278" i="49"/>
  <c r="E1277" i="49"/>
  <c r="U1256" i="49"/>
  <c r="M1269" i="49"/>
  <c r="M1273" i="49" s="1"/>
  <c r="S1267" i="49"/>
  <c r="G1279" i="49"/>
  <c r="C1279" i="49"/>
  <c r="K1284" i="49"/>
  <c r="Q1278" i="49"/>
  <c r="C1278" i="49"/>
  <c r="M1280" i="49"/>
  <c r="Q1277" i="49"/>
  <c r="C1277" i="49"/>
  <c r="C1280" i="49"/>
  <c r="M1279" i="49"/>
  <c r="K1278" i="49"/>
  <c r="G1278" i="49"/>
  <c r="K1280" i="49"/>
  <c r="I1279" i="49"/>
  <c r="I1278" i="49"/>
  <c r="G1277" i="49"/>
  <c r="K1279" i="49"/>
  <c r="Q1279" i="49"/>
  <c r="O1277" i="49"/>
  <c r="K1277" i="49"/>
  <c r="O1279" i="49"/>
  <c r="G1284" i="49"/>
  <c r="M1278" i="49"/>
  <c r="O1284" i="49"/>
  <c r="O1280" i="49"/>
  <c r="M1277" i="49"/>
  <c r="Q1284" i="49"/>
  <c r="M1284" i="49"/>
  <c r="G1280" i="49"/>
  <c r="O1278" i="49"/>
  <c r="Q1280" i="49"/>
  <c r="I1284" i="49"/>
  <c r="I1280" i="49"/>
  <c r="I1277" i="49"/>
  <c r="U1265" i="49"/>
  <c r="U1264" i="49"/>
  <c r="U1266" i="49"/>
  <c r="U1267" i="49"/>
  <c r="S1265" i="49"/>
  <c r="I1269" i="49"/>
  <c r="I1273" i="49" s="1"/>
  <c r="K1269" i="49"/>
  <c r="K1273" i="49" s="1"/>
  <c r="B1288" i="49"/>
  <c r="A1301" i="49"/>
  <c r="Q1269" i="49"/>
  <c r="Q1273" i="49" s="1"/>
  <c r="S1256" i="49"/>
  <c r="S1266" i="49"/>
  <c r="O1269" i="49"/>
  <c r="O1273" i="49" s="1"/>
  <c r="S1260" i="49"/>
  <c r="S1264" i="49"/>
  <c r="G1269" i="49"/>
  <c r="G1273" i="49" s="1"/>
  <c r="K9" i="27"/>
  <c r="AK13" i="1"/>
  <c r="E1293" i="49" l="1"/>
  <c r="E1292" i="49"/>
  <c r="E1291" i="49"/>
  <c r="E1290" i="49"/>
  <c r="C1291" i="49"/>
  <c r="S1280" i="49"/>
  <c r="S1269" i="49"/>
  <c r="Q1282" i="49"/>
  <c r="Q1286" i="49" s="1"/>
  <c r="U1269" i="49"/>
  <c r="K1282" i="49"/>
  <c r="K1286" i="49" s="1"/>
  <c r="I1282" i="49"/>
  <c r="I1286" i="49" s="1"/>
  <c r="M1282" i="49"/>
  <c r="M1286" i="49" s="1"/>
  <c r="O1282" i="49"/>
  <c r="O1286" i="49" s="1"/>
  <c r="S1278" i="49"/>
  <c r="C1292" i="49"/>
  <c r="K1297" i="49"/>
  <c r="Q1291" i="49"/>
  <c r="I1292" i="49"/>
  <c r="I1297" i="49"/>
  <c r="I1290" i="49"/>
  <c r="Q1297" i="49"/>
  <c r="G1291" i="49"/>
  <c r="K1293" i="49"/>
  <c r="M1291" i="49"/>
  <c r="G1292" i="49"/>
  <c r="M1290" i="49"/>
  <c r="Q1293" i="49"/>
  <c r="K1290" i="49"/>
  <c r="O1292" i="49"/>
  <c r="G1297" i="49"/>
  <c r="Q1290" i="49"/>
  <c r="C1293" i="49"/>
  <c r="M1297" i="49"/>
  <c r="G1293" i="49"/>
  <c r="Q1292" i="49"/>
  <c r="K1291" i="49"/>
  <c r="I1291" i="49"/>
  <c r="M1293" i="49"/>
  <c r="G1290" i="49"/>
  <c r="K1292" i="49"/>
  <c r="O1291" i="49"/>
  <c r="O1290" i="49"/>
  <c r="M1292" i="49"/>
  <c r="O1297" i="49"/>
  <c r="I1293" i="49"/>
  <c r="C1290" i="49"/>
  <c r="O1293" i="49"/>
  <c r="S1277" i="49"/>
  <c r="G1282" i="49"/>
  <c r="G1286" i="49" s="1"/>
  <c r="B1301" i="49"/>
  <c r="S1273" i="49"/>
  <c r="U1278" i="49"/>
  <c r="U1279" i="49"/>
  <c r="U1277" i="49"/>
  <c r="U1280" i="49"/>
  <c r="S1279" i="49"/>
  <c r="AK32" i="1"/>
  <c r="N9" i="27"/>
  <c r="AR13" i="1"/>
  <c r="J9" i="27"/>
  <c r="L9" i="27"/>
  <c r="AD34" i="1"/>
  <c r="J12" i="27" s="1"/>
  <c r="AR32" i="1" l="1"/>
  <c r="G43" i="30"/>
  <c r="G46" i="30" s="1"/>
  <c r="E1306" i="49"/>
  <c r="E1305" i="49"/>
  <c r="E1304" i="49"/>
  <c r="E1303" i="49"/>
  <c r="O1295" i="49"/>
  <c r="O1299" i="49" s="1"/>
  <c r="S1293" i="49"/>
  <c r="U1282" i="49"/>
  <c r="K1303" i="49"/>
  <c r="K5" i="49" s="1"/>
  <c r="O1305" i="49"/>
  <c r="O7" i="49" s="1"/>
  <c r="G1310" i="49"/>
  <c r="Q1303" i="49"/>
  <c r="Q5" i="49" s="1"/>
  <c r="I1304" i="49"/>
  <c r="I6" i="49" s="1"/>
  <c r="C1303" i="49"/>
  <c r="M1305" i="49"/>
  <c r="M7" i="49" s="1"/>
  <c r="K1310" i="49"/>
  <c r="M1304" i="49"/>
  <c r="M6" i="49" s="1"/>
  <c r="M1310" i="49"/>
  <c r="C1304" i="49"/>
  <c r="G1306" i="49"/>
  <c r="G8" i="49" s="1"/>
  <c r="C1306" i="49"/>
  <c r="M1303" i="49"/>
  <c r="M5" i="49" s="1"/>
  <c r="O1306" i="49"/>
  <c r="O8" i="49" s="1"/>
  <c r="I1305" i="49"/>
  <c r="I7" i="49" s="1"/>
  <c r="G1304" i="49"/>
  <c r="G6" i="49" s="1"/>
  <c r="M1306" i="49"/>
  <c r="M8" i="49" s="1"/>
  <c r="G1303" i="49"/>
  <c r="G5" i="49" s="1"/>
  <c r="K1305" i="49"/>
  <c r="K7" i="49" s="1"/>
  <c r="G1305" i="49"/>
  <c r="G7" i="49" s="1"/>
  <c r="Q1310" i="49"/>
  <c r="Q1304" i="49"/>
  <c r="Q6" i="49" s="1"/>
  <c r="Q1305" i="49"/>
  <c r="Q7" i="49" s="1"/>
  <c r="I1310" i="49"/>
  <c r="O1304" i="49"/>
  <c r="O6" i="49" s="1"/>
  <c r="K1304" i="49"/>
  <c r="K6" i="49" s="1"/>
  <c r="I1306" i="49"/>
  <c r="I8" i="49" s="1"/>
  <c r="O1303" i="49"/>
  <c r="O5" i="49" s="1"/>
  <c r="I1303" i="49"/>
  <c r="I5" i="49" s="1"/>
  <c r="Q1306" i="49"/>
  <c r="Q8" i="49" s="1"/>
  <c r="K1306" i="49"/>
  <c r="K8" i="49" s="1"/>
  <c r="O1310" i="49"/>
  <c r="C1305" i="49"/>
  <c r="Q1295" i="49"/>
  <c r="Q1299" i="49" s="1"/>
  <c r="U1293" i="49"/>
  <c r="U1292" i="49"/>
  <c r="U1290" i="49"/>
  <c r="U1291" i="49"/>
  <c r="S1286" i="49"/>
  <c r="S1291" i="49"/>
  <c r="K1295" i="49"/>
  <c r="K1299" i="49" s="1"/>
  <c r="S1282" i="49"/>
  <c r="I1295" i="49"/>
  <c r="I1299" i="49" s="1"/>
  <c r="G1295" i="49"/>
  <c r="G1299" i="49" s="1"/>
  <c r="S1290" i="49"/>
  <c r="S1292" i="49"/>
  <c r="M1295" i="49"/>
  <c r="M1299" i="49" s="1"/>
  <c r="BF13" i="1"/>
  <c r="G9" i="27"/>
  <c r="P34" i="1"/>
  <c r="AD13" i="1"/>
  <c r="AD32" i="1" l="1"/>
  <c r="E43" i="30"/>
  <c r="E46" i="30" s="1"/>
  <c r="BF32" i="1"/>
  <c r="I43" i="30"/>
  <c r="I46" i="30" s="1"/>
  <c r="O1308" i="49"/>
  <c r="O1312" i="49" s="1"/>
  <c r="O12" i="49" s="1"/>
  <c r="O10" i="49"/>
  <c r="S1299" i="49"/>
  <c r="S1295" i="49"/>
  <c r="M1308" i="49"/>
  <c r="M1312" i="49" s="1"/>
  <c r="M12" i="49" s="1"/>
  <c r="S1305" i="49"/>
  <c r="S7" i="49" s="1"/>
  <c r="U1295" i="49"/>
  <c r="Q10" i="49"/>
  <c r="S1304" i="49"/>
  <c r="S6" i="49" s="1"/>
  <c r="K1308" i="49"/>
  <c r="K1312" i="49" s="1"/>
  <c r="K12" i="49" s="1"/>
  <c r="I1308" i="49"/>
  <c r="I1312" i="49" s="1"/>
  <c r="I12" i="49" s="1"/>
  <c r="K10" i="49"/>
  <c r="G10" i="49"/>
  <c r="M10" i="49"/>
  <c r="S1306" i="49"/>
  <c r="S8" i="49" s="1"/>
  <c r="Q1308" i="49"/>
  <c r="Q1312" i="49" s="1"/>
  <c r="Q12" i="49" s="1"/>
  <c r="I10" i="49"/>
  <c r="G1308" i="49"/>
  <c r="G1312" i="49" s="1"/>
  <c r="G12" i="49" s="1"/>
  <c r="S1303" i="49"/>
  <c r="S5" i="49" s="1"/>
  <c r="U1303" i="49"/>
  <c r="U5" i="49" s="1"/>
  <c r="U1306" i="49"/>
  <c r="U8" i="49" s="1"/>
  <c r="U1305" i="49"/>
  <c r="U7" i="49" s="1"/>
  <c r="U1304" i="49"/>
  <c r="U6" i="49" s="1"/>
  <c r="F17" i="27"/>
  <c r="AK36" i="1" l="1"/>
  <c r="S10" i="49"/>
  <c r="U1308" i="49"/>
  <c r="U12" i="49"/>
  <c r="S1308" i="49"/>
  <c r="S1312" i="49"/>
  <c r="F54" i="30"/>
  <c r="K12" i="27" l="1"/>
  <c r="J17" i="27"/>
  <c r="J19" i="27" s="1"/>
  <c r="AR36" i="1"/>
  <c r="G54" i="30"/>
  <c r="L12" i="27" l="1"/>
  <c r="J14" i="27"/>
  <c r="J22" i="27" s="1"/>
  <c r="J24" i="27" s="1"/>
  <c r="AD51" i="1" s="1"/>
  <c r="AY36" i="1"/>
  <c r="H17" i="27"/>
  <c r="H19" i="27" s="1"/>
  <c r="H54" i="30"/>
  <c r="E24" i="27"/>
  <c r="E26" i="27" s="1"/>
  <c r="H22" i="27" l="1"/>
  <c r="M12" i="27"/>
  <c r="J29" i="27"/>
  <c r="E53" i="30"/>
  <c r="E52" i="30"/>
  <c r="BF36" i="1"/>
  <c r="K17" i="27"/>
  <c r="K19" i="27" s="1"/>
  <c r="K14" i="27"/>
  <c r="N12" i="27" l="1"/>
  <c r="K22" i="27"/>
  <c r="K24" i="27" s="1"/>
  <c r="F53" i="30" s="1"/>
  <c r="L17" i="27"/>
  <c r="L19" i="27" s="1"/>
  <c r="L14" i="27"/>
  <c r="C54" i="30"/>
  <c r="AK51" i="1" l="1"/>
  <c r="K29" i="27"/>
  <c r="K26" i="27"/>
  <c r="F52" i="30"/>
  <c r="N17" i="27"/>
  <c r="N19" i="27" s="1"/>
  <c r="N14" i="27"/>
  <c r="M17" i="27"/>
  <c r="M19" i="27" s="1"/>
  <c r="M14" i="27"/>
  <c r="L22" i="27"/>
  <c r="L24" i="27" s="1"/>
  <c r="AK70" i="1" l="1"/>
  <c r="F30" i="30" s="1"/>
  <c r="N22" i="27"/>
  <c r="N24" i="27" s="1"/>
  <c r="N29" i="27" s="1"/>
  <c r="M22" i="27"/>
  <c r="M24" i="27" s="1"/>
  <c r="M29" i="27" s="1"/>
  <c r="G52" i="30"/>
  <c r="AR51" i="1"/>
  <c r="L26" i="27"/>
  <c r="L29" i="27"/>
  <c r="G53" i="30"/>
  <c r="BF51" i="1" l="1"/>
  <c r="BF70" i="1" s="1"/>
  <c r="I30" i="30" s="1"/>
  <c r="H52" i="30"/>
  <c r="AY51" i="1"/>
  <c r="I52" i="30"/>
  <c r="I53" i="30"/>
  <c r="N26" i="27"/>
  <c r="M26" i="27"/>
  <c r="H53" i="30"/>
  <c r="AR70" i="1"/>
  <c r="AY70" i="1" l="1"/>
  <c r="H30" i="30" s="1"/>
  <c r="AO70" i="1"/>
  <c r="AP70" i="1" s="1"/>
  <c r="G30" i="30"/>
  <c r="I32" i="1"/>
  <c r="I45" i="1" s="1"/>
  <c r="P13" i="1"/>
  <c r="BC70" i="1" l="1"/>
  <c r="BD70" i="1" s="1"/>
  <c r="AV70" i="1"/>
  <c r="AW70" i="1" s="1"/>
  <c r="I48" i="1"/>
  <c r="I52" i="1" s="1"/>
  <c r="P32" i="1"/>
  <c r="C43" i="30"/>
  <c r="C46" i="30" s="1"/>
  <c r="I50" i="1" l="1"/>
  <c r="I72" i="1" s="1"/>
  <c r="B36" i="30" l="1"/>
  <c r="I55" i="1"/>
  <c r="I66" i="1" s="1"/>
  <c r="H55" i="1"/>
  <c r="I56" i="1" l="1"/>
  <c r="I64" i="1" s="1"/>
  <c r="I69" i="1" s="1"/>
  <c r="B20" i="30"/>
  <c r="B26" i="30" s="1"/>
  <c r="I73" i="1" l="1"/>
  <c r="B29" i="30"/>
  <c r="B38" i="30" s="1"/>
  <c r="N71" i="1" l="1"/>
  <c r="H23" i="27" l="1"/>
  <c r="H24" i="27" s="1"/>
  <c r="I19" i="27" l="1"/>
  <c r="I22" i="27" s="1"/>
  <c r="J25" i="27" s="1"/>
  <c r="H29" i="27" s="1"/>
  <c r="I23" i="27"/>
  <c r="I24" i="27" l="1"/>
  <c r="D53" i="30" s="1"/>
  <c r="D52" i="30"/>
  <c r="J26" i="27"/>
  <c r="AD70" i="1" l="1"/>
  <c r="W51" i="1"/>
  <c r="E54" i="30"/>
  <c r="E30" i="30" l="1"/>
  <c r="AH70" i="1"/>
  <c r="AI70" i="1" s="1"/>
  <c r="W70" i="1" l="1"/>
  <c r="AA70" i="1" l="1"/>
  <c r="AB70" i="1" s="1"/>
  <c r="D30" i="30"/>
  <c r="T70" i="1"/>
  <c r="U70" i="1" s="1"/>
  <c r="F26" i="27" l="1"/>
  <c r="C52" i="30"/>
  <c r="G23" i="27" l="1"/>
  <c r="W38" i="1"/>
  <c r="W42" i="1" s="1"/>
  <c r="P38" i="1"/>
  <c r="P42" i="1" s="1"/>
  <c r="P45" i="1" s="1"/>
  <c r="P48" i="1" s="1"/>
  <c r="W44" i="1" l="1"/>
  <c r="P52" i="1"/>
  <c r="P50" i="1"/>
  <c r="P72" i="1" s="1"/>
  <c r="G12" i="27"/>
  <c r="G17" i="27" s="1"/>
  <c r="G19" i="27" s="1"/>
  <c r="AD37" i="1"/>
  <c r="W45" i="1" l="1"/>
  <c r="W48" i="1" s="1"/>
  <c r="M72" i="1"/>
  <c r="N72" i="1" s="1"/>
  <c r="C36" i="30"/>
  <c r="P55" i="1"/>
  <c r="O55" i="1"/>
  <c r="G14" i="27"/>
  <c r="G22" i="27" s="1"/>
  <c r="H25" i="27" s="1"/>
  <c r="AD38" i="1"/>
  <c r="AD42" i="1" s="1"/>
  <c r="AD44" i="1" s="1"/>
  <c r="AD45" i="1" s="1"/>
  <c r="AK37" i="1"/>
  <c r="W52" i="1" l="1"/>
  <c r="W50" i="1"/>
  <c r="W72" i="1" s="1"/>
  <c r="P66" i="1"/>
  <c r="P56" i="1"/>
  <c r="P64" i="1" s="1"/>
  <c r="P69" i="1" s="1"/>
  <c r="C20" i="30"/>
  <c r="C26" i="30" s="1"/>
  <c r="I25" i="27"/>
  <c r="I26" i="27" s="1"/>
  <c r="G24" i="27"/>
  <c r="G26" i="27" s="1"/>
  <c r="AR37" i="1"/>
  <c r="AK38" i="1"/>
  <c r="AK42" i="1" s="1"/>
  <c r="AK44" i="1" s="1"/>
  <c r="AK45" i="1" s="1"/>
  <c r="F29" i="27"/>
  <c r="H26" i="27"/>
  <c r="D54" i="30"/>
  <c r="C53" i="30"/>
  <c r="W55" i="1" l="1"/>
  <c r="V55" i="1"/>
  <c r="D36" i="30"/>
  <c r="T72" i="1"/>
  <c r="U72" i="1" s="1"/>
  <c r="AK48" i="1"/>
  <c r="AD48" i="1"/>
  <c r="P73" i="1"/>
  <c r="C29" i="30"/>
  <c r="C38" i="30" s="1"/>
  <c r="M69" i="1"/>
  <c r="AR38" i="1"/>
  <c r="AR42" i="1" s="1"/>
  <c r="AR44" i="1" s="1"/>
  <c r="AR45" i="1" s="1"/>
  <c r="AY37" i="1"/>
  <c r="W56" i="1" l="1"/>
  <c r="W64" i="1" s="1"/>
  <c r="W69" i="1" s="1"/>
  <c r="D20" i="30"/>
  <c r="D26" i="30" s="1"/>
  <c r="W66" i="1"/>
  <c r="AR48" i="1"/>
  <c r="AD50" i="1"/>
  <c r="AD52" i="1"/>
  <c r="M73" i="1"/>
  <c r="N73" i="1" s="1"/>
  <c r="N69" i="1"/>
  <c r="AK50" i="1"/>
  <c r="AK52" i="1"/>
  <c r="BF37" i="1"/>
  <c r="BF38" i="1" s="1"/>
  <c r="BF42" i="1" s="1"/>
  <c r="AY38" i="1"/>
  <c r="AY42" i="1" s="1"/>
  <c r="AY44" i="1" s="1"/>
  <c r="AY45" i="1" s="1"/>
  <c r="T69" i="1" l="1"/>
  <c r="W73" i="1"/>
  <c r="D29" i="30"/>
  <c r="D38" i="30" s="1"/>
  <c r="AY48" i="1"/>
  <c r="BF44" i="1"/>
  <c r="AD72" i="1"/>
  <c r="AC54" i="1"/>
  <c r="AD54" i="1" s="1"/>
  <c r="AK72" i="1"/>
  <c r="AJ54" i="1"/>
  <c r="AR50" i="1"/>
  <c r="AR52" i="1"/>
  <c r="T73" i="1" l="1"/>
  <c r="U73" i="1" s="1"/>
  <c r="U69" i="1"/>
  <c r="BF45" i="1"/>
  <c r="BF48" i="1" s="1"/>
  <c r="AD55" i="1"/>
  <c r="AC55" i="1"/>
  <c r="AQ54" i="1"/>
  <c r="AR72" i="1"/>
  <c r="AK54" i="1"/>
  <c r="F36" i="30"/>
  <c r="AH72" i="1"/>
  <c r="E36" i="30"/>
  <c r="AA72" i="1"/>
  <c r="AB72" i="1" s="1"/>
  <c r="AI72" i="1"/>
  <c r="AY52" i="1"/>
  <c r="AY50" i="1"/>
  <c r="BF52" i="1" l="1"/>
  <c r="BF50" i="1"/>
  <c r="BE54" i="1" s="1"/>
  <c r="G36" i="30"/>
  <c r="AO72" i="1"/>
  <c r="AP72" i="1" s="1"/>
  <c r="AJ55" i="1"/>
  <c r="AR54" i="1"/>
  <c r="AK55" i="1"/>
  <c r="AX54" i="1"/>
  <c r="AY72" i="1"/>
  <c r="AD56" i="1"/>
  <c r="AD64" i="1" s="1"/>
  <c r="AD69" i="1" s="1"/>
  <c r="E20" i="30"/>
  <c r="E26" i="30" s="1"/>
  <c r="AD66" i="1"/>
  <c r="BF72" i="1" l="1"/>
  <c r="I36" i="30" s="1"/>
  <c r="AY54" i="1"/>
  <c r="AQ55" i="1"/>
  <c r="AR55" i="1"/>
  <c r="AV72" i="1"/>
  <c r="AW72" i="1" s="1"/>
  <c r="H36" i="30"/>
  <c r="AK66" i="1"/>
  <c r="F20" i="30"/>
  <c r="F26" i="30" s="1"/>
  <c r="AK56" i="1"/>
  <c r="AK64" i="1" s="1"/>
  <c r="AK69" i="1" s="1"/>
  <c r="AD73" i="1"/>
  <c r="E29" i="30"/>
  <c r="E38" i="30" s="1"/>
  <c r="AA69" i="1"/>
  <c r="BC72" i="1" l="1"/>
  <c r="BD72" i="1" s="1"/>
  <c r="AA73" i="1"/>
  <c r="AB73" i="1" s="1"/>
  <c r="AB69" i="1"/>
  <c r="AK73" i="1"/>
  <c r="AH69" i="1"/>
  <c r="F29" i="30"/>
  <c r="F38" i="30" s="1"/>
  <c r="G20" i="30"/>
  <c r="G26" i="30" s="1"/>
  <c r="AR56" i="1"/>
  <c r="AR64" i="1" s="1"/>
  <c r="AR69" i="1" s="1"/>
  <c r="AR66" i="1"/>
  <c r="BF54" i="1"/>
  <c r="AY55" i="1"/>
  <c r="AX55" i="1"/>
  <c r="AO69" i="1" l="1"/>
  <c r="G29" i="30"/>
  <c r="G38" i="30" s="1"/>
  <c r="AR73" i="1"/>
  <c r="AY66" i="1"/>
  <c r="AY56" i="1"/>
  <c r="AY64" i="1" s="1"/>
  <c r="AY69" i="1" s="1"/>
  <c r="H20" i="30"/>
  <c r="H26" i="30" s="1"/>
  <c r="BF55" i="1"/>
  <c r="BE55" i="1"/>
  <c r="AH73" i="1"/>
  <c r="AI73" i="1" s="1"/>
  <c r="AI69" i="1"/>
  <c r="BF56" i="1" l="1"/>
  <c r="BF64" i="1" s="1"/>
  <c r="BF69" i="1" s="1"/>
  <c r="BF66" i="1"/>
  <c r="I20" i="30"/>
  <c r="I26" i="30" s="1"/>
  <c r="AY73" i="1"/>
  <c r="H29" i="30"/>
  <c r="H38" i="30" s="1"/>
  <c r="AV69" i="1"/>
  <c r="AO73" i="1"/>
  <c r="AP73" i="1" s="1"/>
  <c r="AP69" i="1"/>
  <c r="AV73" i="1" l="1"/>
  <c r="AW73" i="1" s="1"/>
  <c r="AW69" i="1"/>
  <c r="I29" i="30"/>
  <c r="I38" i="30" s="1"/>
  <c r="BF73" i="1"/>
  <c r="BC69" i="1"/>
  <c r="BC73" i="1" l="1"/>
  <c r="BD73" i="1" s="1"/>
  <c r="BD69" i="1"/>
</calcChain>
</file>

<file path=xl/sharedStrings.xml><?xml version="1.0" encoding="utf-8"?>
<sst xmlns="http://schemas.openxmlformats.org/spreadsheetml/2006/main" count="11895" uniqueCount="1875">
  <si>
    <t>Enrollment</t>
  </si>
  <si>
    <t>ADA</t>
  </si>
  <si>
    <t>Grades 4-6</t>
  </si>
  <si>
    <t>Grades 7-8</t>
  </si>
  <si>
    <t>Grades 9-12</t>
  </si>
  <si>
    <t>Total</t>
  </si>
  <si>
    <t xml:space="preserve"> </t>
  </si>
  <si>
    <t>Base</t>
  </si>
  <si>
    <t>District</t>
  </si>
  <si>
    <t>A-3</t>
  </si>
  <si>
    <t>E-2</t>
  </si>
  <si>
    <t>A-1</t>
  </si>
  <si>
    <t>D-3</t>
  </si>
  <si>
    <t>A-2</t>
  </si>
  <si>
    <t>C-1</t>
  </si>
  <si>
    <t>E-3</t>
  </si>
  <si>
    <t>County Code</t>
  </si>
  <si>
    <t>District Code</t>
  </si>
  <si>
    <t>Calculator</t>
  </si>
  <si>
    <t>LCFF Entitlement</t>
  </si>
  <si>
    <t>Local Educational Agency</t>
  </si>
  <si>
    <t>B-3</t>
  </si>
  <si>
    <t>EPA</t>
  </si>
  <si>
    <t>USER NOTES</t>
  </si>
  <si>
    <t>Supplemental</t>
  </si>
  <si>
    <t>Concentration</t>
  </si>
  <si>
    <t>12-13 Rate</t>
  </si>
  <si>
    <t>Minimum State Aid Guarantee</t>
  </si>
  <si>
    <t>B-5</t>
  </si>
  <si>
    <t>N/A</t>
  </si>
  <si>
    <t>Summary</t>
  </si>
  <si>
    <t>Tulare Co. Office of Education</t>
  </si>
  <si>
    <t>Riverside Co. Office of Education</t>
  </si>
  <si>
    <t>Placer Co. Office of Education</t>
  </si>
  <si>
    <t>Nevada Co. Office of Education</t>
  </si>
  <si>
    <t>Mono Co. Office of Education</t>
  </si>
  <si>
    <t>Inyo Co. Office of Education</t>
  </si>
  <si>
    <t>El Dorado Co. Office of Education</t>
  </si>
  <si>
    <t>Yolo Co. Office of Education</t>
  </si>
  <si>
    <t>Ventura Co. Office of Education</t>
  </si>
  <si>
    <t>Tuolumne County Superintendent of Schools</t>
  </si>
  <si>
    <t>Stanislaus Co. Office of Education</t>
  </si>
  <si>
    <t>Siskiyou Co. Office of Education</t>
  </si>
  <si>
    <t>Sacramento Co. Office of Education</t>
  </si>
  <si>
    <t>Monterey Co. Office of Education</t>
  </si>
  <si>
    <t>Los Angeles Co. Office of Education</t>
  </si>
  <si>
    <t>Kern Co. Office of Education</t>
  </si>
  <si>
    <t>Glenn Co. Office of Education</t>
  </si>
  <si>
    <t>Fresno Co. Office of Education</t>
  </si>
  <si>
    <t>Alameda Co. Office of Education</t>
  </si>
  <si>
    <t>C-3</t>
  </si>
  <si>
    <t>Alpine Co. Office of Education</t>
  </si>
  <si>
    <t>Amador Co. Office of Education</t>
  </si>
  <si>
    <t>Butte Co. Office of Education</t>
  </si>
  <si>
    <t>Calaveras Co. Office of Education</t>
  </si>
  <si>
    <t>Colusa Co. Office of Education</t>
  </si>
  <si>
    <t>Del Norte Co. Office of Education</t>
  </si>
  <si>
    <t>Humboldt Co. Office of Education</t>
  </si>
  <si>
    <t>Imperial Co. Office of Education</t>
  </si>
  <si>
    <t>Kings Co. Office of Education</t>
  </si>
  <si>
    <t>Lake Co. Office of Education</t>
  </si>
  <si>
    <t>Lassen Co. Office of Education</t>
  </si>
  <si>
    <t>Marin Co. Office of Education</t>
  </si>
  <si>
    <t>Mariposa Co. Office of Education</t>
  </si>
  <si>
    <t>Mendocino Co. Office of Education</t>
  </si>
  <si>
    <t>Merced Co. Office of Education</t>
  </si>
  <si>
    <t>Modoc Co. Office of Education</t>
  </si>
  <si>
    <t>Napa Co. Office of Education</t>
  </si>
  <si>
    <t>Orange Co. Office of Education</t>
  </si>
  <si>
    <t>Plumas Co. Office of Education</t>
  </si>
  <si>
    <t>San Benito Co. Office of Education</t>
  </si>
  <si>
    <t>San Diego Co. Office of Education</t>
  </si>
  <si>
    <t>Shasta Co. Office of Education</t>
  </si>
  <si>
    <t>Sierra Co. Office of Education</t>
  </si>
  <si>
    <t>Solano Co. Office of Education</t>
  </si>
  <si>
    <t>Sonoma Co. Office of Education</t>
  </si>
  <si>
    <t>Sutter Co. Office of Education</t>
  </si>
  <si>
    <t>Tehama Co. Office of Education</t>
  </si>
  <si>
    <t>Trinity Co. Office of Education</t>
  </si>
  <si>
    <t>Yuba Co. Office of Education</t>
  </si>
  <si>
    <t>Unduplicated Pupil Percentage (%)</t>
  </si>
  <si>
    <t>B-13</t>
  </si>
  <si>
    <t>D-7</t>
  </si>
  <si>
    <t>2020-21</t>
  </si>
  <si>
    <t>Created by:</t>
  </si>
  <si>
    <t>Email:</t>
  </si>
  <si>
    <t>Phone:</t>
  </si>
  <si>
    <t>A-13</t>
  </si>
  <si>
    <t>A-9</t>
  </si>
  <si>
    <t>A-8</t>
  </si>
  <si>
    <t>A-7</t>
  </si>
  <si>
    <t>A-6</t>
  </si>
  <si>
    <t>A-5</t>
  </si>
  <si>
    <t>A-4</t>
  </si>
  <si>
    <t>Grades K-3</t>
  </si>
  <si>
    <t>2019-20</t>
  </si>
  <si>
    <t>E-4</t>
  </si>
  <si>
    <t>C-2</t>
  </si>
  <si>
    <t>B-4</t>
  </si>
  <si>
    <t>B-2</t>
  </si>
  <si>
    <t>B-1</t>
  </si>
  <si>
    <t>LEA:</t>
  </si>
  <si>
    <t>B-12</t>
  </si>
  <si>
    <t>Single Year Unduplicated Pupil Percentage</t>
  </si>
  <si>
    <t>E-7</t>
  </si>
  <si>
    <t>P2 Entitlement Net of PY Adjustment</t>
  </si>
  <si>
    <t>CDS Lookup Code</t>
  </si>
  <si>
    <t>2021-22</t>
  </si>
  <si>
    <t>2022-23</t>
  </si>
  <si>
    <t>Contra Costa Co. Office of Education</t>
  </si>
  <si>
    <t>San Bernardino Co. Office of Education</t>
  </si>
  <si>
    <t>San Francisco Co. Office of Education</t>
  </si>
  <si>
    <t>San Joaquin Co. Office of Education</t>
  </si>
  <si>
    <t>San Luis Obispo Co. Office of Education</t>
  </si>
  <si>
    <t>San Mateo Co. Office of Education</t>
  </si>
  <si>
    <t>Santa Barbara Co. Office of Education</t>
  </si>
  <si>
    <t>Santa Clara Co. Office of Education</t>
  </si>
  <si>
    <t>Santa Cruz Co. Office of Education</t>
  </si>
  <si>
    <t>2023-24</t>
  </si>
  <si>
    <t>2024-25</t>
  </si>
  <si>
    <t>P1</t>
  </si>
  <si>
    <t>AN</t>
  </si>
  <si>
    <t>EDUCATION PROTECTION ACCOUNT</t>
  </si>
  <si>
    <t>Total LCFF Entitlement</t>
  </si>
  <si>
    <t>Madera County Superintendent of Schools</t>
  </si>
  <si>
    <t>School District</t>
  </si>
  <si>
    <t>D-4</t>
  </si>
  <si>
    <t>D-5</t>
  </si>
  <si>
    <t>Total ADA for EPA Minimum</t>
  </si>
  <si>
    <t>Minimum Funding per ADA</t>
  </si>
  <si>
    <t>D-1</t>
  </si>
  <si>
    <t>D-2</t>
  </si>
  <si>
    <t>EPA Minimum Funding (A-1 * A-2)</t>
  </si>
  <si>
    <t>EPA PROPORTIONATE SHARE CAP</t>
  </si>
  <si>
    <t>EDUCATION PROTECTION ACCOUNT (EPA) MINIMUM ENTITLEMENT</t>
  </si>
  <si>
    <t>Adjusted Revenue Limit/Adjusted General Purpose Funding for EPA</t>
  </si>
  <si>
    <t>EPA PROPORTIONATE SHARE</t>
  </si>
  <si>
    <t>EPA Proportionate Share (C-1 * C-2)</t>
  </si>
  <si>
    <t>EPA ENTITLEMENT</t>
  </si>
  <si>
    <t>Adjusted EPA Entitlement (D-1 + D-2)</t>
  </si>
  <si>
    <t>Prior Year Annual Adjustment</t>
  </si>
  <si>
    <t>Miscellaneous Adjustments**</t>
  </si>
  <si>
    <t>Prior Year Annual Adjustment
D-4</t>
  </si>
  <si>
    <t>Adjusted EPA Entitlement 
(D-1 + D-2)
D-3</t>
  </si>
  <si>
    <t>EPA Entitlement
(if C-3 &lt; B-3, then C-3; else greater of A-3 or B-3)
D-1</t>
  </si>
  <si>
    <t>EPA Proportionate Share 
(C-1 * C-2)
C-3</t>
  </si>
  <si>
    <t>Statewide EPA Proportionate Share Ratio
C-2</t>
  </si>
  <si>
    <t>EPA Minimum Funding
(A-1 * A-2)
A-3</t>
  </si>
  <si>
    <t>Total ADA for EPA Minimum
A-1</t>
  </si>
  <si>
    <t>Education Protection Account Calculation</t>
  </si>
  <si>
    <r>
      <t xml:space="preserve">Statewide EPA Proportionate Share Ratio </t>
    </r>
    <r>
      <rPr>
        <b/>
        <i/>
        <sz val="10"/>
        <rFont val="Calibri"/>
        <family val="2"/>
      </rPr>
      <t>(as of P-2 certification)</t>
    </r>
  </si>
  <si>
    <r>
      <t xml:space="preserve">Statewide EPA Proportionate Share Ratio </t>
    </r>
    <r>
      <rPr>
        <b/>
        <sz val="10"/>
        <rFont val="Calibri"/>
        <family val="2"/>
      </rPr>
      <t>(as of Annual certification)</t>
    </r>
  </si>
  <si>
    <t>Statutory COLA</t>
  </si>
  <si>
    <t>% of Adjusted Revenue Limit - Annual</t>
  </si>
  <si>
    <t>% of Adjusted Revenue Limit - P-2</t>
  </si>
  <si>
    <t>Local EPA Accrual</t>
  </si>
  <si>
    <t>User Notes</t>
  </si>
  <si>
    <t>LCFF Calculator Caveats</t>
  </si>
  <si>
    <t>The following bullets highlight these assumptions, and some of the unique situations and known issues that could be identified.</t>
  </si>
  <si>
    <t>General</t>
  </si>
  <si>
    <t>Basic Aid Open Enrollment</t>
  </si>
  <si>
    <t>Caveats</t>
  </si>
  <si>
    <t>Total Check</t>
  </si>
  <si>
    <t>total check</t>
  </si>
  <si>
    <t>No changes after P2</t>
  </si>
  <si>
    <t>Tab</t>
  </si>
  <si>
    <t>Update Details</t>
  </si>
  <si>
    <t>General Final</t>
  </si>
  <si>
    <t>Augmentation/(COLA Suspension)</t>
  </si>
  <si>
    <t>B-14</t>
  </si>
  <si>
    <t>Total Adjusted Revenue Limit/ Adjusted General Purpose Funding
(B-3 + B-6 + B-9 + B-10 + B-11)
B-12</t>
  </si>
  <si>
    <t>Local Revenue/ In-lieu of Property Taxes
B-13</t>
  </si>
  <si>
    <t>EPA Proportionate Share Cap
(B-12 - B-13; If less than 0, B-14 = 0)
B-14</t>
  </si>
  <si>
    <t>EPA Proportionate Share Cap (B-12 - B-13; If less than 0, B-14 = 0)</t>
  </si>
  <si>
    <t>2025-26</t>
  </si>
  <si>
    <t>Local EPA Accrual - Prior Year</t>
  </si>
  <si>
    <t>Projection Title:</t>
  </si>
  <si>
    <t>Education Protection Account</t>
  </si>
  <si>
    <t>2026-27</t>
  </si>
  <si>
    <t>PY3</t>
  </si>
  <si>
    <t>PY2</t>
  </si>
  <si>
    <t>PY1</t>
  </si>
  <si>
    <t>CY</t>
  </si>
  <si>
    <t>CY+1</t>
  </si>
  <si>
    <t>CY+2</t>
  </si>
  <si>
    <t>CY+3</t>
  </si>
  <si>
    <t>CY+4</t>
  </si>
  <si>
    <t>R2</t>
  </si>
  <si>
    <t>R3</t>
  </si>
  <si>
    <t>R1</t>
  </si>
  <si>
    <t>P2</t>
  </si>
  <si>
    <t>n/a</t>
  </si>
  <si>
    <t>Year *</t>
  </si>
  <si>
    <t>MINIMUM STATE AID CALCULATION</t>
  </si>
  <si>
    <t>Period</t>
  </si>
  <si>
    <t>**A miscellaneous adjustment increases EPA State Aid (object 8012) funding in lieu of issuing an invoice to an LEA when it is overpaid. EPA State Aid offsets LCFF State Aid (object 8011). It is calculated a single time at P2.</t>
  </si>
  <si>
    <t>Version</t>
  </si>
  <si>
    <t>None</t>
  </si>
  <si>
    <t>Dependent Tab</t>
  </si>
  <si>
    <t>Cell</t>
  </si>
  <si>
    <t>Tab Name</t>
  </si>
  <si>
    <t>Data Entry</t>
  </si>
  <si>
    <t>CY EPA</t>
  </si>
  <si>
    <t>PY2 4th EPA</t>
  </si>
  <si>
    <t>PY1 4th EPA</t>
  </si>
  <si>
    <t>H</t>
  </si>
  <si>
    <t>(H)idden (V)isible</t>
  </si>
  <si>
    <t>V</t>
  </si>
  <si>
    <t>Comments</t>
  </si>
  <si>
    <t>Add-ons: Targeted Instructional Improvement Block Grant</t>
  </si>
  <si>
    <t>Add-ons: Home-to-School Transportation</t>
  </si>
  <si>
    <t>Add-ons: Small School District Bus Replacement Program</t>
  </si>
  <si>
    <t xml:space="preserve">   Targeted Instructional Improvement Block Grant</t>
  </si>
  <si>
    <t>Projection Date</t>
  </si>
  <si>
    <t>Used for FY header</t>
  </si>
  <si>
    <t>Used for Exhibit FY</t>
  </si>
  <si>
    <t>Used for section FY</t>
  </si>
  <si>
    <t>Row 6 &amp;Y FY and Period, all others built into formulas</t>
  </si>
  <si>
    <t>Rename PY3 w 21-22 release</t>
  </si>
  <si>
    <t>Rename PY2 w 21-22 release</t>
  </si>
  <si>
    <t>FY</t>
  </si>
  <si>
    <t>CY1</t>
  </si>
  <si>
    <t>CY2</t>
  </si>
  <si>
    <t>CY3</t>
  </si>
  <si>
    <t>CY4</t>
  </si>
  <si>
    <t>FY Control</t>
  </si>
  <si>
    <t>Placeholder for 2021-22 P1 certified Data (Feb/March 2022)</t>
  </si>
  <si>
    <t>Review visible tab print ranges</t>
  </si>
  <si>
    <t>Hide all "hidden tabs"</t>
  </si>
  <si>
    <t>Protect all visible sheets</t>
  </si>
  <si>
    <t>Protect workbook</t>
  </si>
  <si>
    <t>Visible Tab Modifications</t>
  </si>
  <si>
    <t>Exhibit File Name</t>
  </si>
  <si>
    <t>Exhibit File Period</t>
  </si>
  <si>
    <t>EPA Entitlement as % of statewide adjusted Revenue Limit (Annual)</t>
  </si>
  <si>
    <t>EPA Entitlement as % of statewide adjusted Revenue Limit (P-2)</t>
  </si>
  <si>
    <t xml:space="preserve">www.cde.ca.gov/schooldirectory </t>
  </si>
  <si>
    <t>Instructions:</t>
  </si>
  <si>
    <t>Resources:</t>
  </si>
  <si>
    <t xml:space="preserve">www.cde.ca.gov/fg/aa/pa/exhibitguides.asp </t>
  </si>
  <si>
    <t>CDE PASE exhibits, visit:</t>
  </si>
  <si>
    <t xml:space="preserve">www.cde.ca.gov/fg/aa/pa/lcffcola.asp  </t>
  </si>
  <si>
    <t>FCMAT LCFF help desk and calculator updates, visit:</t>
  </si>
  <si>
    <t>Certification Period:</t>
  </si>
  <si>
    <t>SUMMARY OF FUNDING</t>
  </si>
  <si>
    <t xml:space="preserve">SUMMARY OF EPA </t>
  </si>
  <si>
    <r>
      <t xml:space="preserve">EPA, Current Year (Object Code 8012)
       </t>
    </r>
    <r>
      <rPr>
        <sz val="8"/>
        <rFont val="Calibri"/>
        <family val="2"/>
        <scheme val="minor"/>
      </rPr>
      <t>(P-2 plus Current Year Accrual)</t>
    </r>
  </si>
  <si>
    <r>
      <t xml:space="preserve">EPA, Prior Year Adjustment (Object Code 8019)
</t>
    </r>
    <r>
      <rPr>
        <sz val="8"/>
        <rFont val="Calibri"/>
        <family val="2"/>
        <scheme val="minor"/>
      </rPr>
      <t xml:space="preserve">          (P-A less Prior Year Accrual)</t>
    </r>
  </si>
  <si>
    <r>
      <rPr>
        <sz val="10"/>
        <rFont val="Calibri"/>
        <family val="2"/>
        <scheme val="minor"/>
      </rPr>
      <t xml:space="preserve">Accrual </t>
    </r>
    <r>
      <rPr>
        <sz val="8"/>
        <rFont val="Calibri"/>
        <family val="2"/>
        <scheme val="minor"/>
      </rPr>
      <t>(from Data Entry tab)</t>
    </r>
  </si>
  <si>
    <t>A-1.2</t>
  </si>
  <si>
    <t>A-1.1</t>
  </si>
  <si>
    <t>A-2.2</t>
  </si>
  <si>
    <t>A-2.1</t>
  </si>
  <si>
    <t>A-3.2</t>
  </si>
  <si>
    <t>A-3.1</t>
  </si>
  <si>
    <t>B-1.1</t>
  </si>
  <si>
    <t>B-1.2</t>
  </si>
  <si>
    <t>B-2.1</t>
  </si>
  <si>
    <t>B-2.2</t>
  </si>
  <si>
    <t>B-3.1</t>
  </si>
  <si>
    <t>B-3.2</t>
  </si>
  <si>
    <t>B-4.1</t>
  </si>
  <si>
    <t>B-4.2</t>
  </si>
  <si>
    <t>A-4.1</t>
  </si>
  <si>
    <t>A-4.2</t>
  </si>
  <si>
    <r>
      <t xml:space="preserve">Important: </t>
    </r>
    <r>
      <rPr>
        <sz val="10"/>
        <rFont val="Arial"/>
        <family val="2"/>
      </rPr>
      <t>Select the update period P1 or P2 from the dropdown - drives EPA tab formulas and hidden tab report period descriptions</t>
    </r>
  </si>
  <si>
    <t>Done</t>
  </si>
  <si>
    <t xml:space="preserve">www.fcmat.org/lcff </t>
  </si>
  <si>
    <t>Certification Cycle:</t>
  </si>
  <si>
    <t>This tab is designed to track the history of updates, corrections and other changes. The most recent version changes are listed at the top.</t>
  </si>
  <si>
    <r>
      <rPr>
        <b/>
        <u/>
        <sz val="10"/>
        <rFont val="Calibri"/>
        <family val="2"/>
        <scheme val="minor"/>
      </rPr>
      <t>Standard Version Updates:</t>
    </r>
    <r>
      <rPr>
        <sz val="10"/>
        <rFont val="Calibri"/>
        <family val="2"/>
        <scheme val="minor"/>
      </rPr>
      <t xml:space="preserve">
</t>
    </r>
    <r>
      <rPr>
        <b/>
        <sz val="10"/>
        <rFont val="Calibri"/>
        <family val="2"/>
        <scheme val="minor"/>
      </rPr>
      <t>Second Quarter (February certifications - generally released by the CDE in late Feb/early March)</t>
    </r>
    <r>
      <rPr>
        <sz val="10"/>
        <rFont val="Calibri"/>
        <family val="2"/>
        <scheme val="minor"/>
      </rPr>
      <t xml:space="preserve">: releases PASE files for the following:
  -First Principal Apportionment (P-1) used to populate CY exhibit tabs, 
  -Annual Principal Apportionment (Annual) used to populate PY1 exhibit tabs
  -Annual Principal Apportionment Revision 2 (Annual R2) used to populate PY2 exhibit tabs
</t>
    </r>
    <r>
      <rPr>
        <b/>
        <sz val="10"/>
        <rFont val="Calibri"/>
        <family val="2"/>
        <scheme val="minor"/>
      </rPr>
      <t>Third Quarter (April certifications - generally released mid/late June):</t>
    </r>
    <r>
      <rPr>
        <sz val="10"/>
        <rFont val="Calibri"/>
        <family val="2"/>
        <scheme val="minor"/>
      </rPr>
      <t xml:space="preserve"> releases PASE files for the following:
  -Second Principal Apportionment (P-2) used to update CY exhibit tabs,
  -Annual Principal Apportionment Revision 1 (Annual R1) used to update PY1 exhibit tabs
  -Annual Principal Apportionment Revision 3 (Annual R3) used to update PY2 exhibit tabs
</t>
    </r>
    <r>
      <rPr>
        <b/>
        <u/>
        <sz val="10"/>
        <rFont val="Calibri"/>
        <family val="2"/>
        <scheme val="minor"/>
      </rPr>
      <t>Assumptions Updates</t>
    </r>
    <r>
      <rPr>
        <sz val="10"/>
        <rFont val="Calibri"/>
        <family val="2"/>
        <scheme val="minor"/>
      </rPr>
      <t xml:space="preserve">: Assumptions on the Data Entry tab are based on the DOF projections. Minor update releases are made in May with the Governor's May Revision. Assumptions updates aligned with the enactment of the State budget re incorporated with the third quarter update.
</t>
    </r>
    <r>
      <rPr>
        <b/>
        <u/>
        <sz val="10"/>
        <rFont val="Calibri"/>
        <family val="2"/>
        <scheme val="minor"/>
      </rPr>
      <t>Corrections</t>
    </r>
    <r>
      <rPr>
        <sz val="10"/>
        <rFont val="Calibri"/>
        <family val="2"/>
        <scheme val="minor"/>
      </rPr>
      <t>: Generally, a new sub-version (a, b, c) should be posted when a formula correction is made that affects more than an individual LEA.</t>
    </r>
  </si>
  <si>
    <t>Hidden Tab-Exhibit Updates</t>
  </si>
  <si>
    <t>June 2021</t>
  </si>
  <si>
    <t>Instructions</t>
  </si>
  <si>
    <t>EPA Entitlement (If C-3 &lt; B-14, then C-3; else B-14); (If C-3 and B-14 &lt; A-3, then A-3)</t>
  </si>
  <si>
    <t>Structure:</t>
  </si>
  <si>
    <t>Concentration Grant (&gt;50% Non-juvenile court students)</t>
  </si>
  <si>
    <t>Supplemental Grant % (Non-juvenile court students)</t>
  </si>
  <si>
    <t>County funded Non-Juvenile Court ADA</t>
  </si>
  <si>
    <t>Charter School County Funded Non-juvenile Court ADA</t>
  </si>
  <si>
    <t xml:space="preserve">  Total County Funded Non-Juvenile court ADA</t>
  </si>
  <si>
    <t>Juvenile Court Schools ADA</t>
  </si>
  <si>
    <t>Charter School Juvenile Court Schools ADA</t>
  </si>
  <si>
    <t>Per ADA Band Rate 1 (0 - 30,000 ADA)</t>
  </si>
  <si>
    <t>Per ADA Band Rate 2 (30,000 - 60,000 ADA)</t>
  </si>
  <si>
    <t>Per ADA Band Rate 4 (140,000 +)</t>
  </si>
  <si>
    <t>Per ADA Band Rate 3 (60,000 - 140,000 ADA)</t>
  </si>
  <si>
    <t>Juvenile Court and County Funded Base Grant Per ADA</t>
  </si>
  <si>
    <t>Adjusted Enrollment (second prior year)</t>
  </si>
  <si>
    <t>Adjusted Enrollment (first prior year)</t>
  </si>
  <si>
    <t>Adjusted Enrollment</t>
  </si>
  <si>
    <t>Source: County Operations Grant Exhibit</t>
  </si>
  <si>
    <t>Source: County Unduplicated Pupil Percentage Exhibit</t>
  </si>
  <si>
    <t>A-10</t>
  </si>
  <si>
    <t>District Funded County Programs</t>
  </si>
  <si>
    <t>Supplement School District</t>
  </si>
  <si>
    <t>Charter School</t>
  </si>
  <si>
    <t>Charter School - All Charter District</t>
  </si>
  <si>
    <t>Charter Funded County Programs</t>
  </si>
  <si>
    <t>COE Charter School</t>
  </si>
  <si>
    <t>TOTAL Operations Grant ADA</t>
  </si>
  <si>
    <t>District Allowance</t>
  </si>
  <si>
    <t>Special Education Ratio</t>
  </si>
  <si>
    <t>Total Property Tax Revenue Other than Special Education</t>
  </si>
  <si>
    <t>Total Special Education Property Tax Revenue</t>
  </si>
  <si>
    <t>COE LCFF CALCULATOR</t>
  </si>
  <si>
    <t>COUNTY LCFF CALCULATION</t>
  </si>
  <si>
    <t>Source: County LCFF Calculation Exhibit</t>
  </si>
  <si>
    <t>Charter School County Funded Non-Juvenile Court ADA</t>
  </si>
  <si>
    <t xml:space="preserve">   Total County Funded Non-Juvenile Court ADA</t>
  </si>
  <si>
    <t xml:space="preserve">   Total Juvenile Court Schools ADA</t>
  </si>
  <si>
    <t>Number of School Districts in County</t>
  </si>
  <si>
    <t xml:space="preserve">   0 - 30,000 ADA</t>
  </si>
  <si>
    <t xml:space="preserve">   30,000 - 60,000 ADA</t>
  </si>
  <si>
    <t xml:space="preserve">   60,000 - 140,000 ADA</t>
  </si>
  <si>
    <t xml:space="preserve">   140,000 +</t>
  </si>
  <si>
    <t>Supplemental (35% of Base Grant Rate)</t>
  </si>
  <si>
    <t>Concentration (35% of Base Grant Rate)</t>
  </si>
  <si>
    <t>Base Funding</t>
  </si>
  <si>
    <t>County LCFF Calculation</t>
  </si>
  <si>
    <t>County Operations Grant</t>
  </si>
  <si>
    <t>From Data Entry row 77</t>
  </si>
  <si>
    <t>ADA from DE tab row 81</t>
  </si>
  <si>
    <t>ADA from DE tab row 82</t>
  </si>
  <si>
    <t>ADA from DE tab row 85</t>
  </si>
  <si>
    <t>ADA from DE tab row 86</t>
  </si>
  <si>
    <t>Band Rate Per ADA</t>
  </si>
  <si>
    <t>Band 1</t>
  </si>
  <si>
    <t>Band 2</t>
  </si>
  <si>
    <t>Band 3</t>
  </si>
  <si>
    <t>Band 4</t>
  </si>
  <si>
    <t>Operations Grant Base Funding [EC 2574(a)(1)]</t>
  </si>
  <si>
    <t>Operations Grant District Allowance [EC 2574(a)(2)</t>
  </si>
  <si>
    <t>A-5.2</t>
  </si>
  <si>
    <t>A-5.1</t>
  </si>
  <si>
    <t>B-5.2</t>
  </si>
  <si>
    <t>B-5.1</t>
  </si>
  <si>
    <t>A-6.2</t>
  </si>
  <si>
    <t>A-6.1</t>
  </si>
  <si>
    <t>B-6.2</t>
  </si>
  <si>
    <t>B-6.1</t>
  </si>
  <si>
    <t>B-6</t>
  </si>
  <si>
    <t>Total Adjusted Enrollment (second prior year)</t>
  </si>
  <si>
    <t>Total Adjusted Enrollment</t>
  </si>
  <si>
    <t>Total Adjusted Unduplicated Pupil Count (second prior year)</t>
  </si>
  <si>
    <t>Total Adjusted Unduplicated Pupil Count (first prior year)</t>
  </si>
  <si>
    <t>Total Adjusted Unduplicated Pupil Count</t>
  </si>
  <si>
    <t>Unduplicated Pupil Count (second prior year)</t>
  </si>
  <si>
    <t>Unduplicated Pupil Count (first prior year)</t>
  </si>
  <si>
    <t>Unduplicated Pupil Count</t>
  </si>
  <si>
    <t>Enrollment (second prior year)</t>
  </si>
  <si>
    <t>Enrollment (first prior year)</t>
  </si>
  <si>
    <t>County Unduplicated Pupil Percentage</t>
  </si>
  <si>
    <t>A-4.2, A-6.2</t>
  </si>
  <si>
    <t>A-4.1, A-6.1</t>
  </si>
  <si>
    <t>B-4.2, B-6.2</t>
  </si>
  <si>
    <t>B-4.1, B-6.1</t>
  </si>
  <si>
    <t>B-4, B-6</t>
  </si>
  <si>
    <t>A-4, A-6</t>
  </si>
  <si>
    <t>A-2, D-3</t>
  </si>
  <si>
    <t>A-2.2, D-3.2</t>
  </si>
  <si>
    <t>A-2.1, D-3.1</t>
  </si>
  <si>
    <t>B-2.2, E-3.2</t>
  </si>
  <si>
    <t>B-2.1, E-3.1</t>
  </si>
  <si>
    <t>B-2, E-3</t>
  </si>
  <si>
    <t>Adjusted Unduplicated Pupil Count (second prior year)</t>
  </si>
  <si>
    <t>Adjusted Unduplicated Pupil Count (first prior year)</t>
  </si>
  <si>
    <t>Adjusted Unduplicated Pupil Count</t>
  </si>
  <si>
    <t>D-2.2, D-4.2</t>
  </si>
  <si>
    <t>D-2.1, D-4.1</t>
  </si>
  <si>
    <t>D-2, D-4</t>
  </si>
  <si>
    <t>E-2.2, E-4.2</t>
  </si>
  <si>
    <t>E-2.1, E-4.1</t>
  </si>
  <si>
    <t>E-2, E-4</t>
  </si>
  <si>
    <t>DE G54</t>
  </si>
  <si>
    <t>DE G55</t>
  </si>
  <si>
    <t>DE G63</t>
  </si>
  <si>
    <t>DE G64</t>
  </si>
  <si>
    <t>DE G73</t>
  </si>
  <si>
    <t>DE G59</t>
  </si>
  <si>
    <t>DE G68</t>
  </si>
  <si>
    <t>DE G69</t>
  </si>
  <si>
    <t>DE G77</t>
  </si>
  <si>
    <t>DE G78</t>
  </si>
  <si>
    <t>DE G87</t>
  </si>
  <si>
    <t>CALPADS Enrollment Second Prior Year 
PY2
A-1</t>
  </si>
  <si>
    <t>CALPADS Enrollment Prior Year 
PY
A-1</t>
  </si>
  <si>
    <t>CALPADS Enrollment Current Year 
CY
A-1</t>
  </si>
  <si>
    <t>CALPADS Enrollment included in Line A-1 for Juvenile Court School Students 
[EC 2574(c)(4)(B)] 
PY2
A-2</t>
  </si>
  <si>
    <t>CALPADS Enrollment included in Line A-1 for Juvenile Court School Students 
[EC 2574(c)(4)(B)] 
PY
A-2</t>
  </si>
  <si>
    <t>CALPADS Enrollment included in Line A-1 for Juvenile Court School Students 
[EC 2574(c)(4)(B)] 
CY
A-2</t>
  </si>
  <si>
    <t>CALPADS Enrollment included in Line A-1 for District Funded County Program Students (do not meet EC 2574(c)(4)(A) or (B))
PY2
A-3</t>
  </si>
  <si>
    <t>CALPADS Enrollment included in Line A-1 for District Funded County Program Students (do not meet EC 2574(c)(4)(A) or (B))  
PY
A-3</t>
  </si>
  <si>
    <t>CALPADS Enrollment included in Line A-1 for District Funded County Program Students (do not meet EC 2574(c)(4)(A) or (B))  
CY
A-3</t>
  </si>
  <si>
    <t>CALPADS Enrollment for Charter Served, County Funded Non-Juvenile Court School Students [EC 2574(c)(4)(A)] 
PY2
A-4</t>
  </si>
  <si>
    <t>CALPADS Enrollment for Charter Served, County Funded Non-Juvenile Court School Students 
[EC 2574(c)(4)(A)] 
PY
A-4</t>
  </si>
  <si>
    <t>CALPADS Enrollment for Charter Served, County Funded Non-Juvenile Court School Students 
[EC 2574(c)(4)(A)] 
CY
A-4</t>
  </si>
  <si>
    <t>Audit Adjustment to CALPADS Enrollment for County Funded Non-Juvenile Court School Students (Annual only) 
PY2
A-5</t>
  </si>
  <si>
    <t>Audit Adjustment to CALPADS Enrollment for County Funded Non-Juvenile Court School Students (Annual only) 
PY
A-5</t>
  </si>
  <si>
    <t>Audit Adjustment to CALPADS Enrollment for County Funded Non-Juvenile Court School Students (Annual only) 
CY
A-5</t>
  </si>
  <si>
    <t>Audit Adjustment to CALPADS Enrollment for Charter Served, County Funded Non-Juvenile Court School Students (Annual only) 
PY2
A-6</t>
  </si>
  <si>
    <t>Audit Adjustment to CALPADS Enrollment for Charter Served, County Funded Non-Juvenile Court School Students (Annual only) 
PY
A-6</t>
  </si>
  <si>
    <t>Audit Adjustment to CALPADS Enrollment for Charter Served, County Funded Non-Juvenile Court School Students (Annual only) 
CY
A-6</t>
  </si>
  <si>
    <t>CALPADS Unduplicated Pupil Count
PY2
B-1</t>
  </si>
  <si>
    <t>CALPADS Unduplicated Pupil Count
PY
B-1</t>
  </si>
  <si>
    <t>CALPADS Unduplicated Pupil Count
CY
B-1</t>
  </si>
  <si>
    <t>CALPADS Unduplicated Pupil Count included in Line B-1 for Juvenile Court School Students [EC 2574(c)(4)(B)] 
PY2
B-2</t>
  </si>
  <si>
    <t>CALPADS Unduplicated Pupil Count included in Line B-1 for Juvenile Court School Students [EC 2574(c)(4)(B)] 
PY
B-2</t>
  </si>
  <si>
    <t>CALPADS Unduplicated Pupil Count included in Line B-1 for Juvenile Court School Students [EC 2574(c)(4)(B)] 
CY
B-2</t>
  </si>
  <si>
    <t>CALPADS Unduplicated Pupil Count included in Line B-1 for District Funded County Program Students (do not meet EC 2574(c)(4)(A) or (B)) 
PY2
B-3</t>
  </si>
  <si>
    <t>CALPADS Unduplicated Pupil Count included in Line B-1 for District Funded County Program Students (do not meet EC 2574(c)(4)(A) or (B)) 
PY
B-3</t>
  </si>
  <si>
    <t>CALPADS Unduplicated Pupil Count included in Line B-1 for District Funded County Program Students (do not meet EC 2574(c)(4)(A) or (B)) 
CY
B-3</t>
  </si>
  <si>
    <t>CALPADS Unduplicated Pupil Count for Charter Served, County Funded Non-Juvenile Court School Students 
[EC 2574(c)(4)(A)] 
PY2
B-4</t>
  </si>
  <si>
    <t>CALPADS Unduplicated Pupil Count for Charter Served, County Funded Non-Juvenile Court School Students
[EC 2574(c)(4)(A)] 
PY
B-4</t>
  </si>
  <si>
    <t>CALPADS Unduplicated Pupil Count for Charter Served, County Funded Non-Juvenile Court School Students 
[EC 2574(c)(4)(A)] 
CY
B-4</t>
  </si>
  <si>
    <t>Audit Adjustment to CALPADS Unduplicated Pupil Count for County Funded Non-Juvenile Court School Students (Annual only) 
PY2
B-5</t>
  </si>
  <si>
    <t>Audit Adjustment to CALPADS Unduplicated Pupil Count for County Funded Non-Juvenile Court School Students (Annual only) 
PY
B-5</t>
  </si>
  <si>
    <t>Audit Adjustment to CALPADS Unduplicated Pupil Count for County Funded Non-Juvenile Court School Students (Annual only) 
CY
B-5</t>
  </si>
  <si>
    <t>Audit Adjustment to CALPADS Unduplicated Pupil Count for Charter Served, County Funded Non-Juvenile Court School Students (Annual only) 
PY2
B-6</t>
  </si>
  <si>
    <t>Audit Adjustment to CALPADS Unduplicated Pupil Count for Charter Served, County Funded Non-Juvenile Court School Students (Annual only) 
PY
B-6</t>
  </si>
  <si>
    <t>Audit Adjustment to CALPADS Unduplicated Pupil Count for Charter Served, County Funded Non-Juvenile Court School Students (Annual only) 
CY
B-6</t>
  </si>
  <si>
    <t>CALPADS Enrollment for Charter Served, Juvenile Court School Students [EC 2574(c)(4)(B)] 
PY2
D-2</t>
  </si>
  <si>
    <t>CALPADS Enrollment for Charter Served, Juvenile Court School Students [EC 2574(c)(4)(B)] 
PY
D-2</t>
  </si>
  <si>
    <t>CALPADS Enrollment for Charter Served, Juvenile Court School Students [EC 2574(c)(4)(B)] 
CY
D-2</t>
  </si>
  <si>
    <t>Audit Adjustment to CALPADS Enrollment for Juvenile Court School Students (Annual only) 
PY2
D-3</t>
  </si>
  <si>
    <t>Audit Adjustment to CALPADS Enrollment for Juvenile Court School Students (Annual only) 
PY
D-3</t>
  </si>
  <si>
    <t>Audit Adjustment to CALPADS Enrollment for Juvenile Court School Students (Annual only) 
CY
D-3</t>
  </si>
  <si>
    <t>Audit Adjustment to CALPADS Enrollment for Charter Served, Juvenile Court School Students (Annual only) 
PY2
D-4</t>
  </si>
  <si>
    <t>Audit Adjustment to CALPADS Enrollment for Charter Served, Juvenile Court School Students (Annual only) 
PY
D-4</t>
  </si>
  <si>
    <t>Audit Adjustment to CALPADS Enrollment for Charter Served, Juvenile Court School Students (Annual only) 
CY
D-4</t>
  </si>
  <si>
    <t>CALPADS Unduplicated Pupil Count for Charter Served, Juvenile Court School Students (meet EC 2574(c)(4)(B)) 
PY2
E-2</t>
  </si>
  <si>
    <t>CALPADS Unduplicated Pupil Count for Charter Served, Juvenile Court School Students (meet EC 2574(c)(4)(B))
PY
E-2</t>
  </si>
  <si>
    <t>CALPADS Unduplicated Pupil Count for Charter Served, Juvenile Court School Students (meet EC 2574(c)(4)(B)) 
CY
E-2</t>
  </si>
  <si>
    <t>Audit Adjustment to CALPADS Unduplicated Pupil Count for Juvenile Court School Students (Annual only) 
PY2
E-3</t>
  </si>
  <si>
    <t>Audit Adjustment to CALPADS Unduplicated Pupil Count for Juvenile Court School Students (Annual only) 
PY
E-3</t>
  </si>
  <si>
    <t>Audit Adjustment to CALPADS Unduplicated Pupil Count for Juvenile Court School Students (Annual only) 
CY
E-3</t>
  </si>
  <si>
    <t>Audit Adjustment to CALPADS Unduplicated Pupil Count for Charter Served, Juvenile Court School Students (Annual only) 
PY2
E-4</t>
  </si>
  <si>
    <t>Audit Adjustment to CALPADS Unduplicated Pupil Count for Charter Served, Juvenile Court School Students (Annual only) 
PY
E-4</t>
  </si>
  <si>
    <t>Audit Adjustment to CALPADS Unduplicated Pupil Count for Charter Served, Juvenile Court School Students (Annual only) 
CY
E-4</t>
  </si>
  <si>
    <t>D-2.2</t>
  </si>
  <si>
    <t>D-2.1</t>
  </si>
  <si>
    <t>D-3.2</t>
  </si>
  <si>
    <t>D-3.1</t>
  </si>
  <si>
    <t>D-4.2</t>
  </si>
  <si>
    <t>D-4.1</t>
  </si>
  <si>
    <t>E-2.2</t>
  </si>
  <si>
    <t>E-2.1</t>
  </si>
  <si>
    <t>E-3.2</t>
  </si>
  <si>
    <t>E-3.1</t>
  </si>
  <si>
    <t>E-4.2</t>
  </si>
  <si>
    <t>E-4.1</t>
  </si>
  <si>
    <t>BE 62+1</t>
  </si>
  <si>
    <t>Rates from DE tab row</t>
  </si>
  <si>
    <t>Concentration Grant (&gt;50% Juvenile Court Schools)</t>
  </si>
  <si>
    <t>TOTAL ALTERNATIVE EDUCATION GRANT</t>
  </si>
  <si>
    <t>ALTERNATIVE EDUCATION GRANT [EC 2574(c)]</t>
  </si>
  <si>
    <t>ADD ONS [EC 2574(e)]:</t>
  </si>
  <si>
    <t xml:space="preserve">Operations ADA Grant </t>
  </si>
  <si>
    <t>COUNTY OPERATIONS GRANT [EC 2574(a)]</t>
  </si>
  <si>
    <t>Total Countywide ADA Grant</t>
  </si>
  <si>
    <t>TOTAL COUNTY OPERATIONS GRANT</t>
  </si>
  <si>
    <t>TOTAL LCFF TARGET ENTITLEMENT</t>
  </si>
  <si>
    <t>County Funded Non-Juvenile Court ADA
A-2</t>
  </si>
  <si>
    <t>Charter School County Funded Non-Juvenile Court ADA
A-3</t>
  </si>
  <si>
    <t>Juvenile Court Schools ADA
A-5</t>
  </si>
  <si>
    <t>Charter School Juvenile Court Schools ADA
A-6</t>
  </si>
  <si>
    <t>EC Section 2574(e)(1) Add-On (based on 2012-13 Targeted Instructional Improvement Block Grant)
A-29</t>
  </si>
  <si>
    <t>EC Section 2574(e)(2) Add-On (based on 2012-13 Home-to-School Transportation)
A-30</t>
  </si>
  <si>
    <t>EC Section 2574(e)(2) Add-On (based on 2012-13 Small School District Bus Replacement Program)
A-31</t>
  </si>
  <si>
    <t>A-29</t>
  </si>
  <si>
    <t>A-31</t>
  </si>
  <si>
    <t>2012-13 County Revenue Limit (funding held constant as of 2012-13 Annual)
C-1</t>
  </si>
  <si>
    <t>2012-13 County Funded Non-Juvenile Court and Juvenile Court Schools Rate per ADA
C-2</t>
  </si>
  <si>
    <t>2012-13 Categorical Programs
C-6</t>
  </si>
  <si>
    <t>Local Revenue for Regional Occupational Centers/Programs (ROC/P)
2012-13 Annual Excess Taxes Applied for ROC/P
C-7</t>
  </si>
  <si>
    <t>Local Revenue
D-2</t>
  </si>
  <si>
    <t>Education Protection Account Entitlement
D-5</t>
  </si>
  <si>
    <t>Minimum State Aid Guarantee
D-7</t>
  </si>
  <si>
    <t>Current Year EC 2575.1 District Allowance 
(A-9 * E-1)
E-2</t>
  </si>
  <si>
    <t>Current Year EC 2575.1 Minimum Allowance 
(A-9 * E-3)
E-4</t>
  </si>
  <si>
    <t>State Aid Pursuant to EC 2575.2
E-7</t>
  </si>
  <si>
    <t>C-7</t>
  </si>
  <si>
    <t>Attendance District Funded County Programs
A-1</t>
  </si>
  <si>
    <t>Attendance School District
A-2</t>
  </si>
  <si>
    <t>Attendance Supplement School District
A-3</t>
  </si>
  <si>
    <t>Attendance Basic Aid Choice/Court-Ordered Voluntary Pupil Transfer
A-4</t>
  </si>
  <si>
    <t>Attendance Basic Aid Open Enrollment
A-5</t>
  </si>
  <si>
    <t>Attendance Charter School
A-6</t>
  </si>
  <si>
    <t>Attendance Charter School - All Charter District
A-7</t>
  </si>
  <si>
    <t>Attendance Charter Funded County Programs
A-8</t>
  </si>
  <si>
    <t>Attendance COE Charter School
A-9</t>
  </si>
  <si>
    <t>Number of School Districts in County
C-3</t>
  </si>
  <si>
    <t>DE G 25</t>
  </si>
  <si>
    <t>DE G 27</t>
  </si>
  <si>
    <t>DE G 28</t>
  </si>
  <si>
    <t>ADA Band 1 Rate
(A-11 * A-12)
A-13</t>
  </si>
  <si>
    <t>ADA Band 2 Rate
(A-11 * A-17)
A-18</t>
  </si>
  <si>
    <t>ADA Band 3 Rate
(A-11 * A-22)
A-23</t>
  </si>
  <si>
    <t>ADA Band 4 Rate
(A-11 * A-27)
A-28</t>
  </si>
  <si>
    <t>A-18</t>
  </si>
  <si>
    <t>A-23</t>
  </si>
  <si>
    <t>A-28</t>
  </si>
  <si>
    <t>Base Amount
(A-11 * B-1)
B-2</t>
  </si>
  <si>
    <t>District Allowance
(A-11 * C-1)
C-2</t>
  </si>
  <si>
    <t>Base Grant Rate 
(A-8 * A-9)
A-10</t>
  </si>
  <si>
    <t xml:space="preserve">Local Revenue </t>
  </si>
  <si>
    <t>2012-13 County Funded Juvenile Court Schools</t>
  </si>
  <si>
    <t>2012-13 County Funded Non-Juvenile Court &amp; Juvenile Court Schools</t>
  </si>
  <si>
    <t>2012-13 County Revenue Limit (Annual)</t>
  </si>
  <si>
    <t>COUNTY LCFF FLOOR [EC 2575(a)]</t>
  </si>
  <si>
    <t xml:space="preserve">    Total Adjusted Revenue Limit Funding</t>
  </si>
  <si>
    <t>C-6</t>
  </si>
  <si>
    <t>Local Revenue for ROC/P 2012-13 Annual Excess Taxes Applied</t>
  </si>
  <si>
    <t>Total LCFF FLOOR ENTITLEMENT</t>
  </si>
  <si>
    <r>
      <rPr>
        <b/>
        <sz val="11"/>
        <color rgb="FFFF0000"/>
        <rFont val="Calibri"/>
        <family val="2"/>
        <scheme val="minor"/>
      </rPr>
      <t>Charter Served, County Funded Non-Juvenile Court School</t>
    </r>
    <r>
      <rPr>
        <b/>
        <sz val="11"/>
        <rFont val="Calibri"/>
        <family val="2"/>
        <scheme val="minor"/>
      </rPr>
      <t xml:space="preserve"> Student Enrollment and Unduplicated Pupil Count [EC 2574(c)(4)(A)]</t>
    </r>
  </si>
  <si>
    <r>
      <rPr>
        <b/>
        <sz val="11"/>
        <color rgb="FFFF0000"/>
        <rFont val="Calibri"/>
        <family val="2"/>
        <scheme val="minor"/>
      </rPr>
      <t>District Funded County Program</t>
    </r>
    <r>
      <rPr>
        <b/>
        <sz val="11"/>
        <rFont val="Calibri"/>
        <family val="2"/>
        <scheme val="minor"/>
      </rPr>
      <t xml:space="preserve"> Student Enrollment and Unduplicated Pupil Count (</t>
    </r>
    <r>
      <rPr>
        <b/>
        <u/>
        <sz val="11"/>
        <rFont val="Calibri"/>
        <family val="2"/>
        <scheme val="minor"/>
      </rPr>
      <t>included in total A.1</t>
    </r>
    <r>
      <rPr>
        <b/>
        <sz val="11"/>
        <rFont val="Calibri"/>
        <family val="2"/>
        <scheme val="minor"/>
      </rPr>
      <t>) (do not meet EC 2574 (c)(4)(A)or(B))</t>
    </r>
  </si>
  <si>
    <t>Net State Aid</t>
  </si>
  <si>
    <t>Excess Tax Amount</t>
  </si>
  <si>
    <t>Est. Annual*</t>
  </si>
  <si>
    <t>Additional State Aid to Meet the Minimum Guarantee</t>
  </si>
  <si>
    <t>LCFF STATE AID, ADJUSTED FOR MINIMUM STATE AID</t>
  </si>
  <si>
    <t>ADDITIONAL LCFF STATE AID</t>
  </si>
  <si>
    <t>State Aid for COE Funded on LCFF Target</t>
  </si>
  <si>
    <t>State Aid for Differentiated Assistance</t>
  </si>
  <si>
    <t>Total Additional LCFF State Aid</t>
  </si>
  <si>
    <t>Local Revenue</t>
  </si>
  <si>
    <t>TOTAL ADD ONS</t>
  </si>
  <si>
    <t>Diff Assist</t>
  </si>
  <si>
    <t>COE CDS</t>
  </si>
  <si>
    <t>CY Calc</t>
  </si>
  <si>
    <t>PY2 Calc</t>
  </si>
  <si>
    <t>COE Tran</t>
  </si>
  <si>
    <t>CY Local Rev</t>
  </si>
  <si>
    <t>PY1 Local Rev</t>
  </si>
  <si>
    <t>PY2 Local Rev</t>
  </si>
  <si>
    <t>CY UPP</t>
  </si>
  <si>
    <t>PY1 UPP</t>
  </si>
  <si>
    <t>PY2 UPP</t>
  </si>
  <si>
    <t>CY COG</t>
  </si>
  <si>
    <t>PY1 COG</t>
  </si>
  <si>
    <t>PY2 COG</t>
  </si>
  <si>
    <t>PY1 Calc</t>
  </si>
  <si>
    <r>
      <t xml:space="preserve">2021-22 Second Quarter Certifications [2021-22 (P1), 2020-21 (AN) &amp; 2019-20 (AN R2) </t>
    </r>
    <r>
      <rPr>
        <sz val="10"/>
        <color rgb="FFFF0000"/>
        <rFont val="Calibri"/>
        <family val="2"/>
        <scheme val="minor"/>
      </rPr>
      <t>February 2022 Certs</t>
    </r>
    <r>
      <rPr>
        <sz val="10"/>
        <color theme="0"/>
        <rFont val="Calibri"/>
        <family val="2"/>
        <scheme val="minor"/>
      </rPr>
      <t>]</t>
    </r>
  </si>
  <si>
    <r>
      <t xml:space="preserve">Statutory COLA &amp; Augmentation/Suspension 
</t>
    </r>
    <r>
      <rPr>
        <i/>
        <sz val="9"/>
        <rFont val="Calibri"/>
        <family val="2"/>
        <scheme val="minor"/>
      </rPr>
      <t>(prefilled as calculated by the Department of Finance)</t>
    </r>
  </si>
  <si>
    <r>
      <rPr>
        <b/>
        <sz val="11"/>
        <color rgb="FFFF0000"/>
        <rFont val="Calibri"/>
        <family val="2"/>
        <scheme val="minor"/>
      </rPr>
      <t>Juvenile Court School</t>
    </r>
    <r>
      <rPr>
        <b/>
        <sz val="11"/>
        <rFont val="Calibri"/>
        <family val="2"/>
        <scheme val="minor"/>
      </rPr>
      <t xml:space="preserve"> Student Enrollment and Unduplicated Pupil Count </t>
    </r>
  </si>
  <si>
    <t>( a ) COLA, Proration Factor and EPA Assumptions</t>
  </si>
  <si>
    <t>( 1 ) UNIVERSAL ASSUMPTIONS &amp; FUNDING RATES</t>
  </si>
  <si>
    <r>
      <rPr>
        <b/>
        <u/>
        <sz val="11"/>
        <color rgb="FFFF0000"/>
        <rFont val="Calibri"/>
        <family val="2"/>
        <scheme val="minor"/>
      </rPr>
      <t>Charter Served</t>
    </r>
    <r>
      <rPr>
        <b/>
        <sz val="11"/>
        <color rgb="FFFF0000"/>
        <rFont val="Calibri"/>
        <family val="2"/>
        <scheme val="minor"/>
      </rPr>
      <t xml:space="preserve"> Juvenile Court School</t>
    </r>
    <r>
      <rPr>
        <b/>
        <sz val="11"/>
        <rFont val="Calibri"/>
        <family val="2"/>
        <scheme val="minor"/>
      </rPr>
      <t xml:space="preserve"> Student Enrollment and Unduplicated Pupil Count</t>
    </r>
  </si>
  <si>
    <t>( 2 ) LOCAL REVENUE</t>
  </si>
  <si>
    <t>( b )</t>
  </si>
  <si>
    <t>( 3 )  ENROLLMENT AND UNDUPLICATED PUPIL COUNT DATA</t>
  </si>
  <si>
    <t xml:space="preserve">( a ) </t>
  </si>
  <si>
    <t>( c )</t>
  </si>
  <si>
    <t>( d )</t>
  </si>
  <si>
    <t>( e )</t>
  </si>
  <si>
    <t>Combined Total For County Funded Non-Juvenile Court School Student UPP (sections +a -b +d +e)</t>
  </si>
  <si>
    <t>( a ) OPERATING GRANT AVERAGE DAILY ATTENDANCE (ADA) - SCHOOL DISTRICTS AND CHARTER SCHOOLS [EC 2574(a)(3)(e)]</t>
  </si>
  <si>
    <t xml:space="preserve">( b ) ALTERNATIVE EDUCATION GRANT AVERAGE DAILY ATTENDANCE (ADA) </t>
  </si>
  <si>
    <t>2020–21 Second Principal 
(P-2) Apportionment</t>
  </si>
  <si>
    <t>Calc Check</t>
  </si>
  <si>
    <t>UPP</t>
  </si>
  <si>
    <t xml:space="preserve">*Estimated Annual calculation is presented for the purpose of calculating the year-end accrual which is used in the prior year adjustment for the subsequent year. </t>
  </si>
  <si>
    <t>State Aid (Inclusive of Additional LCFF State Aid)</t>
  </si>
  <si>
    <t>LCAP PERCENTAGE TO INCREASE OR IMPROVE SERVICES</t>
  </si>
  <si>
    <t xml:space="preserve">Alternative Education Base Grant </t>
  </si>
  <si>
    <t xml:space="preserve">Alternative Education Supplemental Grant </t>
  </si>
  <si>
    <t xml:space="preserve">Alternative Education Concentration Grant </t>
  </si>
  <si>
    <t xml:space="preserve">   Total Alternative Education Grant</t>
  </si>
  <si>
    <t xml:space="preserve">   Total Add-ons</t>
  </si>
  <si>
    <t>ADDITIONAL STATE AID</t>
  </si>
  <si>
    <t>County Office Local Revenue</t>
  </si>
  <si>
    <t>Special Education Ratio
B-1</t>
  </si>
  <si>
    <t>Total Property Tax Revenues 
(Sum of A-1 through A-14)
A-15</t>
  </si>
  <si>
    <t>Total Property Tax Revenue</t>
  </si>
  <si>
    <r>
      <t>EPA</t>
    </r>
    <r>
      <rPr>
        <sz val="8"/>
        <rFont val="Calibri"/>
        <family val="2"/>
        <scheme val="minor"/>
      </rPr>
      <t xml:space="preserve"> (for LCFF Calculation purposes=P-2)</t>
    </r>
  </si>
  <si>
    <t>Supplemental and Concentration Grant funding in the LCAP year</t>
  </si>
  <si>
    <t>Percentage to Increase or Improve Services</t>
  </si>
  <si>
    <t>State Aid (Object Code 8011)</t>
  </si>
  <si>
    <t>Special Education Property Tax Revenue</t>
  </si>
  <si>
    <t>SUMMARY OF LCFF ENTITLEMENT BY OBJECT</t>
  </si>
  <si>
    <t>Total Adjusted Enrollment (first prior year)</t>
  </si>
  <si>
    <t>COLA &amp; 
Augmentation</t>
  </si>
  <si>
    <r>
      <t xml:space="preserve">District </t>
    </r>
    <r>
      <rPr>
        <b/>
        <u/>
        <sz val="10"/>
        <rFont val="Calibri"/>
        <family val="2"/>
        <scheme val="minor"/>
      </rPr>
      <t>Allowance</t>
    </r>
  </si>
  <si>
    <r>
      <t xml:space="preserve">Minimum </t>
    </r>
    <r>
      <rPr>
        <b/>
        <u/>
        <sz val="10"/>
        <rFont val="Calibri"/>
        <family val="2"/>
        <scheme val="minor"/>
      </rPr>
      <t>Allowance</t>
    </r>
  </si>
  <si>
    <t>Inc./(Dec.) From Prior Year</t>
  </si>
  <si>
    <t>2012-13 Categorical Funding</t>
  </si>
  <si>
    <t>User editable tabs:</t>
  </si>
  <si>
    <r>
      <rPr>
        <b/>
        <sz val="11"/>
        <rFont val="Calibri"/>
        <family val="2"/>
        <scheme val="minor"/>
      </rPr>
      <t>Review COE LCFF Calculation and EPA Results:</t>
    </r>
    <r>
      <rPr>
        <sz val="11"/>
        <rFont val="Calibri"/>
        <family val="2"/>
        <scheme val="minor"/>
      </rPr>
      <t xml:space="preserve"> Detailed calculations and results can be viewed on the Calculator, EPA and Summary tabs. No data entry is required on these tabs.</t>
    </r>
  </si>
  <si>
    <t>COE LCFF Calculator Navigation and Instructions</t>
  </si>
  <si>
    <r>
      <t xml:space="preserve">County Code </t>
    </r>
    <r>
      <rPr>
        <i/>
        <sz val="11"/>
        <rFont val="Calibri"/>
        <family val="2"/>
        <scheme val="minor"/>
      </rPr>
      <t>(from the CDS code)</t>
    </r>
  </si>
  <si>
    <t>Basic Aid Choice/Court-Ordered Voluntary Pupil Transfer</t>
  </si>
  <si>
    <t>County Transfer of Funds for County Served District Funded ADA</t>
  </si>
  <si>
    <t>District of Residence District Code</t>
  </si>
  <si>
    <t>District of Residence</t>
  </si>
  <si>
    <t>Per-ADA Transfer Rates:
LCFF Rate
Grades TK/K-3 
 A-1</t>
  </si>
  <si>
    <t>Per-ADA Transfer Rates:
LCFF Rate
Grades 4-6
 A-1</t>
  </si>
  <si>
    <t>Per-ADA Transfer Rates:
LCFF Rate
Grades 7-8
 A-1</t>
  </si>
  <si>
    <t>Per-ADA Transfer Rates:
LCFF Rate
Grades 9-12 
 A-1</t>
  </si>
  <si>
    <t>Per-ADA Transfer Rates:
Alternative Rate Reported by COE
Grades 4-6
 A-2</t>
  </si>
  <si>
    <t>Per-ADA Transfer Rates:
Alternative Rate Reported by COE
Grades 7-8
 A-2</t>
  </si>
  <si>
    <t>Per-ADA Transfer Rates:
Alternative Rate Reported by COE
Grades 9-12
 A-2</t>
  </si>
  <si>
    <t>District of Residence ADA for
County Community Schools
Grades TK/K-3
B-1</t>
  </si>
  <si>
    <t>District of Residence ADA for
County Community Schools
Grades 4-6
B-1</t>
  </si>
  <si>
    <t>District of Residence ADA for
County Community Schools
Grades 7-8
B-1</t>
  </si>
  <si>
    <t>District of Residence ADA for
County Community Schools
Grades 9-12
B-1</t>
  </si>
  <si>
    <t>District of Residence ADA by Grade Span
Alternative Rate
County Community Schools
B-1</t>
  </si>
  <si>
    <t>District of Residence ADA for
Special Education - Special Day Class
Grades TK/K-3
B-2</t>
  </si>
  <si>
    <t>District of Residence ADA for
Special Education - Special Day Class
Grades 4-6
B-2</t>
  </si>
  <si>
    <t>District of Residence ADA for
Special Education - Special Day Class
Grades 7-8
B-2</t>
  </si>
  <si>
    <t>District of Residence ADA for
Special Education - Special Day Class
Grades 9-12
B-2</t>
  </si>
  <si>
    <t>District of Residence ADA by Grade Span
Alternative Rate
Special Education - Special Day Class
B-2</t>
  </si>
  <si>
    <t>District of Residence ADA for
Special Education - NPS/LCI
Grades TK/K-3
B-3</t>
  </si>
  <si>
    <t>District of Residence ADA for
Special Education - NPS/LCI
Grades 4-6
B-3</t>
  </si>
  <si>
    <t>District of Residence ADA for
Special Education - NPS/LCI
Grades 7-8
B-3</t>
  </si>
  <si>
    <t>District of Residence ADA for
Special Education - NPS/LCI
Grades 9-12
B-3</t>
  </si>
  <si>
    <t>District of Residence ADA by Grade Span
Alternative Rate
Special Education - NPS/LCI
B-3</t>
  </si>
  <si>
    <t>District of Residence ADA for
Extended Year Special Education
Grades TK/K-3
B-4</t>
  </si>
  <si>
    <t>District of Residence ADA for
Extended Year Special Education
Grades 4-6
B-4</t>
  </si>
  <si>
    <t>District of Residence ADA for
Extended Year Special Education
Grades 7-8
B-4</t>
  </si>
  <si>
    <t>District of Residence ADA for
Extended Year Special Education
Grades 9-12
B-4</t>
  </si>
  <si>
    <t>District of Residence ADA by Grade Span
Alternative Rate
Extended Year Special Education
B-4</t>
  </si>
  <si>
    <t>District of Residence ADA for
Other County Operated Programs
Grades TK/K-3
B-5</t>
  </si>
  <si>
    <t>District of Residence ADA for
Other County Operated Programs
Grades 4-6
B-5</t>
  </si>
  <si>
    <t>District of Residence ADA for
Other County Operated Programs
Grades 7-8
B-5</t>
  </si>
  <si>
    <t>District of Residence ADA for
Other County Operated Programs
Grades 9-12
B-5</t>
  </si>
  <si>
    <t>District of Residence ADA by Grade Span
Alternative Rate
Other County Operated Programs
B-5</t>
  </si>
  <si>
    <t>District of Residence ADA for
County School Tuition Fund (Out-of-State Tuition)
Grades TK/K-3
B-6</t>
  </si>
  <si>
    <t>District of Residence ADA for
County School Tuition Fund (Out-of-State Tuition)
Grades 4-6
B-6</t>
  </si>
  <si>
    <t>District of Residence ADA for
County School Tuition Fund (Out-of-State Tuition)
Grades 7-8
B-6</t>
  </si>
  <si>
    <t>District of Residence ADA for
County School Tuition Fund (Out-of-State Tuition)
Grades 9-12
B-6</t>
  </si>
  <si>
    <t>District of Residence ADA by Grade Span
Alternative Rate
County School Tuition Fund (Out-of-State Tuition)
B-6</t>
  </si>
  <si>
    <t>District of Residence Agrees to Alternative Transfer Rate Reported by COE
C-1</t>
  </si>
  <si>
    <t>Total Transfer for District of Residence
(Sum of C-6 for all Grade Spans)
C-7</t>
  </si>
  <si>
    <t>Total Funding Transferred 
(Sum of all records C-7)
D-5</t>
  </si>
  <si>
    <t>Alpine County Unified</t>
  </si>
  <si>
    <t>Amador County Unified</t>
  </si>
  <si>
    <t>Bangor Union Elementary</t>
  </si>
  <si>
    <t>Biggs Unified</t>
  </si>
  <si>
    <t>Chico Unified</t>
  </si>
  <si>
    <t>Durham Unified</t>
  </si>
  <si>
    <t>Golden Feather Union Elementary</t>
  </si>
  <si>
    <t>Oroville City Elementary</t>
  </si>
  <si>
    <t>Oroville Union High</t>
  </si>
  <si>
    <t>Palermo Union Elementary</t>
  </si>
  <si>
    <t>Paradise Unified</t>
  </si>
  <si>
    <t>Thermalito Union Elementary</t>
  </si>
  <si>
    <t>Pioneer Union Elementary</t>
  </si>
  <si>
    <t>Gridley Unified</t>
  </si>
  <si>
    <t>Orland Joint Unified</t>
  </si>
  <si>
    <t>Bret Harte Union High</t>
  </si>
  <si>
    <t>Calaveras Unified</t>
  </si>
  <si>
    <t>Mark Twain Union Elementary</t>
  </si>
  <si>
    <t>Vallecito Union</t>
  </si>
  <si>
    <t>Colusa Unified</t>
  </si>
  <si>
    <t>Pierce Joint Unified</t>
  </si>
  <si>
    <t>Williams Unified</t>
  </si>
  <si>
    <t>Emery Unified</t>
  </si>
  <si>
    <t>San Leandro Unified</t>
  </si>
  <si>
    <t>Pleasanton Unified</t>
  </si>
  <si>
    <t>Acalanes Union High</t>
  </si>
  <si>
    <t>Antioch Unified</t>
  </si>
  <si>
    <t>Brentwood Union Elementary</t>
  </si>
  <si>
    <t>Byron Union Elementary</t>
  </si>
  <si>
    <t>John Swett Unified</t>
  </si>
  <si>
    <t>Liberty Union High</t>
  </si>
  <si>
    <t>Martinez Unified</t>
  </si>
  <si>
    <t>Mt. Diablo Unified</t>
  </si>
  <si>
    <t>Oakley Union Elementary</t>
  </si>
  <si>
    <t>Orinda Union Elementary</t>
  </si>
  <si>
    <t>Pittsburg Unified</t>
  </si>
  <si>
    <t>San Ramon Valley Unified</t>
  </si>
  <si>
    <t>Walnut Creek Elementary</t>
  </si>
  <si>
    <t>Del Norte County Unified</t>
  </si>
  <si>
    <t>Buckeye Union Elementary</t>
  </si>
  <si>
    <t>Camino Union Elementary</t>
  </si>
  <si>
    <t>El Dorado Union High</t>
  </si>
  <si>
    <t>Gold Oak Union Elementary</t>
  </si>
  <si>
    <t>Gold Trail Union Elementary</t>
  </si>
  <si>
    <t>Mother Lode Union Elementary</t>
  </si>
  <si>
    <t>Placerville Union Elementary</t>
  </si>
  <si>
    <t>Pollock Pines Elementary</t>
  </si>
  <si>
    <t>Rescue Union Elementary</t>
  </si>
  <si>
    <t>Black Oak Mine Unified</t>
  </si>
  <si>
    <t>Burrel Union Elementary</t>
  </si>
  <si>
    <t>Clovis Unified</t>
  </si>
  <si>
    <t>Coalinga-Huron Unified</t>
  </si>
  <si>
    <t>Fowler Unified</t>
  </si>
  <si>
    <t>Fresno Unified</t>
  </si>
  <si>
    <t>Kingsburg Elementary Charter</t>
  </si>
  <si>
    <t>Kingsburg Joint Union High</t>
  </si>
  <si>
    <t>Kings Canyon Joint Unified</t>
  </si>
  <si>
    <t>Laton Joint Unified</t>
  </si>
  <si>
    <t>Orange Center</t>
  </si>
  <si>
    <t>Pacific Union Elementary</t>
  </si>
  <si>
    <t>Parlier Unified</t>
  </si>
  <si>
    <t>Raisin City Elementary</t>
  </si>
  <si>
    <t>Sanger Unified</t>
  </si>
  <si>
    <t>Westside Elementary</t>
  </si>
  <si>
    <t>Firebaugh-Las Deltas Unified</t>
  </si>
  <si>
    <t>Central Unified</t>
  </si>
  <si>
    <t>Kerman Unified</t>
  </si>
  <si>
    <t>Mendota Unified</t>
  </si>
  <si>
    <t>Golden Plains Unified</t>
  </si>
  <si>
    <t>Sierra Unified</t>
  </si>
  <si>
    <t>Riverdale Joint Unified</t>
  </si>
  <si>
    <t>Caruthers Unified</t>
  </si>
  <si>
    <t>Washington Unified</t>
  </si>
  <si>
    <t>Capay Joint Union Elementary</t>
  </si>
  <si>
    <t>Plaza Elementary</t>
  </si>
  <si>
    <t>Princeton Joint Unified</t>
  </si>
  <si>
    <t>Willows Unified</t>
  </si>
  <si>
    <t>Hamilton Unified</t>
  </si>
  <si>
    <t>Arcata Elementary</t>
  </si>
  <si>
    <t>Northern Humboldt Union High</t>
  </si>
  <si>
    <t>Cutten Elementary</t>
  </si>
  <si>
    <t>Fortuna Union High</t>
  </si>
  <si>
    <t>Hydesville Elementary</t>
  </si>
  <si>
    <t>Jacoby Creek Elementary</t>
  </si>
  <si>
    <t>Klamath-Trinity Joint Unified</t>
  </si>
  <si>
    <t>Loleta Union Elementary</t>
  </si>
  <si>
    <t>McKinleyville Union Elementary</t>
  </si>
  <si>
    <t>Rio Dell Elementary</t>
  </si>
  <si>
    <t>Scotia Union Elementary</t>
  </si>
  <si>
    <t>South Bay Union Elementary</t>
  </si>
  <si>
    <t>Southern Humboldt Joint Unified</t>
  </si>
  <si>
    <t>Ferndale Unified</t>
  </si>
  <si>
    <t>Eureka City Schools</t>
  </si>
  <si>
    <t>Fortuna Elementary</t>
  </si>
  <si>
    <t>Brawley Elementary</t>
  </si>
  <si>
    <t>Brawley Union High</t>
  </si>
  <si>
    <t>Calexico Unified</t>
  </si>
  <si>
    <t>Calipatria Unified</t>
  </si>
  <si>
    <t>Central Union High</t>
  </si>
  <si>
    <t>El Centro Elementary</t>
  </si>
  <si>
    <t>Heber Elementary</t>
  </si>
  <si>
    <t>Holtville Unified</t>
  </si>
  <si>
    <t>Imperial Unified</t>
  </si>
  <si>
    <t>McCabe Union Elementary</t>
  </si>
  <si>
    <t>Meadows Union Elementary</t>
  </si>
  <si>
    <t>San Pasqual Valley Unified</t>
  </si>
  <si>
    <t>Seeley Union Elementary</t>
  </si>
  <si>
    <t>Westmorland Union Elementary</t>
  </si>
  <si>
    <t>Bishop Unified</t>
  </si>
  <si>
    <t>Arvin Union</t>
  </si>
  <si>
    <t>Bakersfield City</t>
  </si>
  <si>
    <t>Beardsley Elementary</t>
  </si>
  <si>
    <t>Panama-Buena Vista Union</t>
  </si>
  <si>
    <t>Delano Union Elementary</t>
  </si>
  <si>
    <t>Delano Joint Union High</t>
  </si>
  <si>
    <t>Di Giorgio Elementary</t>
  </si>
  <si>
    <t>Edison Elementary</t>
  </si>
  <si>
    <t>Fairfax Elementary</t>
  </si>
  <si>
    <t>Fruitvale Elementary</t>
  </si>
  <si>
    <t>General Shafter Elementary</t>
  </si>
  <si>
    <t>Greenfield Union</t>
  </si>
  <si>
    <t>Kern High</t>
  </si>
  <si>
    <t>Lakeside Union</t>
  </si>
  <si>
    <t>Lamont Elementary</t>
  </si>
  <si>
    <t>Richland Union Elementary</t>
  </si>
  <si>
    <t>Linns Valley-Poso Flat Union</t>
  </si>
  <si>
    <t>Lost Hills Union Elementary</t>
  </si>
  <si>
    <t>Maricopa Unified</t>
  </si>
  <si>
    <t>Mojave Unified</t>
  </si>
  <si>
    <t>Muroc Joint Unified</t>
  </si>
  <si>
    <t>Norris Elementary</t>
  </si>
  <si>
    <t>Rosedale Union Elementary</t>
  </si>
  <si>
    <t>Southern Kern Unified</t>
  </si>
  <si>
    <t>Standard Elementary</t>
  </si>
  <si>
    <t>Taft City</t>
  </si>
  <si>
    <t>Taft Union High</t>
  </si>
  <si>
    <t>Tehachapi Unified</t>
  </si>
  <si>
    <t>Vineland Elementary</t>
  </si>
  <si>
    <t>Wasco Union Elementary</t>
  </si>
  <si>
    <t>Wasco Union High</t>
  </si>
  <si>
    <t>Rio Bravo-Greeley Union Elementary</t>
  </si>
  <si>
    <t>McFarland Unified</t>
  </si>
  <si>
    <t>El Tejon Unified</t>
  </si>
  <si>
    <t>Armona Union Elementary</t>
  </si>
  <si>
    <t>Central Union Elementary</t>
  </si>
  <si>
    <t>Corcoran Joint Unified</t>
  </si>
  <si>
    <t>Hanford Elementary</t>
  </si>
  <si>
    <t>Hanford Joint Union High</t>
  </si>
  <si>
    <t>Kings River-Hardwick Union Elementary</t>
  </si>
  <si>
    <t>Lakeside Union Elementary</t>
  </si>
  <si>
    <t>Lemoore Union Elementary</t>
  </si>
  <si>
    <t>Lemoore Union High</t>
  </si>
  <si>
    <t>Reef-Sunset Unified</t>
  </si>
  <si>
    <t>Kelseyville Unified</t>
  </si>
  <si>
    <t>Konocti Unified</t>
  </si>
  <si>
    <t>Lakeport Unified</t>
  </si>
  <si>
    <t>Middletown Unified</t>
  </si>
  <si>
    <t>Upper Lake Unified</t>
  </si>
  <si>
    <t>Janesville Union Elementary</t>
  </si>
  <si>
    <t>Lassen Union High</t>
  </si>
  <si>
    <t>Susanville Elementary</t>
  </si>
  <si>
    <t>Antelope Valley Union High</t>
  </si>
  <si>
    <t>Arcadia Unified</t>
  </si>
  <si>
    <t>Azusa Unified</t>
  </si>
  <si>
    <t>Baldwin Park Unified</t>
  </si>
  <si>
    <t>Bassett Unified</t>
  </si>
  <si>
    <t>Bellflower Unified</t>
  </si>
  <si>
    <t>Beverly Hills Unified</t>
  </si>
  <si>
    <t>Bonita Unified</t>
  </si>
  <si>
    <t>Burbank Unified</t>
  </si>
  <si>
    <t>Centinela Valley Union High</t>
  </si>
  <si>
    <t>Charter Oak Unified</t>
  </si>
  <si>
    <t>Claremont Unified</t>
  </si>
  <si>
    <t>Covina-Valley Unified</t>
  </si>
  <si>
    <t>Culver City Unified</t>
  </si>
  <si>
    <t>Downey Unified</t>
  </si>
  <si>
    <t>Duarte Unified</t>
  </si>
  <si>
    <t>El Monte Union High</t>
  </si>
  <si>
    <t>El Rancho Unified</t>
  </si>
  <si>
    <t>El Segundo Unified</t>
  </si>
  <si>
    <t>Glendale Unified</t>
  </si>
  <si>
    <t>Glendora Unified</t>
  </si>
  <si>
    <t>Inglewood Unified</t>
  </si>
  <si>
    <t>La Canada Unified</t>
  </si>
  <si>
    <t>Las Virgenes Unified</t>
  </si>
  <si>
    <t>Long Beach Unified</t>
  </si>
  <si>
    <t>Los Angeles Unified</t>
  </si>
  <si>
    <t>Lynwood Unified</t>
  </si>
  <si>
    <t>Monrovia Unified</t>
  </si>
  <si>
    <t>Montebello Unified</t>
  </si>
  <si>
    <t>Norwalk-La Mirada Unified</t>
  </si>
  <si>
    <t>Paramount Unified</t>
  </si>
  <si>
    <t>Pasadena Unified</t>
  </si>
  <si>
    <t>Pomona Unified</t>
  </si>
  <si>
    <t>San Marino Unified</t>
  </si>
  <si>
    <t>Santa Monica-Malibu Unified</t>
  </si>
  <si>
    <t>South Pasadena Unified</t>
  </si>
  <si>
    <t>Temple City Unified</t>
  </si>
  <si>
    <t>Torrance Unified</t>
  </si>
  <si>
    <t>West Covina Unified</t>
  </si>
  <si>
    <t>Whittier Union High</t>
  </si>
  <si>
    <t>William S. Hart Union High</t>
  </si>
  <si>
    <t>Compton Unified</t>
  </si>
  <si>
    <t>Hacienda la Puente Unified</t>
  </si>
  <si>
    <t>Rowland Unified</t>
  </si>
  <si>
    <t>Walnut Valley Unified</t>
  </si>
  <si>
    <t>San Gabriel Unified</t>
  </si>
  <si>
    <t>Manhattan Beach Unified</t>
  </si>
  <si>
    <t>Redondo Beach Unified</t>
  </si>
  <si>
    <t>Alhambra Unified</t>
  </si>
  <si>
    <t>Fullerton Joint Union High</t>
  </si>
  <si>
    <t>Alvord Unified</t>
  </si>
  <si>
    <t>Banning Unified</t>
  </si>
  <si>
    <t>Corona-Norco Unified</t>
  </si>
  <si>
    <t>Riverside Unified</t>
  </si>
  <si>
    <t>Chaffey Joint Union High</t>
  </si>
  <si>
    <t>Chino Valley Unified</t>
  </si>
  <si>
    <t>Colton Joint Unified</t>
  </si>
  <si>
    <t>Fontana Unified</t>
  </si>
  <si>
    <t>Redlands Unified</t>
  </si>
  <si>
    <t>Rialto Unified</t>
  </si>
  <si>
    <t>San Bernardino City Unified</t>
  </si>
  <si>
    <t>Victor Valley Union High</t>
  </si>
  <si>
    <t>Upland Unified</t>
  </si>
  <si>
    <t>Conejo Valley Unified</t>
  </si>
  <si>
    <t>Alview-Dairyland Union Elementary</t>
  </si>
  <si>
    <t>Bass Lake Joint Union Elementary</t>
  </si>
  <si>
    <t>Chowchilla Elementary</t>
  </si>
  <si>
    <t>Chowchilla Union High</t>
  </si>
  <si>
    <t>Madera Unified</t>
  </si>
  <si>
    <t>Raymond-Knowles Union Elementary</t>
  </si>
  <si>
    <t>Golden Valley Unified</t>
  </si>
  <si>
    <t>Chawanakee Unified</t>
  </si>
  <si>
    <t>Yosemite Unified</t>
  </si>
  <si>
    <t>Miller Creek Elementary</t>
  </si>
  <si>
    <t>Kentfield Elementary</t>
  </si>
  <si>
    <t>Lagunitas Elementary</t>
  </si>
  <si>
    <t>Larkspur-Corte Madera</t>
  </si>
  <si>
    <t>Mill Valley Elementary</t>
  </si>
  <si>
    <t>Novato Unified</t>
  </si>
  <si>
    <t>Reed Union Elementary</t>
  </si>
  <si>
    <t>San Rafael City Elementary</t>
  </si>
  <si>
    <t>San Rafael City High</t>
  </si>
  <si>
    <t>Sausalito Marin City</t>
  </si>
  <si>
    <t>Tamalpais Union High</t>
  </si>
  <si>
    <t>Shoreline Unified</t>
  </si>
  <si>
    <t>Ross Valley Elementary</t>
  </si>
  <si>
    <t>Mariposa County Unified</t>
  </si>
  <si>
    <t>Lucerne Elementary</t>
  </si>
  <si>
    <t>Fort Bragg Unified</t>
  </si>
  <si>
    <t>Ukiah Unified</t>
  </si>
  <si>
    <t>Willits Unified</t>
  </si>
  <si>
    <t>Potter Valley Community Unified</t>
  </si>
  <si>
    <t>Atwater Elementary</t>
  </si>
  <si>
    <t>Ballico-Cressey Elementary</t>
  </si>
  <si>
    <t>El Nido Elementary</t>
  </si>
  <si>
    <t>Hilmar Unified</t>
  </si>
  <si>
    <t>Le Grand Union Elementary</t>
  </si>
  <si>
    <t>Le Grand Union High</t>
  </si>
  <si>
    <t>Livingston Union</t>
  </si>
  <si>
    <t>Los Banos Unified</t>
  </si>
  <si>
    <t>McSwain Union Elementary</t>
  </si>
  <si>
    <t>Merced City Elementary</t>
  </si>
  <si>
    <t>Merced Union High</t>
  </si>
  <si>
    <t>Planada Elementary</t>
  </si>
  <si>
    <t>Snelling-Merced Falls Union Elementary</t>
  </si>
  <si>
    <t>Weaver Union</t>
  </si>
  <si>
    <t>Winton</t>
  </si>
  <si>
    <t>Gustine Unified</t>
  </si>
  <si>
    <t>Merced River Union Elementary</t>
  </si>
  <si>
    <t>Dos Palos Oro Loma Joint Unified</t>
  </si>
  <si>
    <t>Delhi Unified</t>
  </si>
  <si>
    <t>Turlock Unified</t>
  </si>
  <si>
    <t>Modoc Joint Unified</t>
  </si>
  <si>
    <t>Eastern Sierra Unified</t>
  </si>
  <si>
    <t>Mammoth Unified</t>
  </si>
  <si>
    <t>Alisal Union</t>
  </si>
  <si>
    <t>Carmel Unified</t>
  </si>
  <si>
    <t>Chualar Union</t>
  </si>
  <si>
    <t>Greenfield Union Elementary</t>
  </si>
  <si>
    <t>King City Union</t>
  </si>
  <si>
    <t>South Monterey County Joint Union High</t>
  </si>
  <si>
    <t>Monterey Peninsula Unified</t>
  </si>
  <si>
    <t>Salinas City Elementary</t>
  </si>
  <si>
    <t>Salinas Union High</t>
  </si>
  <si>
    <t>San Antonio Union Elementary</t>
  </si>
  <si>
    <t>Santa Rita Union Elementary</t>
  </si>
  <si>
    <t>Spreckels Union Elementary</t>
  </si>
  <si>
    <t>Washington Union Elementary</t>
  </si>
  <si>
    <t>North Monterey County Unified</t>
  </si>
  <si>
    <t>Soledad Unified</t>
  </si>
  <si>
    <t>Gonzales Unified</t>
  </si>
  <si>
    <t>Clear Creek Elementary</t>
  </si>
  <si>
    <t>Grass Valley Elementary</t>
  </si>
  <si>
    <t>Nevada City Elementary</t>
  </si>
  <si>
    <t>Nevada Joint Union High</t>
  </si>
  <si>
    <t>Pleasant Ridge Union Elementary</t>
  </si>
  <si>
    <t>Union Hill Elementary</t>
  </si>
  <si>
    <t>Twin Ridges Elementary</t>
  </si>
  <si>
    <t>Penn Valley Union Elementary</t>
  </si>
  <si>
    <t>ABC Unified</t>
  </si>
  <si>
    <t>Lowell Joint</t>
  </si>
  <si>
    <t>Whittier City Elementary</t>
  </si>
  <si>
    <t>Anaheim Elementary</t>
  </si>
  <si>
    <t>Anaheim Union High</t>
  </si>
  <si>
    <t>Brea-Olinda Unified</t>
  </si>
  <si>
    <t>Buena Park Elementary</t>
  </si>
  <si>
    <t>Capistrano Unified</t>
  </si>
  <si>
    <t>Centralia Elementary</t>
  </si>
  <si>
    <t>Cypress Elementary</t>
  </si>
  <si>
    <t>Fountain Valley Elementary</t>
  </si>
  <si>
    <t>Fullerton Elementary</t>
  </si>
  <si>
    <t>Garden Grove Unified</t>
  </si>
  <si>
    <t>Huntington Beach City Elementary</t>
  </si>
  <si>
    <t>Huntington Beach Union High</t>
  </si>
  <si>
    <t>Laguna Beach Unified</t>
  </si>
  <si>
    <t>La Habra City Elementary</t>
  </si>
  <si>
    <t>Magnolia Elementary</t>
  </si>
  <si>
    <t>Newport-Mesa Unified</t>
  </si>
  <si>
    <t>Ocean View</t>
  </si>
  <si>
    <t>Orange Unified</t>
  </si>
  <si>
    <t>Placentia-Yorba Linda Unified</t>
  </si>
  <si>
    <t>Santa Ana Unified</t>
  </si>
  <si>
    <t>Savanna Elementary</t>
  </si>
  <si>
    <t>Westminster</t>
  </si>
  <si>
    <t>Saddleback Valley Unified</t>
  </si>
  <si>
    <t>Tustin Unified</t>
  </si>
  <si>
    <t>Irvine Unified</t>
  </si>
  <si>
    <t>Los Alamitos Unified</t>
  </si>
  <si>
    <t>Beaumont Unified</t>
  </si>
  <si>
    <t>Desert Sands Unified</t>
  </si>
  <si>
    <t>Hemet Unified</t>
  </si>
  <si>
    <t>Jurupa Unified</t>
  </si>
  <si>
    <t>Moreno Valley Unified</t>
  </si>
  <si>
    <t>San Jacinto Unified</t>
  </si>
  <si>
    <t>Coachella Valley Unified</t>
  </si>
  <si>
    <t>Lake Elsinore Unified</t>
  </si>
  <si>
    <t>Temecula Valley Unified</t>
  </si>
  <si>
    <t>Murrieta Valley Unified</t>
  </si>
  <si>
    <t>Val Verde Unified</t>
  </si>
  <si>
    <t>Adelanto Elementary</t>
  </si>
  <si>
    <t>Cucamonga Elementary</t>
  </si>
  <si>
    <t>Morongo Unified</t>
  </si>
  <si>
    <t>Hesperia Unified</t>
  </si>
  <si>
    <t>Lucerne Valley Unified</t>
  </si>
  <si>
    <t>Sweetwater Union High</t>
  </si>
  <si>
    <t>Ackerman Charter</t>
  </si>
  <si>
    <t>Auburn Union Elementary</t>
  </si>
  <si>
    <t>Colfax Elementary</t>
  </si>
  <si>
    <t>Dry Creek Joint Elementary</t>
  </si>
  <si>
    <t>Eureka Union</t>
  </si>
  <si>
    <t>Foresthill Union Elementary</t>
  </si>
  <si>
    <t>Loomis Union Elementary</t>
  </si>
  <si>
    <t>Placer Hills Union Elementary</t>
  </si>
  <si>
    <t>Placer Union High</t>
  </si>
  <si>
    <t>Roseville City Elementary</t>
  </si>
  <si>
    <t>Roseville Joint Union High</t>
  </si>
  <si>
    <t>Tahoe-Truckee Unified</t>
  </si>
  <si>
    <t>Western Placer Unified</t>
  </si>
  <si>
    <t>Rocklin Unified</t>
  </si>
  <si>
    <t>Plumas Unified</t>
  </si>
  <si>
    <t>Menifee Union Elementary</t>
  </si>
  <si>
    <t>Nuview Union</t>
  </si>
  <si>
    <t>Palm Springs Unified</t>
  </si>
  <si>
    <t>Palo Verde Unified</t>
  </si>
  <si>
    <t>Perris Elementary</t>
  </si>
  <si>
    <t>Perris Union High</t>
  </si>
  <si>
    <t>Romoland Elementary</t>
  </si>
  <si>
    <t>Elk Grove Unified</t>
  </si>
  <si>
    <t>Elverta Joint Elementary</t>
  </si>
  <si>
    <t>Folsom-Cordova Unified</t>
  </si>
  <si>
    <t>Galt Joint Union Elementary</t>
  </si>
  <si>
    <t>Galt Joint Union High</t>
  </si>
  <si>
    <t>River Delta Joint Unified</t>
  </si>
  <si>
    <t>Robla Elementary</t>
  </si>
  <si>
    <t>Sacramento City Unified</t>
  </si>
  <si>
    <t>San Juan Unified</t>
  </si>
  <si>
    <t>Center Joint Unified</t>
  </si>
  <si>
    <t>Natomas Unified</t>
  </si>
  <si>
    <t>Twin Rivers Unified</t>
  </si>
  <si>
    <t>Hollister</t>
  </si>
  <si>
    <t>San Benito High</t>
  </si>
  <si>
    <t>Alta Loma Elementary</t>
  </si>
  <si>
    <t>Barstow Unified</t>
  </si>
  <si>
    <t>Bear Valley Unified</t>
  </si>
  <si>
    <t>Central Elementary</t>
  </si>
  <si>
    <t>Etiwanda Elementary</t>
  </si>
  <si>
    <t>Helendale Elementary</t>
  </si>
  <si>
    <t>Mountain View Elementary</t>
  </si>
  <si>
    <t>Needles Unified</t>
  </si>
  <si>
    <t>Ontario-Montclair</t>
  </si>
  <si>
    <t>Oro Grande</t>
  </si>
  <si>
    <t>Rim of the World Unified</t>
  </si>
  <si>
    <t>Trona Joint Unified</t>
  </si>
  <si>
    <t>Victor Elementary</t>
  </si>
  <si>
    <t>Yucaipa-Calimesa Joint Unified</t>
  </si>
  <si>
    <t>Baker Valley Unified</t>
  </si>
  <si>
    <t>Silver Valley Unified</t>
  </si>
  <si>
    <t>Snowline Joint Unified</t>
  </si>
  <si>
    <t>Apple Valley Unified</t>
  </si>
  <si>
    <t>Cajon Valley Union</t>
  </si>
  <si>
    <t>Chula Vista Elementary</t>
  </si>
  <si>
    <t>Escondido Union</t>
  </si>
  <si>
    <t>Escondido Union High</t>
  </si>
  <si>
    <t>Fallbrook Union Elementary</t>
  </si>
  <si>
    <t>Fallbrook Union High</t>
  </si>
  <si>
    <t>Grossmont Union High</t>
  </si>
  <si>
    <t>La Mesa-Spring Valley</t>
  </si>
  <si>
    <t>Mountain Empire Unified</t>
  </si>
  <si>
    <t>National Elementary</t>
  </si>
  <si>
    <t>Poway Unified</t>
  </si>
  <si>
    <t>San Diego Unified</t>
  </si>
  <si>
    <t>San Dieguito Union High</t>
  </si>
  <si>
    <t>Santee</t>
  </si>
  <si>
    <t>San Ysidro Elementary</t>
  </si>
  <si>
    <t>South Bay Union</t>
  </si>
  <si>
    <t>Vista Unified</t>
  </si>
  <si>
    <t>Carlsbad Unified</t>
  </si>
  <si>
    <t>Oceanside Unified</t>
  </si>
  <si>
    <t>San Marcos Unified</t>
  </si>
  <si>
    <t>Bonsall Unified</t>
  </si>
  <si>
    <t>San Francisco Unified</t>
  </si>
  <si>
    <t>Escalon Unified</t>
  </si>
  <si>
    <t>Jefferson Elementary</t>
  </si>
  <si>
    <t>Lincoln Unified</t>
  </si>
  <si>
    <t>Linden Unified</t>
  </si>
  <si>
    <t>Lodi Unified</t>
  </si>
  <si>
    <t>Manteca Unified</t>
  </si>
  <si>
    <t>New Jerusalem Elementary</t>
  </si>
  <si>
    <t>Ripon Unified</t>
  </si>
  <si>
    <t>Stockton Unified</t>
  </si>
  <si>
    <t>Tracy Joint Unified</t>
  </si>
  <si>
    <t>Lammersville Joint Unified</t>
  </si>
  <si>
    <t>Atascadero Unified</t>
  </si>
  <si>
    <t>Cayucos Elementary</t>
  </si>
  <si>
    <t>Lucia Mar Unified</t>
  </si>
  <si>
    <t>Pleasant Valley Joint Union Elementary</t>
  </si>
  <si>
    <t>San Luis Coastal Unified</t>
  </si>
  <si>
    <t>San Miguel Joint Union</t>
  </si>
  <si>
    <t>Shandon Joint Unified</t>
  </si>
  <si>
    <t>Templeton Unified</t>
  </si>
  <si>
    <t>Paso Robles Joint Unified</t>
  </si>
  <si>
    <t>Coast Unified</t>
  </si>
  <si>
    <t>Cabrillo Unified</t>
  </si>
  <si>
    <t>Jefferson Union High</t>
  </si>
  <si>
    <t>Pacifica</t>
  </si>
  <si>
    <t>Millbrae Elementary</t>
  </si>
  <si>
    <t>Ravenswood City Elementary</t>
  </si>
  <si>
    <t>Redwood City Elementary</t>
  </si>
  <si>
    <t>San Bruno Park Elementary</t>
  </si>
  <si>
    <t>San Mateo-Foster City</t>
  </si>
  <si>
    <t>San Mateo Union High</t>
  </si>
  <si>
    <t>Sequoia Union High</t>
  </si>
  <si>
    <t>South San Francisco Unified</t>
  </si>
  <si>
    <t>Santa Maria-Bonita</t>
  </si>
  <si>
    <t>Goleta Union Elementary</t>
  </si>
  <si>
    <t>Lompoc Unified</t>
  </si>
  <si>
    <t>Santa Maria Joint Union High</t>
  </si>
  <si>
    <t>Santa Barbara Unified</t>
  </si>
  <si>
    <t>Alum Rock Union Elementary</t>
  </si>
  <si>
    <t>Berryessa Union Elementary</t>
  </si>
  <si>
    <t>Cambrian</t>
  </si>
  <si>
    <t>Campbell Union</t>
  </si>
  <si>
    <t>Campbell Union High</t>
  </si>
  <si>
    <t>Cupertino Union</t>
  </si>
  <si>
    <t>East Side Union High</t>
  </si>
  <si>
    <t>Evergreen Elementary</t>
  </si>
  <si>
    <t>Franklin-McKinley Elementary</t>
  </si>
  <si>
    <t>Fremont Union High</t>
  </si>
  <si>
    <t>Gilroy Unified</t>
  </si>
  <si>
    <t>Los Gatos Union Elementary</t>
  </si>
  <si>
    <t>Los Gatos-Saratoga Union High</t>
  </si>
  <si>
    <t>Luther Burbank</t>
  </si>
  <si>
    <t>Moreland</t>
  </si>
  <si>
    <t>Morgan Hill Unified</t>
  </si>
  <si>
    <t>Mountain View-Los Altos Union High</t>
  </si>
  <si>
    <t>Mount Pleasant Elementary</t>
  </si>
  <si>
    <t>Oak Grove Elementary</t>
  </si>
  <si>
    <t>Orchard Elementary</t>
  </si>
  <si>
    <t>Palo Alto Unified</t>
  </si>
  <si>
    <t>San Jose Unified</t>
  </si>
  <si>
    <t>Santa Clara Unified</t>
  </si>
  <si>
    <t>Saratoga Union Elementary</t>
  </si>
  <si>
    <t>Sunnyvale</t>
  </si>
  <si>
    <t>Union Elementary</t>
  </si>
  <si>
    <t>Milpitas Unified</t>
  </si>
  <si>
    <t>Scotts Valley Unified</t>
  </si>
  <si>
    <t>Live Oak Elementary</t>
  </si>
  <si>
    <t>San Lorenzo Valley Unified</t>
  </si>
  <si>
    <t>Santa Cruz City Elementary</t>
  </si>
  <si>
    <t>Santa Cruz City High</t>
  </si>
  <si>
    <t>Soquel Union Elementary</t>
  </si>
  <si>
    <t>Anderson Union High</t>
  </si>
  <si>
    <t>Cascade Union Elementary</t>
  </si>
  <si>
    <t>Columbia Elementary</t>
  </si>
  <si>
    <t>Cottonwood Union Elementary</t>
  </si>
  <si>
    <t>Enterprise Elementary</t>
  </si>
  <si>
    <t>Fall River Joint Unified</t>
  </si>
  <si>
    <t>Happy Valley Union Elementary</t>
  </si>
  <si>
    <t>Pacheco Union Elementary</t>
  </si>
  <si>
    <t>Redding Elementary</t>
  </si>
  <si>
    <t>Shasta Union Elementary</t>
  </si>
  <si>
    <t>Shasta Union High</t>
  </si>
  <si>
    <t>Gateway Unified</t>
  </si>
  <si>
    <t>Sierra-Plumas Joint Unified</t>
  </si>
  <si>
    <t>Dunsmuir Elementary</t>
  </si>
  <si>
    <t>Happy Camp Union Elementary</t>
  </si>
  <si>
    <t>Klamath River Union Elementary</t>
  </si>
  <si>
    <t>Montague Elementary</t>
  </si>
  <si>
    <t>Mt. Shasta Union Elementary</t>
  </si>
  <si>
    <t>Siskiyou Union High</t>
  </si>
  <si>
    <t>Weed Union Elementary</t>
  </si>
  <si>
    <t>Yreka Union Elementary</t>
  </si>
  <si>
    <t>Yreka Union High</t>
  </si>
  <si>
    <t>Butte Valley Unified</t>
  </si>
  <si>
    <t>Scott Valley Unified</t>
  </si>
  <si>
    <t>Benicia Unified</t>
  </si>
  <si>
    <t>Dixon Unified</t>
  </si>
  <si>
    <t>Fairfield-Suisun Unified</t>
  </si>
  <si>
    <t>Travis Unified</t>
  </si>
  <si>
    <t>Vacaville Unified</t>
  </si>
  <si>
    <t>Vallejo City Unified</t>
  </si>
  <si>
    <t>West Sonoma County Union High</t>
  </si>
  <si>
    <t>Bellevue Union</t>
  </si>
  <si>
    <t>Bennett Valley Union Elementary</t>
  </si>
  <si>
    <t>Cloverdale Unified</t>
  </si>
  <si>
    <t>Forestville Union Elementary</t>
  </si>
  <si>
    <t>Gravenstein Union Elementary</t>
  </si>
  <si>
    <t>Guerneville Elementary</t>
  </si>
  <si>
    <t>Harmony Union Elementary</t>
  </si>
  <si>
    <t>Mark West Union Elementary</t>
  </si>
  <si>
    <t>Oak Grove Union Elementary</t>
  </si>
  <si>
    <t>Old Adobe Union</t>
  </si>
  <si>
    <t>Petaluma City Elementary</t>
  </si>
  <si>
    <t>Petaluma Joint Union High</t>
  </si>
  <si>
    <t>Piner-Olivet Union Elementary</t>
  </si>
  <si>
    <t>Rincon Valley Union Elementary</t>
  </si>
  <si>
    <t>Roseland</t>
  </si>
  <si>
    <t>Santa Rosa Elementary</t>
  </si>
  <si>
    <t>Santa Rosa High</t>
  </si>
  <si>
    <t>Sebastopol Union Elementary</t>
  </si>
  <si>
    <t>Sonoma Valley Unified</t>
  </si>
  <si>
    <t>Wright Elementary</t>
  </si>
  <si>
    <t>Cotati-Rohnert Park Unified</t>
  </si>
  <si>
    <t>Windsor Unified</t>
  </si>
  <si>
    <t>Healdsburg Unified</t>
  </si>
  <si>
    <t>Ceres Unified</t>
  </si>
  <si>
    <t>Chatom Union</t>
  </si>
  <si>
    <t>Denair Unified</t>
  </si>
  <si>
    <t>Empire Union Elementary</t>
  </si>
  <si>
    <t>Hart-Ransom Union Elementary</t>
  </si>
  <si>
    <t>Keyes Union</t>
  </si>
  <si>
    <t>Modesto City Elementary</t>
  </si>
  <si>
    <t>Modesto City High</t>
  </si>
  <si>
    <t>Paradise Elementary</t>
  </si>
  <si>
    <t>Patterson Joint Unified</t>
  </si>
  <si>
    <t>Salida Union Elementary</t>
  </si>
  <si>
    <t>Stanislaus Union Elementary</t>
  </si>
  <si>
    <t>Sylvan Union Elementary</t>
  </si>
  <si>
    <t>Valley Home Joint Elementary</t>
  </si>
  <si>
    <t>Newman-Crows Landing Unified</t>
  </si>
  <si>
    <t>Hughson Unified</t>
  </si>
  <si>
    <t>Riverbank Unified</t>
  </si>
  <si>
    <t>Oakdale Joint Unified</t>
  </si>
  <si>
    <t>Waterford Unified</t>
  </si>
  <si>
    <t>Brittan Elementary</t>
  </si>
  <si>
    <t>East Nicolaus Joint Union High</t>
  </si>
  <si>
    <t>Franklin Elementary</t>
  </si>
  <si>
    <t>Live Oak Unified</t>
  </si>
  <si>
    <t>Marcum-Illinois Union Elementary</t>
  </si>
  <si>
    <t>Nuestro Elementary</t>
  </si>
  <si>
    <t>Pleasant Grove Joint Union</t>
  </si>
  <si>
    <t>Sutter Union High</t>
  </si>
  <si>
    <t>Yuba City Unified</t>
  </si>
  <si>
    <t>Marysville Joint Unified</t>
  </si>
  <si>
    <t>Plumas Lake Elementary</t>
  </si>
  <si>
    <t>Antelope Elementary</t>
  </si>
  <si>
    <t>Corning Union Elementary</t>
  </si>
  <si>
    <t>Corning Union High</t>
  </si>
  <si>
    <t>Evergreen Union</t>
  </si>
  <si>
    <t>Los Molinos Unified</t>
  </si>
  <si>
    <t>Red Bluff Union Elementary</t>
  </si>
  <si>
    <t>Red Bluff Joint Union High</t>
  </si>
  <si>
    <t>Trinity Alps Unified</t>
  </si>
  <si>
    <t>Alpaugh Unified</t>
  </si>
  <si>
    <t>Alta Vista Elementary</t>
  </si>
  <si>
    <t>Burton Elementary</t>
  </si>
  <si>
    <t>Cutler-Orosi Joint Unified</t>
  </si>
  <si>
    <t>Earlimart Elementary</t>
  </si>
  <si>
    <t>Kings River Union Elementary</t>
  </si>
  <si>
    <t>Lindsay Unified</t>
  </si>
  <si>
    <t>Monson-Sultana Joint Union Elementary</t>
  </si>
  <si>
    <t>Oak Valley Union Elementary</t>
  </si>
  <si>
    <t>Palo Verde Union Elementary</t>
  </si>
  <si>
    <t>Pixley Union Elementary</t>
  </si>
  <si>
    <t>Richgrove Elementary</t>
  </si>
  <si>
    <t>Strathmore Union Elementary</t>
  </si>
  <si>
    <t>Sundale Union Elementary</t>
  </si>
  <si>
    <t>Terra Bella Union Elementary</t>
  </si>
  <si>
    <t>Three Rivers Union Elementary</t>
  </si>
  <si>
    <t>Tipton Elementary</t>
  </si>
  <si>
    <t>Traver Joint Elementary</t>
  </si>
  <si>
    <t>Tulare City</t>
  </si>
  <si>
    <t>Tulare Joint Union High</t>
  </si>
  <si>
    <t>Visalia Unified</t>
  </si>
  <si>
    <t>Waukena Joint Union Elementary</t>
  </si>
  <si>
    <t>Farmersville Unified</t>
  </si>
  <si>
    <t>Porterville Unified</t>
  </si>
  <si>
    <t>Dinuba Unified</t>
  </si>
  <si>
    <t>Woodlake Unified</t>
  </si>
  <si>
    <t>Exeter Unified</t>
  </si>
  <si>
    <t>Belleview Elementary</t>
  </si>
  <si>
    <t>Columbia Union</t>
  </si>
  <si>
    <t>Curtis Creek Elementary</t>
  </si>
  <si>
    <t>Jamestown Elementary</t>
  </si>
  <si>
    <t>Sonora Elementary</t>
  </si>
  <si>
    <t>Sonora Union High</t>
  </si>
  <si>
    <t>Soulsbyville Elementary</t>
  </si>
  <si>
    <t>Summerville Elementary</t>
  </si>
  <si>
    <t>Summerville Union High</t>
  </si>
  <si>
    <t>Twain Harte</t>
  </si>
  <si>
    <t>Big Oak Flat-Groveland Unified</t>
  </si>
  <si>
    <t>Briggs Elementary</t>
  </si>
  <si>
    <t>Fillmore Unified</t>
  </si>
  <si>
    <t>Hueneme Elementary</t>
  </si>
  <si>
    <t>Ojai Unified</t>
  </si>
  <si>
    <t>Oxnard</t>
  </si>
  <si>
    <t>Oxnard Union High</t>
  </si>
  <si>
    <t>Pleasant Valley</t>
  </si>
  <si>
    <t>Rio Elementary</t>
  </si>
  <si>
    <t>Simi Valley Unified</t>
  </si>
  <si>
    <t>Somis Union</t>
  </si>
  <si>
    <t>Ventura Unified</t>
  </si>
  <si>
    <t>Oak Park Unified</t>
  </si>
  <si>
    <t>Moorpark Unified</t>
  </si>
  <si>
    <t>Santa Paula Unified</t>
  </si>
  <si>
    <t>Davis Joint Unified</t>
  </si>
  <si>
    <t>Esparto Unified</t>
  </si>
  <si>
    <t>Winters Joint Unified</t>
  </si>
  <si>
    <t>Woodland Joint Unified</t>
  </si>
  <si>
    <t>Wheatland</t>
  </si>
  <si>
    <t>Wheatland Union High</t>
  </si>
  <si>
    <t>A-1.3</t>
  </si>
  <si>
    <t>A-1.4</t>
  </si>
  <si>
    <t>A-2.3</t>
  </si>
  <si>
    <t>A-2.4</t>
  </si>
  <si>
    <t>DI Count</t>
  </si>
  <si>
    <r>
      <rPr>
        <b/>
        <sz val="11"/>
        <rFont val="Calibri"/>
        <family val="2"/>
        <scheme val="minor"/>
      </rPr>
      <t>Instructions tab</t>
    </r>
    <r>
      <rPr>
        <sz val="11"/>
        <rFont val="Calibri"/>
        <family val="2"/>
        <scheme val="minor"/>
      </rPr>
      <t xml:space="preserve">: </t>
    </r>
  </si>
  <si>
    <t>PY2 (2019-20) &amp; PY1 (2020-21) from COG PASE File all projection years based on COLA Addition</t>
  </si>
  <si>
    <t>Source: 'LCFF Calc. PASE File - PY2 (2019-20) &amp; PY1 (2020-21) all subsequent based on COLA Addition</t>
  </si>
  <si>
    <t>Formula = Rows +56 -66 -76 +86 or (A-1)-(A-2)-(A-3)+(A-4)+(A-5)+(A-6)</t>
  </si>
  <si>
    <t>3-yr rolling %</t>
  </si>
  <si>
    <t>B-1.3</t>
  </si>
  <si>
    <t>B-1.4</t>
  </si>
  <si>
    <t>B-1.5</t>
  </si>
  <si>
    <t>B-2.3</t>
  </si>
  <si>
    <t>B-2.4</t>
  </si>
  <si>
    <t>B-2.5</t>
  </si>
  <si>
    <t>B-3.3</t>
  </si>
  <si>
    <t>B-3.4</t>
  </si>
  <si>
    <t>B-3.5</t>
  </si>
  <si>
    <t>B-4.3</t>
  </si>
  <si>
    <t>B-4.4</t>
  </si>
  <si>
    <t>B-4.5</t>
  </si>
  <si>
    <t>B-5.3</t>
  </si>
  <si>
    <t>B-5.4</t>
  </si>
  <si>
    <t>B-5.5</t>
  </si>
  <si>
    <t>B-6.3</t>
  </si>
  <si>
    <t>B-6.4</t>
  </si>
  <si>
    <t>B-6.5</t>
  </si>
  <si>
    <t>Funding Rate Applied</t>
  </si>
  <si>
    <t>Total Program ADA</t>
  </si>
  <si>
    <t>DR-1</t>
  </si>
  <si>
    <t>Total Transfer for District of Residence
C-7</t>
  </si>
  <si>
    <t>Total ADA Used for Transfer of Funds</t>
  </si>
  <si>
    <t>ADA for
County Community Schools
(B-1)</t>
  </si>
  <si>
    <t>ADA for
Special Education - Special Day Class
(B-2)</t>
  </si>
  <si>
    <t>ADA for
Special Education - NPS/LCI
(B-3)</t>
  </si>
  <si>
    <t>ADA for
Extended Year Special Education
(B-4)</t>
  </si>
  <si>
    <t>ADA for Other County Operated Programs
(B-5)</t>
  </si>
  <si>
    <t>ADA for
County School Tuition Fund (Out-of-State Tuition)
(B-6)</t>
  </si>
  <si>
    <t>LCFF Rate
(A-1)</t>
  </si>
  <si>
    <t>Alternative Rate
(A-2)</t>
  </si>
  <si>
    <t>Total Transfer ADA</t>
  </si>
  <si>
    <r>
      <rPr>
        <b/>
        <sz val="11"/>
        <color rgb="FFFF0000"/>
        <rFont val="Calibri"/>
        <family val="2"/>
        <scheme val="minor"/>
      </rPr>
      <t>CALPADS</t>
    </r>
    <r>
      <rPr>
        <b/>
        <sz val="11"/>
        <rFont val="Calibri"/>
        <family val="2"/>
        <scheme val="minor"/>
      </rPr>
      <t xml:space="preserve"> Enrollment (</t>
    </r>
    <r>
      <rPr>
        <b/>
        <i/>
        <sz val="11"/>
        <rFont val="Calibri"/>
        <family val="2"/>
        <scheme val="minor"/>
      </rPr>
      <t>Inclusive of juvenile court schools enrollment</t>
    </r>
    <r>
      <rPr>
        <b/>
        <sz val="11"/>
        <rFont val="Calibri"/>
        <family val="2"/>
        <scheme val="minor"/>
      </rPr>
      <t>)</t>
    </r>
  </si>
  <si>
    <t>https://www.cde.ca.gov/fg/aa/pa/epa.asp</t>
  </si>
  <si>
    <t>join col A &amp; F</t>
  </si>
  <si>
    <t>join col A &amp; C</t>
  </si>
  <si>
    <t>Testing</t>
  </si>
  <si>
    <t>Keep for</t>
  </si>
  <si>
    <t>Cells I:N 3</t>
  </si>
  <si>
    <t>( d ) Alternative Education Grant Funding Rates [EC 2574(c)]</t>
  </si>
  <si>
    <t>( b ) County Operations Grant Funding Rates [EC 2574(a)(3)]</t>
  </si>
  <si>
    <t xml:space="preserve">( c ) Supplemental &amp; Concentration Grant Funding Factors </t>
  </si>
  <si>
    <t>calc</t>
  </si>
  <si>
    <t xml:space="preserve">Source: 'County Office Local Revenue PASE File </t>
  </si>
  <si>
    <r>
      <t xml:space="preserve">Formula = CS COE funded Enrollment less audit adj for </t>
    </r>
    <r>
      <rPr>
        <u/>
        <sz val="10"/>
        <rFont val="Calibri"/>
        <family val="2"/>
        <scheme val="minor"/>
      </rPr>
      <t>charter served/COE funded non-JCS</t>
    </r>
    <r>
      <rPr>
        <sz val="10"/>
        <rFont val="Calibri"/>
        <family val="2"/>
        <scheme val="minor"/>
      </rPr>
      <t xml:space="preserve"> </t>
    </r>
  </si>
  <si>
    <r>
      <t xml:space="preserve">Formula = COE Funded juvenile CS Enrollment less audit adj </t>
    </r>
    <r>
      <rPr>
        <u/>
        <sz val="10"/>
        <rFont val="Calibri"/>
        <family val="2"/>
        <scheme val="minor"/>
      </rPr>
      <t>COE funded JCS</t>
    </r>
    <r>
      <rPr>
        <sz val="10"/>
        <rFont val="Calibri"/>
        <family val="2"/>
        <scheme val="minor"/>
      </rPr>
      <t xml:space="preserve"> </t>
    </r>
  </si>
  <si>
    <r>
      <t xml:space="preserve">Formula = Total Enrollment less audit adj for </t>
    </r>
    <r>
      <rPr>
        <u/>
        <sz val="10"/>
        <rFont val="Calibri"/>
        <family val="2"/>
        <scheme val="minor"/>
      </rPr>
      <t>COE funded non-JCS</t>
    </r>
    <r>
      <rPr>
        <sz val="10"/>
        <rFont val="Calibri"/>
        <family val="2"/>
        <scheme val="minor"/>
      </rPr>
      <t xml:space="preserve"> &amp; </t>
    </r>
    <r>
      <rPr>
        <u/>
        <sz val="10"/>
        <rFont val="Calibri"/>
        <family val="2"/>
        <scheme val="minor"/>
      </rPr>
      <t>charter served/COE funded non-JCS</t>
    </r>
    <r>
      <rPr>
        <sz val="10"/>
        <rFont val="Calibri"/>
        <family val="2"/>
        <scheme val="minor"/>
      </rPr>
      <t xml:space="preserve"> </t>
    </r>
  </si>
  <si>
    <t>County Funding Based on Districts Identified for Differentiated Assistance (County Funding)</t>
  </si>
  <si>
    <t>Count of Small School Districts</t>
  </si>
  <si>
    <t>Count of Medium Districts</t>
  </si>
  <si>
    <t>Count of Large Districts</t>
  </si>
  <si>
    <t>Second Prior Year</t>
  </si>
  <si>
    <t>Prior Year</t>
  </si>
  <si>
    <t>D-1.2</t>
  </si>
  <si>
    <t>D-1.1</t>
  </si>
  <si>
    <t>Small School District Allowance</t>
  </si>
  <si>
    <t>Medium School District Allowance</t>
  </si>
  <si>
    <t>Large School District Allowance</t>
  </si>
  <si>
    <t>Total School District Allowance</t>
  </si>
  <si>
    <t>County Base Allowance</t>
  </si>
  <si>
    <t>Adjusted School District Allowance</t>
  </si>
  <si>
    <t>Projected</t>
  </si>
  <si>
    <t>( f ) UNDUPLICATED PUPIL PERCENTAGE FOR COUNTY FUNDED NON-JUVENILE COURT SCHOOL STUDENTS [EC 2574(c)(4)(A)]</t>
  </si>
  <si>
    <t>( 4 )  ATTENDANCE DATA</t>
  </si>
  <si>
    <t>COUNT OF SCHOOL DISTRICTS IDENTIFIED FOR DIFFERENTIATED ASSISTANCE</t>
  </si>
  <si>
    <t>COE Tfr</t>
  </si>
  <si>
    <t>Supplemental tabs:</t>
  </si>
  <si>
    <r>
      <rPr>
        <b/>
        <sz val="11"/>
        <rFont val="Calibri"/>
        <family val="2"/>
        <scheme val="minor"/>
      </rPr>
      <t xml:space="preserve">Calculation and results tabs: </t>
    </r>
  </si>
  <si>
    <r>
      <rPr>
        <b/>
        <sz val="11"/>
        <rFont val="Calibri"/>
        <family val="2"/>
        <scheme val="minor"/>
      </rPr>
      <t xml:space="preserve">Data entry tab: </t>
    </r>
    <r>
      <rPr>
        <sz val="11"/>
        <rFont val="Calibri"/>
        <family val="2"/>
        <scheme val="minor"/>
      </rPr>
      <t xml:space="preserve"> </t>
    </r>
  </si>
  <si>
    <t>G43</t>
  </si>
  <si>
    <t>H43</t>
  </si>
  <si>
    <t>I43</t>
  </si>
  <si>
    <t>DE G43</t>
  </si>
  <si>
    <t>DE G44</t>
  </si>
  <si>
    <t>G50-102</t>
  </si>
  <si>
    <t>I52-102</t>
  </si>
  <si>
    <t>H52-102</t>
  </si>
  <si>
    <t>DE G50</t>
  </si>
  <si>
    <t>DE G51</t>
  </si>
  <si>
    <t>DE G90</t>
  </si>
  <si>
    <t>A-1.2, A-5.2</t>
  </si>
  <si>
    <t>A-1.1, A-5.1</t>
  </si>
  <si>
    <t>A-1, A-5</t>
  </si>
  <si>
    <t>B-1.2, B-5.2</t>
  </si>
  <si>
    <t>B-1.1, B-5.1</t>
  </si>
  <si>
    <t>B-1, B-5</t>
  </si>
  <si>
    <t>DE G-I 52</t>
  </si>
  <si>
    <t>DE G60</t>
  </si>
  <si>
    <t>DE G-I 61</t>
  </si>
  <si>
    <t>DE G-I 79</t>
  </si>
  <si>
    <t>DE G86</t>
  </si>
  <si>
    <t>DE G-I 88</t>
  </si>
  <si>
    <t>DE G-I 56</t>
  </si>
  <si>
    <t>DE G81</t>
  </si>
  <si>
    <t>DE G82</t>
  </si>
  <si>
    <t>DE G-I 65</t>
  </si>
  <si>
    <t>DE G-I 83</t>
  </si>
  <si>
    <t>DE G91</t>
  </si>
  <si>
    <t>DE G-I 92</t>
  </si>
  <si>
    <t>DE G70</t>
  </si>
  <si>
    <t>DE G-I 70</t>
  </si>
  <si>
    <t>DE G-I 68</t>
  </si>
  <si>
    <t>DE G72</t>
  </si>
  <si>
    <t>DE G-I 74</t>
  </si>
  <si>
    <t>DE I-61</t>
  </si>
  <si>
    <t>DE I-52</t>
  </si>
  <si>
    <t>DE I-79</t>
  </si>
  <si>
    <t>DE I-88</t>
  </si>
  <si>
    <t>DE I-56</t>
  </si>
  <si>
    <t>DE I-65</t>
  </si>
  <si>
    <t>DE I-83</t>
  </si>
  <si>
    <t>DE I-92</t>
  </si>
  <si>
    <t>DE I-70</t>
  </si>
  <si>
    <t>DE I-74</t>
  </si>
  <si>
    <t>DE H-52</t>
  </si>
  <si>
    <t>DE H-61</t>
  </si>
  <si>
    <t>DE H-79</t>
  </si>
  <si>
    <t>DE H-88</t>
  </si>
  <si>
    <t>DE H-56</t>
  </si>
  <si>
    <t>DE H-65</t>
  </si>
  <si>
    <t>DE H-83</t>
  </si>
  <si>
    <t>DE H-92</t>
  </si>
  <si>
    <t>DE H-70</t>
  </si>
  <si>
    <t>DE H-74</t>
  </si>
  <si>
    <t>(DE=Data Entry)</t>
  </si>
  <si>
    <t>Current year only</t>
  </si>
  <si>
    <t>Three years CY, PY1 &amp; PY2</t>
  </si>
  <si>
    <t>DE G110</t>
  </si>
  <si>
    <t>DE G111</t>
  </si>
  <si>
    <t>DE G112</t>
  </si>
  <si>
    <t>DE G113</t>
  </si>
  <si>
    <t>DE G114</t>
  </si>
  <si>
    <t>DE G115</t>
  </si>
  <si>
    <t>DE G116</t>
  </si>
  <si>
    <t>DE G117</t>
  </si>
  <si>
    <t>DE G118</t>
  </si>
  <si>
    <t>DE G 22</t>
  </si>
  <si>
    <t>DE G 23</t>
  </si>
  <si>
    <t>DE G 24</t>
  </si>
  <si>
    <t>DE G 30</t>
  </si>
  <si>
    <t>DE H110</t>
  </si>
  <si>
    <t>DE H111</t>
  </si>
  <si>
    <t>DE H112</t>
  </si>
  <si>
    <t>DE H113</t>
  </si>
  <si>
    <t>DE H114</t>
  </si>
  <si>
    <t>DE H115</t>
  </si>
  <si>
    <t>DE H116</t>
  </si>
  <si>
    <t>DE H117</t>
  </si>
  <si>
    <t>DE H118</t>
  </si>
  <si>
    <t>DE H 22</t>
  </si>
  <si>
    <t>DE H 23</t>
  </si>
  <si>
    <t>DE H 24</t>
  </si>
  <si>
    <t>DE H 25</t>
  </si>
  <si>
    <t>DE H 27</t>
  </si>
  <si>
    <t>DE H 28</t>
  </si>
  <si>
    <t>DE H 30</t>
  </si>
  <si>
    <t>DE I 22</t>
  </si>
  <si>
    <t>DE I 23</t>
  </si>
  <si>
    <t>DE I 24</t>
  </si>
  <si>
    <t>DE I 25</t>
  </si>
  <si>
    <t>DE I 27</t>
  </si>
  <si>
    <t>DE I 28</t>
  </si>
  <si>
    <t>DE I 30</t>
  </si>
  <si>
    <t>DE I 118</t>
  </si>
  <si>
    <t>DE I 117</t>
  </si>
  <si>
    <t>DE I 110</t>
  </si>
  <si>
    <t>DE I 111</t>
  </si>
  <si>
    <t>DE I 112</t>
  </si>
  <si>
    <t>DE I 113</t>
  </si>
  <si>
    <t>DE I 114</t>
  </si>
  <si>
    <t>DE I 115</t>
  </si>
  <si>
    <t>DE I 116</t>
  </si>
  <si>
    <t>(DE= Data Entry)</t>
  </si>
  <si>
    <t>I110-118, I22-25, I27-28, I30</t>
  </si>
  <si>
    <t>H110-118, H22-25, H27-28, H31</t>
  </si>
  <si>
    <t>G110-118, G22-25, G27-28, G32</t>
  </si>
  <si>
    <t>COG A-1</t>
  </si>
  <si>
    <t>COG A-2</t>
  </si>
  <si>
    <t>COG A-3</t>
  </si>
  <si>
    <t>COG A-4</t>
  </si>
  <si>
    <t>COG A-5</t>
  </si>
  <si>
    <t>COG A-6</t>
  </si>
  <si>
    <t>COG A-7</t>
  </si>
  <si>
    <t>COG A-8</t>
  </si>
  <si>
    <t>COG A-9</t>
  </si>
  <si>
    <t>CALC A-2</t>
  </si>
  <si>
    <t>CALC A-3</t>
  </si>
  <si>
    <t>CALC A-5</t>
  </si>
  <si>
    <t>CALC A-6</t>
  </si>
  <si>
    <t>Diff Asst D-1</t>
  </si>
  <si>
    <t>Diff Asst D-2</t>
  </si>
  <si>
    <t>Diff Asst D-3</t>
  </si>
  <si>
    <t>COG A-13</t>
  </si>
  <si>
    <t>COG A-23</t>
  </si>
  <si>
    <t>COG A-18</t>
  </si>
  <si>
    <t>COG A-28</t>
  </si>
  <si>
    <t>COG B-2</t>
  </si>
  <si>
    <t>COG C-2</t>
  </si>
  <si>
    <t>COG C-3</t>
  </si>
  <si>
    <t>Calc A-10</t>
  </si>
  <si>
    <t>Calc W15</t>
  </si>
  <si>
    <t>Calc W16</t>
  </si>
  <si>
    <t>Calc W17</t>
  </si>
  <si>
    <t>DE I122</t>
  </si>
  <si>
    <t>DE I123</t>
  </si>
  <si>
    <t>DE I125</t>
  </si>
  <si>
    <t>DE I126</t>
  </si>
  <si>
    <t>DE I38</t>
  </si>
  <si>
    <t>Calc  T34 &amp; 35</t>
  </si>
  <si>
    <t>CY is based on EPA tab</t>
  </si>
  <si>
    <t>Calc  W51</t>
  </si>
  <si>
    <t>Calc  W46</t>
  </si>
  <si>
    <t>Calc  W40</t>
  </si>
  <si>
    <t>Calc  W39</t>
  </si>
  <si>
    <t>Calc  W36</t>
  </si>
  <si>
    <t>Calc  T55</t>
  </si>
  <si>
    <t>Calc  U55</t>
  </si>
  <si>
    <t>CY is based on Diff Asst tab</t>
  </si>
  <si>
    <t>Diff Asst I56</t>
  </si>
  <si>
    <t>DE H122</t>
  </si>
  <si>
    <t>DE H123</t>
  </si>
  <si>
    <t>DE H125</t>
  </si>
  <si>
    <t>DE H126</t>
  </si>
  <si>
    <t>DE H38</t>
  </si>
  <si>
    <t>Calc P15</t>
  </si>
  <si>
    <t>Calc P17</t>
  </si>
  <si>
    <t>Calc P36</t>
  </si>
  <si>
    <t>Calc  P39</t>
  </si>
  <si>
    <t>Calc  P40</t>
  </si>
  <si>
    <t>Calc  P46</t>
  </si>
  <si>
    <t>Calc  M34 &amp; 35</t>
  </si>
  <si>
    <t>Calc P48</t>
  </si>
  <si>
    <t>Calc  P51</t>
  </si>
  <si>
    <t>Calc  M55</t>
  </si>
  <si>
    <t>Calc N55</t>
  </si>
  <si>
    <t>Diff AsstP56</t>
  </si>
  <si>
    <t>DE G122</t>
  </si>
  <si>
    <t>DE G123</t>
  </si>
  <si>
    <t>DE G125</t>
  </si>
  <si>
    <t>DE G126</t>
  </si>
  <si>
    <t>DE G138</t>
  </si>
  <si>
    <t>Calc I15</t>
  </si>
  <si>
    <t>Calc I17</t>
  </si>
  <si>
    <t>Calc I36</t>
  </si>
  <si>
    <t>Calc  F34 &amp; 35</t>
  </si>
  <si>
    <t>Calc  I39</t>
  </si>
  <si>
    <t>Calc  I40</t>
  </si>
  <si>
    <t>Calc  I46</t>
  </si>
  <si>
    <t>Calc I48</t>
  </si>
  <si>
    <t>Calc  i51</t>
  </si>
  <si>
    <t>Calc f55</t>
  </si>
  <si>
    <t>Calc  g55</t>
  </si>
  <si>
    <t>Data Entry
Calculator
Differentiated Asst.</t>
  </si>
  <si>
    <t>H 122-123, 125-126,138
P 15-17, 36, 39-40, 46, 48, 51, 
M 34-35, N55
P 56</t>
  </si>
  <si>
    <t>G 122-123, 125-126,138
I 15-17, 36, 39-40, 46, 48, 51, 
F 34-35, U 55
I 56</t>
  </si>
  <si>
    <t>I 122-123, 125-126,138
W 15-17, 36, 39-40, 46, 51, 
T 34-35, G55</t>
  </si>
  <si>
    <t xml:space="preserve">Data Entry
Calculator
</t>
  </si>
  <si>
    <t>DE G131</t>
  </si>
  <si>
    <t>DE H131</t>
  </si>
  <si>
    <t>DE I131</t>
  </si>
  <si>
    <t>DE G132</t>
  </si>
  <si>
    <t>DE H132</t>
  </si>
  <si>
    <t>DE I132</t>
  </si>
  <si>
    <t>DE G133</t>
  </si>
  <si>
    <t>DE H133</t>
  </si>
  <si>
    <t>DE I133</t>
  </si>
  <si>
    <t xml:space="preserve">Calculator </t>
  </si>
  <si>
    <t>I, P &amp; W48</t>
  </si>
  <si>
    <t xml:space="preserve">D&amp;E 7,9,12,13,14 D18-19,22,24-25 </t>
  </si>
  <si>
    <t xml:space="preserve">F&amp;G 7,9,12,13,14 F18-19,22,24-25 </t>
  </si>
  <si>
    <t xml:space="preserve">H&amp;I 7,9,12,13,14 H18-19,22,24-25 </t>
  </si>
  <si>
    <t>Local Rev A-15</t>
  </si>
  <si>
    <t>Local Rev B-1 - FIXED per CDE</t>
  </si>
  <si>
    <t>A2, C2</t>
  </si>
  <si>
    <t>E1</t>
  </si>
  <si>
    <t>C1</t>
  </si>
  <si>
    <t>Differentiated Asst</t>
  </si>
  <si>
    <t xml:space="preserve">G1 </t>
  </si>
  <si>
    <t>COE Transfer</t>
  </si>
  <si>
    <t xml:space="preserve">D1 </t>
  </si>
  <si>
    <t xml:space="preserve">B1 </t>
  </si>
  <si>
    <t>G1</t>
  </si>
  <si>
    <t xml:space="preserve">version </t>
  </si>
  <si>
    <t>Many</t>
  </si>
  <si>
    <t>EPA F&amp;G7</t>
  </si>
  <si>
    <t>EPA F&amp;G9</t>
  </si>
  <si>
    <t>EPA F&amp;G12</t>
  </si>
  <si>
    <t>EPA F&amp;G13</t>
  </si>
  <si>
    <t>EPA F&amp;G14</t>
  </si>
  <si>
    <t>EPA F18</t>
  </si>
  <si>
    <t>EPA F19</t>
  </si>
  <si>
    <t>EPA F22</t>
  </si>
  <si>
    <t>EPA F24</t>
  </si>
  <si>
    <t>EPA F25</t>
  </si>
  <si>
    <t>EPA H&amp;I7</t>
  </si>
  <si>
    <t>EPA H&amp;I9</t>
  </si>
  <si>
    <t>EPA H&amp;I12</t>
  </si>
  <si>
    <t>EPA H&amp;I13</t>
  </si>
  <si>
    <t>EPA H&amp;I14</t>
  </si>
  <si>
    <t>EPA H18</t>
  </si>
  <si>
    <t>EPA H19</t>
  </si>
  <si>
    <t>EPA H22</t>
  </si>
  <si>
    <t>EPA H24</t>
  </si>
  <si>
    <t>EPA H25</t>
  </si>
  <si>
    <r>
      <t>EPA</t>
    </r>
    <r>
      <rPr>
        <sz val="8"/>
        <rFont val="Calibri"/>
        <family val="2"/>
        <scheme val="minor"/>
      </rPr>
      <t xml:space="preserve"> (for LCFF Calculation purposes)</t>
    </r>
    <r>
      <rPr>
        <sz val="10"/>
        <rFont val="Calibri"/>
        <family val="2"/>
        <scheme val="minor"/>
      </rPr>
      <t xml:space="preserve"> (Resource 1400 - Object Code 8012)</t>
    </r>
  </si>
  <si>
    <t>LCFF Rate - Col C</t>
  </si>
  <si>
    <t>Alt Rate - Col E</t>
  </si>
  <si>
    <t>Community Day Schools ADA - Col I</t>
  </si>
  <si>
    <t>Alt Rate? T/F - determines funding rate applied</t>
  </si>
  <si>
    <t>SPED Special Day Class - Col I</t>
  </si>
  <si>
    <t>SPED NPS/LCI - Col K</t>
  </si>
  <si>
    <t>SPED Extended Year - Col M</t>
  </si>
  <si>
    <t>Other County Op Programs - Col O</t>
  </si>
  <si>
    <t xml:space="preserve"> County School Tuition Fund (Out of State Tuition) - Col Q</t>
  </si>
  <si>
    <t>( 5 ) DIFFERENTIATED ASSISTANCE</t>
  </si>
  <si>
    <t>TOTAL LCFF FUNDING SOURCES</t>
  </si>
  <si>
    <t>'TOTAL LCFF STATE AID</t>
  </si>
  <si>
    <t>(c)</t>
  </si>
  <si>
    <t>(b)</t>
  </si>
  <si>
    <t xml:space="preserve">TOTAL LCFF ENTITLEMENT </t>
  </si>
  <si>
    <t>(a)</t>
  </si>
  <si>
    <t>(a+b+c)</t>
  </si>
  <si>
    <t>Development Notes</t>
  </si>
  <si>
    <t>Total County Transfer (Object 8710)</t>
  </si>
  <si>
    <t>Excess Taxes [EC 2578]</t>
  </si>
  <si>
    <t>Totals Check</t>
  </si>
  <si>
    <t>Total Local Revenue Sources (Object Codes 8021-8089):</t>
  </si>
  <si>
    <t>TOTAL ALL LCFF SOURCES</t>
  </si>
  <si>
    <t>LCFF SOURCES INCLUDING EXCESS TAX LIABILITY</t>
  </si>
  <si>
    <t>Total Transfer for ALL District's of Residence
C-7</t>
  </si>
  <si>
    <t>Summary of ALL District of Residence Transfers</t>
  </si>
  <si>
    <t>- Blank worksheet tabs</t>
  </si>
  <si>
    <t>February
Cert Data</t>
  </si>
  <si>
    <t>June
Cert Data</t>
  </si>
  <si>
    <t>AN R2</t>
  </si>
  <si>
    <t>PY1 EPA</t>
  </si>
  <si>
    <t>PY2 EPA</t>
  </si>
  <si>
    <t>PY3 EPA</t>
  </si>
  <si>
    <t>PY3 Calc</t>
  </si>
  <si>
    <t>PY3 COG</t>
  </si>
  <si>
    <r>
      <t>PY3 UPP (</t>
    </r>
    <r>
      <rPr>
        <sz val="10"/>
        <color rgb="FFFF0000"/>
        <rFont val="Calibri"/>
        <family val="2"/>
        <scheme val="minor"/>
      </rPr>
      <t>19/20</t>
    </r>
    <r>
      <rPr>
        <sz val="10"/>
        <rFont val="Calibri"/>
        <family val="2"/>
        <scheme val="minor"/>
      </rPr>
      <t>, 18/19, 17/18)</t>
    </r>
  </si>
  <si>
    <r>
      <t>PY2 UPP (</t>
    </r>
    <r>
      <rPr>
        <sz val="10"/>
        <color rgb="FFFF0000"/>
        <rFont val="Calibri"/>
        <family val="2"/>
        <scheme val="minor"/>
      </rPr>
      <t xml:space="preserve">20/21, 19/20, </t>
    </r>
    <r>
      <rPr>
        <sz val="10"/>
        <rFont val="Calibri"/>
        <family val="2"/>
        <scheme val="minor"/>
      </rPr>
      <t>18/19)</t>
    </r>
  </si>
  <si>
    <r>
      <t>PY1 UPP (</t>
    </r>
    <r>
      <rPr>
        <sz val="10"/>
        <color rgb="FFFF0000"/>
        <rFont val="Calibri"/>
        <family val="2"/>
        <scheme val="minor"/>
      </rPr>
      <t>21/22, 20/21, 19/20</t>
    </r>
    <r>
      <rPr>
        <sz val="10"/>
        <rFont val="Calibri"/>
        <family val="2"/>
        <scheme val="minor"/>
      </rPr>
      <t>)</t>
    </r>
  </si>
  <si>
    <t>PY3 Local Rev</t>
  </si>
  <si>
    <t>A-14</t>
  </si>
  <si>
    <t>Total Property Tax Revenues 
(Sum of A-1 through A-14)
A-14</t>
  </si>
  <si>
    <t>62+1</t>
  </si>
  <si>
    <t>U 62+1</t>
  </si>
  <si>
    <t>S 62+1</t>
  </si>
  <si>
    <t>k55+1</t>
  </si>
  <si>
    <t>calc check</t>
  </si>
  <si>
    <t>County+ District Count</t>
  </si>
  <si>
    <t>County+ District of Residence Code</t>
  </si>
  <si>
    <t>COE Transfers-Col D</t>
  </si>
  <si>
    <t>Per-ADA Transfer Rates:
Alternative Rate Reported by COE
Grades TK/K-3 
 A-2</t>
  </si>
  <si>
    <t>Hayward Unified</t>
  </si>
  <si>
    <t>Piedmont City Unified</t>
  </si>
  <si>
    <t>Latrobe</t>
  </si>
  <si>
    <t>Clay Joint Elementary</t>
  </si>
  <si>
    <t>Kit Carson Union Elementary</t>
  </si>
  <si>
    <t>Fort Sage Unified</t>
  </si>
  <si>
    <t>Laytonville Unified</t>
  </si>
  <si>
    <t>San Lucas Union Elementary</t>
  </si>
  <si>
    <t>East Whittier City Elementary</t>
  </si>
  <si>
    <t>Encinitas Union Elementary</t>
  </si>
  <si>
    <t>Lemon Grove</t>
  </si>
  <si>
    <t>Banta Unified</t>
  </si>
  <si>
    <t>Orcutt Union Elementary</t>
  </si>
  <si>
    <t>Loma Prieta Joint Union Elementary</t>
  </si>
  <si>
    <t>Grant Elementary</t>
  </si>
  <si>
    <t>Shiloh Elementary</t>
  </si>
  <si>
    <t>June 2020</t>
  </si>
  <si>
    <t>Version 23.1 released April 2022</t>
  </si>
  <si>
    <r>
      <t xml:space="preserve">2021-22 Third Quarter Certifications [2021-22 (P2), 2020-21 (AN R1), 2019-20 (AN R3) </t>
    </r>
    <r>
      <rPr>
        <sz val="10"/>
        <color rgb="FFFF0000"/>
        <rFont val="Calibri"/>
        <family val="2"/>
        <scheme val="minor"/>
      </rPr>
      <t>June 2022 Certs</t>
    </r>
    <r>
      <rPr>
        <sz val="10"/>
        <color theme="0"/>
        <rFont val="Calibri"/>
        <family val="2"/>
        <scheme val="minor"/>
      </rPr>
      <t>]</t>
    </r>
  </si>
  <si>
    <t>Source: County Funding Based on Districts Identified For Differentiated Assistance</t>
  </si>
  <si>
    <t>State Aid Differentiated Assistance</t>
  </si>
  <si>
    <t>County Funding Based on Districts Identified For Differentiated Assistance</t>
  </si>
  <si>
    <t>For Testing</t>
  </si>
  <si>
    <t xml:space="preserve">https://www.cde.ca.gov/fg/aa/pa/epaltr21q3.asp </t>
  </si>
  <si>
    <t>Third Prior Year</t>
  </si>
  <si>
    <t>LCFF
A-33</t>
  </si>
  <si>
    <t>Local
D-2</t>
  </si>
  <si>
    <t>Excess Tax
D-4</t>
  </si>
  <si>
    <t>EPA
D-5</t>
  </si>
  <si>
    <t>MSA ASA
D-8</t>
  </si>
  <si>
    <r>
      <t xml:space="preserve">Count of Small School Districts (count of all C-1 = </t>
    </r>
    <r>
      <rPr>
        <b/>
        <sz val="12"/>
        <color rgb="FFFF0000"/>
        <rFont val="Arial"/>
        <family val="2"/>
      </rPr>
      <t>SMALL</t>
    </r>
    <r>
      <rPr>
        <b/>
        <sz val="12"/>
        <color theme="0"/>
        <rFont val="Arial"/>
        <family val="2"/>
      </rPr>
      <t>) 
PY2
D-1</t>
    </r>
  </si>
  <si>
    <r>
      <t xml:space="preserve">Count of Small School Districts (count of all C-1 = </t>
    </r>
    <r>
      <rPr>
        <b/>
        <sz val="12"/>
        <color rgb="FFFF0000"/>
        <rFont val="Arial"/>
        <family val="2"/>
      </rPr>
      <t>SMALL</t>
    </r>
    <r>
      <rPr>
        <b/>
        <sz val="12"/>
        <color theme="0"/>
        <rFont val="Arial"/>
        <family val="2"/>
      </rPr>
      <t>) 
PY
D-1</t>
    </r>
  </si>
  <si>
    <r>
      <t xml:space="preserve">Count of Small School Districts (count of all C-1 = </t>
    </r>
    <r>
      <rPr>
        <b/>
        <sz val="12"/>
        <color rgb="FFFF0000"/>
        <rFont val="Arial"/>
        <family val="2"/>
      </rPr>
      <t>SMALL</t>
    </r>
    <r>
      <rPr>
        <b/>
        <sz val="12"/>
        <color theme="0"/>
        <rFont val="Arial"/>
        <family val="2"/>
      </rPr>
      <t>) 
CY
D-1</t>
    </r>
  </si>
  <si>
    <r>
      <t xml:space="preserve">Count of Small School Districts (count of all C-1 = </t>
    </r>
    <r>
      <rPr>
        <b/>
        <sz val="12"/>
        <color rgb="FFFF0000"/>
        <rFont val="Arial"/>
        <family val="2"/>
      </rPr>
      <t>MEDIUM</t>
    </r>
    <r>
      <rPr>
        <b/>
        <sz val="12"/>
        <color theme="0"/>
        <rFont val="Arial"/>
        <family val="2"/>
      </rPr>
      <t>) 
PY2
D-2</t>
    </r>
  </si>
  <si>
    <r>
      <t xml:space="preserve">Count of Small School Districts (count of all C-1 = </t>
    </r>
    <r>
      <rPr>
        <b/>
        <sz val="12"/>
        <color rgb="FFFF0000"/>
        <rFont val="Arial"/>
        <family val="2"/>
      </rPr>
      <t>MEDIUM</t>
    </r>
    <r>
      <rPr>
        <b/>
        <sz val="12"/>
        <color theme="0"/>
        <rFont val="Arial"/>
        <family val="2"/>
      </rPr>
      <t>) 
PY
D-2</t>
    </r>
  </si>
  <si>
    <r>
      <t xml:space="preserve">Count of Small School Districts (count of all C-1 = </t>
    </r>
    <r>
      <rPr>
        <b/>
        <sz val="12"/>
        <color rgb="FFFF0000"/>
        <rFont val="Arial"/>
        <family val="2"/>
      </rPr>
      <t>MEDIUM</t>
    </r>
    <r>
      <rPr>
        <b/>
        <sz val="12"/>
        <color theme="0"/>
        <rFont val="Arial"/>
        <family val="2"/>
      </rPr>
      <t>) 
CY
D-2</t>
    </r>
  </si>
  <si>
    <r>
      <t xml:space="preserve">Count of Small School Districts (count of all C-1 = </t>
    </r>
    <r>
      <rPr>
        <b/>
        <sz val="12"/>
        <color rgb="FFFF0000"/>
        <rFont val="Arial"/>
        <family val="2"/>
      </rPr>
      <t>LARGE</t>
    </r>
    <r>
      <rPr>
        <b/>
        <sz val="12"/>
        <color theme="0"/>
        <rFont val="Arial"/>
        <family val="2"/>
      </rPr>
      <t>) 
PY2
D-3</t>
    </r>
  </si>
  <si>
    <r>
      <t xml:space="preserve">Count of Small School Districts (count of all C-1 = </t>
    </r>
    <r>
      <rPr>
        <b/>
        <sz val="12"/>
        <color rgb="FFFF0000"/>
        <rFont val="Arial"/>
        <family val="2"/>
      </rPr>
      <t>LARGE</t>
    </r>
    <r>
      <rPr>
        <b/>
        <sz val="12"/>
        <color theme="0"/>
        <rFont val="Arial"/>
        <family val="2"/>
      </rPr>
      <t>) 
PY
D-3</t>
    </r>
  </si>
  <si>
    <r>
      <t xml:space="preserve">Count of Small School Districts (count of all C-1 = </t>
    </r>
    <r>
      <rPr>
        <b/>
        <sz val="12"/>
        <color rgb="FFFF0000"/>
        <rFont val="Arial"/>
        <family val="2"/>
      </rPr>
      <t>LARGE</t>
    </r>
    <r>
      <rPr>
        <b/>
        <sz val="12"/>
        <color theme="0"/>
        <rFont val="Arial"/>
        <family val="2"/>
      </rPr>
      <t>) 
CY
D-3</t>
    </r>
  </si>
  <si>
    <t>Fund on Target Entitlement</t>
  </si>
  <si>
    <t>Fund on Target Entitlement
B-2</t>
  </si>
  <si>
    <t>Calc W43</t>
  </si>
  <si>
    <t>Calc P43</t>
  </si>
  <si>
    <t>Calc I43</t>
  </si>
  <si>
    <t xml:space="preserve">PY1 </t>
  </si>
  <si>
    <t>Diff Asst.</t>
  </si>
  <si>
    <t>Print Set</t>
  </si>
  <si>
    <t>Cell Protect</t>
  </si>
  <si>
    <t>Tab Protect</t>
  </si>
  <si>
    <t>Spell Ck</t>
  </si>
  <si>
    <t xml:space="preserve">The Education Protection Account (EPA) proportionate share percentage is based on estimates released by the CDE that are not yet finalized. Therefore, the percentage will change from what is shown in the calculator through final calculation in February of the following fiscal year. 
</t>
  </si>
  <si>
    <t>- Provides general instructions and other important projection information and should be reviewed with each update.</t>
  </si>
  <si>
    <t>- Provide detailed calculations and results summaries only</t>
  </si>
  <si>
    <r>
      <t xml:space="preserve">- </t>
    </r>
    <r>
      <rPr>
        <b/>
        <sz val="11"/>
        <rFont val="Calibri"/>
        <family val="2"/>
      </rPr>
      <t>Differentiated Assistance Tab</t>
    </r>
    <r>
      <rPr>
        <sz val="11"/>
        <rFont val="Calibri"/>
        <family val="2"/>
      </rPr>
      <t xml:space="preserve">: Provides detailed supplemental calculations for LCFF for applicable LEAs
- </t>
    </r>
    <r>
      <rPr>
        <b/>
        <sz val="11"/>
        <rFont val="Calibri"/>
        <family val="2"/>
      </rPr>
      <t>COE Transfers Tab</t>
    </r>
    <r>
      <rPr>
        <sz val="11"/>
        <rFont val="Calibri"/>
        <family val="2"/>
      </rPr>
      <t>: Provides detailed calculations for each resident district. Some prepopulated data may be overridden in this tab if more current information is known.</t>
    </r>
  </si>
  <si>
    <t>Tab Description:</t>
  </si>
  <si>
    <t>(Select YES/NO from drop down list)</t>
  </si>
  <si>
    <t>COE Transfers</t>
  </si>
  <si>
    <t>Done (except instructions and caveats)</t>
  </si>
  <si>
    <t>Every effort was made to make the calculator as accurate as possible. However, because the calculator is based on estimates and assumptions, actual Local Control Funding Formula (LCFF) funding may differ from the amounts generated by the calculator. In some cases, LEA-specific and unique complexities may result in errors.</t>
  </si>
  <si>
    <t xml:space="preserve">The calculator prepopulates with certified data provided by the California Department of Education (CDE) for the calculation of principal apportionment. Users should independently verify prefilled data, and should make adjustments as needed if revisions have been filed.
</t>
  </si>
  <si>
    <t xml:space="preserve">The COE LCFF Calculator structure has been built to maintain a standard eight-year structure that includes two historical years, one current year and five projection years. </t>
  </si>
  <si>
    <t>- Editable cells are highlighted in yellow, all other cells are protected to ensure the integrity of calculations and functionality, 
- The calculator prepopulates with the most current CDE certified data for the current and historical fiscal years. Prepopulated data in accessible cells can be overridden if more 
   current data is available. 
- Projection year data entry sections require data entry.</t>
  </si>
  <si>
    <r>
      <rPr>
        <b/>
        <sz val="11"/>
        <rFont val="Calibri"/>
        <family val="2"/>
        <scheme val="minor"/>
      </rPr>
      <t>County Transfers Tab</t>
    </r>
    <r>
      <rPr>
        <sz val="11"/>
        <rFont val="Calibri"/>
        <family val="2"/>
        <scheme val="minor"/>
      </rPr>
      <t>: Review prepopulated data and update as needed. Enter projection year estimates.</t>
    </r>
  </si>
  <si>
    <t>CDE exhibit guides, visit:</t>
  </si>
  <si>
    <t>CDE funding rates and information, visit:</t>
  </si>
  <si>
    <t>- Version 23.1b - Corrected formula in Cell E42 on Summary Tab - 22-23 LCAP % to Increase-Improve Services. Corrected formula in cells I13-M13 on EPA tab to pull from correct fiscal years on Data Entry tab (estimated annual EPA s/b based on actual annual tax collections).
- Version 23.1a (4-1-22) - Updated to unprotect the differentiated assistance drop down list.</t>
  </si>
  <si>
    <t>Version 23.1a &amp; b</t>
  </si>
  <si>
    <t>- Version 23.1e - Corrected formula on EPA tab cells H13:N13 to reference property taxes on Data Entry tab row 46 (net of SPED share) rather than 43 (gross tax) 
- Version 23.1d - Corrected formula on Calculator tab cells W48 Property Tax and W50 EPA to defer to the data entry tab rather than 2021-22 certified data to allow for updates after certification. 
- Version 23.1c - Modified formulas on the Calculator tab cells W48 (Property Tax) and W50 (EPA). The formula changes only impact fiscal year 2021-22 calculations. Changes were necessary to allow for revisions to data elements as the year progresses, rather than pulling certified data from the 
                              2021-22 exhibit data file.</t>
  </si>
  <si>
    <t>Version 23.1c, d &amp; e</t>
  </si>
  <si>
    <t>(ADA 2,499 or less)</t>
  </si>
  <si>
    <t>(ADA 2,500-9,999  )</t>
  </si>
  <si>
    <t>(ADA 10,000 +         )</t>
  </si>
  <si>
    <t>Total Alternative Grant ADA</t>
  </si>
  <si>
    <t>Charter School Allowance</t>
  </si>
  <si>
    <t>Count of Charter Schools</t>
  </si>
  <si>
    <t>Total Charter School Allowance</t>
  </si>
  <si>
    <t>Version 23.1f</t>
  </si>
  <si>
    <t>Total LCFF Target Entitlement (Excluding Add-ons)</t>
  </si>
  <si>
    <t>The LCFF Calculator is generally updated twice a year, once in the second quarter and once in the third quarter.
      • The second quarter release updates the prepopulated data certified by the CDE for the first principal apportionment (P-1), annual principal apportionment (Annual) and annual principal apportionment revision 2 (Annual R2) 
         certification data. This data is released by the CDE in late February each year. The updated version of the LCFF Calculator is typically released in May following the release of the Governor's May Revision.
     • The third quarter release updates the prepopulated data certified by the CDE for the second principal apportionment (P-2), annual principal apportionment revision 1 (Annual R1), and annual principal apportionment revision 3 
         (Annual R3) certification data. This data is typically released by the CDE in late June of each year. The updated version of the LCFF Calculator is typically released in late July and incorporates changes to assumptions based on the 
        state enacted budget.</t>
  </si>
  <si>
    <r>
      <rPr>
        <b/>
        <sz val="11"/>
        <rFont val="Calibri"/>
        <family val="2"/>
        <scheme val="minor"/>
      </rPr>
      <t xml:space="preserve">Data Entry tab: </t>
    </r>
    <r>
      <rPr>
        <sz val="11"/>
        <rFont val="Calibri"/>
        <family val="2"/>
        <scheme val="minor"/>
      </rPr>
      <t xml:space="preserve">All data entry for all LCFF calculations is entered into the Data Entry tab.  Start a calculation by entering the two-digit county code. Once the county code is entered the LEA will be identified and 
                                historical year certified data will prepopulate. 
</t>
    </r>
    <r>
      <rPr>
        <b/>
        <sz val="11"/>
        <rFont val="Calibri"/>
        <family val="2"/>
        <scheme val="minor"/>
      </rPr>
      <t xml:space="preserve">
   - Section (1) Universal Assumptions</t>
    </r>
    <r>
      <rPr>
        <sz val="11"/>
        <rFont val="Calibri"/>
        <family val="2"/>
        <scheme val="minor"/>
      </rPr>
      <t xml:space="preserve">: Prepopulated assumptions are based on the most current data released by the Department of Finance and the California Department of Education. 
          • Users may override prepopulated assumptions to update with more current known data or to prepare alternative funding scenarios. Once prepopulated data is overridden it cannot be restored.
          • Users should review and update prepopulated COLA and EPA rate assumptions between FCMAT updates.
</t>
    </r>
    <r>
      <rPr>
        <b/>
        <sz val="11"/>
        <rFont val="Calibri"/>
        <family val="2"/>
        <scheme val="minor"/>
      </rPr>
      <t xml:space="preserve">
   - Section (2) Local Revenue: </t>
    </r>
    <r>
      <rPr>
        <sz val="11"/>
        <rFont val="Calibri"/>
        <family val="2"/>
        <scheme val="minor"/>
      </rPr>
      <t xml:space="preserve">Review prepopulated data and update as needed. Enter projection year estimates.
</t>
    </r>
    <r>
      <rPr>
        <b/>
        <sz val="11"/>
        <rFont val="Calibri"/>
        <family val="2"/>
        <scheme val="minor"/>
      </rPr>
      <t xml:space="preserve">   - Section (3) Enrollment: </t>
    </r>
    <r>
      <rPr>
        <sz val="11"/>
        <rFont val="Calibri"/>
        <family val="2"/>
        <scheme val="minor"/>
      </rPr>
      <t>Review prepopulated data and update as needed. Enter projection year estimates</t>
    </r>
    <r>
      <rPr>
        <b/>
        <sz val="11"/>
        <rFont val="Calibri"/>
        <family val="2"/>
        <scheme val="minor"/>
      </rPr>
      <t>.</t>
    </r>
    <r>
      <rPr>
        <sz val="11"/>
        <rFont val="Calibri"/>
        <family val="2"/>
        <scheme val="minor"/>
      </rPr>
      <t xml:space="preserve">
</t>
    </r>
    <r>
      <rPr>
        <b/>
        <sz val="11"/>
        <rFont val="Calibri"/>
        <family val="2"/>
        <scheme val="minor"/>
      </rPr>
      <t xml:space="preserve">   - Section (4) Attendance</t>
    </r>
    <r>
      <rPr>
        <sz val="11"/>
        <rFont val="Calibri"/>
        <family val="2"/>
        <scheme val="minor"/>
      </rPr>
      <t xml:space="preserve">: Review prepopulated data and update as needed. Enter projection year estimates.
</t>
    </r>
    <r>
      <rPr>
        <b/>
        <sz val="11"/>
        <rFont val="Calibri"/>
        <family val="2"/>
        <scheme val="minor"/>
      </rPr>
      <t xml:space="preserve">   - Section (5) Differentiated Assistance</t>
    </r>
    <r>
      <rPr>
        <sz val="11"/>
        <rFont val="Calibri"/>
        <family val="2"/>
        <scheme val="minor"/>
      </rPr>
      <t>: Review prepopulated data and update as needed. For projection years, indicate participation by selecting YES from the drop down list, then enter projection year estimates.</t>
    </r>
  </si>
  <si>
    <r>
      <t xml:space="preserve">EPA rates: </t>
    </r>
    <r>
      <rPr>
        <i/>
        <sz val="10"/>
        <rFont val="Calibri"/>
        <family val="2"/>
        <scheme val="minor"/>
      </rPr>
      <t>search EPA rates and select appropropriate fiscal year</t>
    </r>
  </si>
  <si>
    <t>Excess Taxes - Liability Accrual (Obj Dbt. 9500 Cr. Obj. 7299)</t>
  </si>
  <si>
    <t>Version 23.1g - released 6-17-22</t>
  </si>
  <si>
    <r>
      <t>Alternative Education Base Grant (</t>
    </r>
    <r>
      <rPr>
        <i/>
        <sz val="10"/>
        <rFont val="Calibri"/>
        <family val="2"/>
        <scheme val="minor"/>
      </rPr>
      <t>Excludes add-ons for TIIG and Transportation</t>
    </r>
    <r>
      <rPr>
        <sz val="10"/>
        <rFont val="Calibri"/>
        <family val="2"/>
        <scheme val="minor"/>
      </rPr>
      <t>)</t>
    </r>
  </si>
  <si>
    <t>- Calculator tab: Revised formulas in row 48 (Local Revenue) of the Calculator tab for FY 2023-24 forward. Formulas were referencing Data Entry tab cell J48 on the Data Entry tab for all fiscal years and should have referenced projection year.
- Summary tab: Corrected formula reference in row 41 LCAP Percentage to increase or improve services to reference Base Grant funding in row 13
- Data Entry tab: Added totals to County Funded Juvenile Cour Schools ADA, Juvenile Court Schools ADA &amp; Total Juvenile Court School ADA row - Section (4)(b)</t>
  </si>
  <si>
    <t>Version 23.1h - released 6-21-22</t>
  </si>
  <si>
    <t>- Data Entry tab: Revised 2020-21 Annual EPA rate to 82.74488538% and updated 2021-22 P2 EPA rate to 73.31789035%
- Summary tab: Removed unnecessary link from formulas in row 41</t>
  </si>
  <si>
    <t xml:space="preserve">- Revised formulas in EPA Proportionate Share Cap (rows 12-14) in EPA tab. Estimated Annual Calculations for FY 19-20 through 21-22. For FY 22-23 forward linked row 12 Adjusted Revenue Limit to row 37 on the calculator tab so that EPA calculation flows with projections as 
      opposed to remaining static.
- Adjusted formula in row 68 of the Calculator tab for FYs 2022-23 forward to remove the reduction for EPA. </t>
  </si>
  <si>
    <t xml:space="preserve">
</t>
  </si>
  <si>
    <t>-Added Charter School Allowance section (2022-23)</t>
  </si>
  <si>
    <t>Enter the # of districts and charter schools your county office provides differentiated assistance</t>
  </si>
  <si>
    <r>
      <t>Does your county office offer/provide differentiated assistance?</t>
    </r>
    <r>
      <rPr>
        <b/>
        <sz val="12"/>
        <color rgb="FFFF0000"/>
        <rFont val="Calibri"/>
        <family val="2"/>
        <scheme val="minor"/>
      </rPr>
      <t xml:space="preserve"> </t>
    </r>
  </si>
  <si>
    <t>AN R3</t>
  </si>
  <si>
    <t>AN R1</t>
  </si>
  <si>
    <t>2021–2022 Second Principal (P-2) Apportionment</t>
  </si>
  <si>
    <t>PY1 LCFF Calc</t>
  </si>
  <si>
    <t>PY2 LCFF Calc</t>
  </si>
  <si>
    <t>PY3 LCFF Calc</t>
  </si>
  <si>
    <t xml:space="preserve"> L62+1</t>
  </si>
  <si>
    <t>2021–22 Second Principal (P-2) Apportionment
(P-2) Apportionment</t>
  </si>
  <si>
    <t xml:space="preserve"> o63</t>
  </si>
  <si>
    <t>Selma Unified</t>
  </si>
  <si>
    <t>Shaffer Union Elementary</t>
  </si>
  <si>
    <t>Little Lake City Elementary</t>
  </si>
  <si>
    <t>Mendocino Unified</t>
  </si>
  <si>
    <t>South Whittier Elementary</t>
  </si>
  <si>
    <t>Butteville Union Elementary</t>
  </si>
  <si>
    <t>Willow Creek Elementary</t>
  </si>
  <si>
    <t>Sequoia Union Elementary</t>
  </si>
  <si>
    <t>June 2022</t>
  </si>
  <si>
    <r>
      <rPr>
        <b/>
        <sz val="12"/>
        <color rgb="FFFF0000"/>
        <rFont val="Calibri"/>
        <family val="2"/>
        <scheme val="minor"/>
      </rPr>
      <t>Purpose</t>
    </r>
    <r>
      <rPr>
        <sz val="12"/>
        <rFont val="Calibri"/>
        <family val="2"/>
        <scheme val="minor"/>
      </rPr>
      <t xml:space="preserve">: This tab is used to establish a rolling 8-year structure (3 historical years, current budget year and 4 projection years) that retains historical certified data through the Annual R-3 cycle.
</t>
    </r>
    <r>
      <rPr>
        <b/>
        <sz val="12"/>
        <color rgb="FFFF0000"/>
        <rFont val="Calibri"/>
        <family val="2"/>
        <scheme val="minor"/>
      </rPr>
      <t>Links</t>
    </r>
    <r>
      <rPr>
        <sz val="12"/>
        <rFont val="Calibri"/>
        <family val="2"/>
        <scheme val="minor"/>
      </rPr>
      <t xml:space="preserve">: Formulas embedded in visible and hidden tabs are extensively linked to this tab. Drives fiscal year and certification cycle for each hidden exhibit tab.
</t>
    </r>
    <r>
      <rPr>
        <b/>
        <sz val="12"/>
        <color rgb="FFFF0000"/>
        <rFont val="Calibri"/>
        <family val="2"/>
        <scheme val="minor"/>
      </rPr>
      <t>Major Updates</t>
    </r>
    <r>
      <rPr>
        <sz val="12"/>
        <rFont val="Calibri"/>
        <family val="2"/>
        <scheme val="minor"/>
      </rPr>
      <t xml:space="preserve">:  
P1 Certified data cycle (released by CDE around Feb/Mar) includes CY P1, PY1 AN and PY2 ANR2. Calculator exhibit data is updated, and a new version is released to the field in March/April. May wait for May revise 
P2 certified data cycle (released by CDE around late June) includes CY P2, PY ANR1 and PY2 ANR3 and a new version of the calculator is released to the field in July after enactment of state budget.
*Each P-1 update cycle (February): Update the 8-year structure in this tab by adding a new fiscal year to the CY+4 slot and cycle out the PY3 date. Copy the fiscal years in column C up one year (pasting over the oldest year) and add the new fiscal year in cell C13. Update the certification cycle.
</t>
    </r>
    <r>
      <rPr>
        <b/>
        <sz val="12"/>
        <rFont val="Calibri"/>
        <family val="2"/>
        <scheme val="minor"/>
      </rPr>
      <t>-All Update Cycles</t>
    </r>
    <r>
      <rPr>
        <sz val="12"/>
        <rFont val="Calibri"/>
        <family val="2"/>
        <scheme val="minor"/>
      </rPr>
      <t>: Select the period from the drop-down list in cell D3 (P1 or P2). Content in this list drives formulas in the EPA tab and report period descriptions in hidden tabs. Update the Budget Year to the right 
      of this box. This does not affect functionality, but is a reminder of what year we are in.</t>
    </r>
  </si>
  <si>
    <t>New for v.24.1</t>
  </si>
  <si>
    <t>22-23 COLA Adj 
[EC 2575.4(a)&amp;(c)]</t>
  </si>
  <si>
    <t>COLA Adj 
[EC 2575.4(a)&amp;(c)]</t>
  </si>
  <si>
    <r>
      <t>The calculator is based on the LCFF statute as currently written, unless otherwise noted in these caveats.</t>
    </r>
    <r>
      <rPr>
        <b/>
        <sz val="11"/>
        <rFont val="Arial"/>
        <family val="2"/>
      </rPr>
      <t xml:space="preserve"> In some cases there may be differences in rounding.</t>
    </r>
  </si>
  <si>
    <t xml:space="preserve">The calculator includes cost of living adjustments (COLA) as estimated by the Department of Finance (DOF).
</t>
  </si>
  <si>
    <t>Differentiated Assistance</t>
  </si>
  <si>
    <t xml:space="preserve">Version 23.2 </t>
  </si>
  <si>
    <t xml:space="preserve">Version 23.2a </t>
  </si>
  <si>
    <t>- Corrected formulas in cell H13 - was pulling in adjustements made after P2.
- Revised formula in cell J 25 to properly calculate the prior year adjustment (2021-22 P2 vs. 2021-22 Est. Annual)</t>
  </si>
  <si>
    <t>Adjusted Charter School Allowance</t>
  </si>
  <si>
    <r>
      <t xml:space="preserve"> COLA Adjustment [EC 2575.4(a) &amp; (b)] - (</t>
    </r>
    <r>
      <rPr>
        <sz val="10"/>
        <color rgb="FFFF0000"/>
        <rFont val="Calibri"/>
        <family val="2"/>
        <scheme val="minor"/>
      </rPr>
      <t>Commencing with 2022-23</t>
    </r>
    <r>
      <rPr>
        <sz val="10"/>
        <rFont val="Calibri"/>
        <family val="2"/>
        <scheme val="minor"/>
      </rPr>
      <t>)</t>
    </r>
  </si>
  <si>
    <t>County Funded Non-Juvenile Court ADA</t>
  </si>
  <si>
    <t>YES</t>
  </si>
  <si>
    <t xml:space="preserve">Adjusted EPA Allocation </t>
  </si>
  <si>
    <t># of Districts</t>
  </si>
  <si>
    <t>State Aid for COE Funded on LCFF Target (LCAP Support)</t>
  </si>
  <si>
    <t>2027-28</t>
  </si>
  <si>
    <t>These exhibit lines changed beginning in 2022-23, will need to adjust PY2 and PY3 as 2022-23 progresses as well as formulas linked to these exhibit lines in the DE, Calc and EPA tabs</t>
  </si>
  <si>
    <t>Miscellaneous Adjustments
D-2</t>
  </si>
  <si>
    <t>EPA H23</t>
  </si>
  <si>
    <t>EPA F23</t>
  </si>
  <si>
    <t>2022–23 First Principal (P-1) Apportionment</t>
  </si>
  <si>
    <r>
      <rPr>
        <sz val="10"/>
        <rFont val="Calibri"/>
        <family val="2"/>
        <scheme val="minor"/>
      </rPr>
      <t>- Added column for "Misc. Adj. D-2), inadvertantly ommitted from prior versions</t>
    </r>
    <r>
      <rPr>
        <sz val="10"/>
        <color rgb="FFFF0000"/>
        <rFont val="Calibri"/>
        <family val="2"/>
        <scheme val="minor"/>
      </rPr>
      <t xml:space="preserve">
No changes after P2</t>
    </r>
  </si>
  <si>
    <t>These exhibit lines changed beginning in 2022-23, will need to adjust as 2022-23 progresses into this tab as well as formulas linked to these exhibit lines in the EPA tabs-see version notes</t>
  </si>
  <si>
    <t>2021-22 Annual Apportionment</t>
  </si>
  <si>
    <t>2020–21 Second Annual Recertification (AN R2)</t>
  </si>
  <si>
    <r>
      <t xml:space="preserve">NOTE: </t>
    </r>
    <r>
      <rPr>
        <b/>
        <sz val="12"/>
        <color rgb="FFFF0000"/>
        <rFont val="Arial"/>
        <family val="2"/>
      </rPr>
      <t>This tabs format contains 3 years and is different from PY1 &amp; PY2</t>
    </r>
  </si>
  <si>
    <r>
      <t xml:space="preserve">Note: </t>
    </r>
    <r>
      <rPr>
        <b/>
        <sz val="12"/>
        <color rgb="FFFF0000"/>
        <rFont val="Arial"/>
        <family val="2"/>
      </rPr>
      <t>Use COE Funding tab in data file</t>
    </r>
  </si>
  <si>
    <t>Fremont Unified</t>
  </si>
  <si>
    <t>Lafayette Elementary</t>
  </si>
  <si>
    <t>Moraga Elementary</t>
  </si>
  <si>
    <t>West Contra Costa Unified</t>
  </si>
  <si>
    <t>Washington Colony Elementary</t>
  </si>
  <si>
    <t>Lake Elementary</t>
  </si>
  <si>
    <t>Buttonwillow Union Elementary</t>
  </si>
  <si>
    <t>Kernville Union Elementary</t>
  </si>
  <si>
    <t>Sierra Sands Unified</t>
  </si>
  <si>
    <t>El Monte City</t>
  </si>
  <si>
    <t>Alpine Union Elementary</t>
  </si>
  <si>
    <t>Black Butte Union Elementary</t>
  </si>
  <si>
    <t>Junction Elementary</t>
  </si>
  <si>
    <t>Grenada Elementary</t>
  </si>
  <si>
    <t>Twin Hills Union Elementary</t>
  </si>
  <si>
    <t>Waugh Elementary</t>
  </si>
  <si>
    <t>Hickman Community Charter</t>
  </si>
  <si>
    <t>Gerber Union Elementary</t>
  </si>
  <si>
    <t>Lassen View Union Elementary</t>
  </si>
  <si>
    <t>Lewiston Elementary</t>
  </si>
  <si>
    <t>Springville Union Elementary</t>
  </si>
  <si>
    <t xml:space="preserve">2022–23 First Principal (P-1) Apportionment </t>
  </si>
  <si>
    <t>AV 837+1</t>
  </si>
  <si>
    <t>E62+1</t>
  </si>
  <si>
    <t>Total Property Tax Revenues 
(Sum of A-1 through A-13)
A-14</t>
  </si>
  <si>
    <t xml:space="preserve">2021–22 Annual Apportionment </t>
  </si>
  <si>
    <t>CDE changed exhibit Line A-15 to Line A-14 in 2021-22. Formulas and lookup already redirected to Line A-14. Simply change column heading in cell D4 when 2020-21 phases out.</t>
  </si>
  <si>
    <t>2022–22 First Principal (P-1) Apportionment</t>
  </si>
  <si>
    <t>2021–22 Annual Apportionment</t>
  </si>
  <si>
    <t xml:space="preserve">Total MSA Adjustment for COLA Calculated in LCFF Target (If D-4 &lt; 0, D-8; If D-4 = 0, D-8 + D-9 + D-10) 
D-11  </t>
  </si>
  <si>
    <t>D-11</t>
  </si>
  <si>
    <t>C-11</t>
  </si>
  <si>
    <t xml:space="preserve">Total Floor Adjustment for COLA Calculated in LCFF Target (C-8 + C-9 + C-10) 
C-11  </t>
  </si>
  <si>
    <r>
      <t xml:space="preserve">State Aid Pursuant to </t>
    </r>
    <r>
      <rPr>
        <b/>
        <i/>
        <sz val="12"/>
        <color theme="0"/>
        <rFont val="Arial"/>
        <family val="2"/>
      </rPr>
      <t>EC</t>
    </r>
    <r>
      <rPr>
        <b/>
        <sz val="12"/>
        <color theme="0"/>
        <rFont val="Arial"/>
        <family val="2"/>
      </rPr>
      <t xml:space="preserve"> 2575.3 (Charter Schools) 
E-8  </t>
    </r>
  </si>
  <si>
    <t>E-8</t>
  </si>
  <si>
    <t>EC Section 2574(e)(2) Add-On (based on 2012-13 Home-to-School Transportation)
A-31</t>
  </si>
  <si>
    <t>old A-30</t>
  </si>
  <si>
    <t>A-33</t>
  </si>
  <si>
    <t xml:space="preserve">EC Section 2574(e)(2) Add-On (based on 2012–13 Small School District Bus Replacement Program) 
A-33  </t>
  </si>
  <si>
    <t>old A-31</t>
  </si>
  <si>
    <t>becomes A-31 in
 2023-24</t>
  </si>
  <si>
    <t>becomes A-33 in
 2023-24</t>
  </si>
  <si>
    <t>becomes A-33 in 2023-24</t>
  </si>
  <si>
    <t>new  in 22-23 v.26.1</t>
  </si>
  <si>
    <r>
      <rPr>
        <b/>
        <sz val="12"/>
        <color rgb="FFFF0000"/>
        <rFont val="Arial"/>
        <family val="2"/>
      </rPr>
      <t xml:space="preserve">2022-23  PLACEHOLDER 
</t>
    </r>
    <r>
      <rPr>
        <b/>
        <sz val="12"/>
        <color theme="0"/>
        <rFont val="Arial"/>
        <family val="2"/>
      </rPr>
      <t xml:space="preserve"> Total MSA Adjustment for COLA Calculated in LCFF Target (If D-4 &lt; 0, D-8; If D-4 = 0, D-8 + D-9 + D-10) 
D-11  </t>
    </r>
  </si>
  <si>
    <r>
      <rPr>
        <b/>
        <sz val="12"/>
        <color rgb="FFFF0000"/>
        <rFont val="Arial"/>
        <family val="2"/>
      </rPr>
      <t>2022-23 PLACEHOLDER</t>
    </r>
    <r>
      <rPr>
        <b/>
        <sz val="12"/>
        <color theme="0"/>
        <rFont val="Arial"/>
        <family val="2"/>
      </rPr>
      <t xml:space="preserve"> 
State Aid Pursuant to </t>
    </r>
    <r>
      <rPr>
        <b/>
        <i/>
        <sz val="12"/>
        <color theme="0"/>
        <rFont val="Arial"/>
        <family val="2"/>
      </rPr>
      <t>EC</t>
    </r>
    <r>
      <rPr>
        <b/>
        <sz val="12"/>
        <color theme="0"/>
        <rFont val="Arial"/>
        <family val="2"/>
      </rPr>
      <t xml:space="preserve"> 2575.3 (Charter Schools) 
E-8  </t>
    </r>
  </si>
  <si>
    <t xml:space="preserve">Calc p37 </t>
  </si>
  <si>
    <t xml:space="preserve">Calc I37 </t>
  </si>
  <si>
    <r>
      <t xml:space="preserve">   Home-to-School Transportation</t>
    </r>
    <r>
      <rPr>
        <sz val="8"/>
        <rFont val="Calibri"/>
        <family val="2"/>
        <scheme val="minor"/>
      </rPr>
      <t xml:space="preserve"> (</t>
    </r>
    <r>
      <rPr>
        <sz val="8"/>
        <color rgb="FFFF0000"/>
        <rFont val="Calibri"/>
        <family val="2"/>
        <scheme val="minor"/>
      </rPr>
      <t>adjusted by COLA commencing 2023-24</t>
    </r>
    <r>
      <rPr>
        <sz val="8"/>
        <rFont val="Calibri"/>
        <family val="2"/>
        <scheme val="minor"/>
      </rPr>
      <t>)</t>
    </r>
  </si>
  <si>
    <r>
      <t xml:space="preserve">   Small School District Bus Replacement Program </t>
    </r>
    <r>
      <rPr>
        <sz val="8"/>
        <rFont val="Calibri"/>
        <family val="2"/>
        <scheme val="minor"/>
      </rPr>
      <t>(</t>
    </r>
    <r>
      <rPr>
        <sz val="8"/>
        <color rgb="FFFF0000"/>
        <rFont val="Calibri"/>
        <family val="2"/>
        <scheme val="minor"/>
      </rPr>
      <t>adjusted by COLA commencing 2023-24</t>
    </r>
    <r>
      <rPr>
        <sz val="8"/>
        <rFont val="Calibri"/>
        <family val="2"/>
        <scheme val="minor"/>
      </rPr>
      <t>)</t>
    </r>
  </si>
  <si>
    <t>New in 22-23 v.26.1</t>
  </si>
  <si>
    <r>
      <rPr>
        <b/>
        <sz val="12"/>
        <color rgb="FFFF0000"/>
        <rFont val="Arial"/>
        <family val="2"/>
      </rPr>
      <t xml:space="preserve">2022-23  PLACEHOLDER </t>
    </r>
    <r>
      <rPr>
        <b/>
        <sz val="12"/>
        <color theme="0"/>
        <rFont val="Arial"/>
        <family val="2"/>
      </rPr>
      <t xml:space="preserve">
 Total MSA Adjustment for COLA Calculated in LCFF Target (If D-4 &lt; 0, D-8; If D-4 = 0, D-8 + D-9 + D-10) 
D-11  2</t>
    </r>
  </si>
  <si>
    <t>New in 22-23 v.25.1</t>
  </si>
  <si>
    <t>New C-11 in 22-23 v.26.1</t>
  </si>
  <si>
    <t>Calc  W47</t>
  </si>
  <si>
    <t xml:space="preserve"> x62+1</t>
  </si>
  <si>
    <r>
      <rPr>
        <b/>
        <sz val="12"/>
        <color rgb="FFFF0000"/>
        <rFont val="Arial"/>
        <family val="2"/>
      </rPr>
      <t xml:space="preserve">2022-23  PLACEHOLDER </t>
    </r>
    <r>
      <rPr>
        <b/>
        <sz val="12"/>
        <color theme="0"/>
        <rFont val="Arial"/>
        <family val="2"/>
      </rPr>
      <t xml:space="preserve">
Total Floor Adjustment for COLA Calculated in LCFF Target (C-8 + C-9 + C-10) 
C-11  </t>
    </r>
  </si>
  <si>
    <r>
      <rPr>
        <b/>
        <sz val="12"/>
        <color rgb="FFFF0000"/>
        <rFont val="Arial"/>
        <family val="2"/>
      </rPr>
      <t xml:space="preserve">PLACEHOLDER 
</t>
    </r>
    <r>
      <rPr>
        <b/>
        <sz val="12"/>
        <color theme="0"/>
        <rFont val="Arial"/>
        <family val="2"/>
      </rPr>
      <t>Total Floor Adjustment for COLA Calculated in LCFF Target (C-8 + C-9 + C-10) 
C-11</t>
    </r>
  </si>
  <si>
    <t>x62+1</t>
  </si>
  <si>
    <t>- Added placeholders to add new data columns for H2S trans. add-ons adjusted for COLA (lines A-30 and A-31) effective 
    when 2023-24 advances to PY2 adn PY3
- Added placeholders for new data columns for MSA: line D-11 and Floor calcualtions: lines C-11,  no data until in PY2
    and PY3 until 2022-23 moves thru each position.
- Added placeholder for new data column Charter school diff asst.: line E-8  - no data until 2023-24 moves into PY positions</t>
  </si>
  <si>
    <t>- Revised exhibit structure to add new data columns for H2S trans. add-ons adjusted for COLA (lines A-30 and A-31) effective 
    when 2023-24 advances to PY
- Revised Exhibit structure for new data columns for MSA: line D-11 and Floor calcualtions: lines C-11
- Added placeholder column for future line E-8 Diff Asst. for charter schools</t>
  </si>
  <si>
    <t xml:space="preserve">Total Adjusted Revenue Limit/Adjusted General Purpose Funding (B-5+ B-9+ B-13+ B-14+B-15)
B-16	</t>
  </si>
  <si>
    <t>Local Revenue/In-lieu of Property Taxes
B-17</t>
  </si>
  <si>
    <t>EPA Proportionate Share Cap (B-16 - B-17; If less than 0, B-18 = 0)
B-18</t>
  </si>
  <si>
    <t>B-16</t>
  </si>
  <si>
    <t>B-17</t>
  </si>
  <si>
    <t>B-18</t>
  </si>
  <si>
    <t>B-12/B-15^</t>
  </si>
  <si>
    <t>B-13/B-17^</t>
  </si>
  <si>
    <t>B-14/B-18^</t>
  </si>
  <si>
    <t>^Exhibit line change in 2022-23</t>
  </si>
  <si>
    <t>(Beginning in 2022-23 - [EC 2575.3])</t>
  </si>
  <si>
    <r>
      <t>Count of Charter Schools (</t>
    </r>
    <r>
      <rPr>
        <b/>
        <sz val="10"/>
        <color rgb="FFFF0000"/>
        <rFont val="Calibri"/>
        <family val="2"/>
        <scheme val="minor"/>
      </rPr>
      <t>beginning with 2022-23</t>
    </r>
    <r>
      <rPr>
        <b/>
        <sz val="10"/>
        <rFont val="Calibri"/>
        <family val="2"/>
        <scheme val="minor"/>
      </rPr>
      <t>)</t>
    </r>
  </si>
  <si>
    <r>
      <t>-Revised averaging formulas in Charter School Allowance section - averaging for 2022-23/1, 2023-24/2 and 2024-25/3.</t>
    </r>
    <r>
      <rPr>
        <sz val="10"/>
        <color rgb="FFFF0000"/>
        <rFont val="Calibri"/>
        <family val="2"/>
        <scheme val="minor"/>
      </rPr>
      <t xml:space="preserve"> 
   The Averaging for each of these years will need to be adjusted until 2024-25 becomes the third prior year. </t>
    </r>
  </si>
  <si>
    <t>- Added 20 more rows for additional schools per help desk ticket request from orange county (they have the most). There is no way to allow users to manually enter new schools, this data must be pulled from the exhibits due to the 
   complexity of each LEA's agreements for each program. Double check formula connections at 2022-23 P1</t>
  </si>
  <si>
    <t>-Revised averaging formulas in Charter School Allowance section added an additional row to differentiate between current year # and each years averaging. Corrected averaging for 2022-23/1, 2023-24/2 and 2024-25/3. 
   The Averaging for each of these years will need to be adjusted until 2024-25 becomes the third prior year.</t>
  </si>
  <si>
    <t>NO</t>
  </si>
  <si>
    <t>No changes necessary - only update would be if there were a new COE</t>
  </si>
  <si>
    <r>
      <t>-Added $175,000 to the per district rate in Operation Grant rate in Section (4)(b) row 28 in 2022-23 (added before COLA per Masha @ COFS 7-7-22) (THIS ADJUSTMENT WILL NEED TO BE REMOVED WITH FEBRUARY 2023 UPDATE )(</t>
    </r>
    <r>
      <rPr>
        <b/>
        <sz val="10"/>
        <rFont val="Calibri"/>
        <family val="2"/>
        <scheme val="minor"/>
      </rPr>
      <t>DONE</t>
    </r>
    <r>
      <rPr>
        <sz val="10"/>
        <rFont val="Calibri"/>
        <family val="2"/>
        <scheme val="minor"/>
      </rPr>
      <t>)
-Added $14 per grade span in Section (4)(b) County Operations Grant Funding Rates 2022-23 (added before COLA per Masha @ COFS 7-7-22) (THIS ADJUSTMENT WILL NEED TO BE REMOVED WITH FEBRUARY 2023 UPDATE )(</t>
    </r>
    <r>
      <rPr>
        <b/>
        <sz val="10"/>
        <rFont val="Calibri"/>
        <family val="2"/>
        <scheme val="minor"/>
      </rPr>
      <t>DONE</t>
    </r>
    <r>
      <rPr>
        <sz val="10"/>
        <rFont val="Calibri"/>
        <family val="2"/>
        <scheme val="minor"/>
      </rPr>
      <t>)
-Added Section (4)(c) 2021-22 Proxy ADA for Alternative Ed. programs ONLY (This section will need to be eliminated once the new Proxy ADA is reflected in certified data. Revisions to Calculator tab will also be necessary for rows5, 6, 9 &amp; 10 -
   to relink them to data entry tab cells i122, i23, iI25 &amp; iI126)(</t>
    </r>
    <r>
      <rPr>
        <b/>
        <sz val="10"/>
        <rFont val="Calibri"/>
        <family val="2"/>
        <scheme val="minor"/>
      </rPr>
      <t>DONE</t>
    </r>
    <r>
      <rPr>
        <sz val="10"/>
        <rFont val="Calibri"/>
        <family val="2"/>
        <scheme val="minor"/>
      </rPr>
      <t>)
-Added confirmation drop box for conditions set forth in EC 42238.023(c) to trigger application of 2021-22 Attendance Protection (Proxy calculation).
-Added Count of Charter Schools to Section (5) Differentiated Assistance per EC 2575.3(b)</t>
    </r>
  </si>
  <si>
    <r>
      <t>- Redirected row 48 local revenue reference to Data Entry tab row 46
- Added formula to apply quotient to ADA in fiscal year 2021-22 to rows 5, 6, 9, and 10 if quotient is greater than 1.0. This formula will need to be revised with 2022-23 P1 exhibit release. Review exhibit lookup formulas and revise accordingly.(</t>
    </r>
    <r>
      <rPr>
        <b/>
        <sz val="10"/>
        <rFont val="Calibri"/>
        <family val="2"/>
        <scheme val="minor"/>
      </rPr>
      <t>DONE</t>
    </r>
    <r>
      <rPr>
        <sz val="10"/>
        <rFont val="Calibri"/>
        <family val="2"/>
        <scheme val="minor"/>
      </rPr>
      <t>)
- Added COLA to formula on row 13 Transportation Add-on and row 14 Small School Bus Replacement Program Add-on (per CDE) 2023-24 forward (per EC 2574(e)(2)(C) )
- Inserted a new row (23) and added COLA adjustment to Floor (per EC 2575.4(a)(1) &amp; (2) and (c) commencing with FY 2022-23. COLA adjustment is cummulative per CDE. This formula adjustment calc will need to be revised in each historical 
   year as FY 22-23 becomes PY1, PY2 and PY3. Per Masha, the CDE will be adding this amount to this line to the LCFF Calculation exhibit in the floor calculation section. I've added new columns to the PY1, PY2 and PY3 LCFF Calc tabs as 
   placeholders. The PY2 and PY3 additions are for future updates as 2022-23 moves into the historical years. I've entered 0''s for all LEA's in this column. As 2022-23 moves into PY1, PY2 &amp; PY3, add the following formula:  
   =IFERROR(VLOOKUP('Data Entry'!$B$3,'PY1 LCFF Calc'!$A:$</t>
    </r>
    <r>
      <rPr>
        <b/>
        <u/>
        <sz val="10"/>
        <rFont val="Calibri"/>
        <family val="2"/>
        <scheme val="minor"/>
      </rPr>
      <t>V</t>
    </r>
    <r>
      <rPr>
        <sz val="10"/>
        <rFont val="Calibri"/>
        <family val="2"/>
        <scheme val="minor"/>
      </rPr>
      <t>,MATCH("</t>
    </r>
    <r>
      <rPr>
        <b/>
        <u/>
        <sz val="10"/>
        <rFont val="Calibri"/>
        <family val="2"/>
        <scheme val="minor"/>
      </rPr>
      <t>D-7</t>
    </r>
    <r>
      <rPr>
        <sz val="10"/>
        <rFont val="Calibri"/>
        <family val="2"/>
        <scheme val="minor"/>
      </rPr>
      <t>",'PY1 LCFF Calc'!$A$5:$</t>
    </r>
    <r>
      <rPr>
        <b/>
        <u/>
        <sz val="10"/>
        <rFont val="Calibri"/>
        <family val="2"/>
        <scheme val="minor"/>
      </rPr>
      <t>V</t>
    </r>
    <r>
      <rPr>
        <sz val="10"/>
        <rFont val="Calibri"/>
        <family val="2"/>
        <scheme val="minor"/>
      </rPr>
      <t>$5,0),FALSE),0) (</t>
    </r>
    <r>
      <rPr>
        <b/>
        <sz val="10"/>
        <rFont val="Calibri"/>
        <family val="2"/>
        <scheme val="minor"/>
      </rPr>
      <t>DONE</t>
    </r>
    <r>
      <rPr>
        <sz val="10"/>
        <rFont val="Calibri"/>
        <family val="2"/>
        <scheme val="minor"/>
      </rPr>
      <t>)
- Inserted a new row (54) and added COLA adjustment to MSA calculations (per EC 2575.4(a)(1) &amp; (2) and (c) commencing with FY 2022-23. COLA is cummulative per CDE</t>
    </r>
    <r>
      <rPr>
        <sz val="10"/>
        <color rgb="FFFF0000"/>
        <rFont val="Calibri"/>
        <family val="2"/>
        <scheme val="minor"/>
      </rPr>
      <t xml:space="preserve">
</t>
    </r>
    <r>
      <rPr>
        <sz val="10"/>
        <rFont val="Calibri"/>
        <family val="2"/>
        <scheme val="minor"/>
      </rPr>
      <t>- Added increase/(decrease) for each fiscal year on row 71 excess taxes.</t>
    </r>
  </si>
  <si>
    <r>
      <rPr>
        <sz val="10"/>
        <color theme="2" tint="-0.499984740745262"/>
        <rFont val="Calibri"/>
        <family val="2"/>
        <scheme val="minor"/>
      </rPr>
      <t>- CDE revised the following exhibit lines: Total Adj RL from B-12 to B-16; Local Revenue from line B-13 to B-17; EPA Prop Share 
   Cap from B-14 to B-18.</t>
    </r>
    <r>
      <rPr>
        <sz val="10"/>
        <color rgb="FFFF0000"/>
        <rFont val="Calibri"/>
        <family val="2"/>
        <scheme val="minor"/>
      </rPr>
      <t xml:space="preserve"> Will need to revise PY2 and PY3 column header and line reference as 22-23 progresses in future years.
</t>
    </r>
    <r>
      <rPr>
        <sz val="10"/>
        <rFont val="Calibri"/>
        <family val="2"/>
        <scheme val="minor"/>
      </rPr>
      <t>- Added column for "Misc. Adj. D-2), inadvertantly ommitted from prior versions</t>
    </r>
  </si>
  <si>
    <t>PY3 UPP</t>
  </si>
  <si>
    <t>- Advanced fiscal years 2020-21 forward upward and added new FY8 2027-28 at bottom and highlighted 2023-24 as CY
- Revised date in cell E3 from 2021-22 to 2022-23 and selected P1 from drop list in Cell D3</t>
  </si>
  <si>
    <t>- Removed caveat related to the New 22-23 ADA adjustments</t>
  </si>
  <si>
    <r>
      <t xml:space="preserve">- </t>
    </r>
    <r>
      <rPr>
        <sz val="10"/>
        <color theme="2" tint="-0.499984740745262"/>
        <rFont val="Calibri"/>
        <family val="2"/>
        <scheme val="minor"/>
      </rPr>
      <t>Corrected formulas in cells I:N12 - 2022-23 AB181 SEC 112, commencing with the 2021-22 FY, increased the 2012-13 deficited RL rates by COLA used in the Proportionate Share and Proportionate Share CAP in the EPA 
    calcualtion for school districts and charters only, it did apply to COEs</t>
    </r>
    <r>
      <rPr>
        <sz val="10"/>
        <rFont val="Calibri"/>
        <family val="2"/>
        <scheme val="minor"/>
      </rPr>
      <t>. Revised formula to pull the sum of rows 34-36 on Calculator tab as opposed to the Total on Row 38; which includes the increase related to the COLA.
- Corrected formula in cells H24 &amp; H25 to lookup county code from column B to</t>
    </r>
    <r>
      <rPr>
        <b/>
        <sz val="10"/>
        <color rgb="FFFF0000"/>
        <rFont val="Calibri"/>
        <family val="2"/>
        <scheme val="minor"/>
      </rPr>
      <t xml:space="preserve"> A</t>
    </r>
    <r>
      <rPr>
        <sz val="10"/>
        <rFont val="Calibri"/>
        <family val="2"/>
        <scheme val="minor"/>
      </rPr>
      <t xml:space="preserve"> =IF('FY Control'!$D$3="P1",G22-F22,IFERROR(VLOOKUP('Data Entry'!$B$3,'PY1 EPA'!$A:$M,MATCH("D-4",'PY1 EPA'!$</t>
    </r>
    <r>
      <rPr>
        <b/>
        <sz val="10"/>
        <color theme="2" tint="-0.499984740745262"/>
        <rFont val="Calibri"/>
        <family val="2"/>
        <scheme val="minor"/>
      </rPr>
      <t>A</t>
    </r>
    <r>
      <rPr>
        <sz val="10"/>
        <rFont val="Calibri"/>
        <family val="2"/>
        <scheme val="minor"/>
      </rPr>
      <t>$5:$M$5,0),FALSE),0))
- Added formula to cell H4 to indicate the current reporting period (ie P1 or P2</t>
    </r>
    <r>
      <rPr>
        <sz val="10"/>
        <color theme="2" tint="-0.499984740745262"/>
        <rFont val="Calibri"/>
        <family val="2"/>
        <scheme val="minor"/>
      </rPr>
      <t xml:space="preserve">) </t>
    </r>
    <r>
      <rPr>
        <sz val="10"/>
        <rFont val="Calibri"/>
        <family val="2"/>
        <scheme val="minor"/>
      </rPr>
      <t>based on the PY1 exhibit update period</t>
    </r>
    <r>
      <rPr>
        <sz val="10"/>
        <color theme="2" tint="-0.499984740745262"/>
        <rFont val="Calibri"/>
        <family val="2"/>
        <scheme val="minor"/>
      </rPr>
      <t xml:space="preserve"> =+'PY1 EPA'!C2</t>
    </r>
    <r>
      <rPr>
        <sz val="10"/>
        <rFont val="Calibri"/>
        <family val="2"/>
        <scheme val="minor"/>
      </rPr>
      <t xml:space="preserve">
- Added line D-2 "Miscellaneous Adjustments" to the exhibit tabs - inadvertantly excluded, extended lookup formulas in D23 and F23 to column M to include additional column of data
- </t>
    </r>
    <r>
      <rPr>
        <sz val="10"/>
        <color theme="2" tint="-0.499984740745262"/>
        <rFont val="Calibri"/>
        <family val="2"/>
        <scheme val="minor"/>
      </rPr>
      <t>CDE revised exhibit line in 2022-23</t>
    </r>
    <r>
      <rPr>
        <sz val="10"/>
        <rFont val="Calibri"/>
        <family val="2"/>
        <scheme val="minor"/>
      </rPr>
      <t>: Total Adj RL from B-12 to B-16. Revised formula in cell H12 from B-12 to B-16.</t>
    </r>
    <r>
      <rPr>
        <sz val="10"/>
        <color rgb="FFFF0000"/>
        <rFont val="Calibri"/>
        <family val="2"/>
        <scheme val="minor"/>
      </rPr>
      <t xml:space="preserve"> Will need to revise line reference in formulas in cells F12 and D12 as 22-23 progresses in future years.
</t>
    </r>
    <r>
      <rPr>
        <sz val="10"/>
        <rFont val="Calibri"/>
        <family val="2"/>
        <scheme val="minor"/>
      </rPr>
      <t xml:space="preserve">- </t>
    </r>
    <r>
      <rPr>
        <sz val="10"/>
        <color theme="2" tint="-0.499984740745262"/>
        <rFont val="Calibri"/>
        <family val="2"/>
        <scheme val="minor"/>
      </rPr>
      <t>CDE revised the following exhibit lines in 2022-23</t>
    </r>
    <r>
      <rPr>
        <sz val="10"/>
        <rFont val="Calibri"/>
        <family val="2"/>
        <scheme val="minor"/>
      </rPr>
      <t xml:space="preserve">: EPA Prop. Share Cap from B-13 to B-17. Revised formula in cell H13 from B-13 to B-17. </t>
    </r>
    <r>
      <rPr>
        <sz val="10"/>
        <color rgb="FFFF0000"/>
        <rFont val="Calibri"/>
        <family val="2"/>
        <scheme val="minor"/>
      </rPr>
      <t xml:space="preserve">Will need to revise line reference in formulas in cells F13 and D13 as 22-23 progresses in future years.
</t>
    </r>
    <r>
      <rPr>
        <sz val="10"/>
        <rFont val="Calibri"/>
        <family val="2"/>
        <scheme val="minor"/>
      </rPr>
      <t>-</t>
    </r>
    <r>
      <rPr>
        <sz val="10"/>
        <color theme="2" tint="-0.499984740745262"/>
        <rFont val="Calibri"/>
        <family val="2"/>
        <scheme val="minor"/>
      </rPr>
      <t xml:space="preserve"> CDE revised the following exhibit lines in 2022-23</t>
    </r>
    <r>
      <rPr>
        <sz val="10"/>
        <rFont val="Calibri"/>
        <family val="2"/>
        <scheme val="minor"/>
      </rPr>
      <t xml:space="preserve">:  from B-14 to B-18. Revised formula in cell H14 from B-14 to B-18. </t>
    </r>
    <r>
      <rPr>
        <sz val="10"/>
        <color rgb="FFFF0000"/>
        <rFont val="Calibri"/>
        <family val="2"/>
        <scheme val="minor"/>
      </rPr>
      <t>Will need to revise line reference in formulas in cells F14 and D14 as 22-23 progresses in future years.</t>
    </r>
    <r>
      <rPr>
        <sz val="10"/>
        <rFont val="Calibri"/>
        <family val="2"/>
        <scheme val="minor"/>
      </rPr>
      <t xml:space="preserve">
- Revised formulas in D23 and F23 to look to exhibit tabs through column M to include additional column of data =IFERROR(VLOOKUP('Data Entry'!$B$3,'PY3 EPA'!</t>
    </r>
    <r>
      <rPr>
        <sz val="10"/>
        <color theme="2" tint="-0.499984740745262"/>
        <rFont val="Calibri"/>
        <family val="2"/>
        <scheme val="minor"/>
      </rPr>
      <t>$A:$N</t>
    </r>
    <r>
      <rPr>
        <sz val="10"/>
        <rFont val="Calibri"/>
        <family val="2"/>
        <scheme val="minor"/>
      </rPr>
      <t>,MATCH("D-2",'PY3 EPA'!$A$5:$</t>
    </r>
    <r>
      <rPr>
        <sz val="10"/>
        <color theme="2" tint="-0.499984740745262"/>
        <rFont val="Calibri"/>
        <family val="2"/>
        <scheme val="minor"/>
      </rPr>
      <t>N</t>
    </r>
    <r>
      <rPr>
        <sz val="10"/>
        <rFont val="Calibri"/>
        <family val="2"/>
        <scheme val="minor"/>
      </rPr>
      <t>$5,0),FALSE),0)
- While making adjustments I noticed some formulas not including all columns in the lookup formulas, this could result in errors. Double checked all lookup formulas to be sure the identified lookup array was cells A:M. Found several that 
   either referenced B:M or A:N and made appropriate correction.</t>
    </r>
  </si>
  <si>
    <r>
      <t xml:space="preserve">- Removed application of qotient from cells R 5-6, 9-10 and  26
- Added lookup formulas for ALL fiscal years to rows 16 and 17 transportation add-ons adjusted for COLA to link to new exhibit lines A-31 and A-33
- Extended formula for Floor calculation cummuative adustment by adding lookup formula to cells I, P &amp; W 37 and added place holders to all PY exhibits for future years for lines C-9 and c-10 
  </t>
    </r>
    <r>
      <rPr>
        <sz val="10"/>
        <color theme="2" tint="-0.499984740745262"/>
        <rFont val="Calibri"/>
        <family val="2"/>
        <scheme val="minor"/>
      </rPr>
      <t xml:space="preserve">=IFERROR(VLOOKUP('Data Entry'!$B$3,'PY1 LCFF Calc'!$A:$y,MATCH("C-9",'PY1 LCFF Calc'!$A$5:$y$5,0))+VLOOKUP('Data Entry'!$B$3,'PY1 LCFF Calc'!$A:$y,MATCH("C-10",'PY1 LCFF Calc'!$A$5:$y$5,0)),0)+P37
 </t>
    </r>
    <r>
      <rPr>
        <sz val="10"/>
        <rFont val="Calibri"/>
        <family val="2"/>
        <scheme val="minor"/>
      </rPr>
      <t xml:space="preserve">  </t>
    </r>
    <r>
      <rPr>
        <sz val="10"/>
        <color theme="2" tint="-0.499984740745262"/>
        <rFont val="Calibri"/>
        <family val="2"/>
        <scheme val="minor"/>
      </rPr>
      <t xml:space="preserve">
</t>
    </r>
    <r>
      <rPr>
        <sz val="10"/>
        <rFont val="Calibri"/>
        <family val="2"/>
        <scheme val="minor"/>
      </rPr>
      <t xml:space="preserve">- Extended formula for MSA cummunlative total to cells V54 and W54. Added placeholder columns in PY exhibits for line D-11 as fiscal years advance.
- Changed label in row 29 and row 60 from "# Schools" to "# Districts"
- Expanded formula in cells I61, P61 &amp; W61 to add charter school differentiated assistance funding. =IFERROR(VLOOKUP('Data Entry'!$B$3,'PY1 LCFF Calc'!$A:$y,MATCH("E-7",'PY1 LCFF Calc'!$A$5:$y$5,0))
                                                                                                                                                                                                 </t>
    </r>
    <r>
      <rPr>
        <sz val="10"/>
        <color theme="2" tint="-0.499984740745262"/>
        <rFont val="Calibri"/>
        <family val="2"/>
        <scheme val="minor"/>
      </rPr>
      <t>+VLOOKUP('Data Entry'!$B$3,'PY1 LCFF Calc'!$A:$y,MATCH("E-8",'PY1 LCFF Calc'!$A$5:$y$5,0)</t>
    </r>
    <r>
      <rPr>
        <sz val="10"/>
        <rFont val="Calibri"/>
        <family val="2"/>
        <scheme val="minor"/>
      </rPr>
      <t>),0)
- Adjusted formulas in row 45 begining with cell W45 to recognize when a COE shifts from Floor funding to Target =IF(W44=TRUE,W32,</t>
    </r>
    <r>
      <rPr>
        <sz val="10"/>
        <color theme="2" tint="-0.499984740745262"/>
        <rFont val="Calibri"/>
        <family val="2"/>
        <scheme val="minor"/>
      </rPr>
      <t>IF(W32&gt;W42,W32,</t>
    </r>
    <r>
      <rPr>
        <sz val="10"/>
        <rFont val="Calibri"/>
        <family val="2"/>
        <scheme val="minor"/>
      </rPr>
      <t xml:space="preserve">W42)) 
- Added formula to row 44  </t>
    </r>
    <r>
      <rPr>
        <sz val="10"/>
        <color theme="2" tint="-0.499984740745262"/>
        <rFont val="Calibri"/>
        <family val="2"/>
        <scheme val="minor"/>
      </rPr>
      <t>=IF(P44=TRUE,P44,IF(W32&gt;W42,TRUE,FALSE))</t>
    </r>
    <r>
      <rPr>
        <sz val="10"/>
        <rFont val="Calibri"/>
        <family val="2"/>
        <scheme val="minor"/>
      </rPr>
      <t xml:space="preserve"> beginning with cell W44 as opposed to referring to exhibit because P1 exhibit does not reflect "True" in the year COE shifts from floor funding to target. Remaining prior years 
   will pull from exhibit data 
- While making adjustments I noticed some formulas did not reference the entire table array in the lookup formulas, this could result in errors. Double checked all lookup formulas to be sure the identified lookup array was cells A:Y and made 
   appropriate corrections. </t>
    </r>
  </si>
  <si>
    <t>Version 24.1 - released March 3, 2023</t>
  </si>
  <si>
    <t>- Revised version number and publish date</t>
  </si>
  <si>
    <t>- Updated COLA's to follow historical fiscal years and most current projections (You must remember to move the historical rates when we move to a new fiscal year)
- Updated and revised EPA rates to follow fiscal years and most current projections
- Removed the manually added $175,000 rate adjustment from cell J28, previously added to adjust the per district rate for 2022-23 
- Removed the manually added $14 rate adjustment from cells  J22-J25, previously added to adjust the per ADA rates for 2022-23 
- Removed proxy calucation rows 131-157</t>
  </si>
  <si>
    <t>DOF as of January 2023</t>
  </si>
  <si>
    <t>All Visible Tabs</t>
  </si>
  <si>
    <t>- Replaced FCMAT 30 yr logo in header/footer with standard logo
- Checked all print areas, checked placement of curser</t>
  </si>
  <si>
    <t>Version 24.1a - released March 22, 2023</t>
  </si>
  <si>
    <t>-Updated cells AD 16 and AD 17 (FY 2023-24) to calculate COLA for Home to Schoo Transportation  and Small School District Bus Replacement Program.</t>
  </si>
  <si>
    <t>v.24.1a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</si>
</sst>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m/d/yy;@"/>
    <numFmt numFmtId="166" formatCode="_(* #,##0.00_);_(* \(#,##0.00\);_(* &quot;-&quot;_);_(@_)"/>
    <numFmt numFmtId="167" formatCode="_(&quot;$&quot;* #,##0_);_(&quot;$&quot;* \(#,##0\);_(&quot;$&quot;* &quot;-&quot;??_);_(@_)"/>
    <numFmt numFmtId="168" formatCode="General_)"/>
    <numFmt numFmtId="169" formatCode="0.00000000%"/>
    <numFmt numFmtId="170" formatCode="0.0000000000"/>
    <numFmt numFmtId="171" formatCode="_(&quot;$&quot;* #,##0.00_);_(&quot;$&quot;* \(#,##0.00\);_(&quot;$&quot;* &quot;-&quot;_);_(@_)"/>
    <numFmt numFmtId="172" formatCode="00"/>
    <numFmt numFmtId="173" formatCode="_(* #,##0.000000_);_(* \(#,##0.000000\);_(* &quot;-&quot;??_);_(@_)"/>
    <numFmt numFmtId="174" formatCode="_(&quot;$&quot;* @_)"/>
    <numFmt numFmtId="175" formatCode="_(* #,##0.000000_);_(* \(#,##0.000000\);_(* &quot;-&quot;??????_);_(@_)"/>
    <numFmt numFmtId="176" formatCode="_(* #,##0.000_);_(* \(#,##0.000\);_(* &quot;-&quot;??_);_(@_)"/>
    <numFmt numFmtId="177" formatCode="#,##0.0000000000"/>
    <numFmt numFmtId="178" formatCode="#,##0.0000_);\(#,##0.0000\)"/>
  </numFmts>
  <fonts count="19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alibri"/>
      <family val="2"/>
    </font>
    <font>
      <b/>
      <sz val="10"/>
      <name val="Calibri"/>
      <family val="2"/>
    </font>
    <font>
      <sz val="10"/>
      <name val="Arial"/>
      <family val="2"/>
    </font>
    <font>
      <i/>
      <sz val="10"/>
      <name val="Calibri"/>
      <family val="2"/>
    </font>
    <font>
      <sz val="8"/>
      <name val="Arial"/>
      <family val="2"/>
    </font>
    <font>
      <sz val="10"/>
      <name val="Calibri"/>
      <family val="2"/>
      <scheme val="minor"/>
    </font>
    <font>
      <b/>
      <sz val="10"/>
      <name val="Calibri"/>
      <family val="2"/>
      <scheme val="minor"/>
    </font>
    <font>
      <i/>
      <sz val="10"/>
      <name val="Calibri"/>
      <family val="2"/>
      <scheme val="minor"/>
    </font>
    <font>
      <sz val="12"/>
      <name val="Calibri"/>
      <family val="2"/>
      <scheme val="minor"/>
    </font>
    <font>
      <b/>
      <sz val="11"/>
      <name val="Calibri"/>
      <family val="2"/>
      <scheme val="minor"/>
    </font>
    <font>
      <sz val="10"/>
      <color rgb="FFFF0000"/>
      <name val="Calibri"/>
      <family val="2"/>
      <scheme val="minor"/>
    </font>
    <font>
      <b/>
      <sz val="10"/>
      <color rgb="FFFF0000"/>
      <name val="Calibri"/>
      <family val="2"/>
    </font>
    <font>
      <sz val="11"/>
      <name val="Calibri"/>
      <family val="2"/>
      <scheme val="minor"/>
    </font>
    <font>
      <sz val="10"/>
      <color theme="0"/>
      <name val="Arial"/>
      <family val="2"/>
    </font>
    <font>
      <sz val="10"/>
      <color theme="1"/>
      <name val="Arial"/>
      <family val="2"/>
    </font>
    <font>
      <b/>
      <sz val="10"/>
      <name val="Arial"/>
      <family val="2"/>
    </font>
    <font>
      <sz val="10"/>
      <color indexed="8"/>
      <name val="Arial"/>
      <family val="2"/>
    </font>
    <font>
      <sz val="11"/>
      <color indexed="8"/>
      <name val="Calibri"/>
      <family val="2"/>
    </font>
    <font>
      <sz val="12"/>
      <color indexed="8"/>
      <name val="Arial"/>
      <family val="2"/>
    </font>
    <font>
      <sz val="11"/>
      <color indexed="9"/>
      <name val="Calibri"/>
      <family val="2"/>
    </font>
    <font>
      <sz val="12"/>
      <color indexed="9"/>
      <name val="Arial"/>
      <family val="2"/>
    </font>
    <font>
      <sz val="11"/>
      <color indexed="20"/>
      <name val="Calibri"/>
      <family val="2"/>
    </font>
    <font>
      <sz val="12"/>
      <color indexed="20"/>
      <name val="Arial"/>
      <family val="2"/>
    </font>
    <font>
      <b/>
      <sz val="11"/>
      <color indexed="52"/>
      <name val="Calibri"/>
      <family val="2"/>
    </font>
    <font>
      <b/>
      <sz val="12"/>
      <color indexed="52"/>
      <name val="Arial"/>
      <family val="2"/>
    </font>
    <font>
      <b/>
      <sz val="11"/>
      <color indexed="9"/>
      <name val="Calibri"/>
      <family val="2"/>
    </font>
    <font>
      <b/>
      <sz val="12"/>
      <color indexed="9"/>
      <name val="Arial"/>
      <family val="2"/>
    </font>
    <font>
      <sz val="10"/>
      <name val="Helv"/>
    </font>
    <font>
      <i/>
      <sz val="11"/>
      <color indexed="23"/>
      <name val="Calibri"/>
      <family val="2"/>
    </font>
    <font>
      <i/>
      <sz val="12"/>
      <color indexed="23"/>
      <name val="Arial"/>
      <family val="2"/>
    </font>
    <font>
      <sz val="11"/>
      <color indexed="17"/>
      <name val="Calibri"/>
      <family val="2"/>
    </font>
    <font>
      <sz val="12"/>
      <color indexed="17"/>
      <name val="Arial"/>
      <family val="2"/>
    </font>
    <font>
      <b/>
      <sz val="15"/>
      <color indexed="56"/>
      <name val="Calibri"/>
      <family val="2"/>
    </font>
    <font>
      <b/>
      <sz val="15"/>
      <color indexed="56"/>
      <name val="Arial"/>
      <family val="2"/>
    </font>
    <font>
      <b/>
      <sz val="13"/>
      <color indexed="56"/>
      <name val="Calibri"/>
      <family val="2"/>
    </font>
    <font>
      <b/>
      <sz val="13"/>
      <color indexed="56"/>
      <name val="Arial"/>
      <family val="2"/>
    </font>
    <font>
      <b/>
      <sz val="11"/>
      <color indexed="56"/>
      <name val="Calibri"/>
      <family val="2"/>
    </font>
    <font>
      <b/>
      <sz val="11"/>
      <color indexed="56"/>
      <name val="Arial"/>
      <family val="2"/>
    </font>
    <font>
      <sz val="11"/>
      <color indexed="62"/>
      <name val="Calibri"/>
      <family val="2"/>
    </font>
    <font>
      <sz val="12"/>
      <color indexed="62"/>
      <name val="Arial"/>
      <family val="2"/>
    </font>
    <font>
      <sz val="11"/>
      <color indexed="52"/>
      <name val="Calibri"/>
      <family val="2"/>
    </font>
    <font>
      <sz val="12"/>
      <color indexed="52"/>
      <name val="Arial"/>
      <family val="2"/>
    </font>
    <font>
      <sz val="11"/>
      <color indexed="60"/>
      <name val="Calibri"/>
      <family val="2"/>
    </font>
    <font>
      <sz val="12"/>
      <color indexed="60"/>
      <name val="Arial"/>
      <family val="2"/>
    </font>
    <font>
      <sz val="10"/>
      <name val="SWISS"/>
    </font>
    <font>
      <sz val="10"/>
      <name val="Times New Roman"/>
      <family val="1"/>
    </font>
    <font>
      <sz val="10"/>
      <name val="MS Sans Serif"/>
      <family val="2"/>
    </font>
    <font>
      <sz val="12"/>
      <name val="Arial"/>
      <family val="2"/>
    </font>
    <font>
      <b/>
      <sz val="11"/>
      <color indexed="63"/>
      <name val="Calibri"/>
      <family val="2"/>
    </font>
    <font>
      <b/>
      <sz val="12"/>
      <color indexed="63"/>
      <name val="Arial"/>
      <family val="2"/>
    </font>
    <font>
      <b/>
      <sz val="18"/>
      <color indexed="56"/>
      <name val="Cambria"/>
      <family val="2"/>
    </font>
    <font>
      <b/>
      <sz val="11"/>
      <color indexed="8"/>
      <name val="Calibri"/>
      <family val="2"/>
    </font>
    <font>
      <b/>
      <sz val="12"/>
      <color indexed="8"/>
      <name val="Arial"/>
      <family val="2"/>
    </font>
    <font>
      <sz val="11"/>
      <color indexed="10"/>
      <name val="Calibri"/>
      <family val="2"/>
    </font>
    <font>
      <sz val="12"/>
      <color indexed="10"/>
      <name val="Arial"/>
      <family val="2"/>
    </font>
    <font>
      <sz val="10"/>
      <color theme="0"/>
      <name val="Calibri"/>
      <family val="2"/>
      <scheme val="minor"/>
    </font>
    <font>
      <sz val="10"/>
      <name val="Arial"/>
      <family val="2"/>
    </font>
    <font>
      <b/>
      <sz val="11"/>
      <color theme="1"/>
      <name val="Calibri"/>
      <family val="2"/>
      <scheme val="minor"/>
    </font>
    <font>
      <b/>
      <sz val="10"/>
      <color theme="1"/>
      <name val="Arial"/>
      <family val="2"/>
    </font>
    <font>
      <b/>
      <sz val="10"/>
      <color rgb="FFFF0000"/>
      <name val="Arial"/>
      <family val="2"/>
    </font>
    <font>
      <b/>
      <sz val="14"/>
      <color theme="0"/>
      <name val="Calibri"/>
      <family val="2"/>
      <scheme val="minor"/>
    </font>
    <font>
      <i/>
      <sz val="10"/>
      <name val="Arial"/>
      <family val="2"/>
    </font>
    <font>
      <sz val="8"/>
      <name val="Calibri"/>
      <family val="2"/>
      <scheme val="minor"/>
    </font>
    <font>
      <b/>
      <i/>
      <sz val="10"/>
      <name val="Calibri"/>
      <family val="2"/>
    </font>
    <font>
      <b/>
      <sz val="12"/>
      <color theme="1"/>
      <name val="Arial"/>
      <family val="2"/>
    </font>
    <font>
      <b/>
      <sz val="10"/>
      <color theme="0"/>
      <name val="Arial"/>
      <family val="2"/>
    </font>
    <font>
      <b/>
      <sz val="12"/>
      <name val="Calibri"/>
      <family val="2"/>
      <scheme val="minor"/>
    </font>
    <font>
      <u/>
      <sz val="10"/>
      <color theme="10"/>
      <name val="Arial"/>
      <family val="2"/>
    </font>
    <font>
      <sz val="9"/>
      <name val="Arial"/>
      <family val="2"/>
    </font>
    <font>
      <sz val="9"/>
      <name val="Calibri"/>
      <family val="2"/>
      <scheme val="minor"/>
    </font>
    <font>
      <b/>
      <sz val="14"/>
      <name val="Calibri"/>
      <family val="2"/>
      <scheme val="minor"/>
    </font>
    <font>
      <b/>
      <sz val="14"/>
      <color theme="1"/>
      <name val="Calibri"/>
      <family val="2"/>
      <scheme val="minor"/>
    </font>
    <font>
      <b/>
      <sz val="11"/>
      <color rgb="FFFF0000"/>
      <name val="Calibri"/>
      <family val="2"/>
      <scheme val="minor"/>
    </font>
    <font>
      <u/>
      <sz val="11"/>
      <color theme="10"/>
      <name val="Calibri"/>
      <family val="2"/>
      <scheme val="minor"/>
    </font>
    <font>
      <sz val="12"/>
      <color theme="1"/>
      <name val="Arial"/>
      <family val="2"/>
    </font>
    <font>
      <b/>
      <sz val="12"/>
      <color theme="0"/>
      <name val="Arial"/>
      <family val="2"/>
    </font>
    <font>
      <b/>
      <i/>
      <sz val="10"/>
      <name val="Calibri"/>
      <family val="2"/>
      <scheme val="minor"/>
    </font>
    <font>
      <i/>
      <sz val="9"/>
      <name val="Calibri"/>
      <family val="2"/>
      <scheme val="minor"/>
    </font>
    <font>
      <sz val="11"/>
      <name val="Arial"/>
      <family val="2"/>
    </font>
    <font>
      <b/>
      <sz val="15"/>
      <name val="Arial"/>
      <family val="2"/>
    </font>
    <font>
      <b/>
      <sz val="13"/>
      <name val="Arial"/>
      <family val="2"/>
    </font>
    <font>
      <b/>
      <sz val="12"/>
      <name val="Arial"/>
      <family val="2"/>
    </font>
    <font>
      <b/>
      <sz val="22"/>
      <name val="Arial"/>
      <family val="2"/>
    </font>
    <font>
      <b/>
      <i/>
      <sz val="11"/>
      <name val="Arial"/>
      <family val="2"/>
    </font>
    <font>
      <b/>
      <sz val="11"/>
      <name val="Arial"/>
      <family val="2"/>
    </font>
    <font>
      <b/>
      <sz val="15"/>
      <color theme="3"/>
      <name val="Calibri"/>
      <family val="2"/>
      <scheme val="minor"/>
    </font>
    <font>
      <sz val="11"/>
      <color rgb="FFFF0000"/>
      <name val="Calibri"/>
      <family val="2"/>
      <scheme val="minor"/>
    </font>
    <font>
      <sz val="10"/>
      <color rgb="FFFF0000"/>
      <name val="Arial"/>
      <family val="2"/>
    </font>
    <font>
      <sz val="12"/>
      <color rgb="FFFF0000"/>
      <name val="Arial"/>
      <family val="2"/>
    </font>
    <font>
      <b/>
      <u/>
      <sz val="10"/>
      <name val="Calibri"/>
      <family val="2"/>
      <scheme val="minor"/>
    </font>
    <font>
      <sz val="11"/>
      <color rgb="FF993366"/>
      <name val="Calibri"/>
      <family val="2"/>
    </font>
    <font>
      <b/>
      <sz val="12"/>
      <color rgb="FFFF0000"/>
      <name val="Arial"/>
      <family val="2"/>
    </font>
    <font>
      <sz val="8"/>
      <name val="Arial"/>
      <family val="2"/>
    </font>
    <font>
      <sz val="14"/>
      <color theme="0"/>
      <name val="Calibri"/>
      <family val="2"/>
      <scheme val="minor"/>
    </font>
    <font>
      <i/>
      <sz val="12"/>
      <color theme="0"/>
      <name val="Calibri"/>
      <family val="2"/>
      <scheme val="minor"/>
    </font>
    <font>
      <i/>
      <sz val="10"/>
      <color rgb="FFFF0000"/>
      <name val="Arial"/>
      <family val="2"/>
    </font>
    <font>
      <b/>
      <sz val="12"/>
      <color theme="2" tint="-0.499984740745262"/>
      <name val="Calibri"/>
      <family val="2"/>
      <scheme val="minor"/>
    </font>
    <font>
      <b/>
      <sz val="9"/>
      <name val="Arial"/>
      <family val="2"/>
    </font>
    <font>
      <b/>
      <sz val="12"/>
      <color rgb="FFFF0000"/>
      <name val="Calibri"/>
      <family val="2"/>
      <scheme val="minor"/>
    </font>
    <font>
      <i/>
      <sz val="11"/>
      <name val="Calibri"/>
      <family val="2"/>
      <scheme val="minor"/>
    </font>
    <font>
      <sz val="11"/>
      <color theme="8" tint="-0.499984740745262"/>
      <name val="Calibri"/>
      <family val="2"/>
      <scheme val="minor"/>
    </font>
    <font>
      <b/>
      <i/>
      <sz val="11"/>
      <name val="Calibri"/>
      <family val="2"/>
      <scheme val="minor"/>
    </font>
    <font>
      <b/>
      <sz val="10"/>
      <color rgb="FFFF0000"/>
      <name val="Calibri"/>
      <family val="2"/>
      <scheme val="minor"/>
    </font>
    <font>
      <u/>
      <sz val="10"/>
      <name val="Calibri"/>
      <family val="2"/>
      <scheme val="minor"/>
    </font>
    <font>
      <u/>
      <sz val="10"/>
      <color theme="10"/>
      <name val="Calibri"/>
      <family val="2"/>
      <scheme val="minor"/>
    </font>
    <font>
      <i/>
      <u/>
      <sz val="10"/>
      <color theme="10"/>
      <name val="Calibri"/>
      <family val="2"/>
      <scheme val="minor"/>
    </font>
    <font>
      <u/>
      <sz val="8"/>
      <color theme="10"/>
      <name val="Calibri"/>
      <family val="2"/>
      <scheme val="minor"/>
    </font>
    <font>
      <b/>
      <sz val="11"/>
      <color theme="0"/>
      <name val="Calibri"/>
      <family val="2"/>
      <scheme val="minor"/>
    </font>
    <font>
      <i/>
      <sz val="11"/>
      <color theme="0"/>
      <name val="Calibri"/>
      <family val="2"/>
      <scheme val="minor"/>
    </font>
    <font>
      <u/>
      <sz val="11"/>
      <color theme="10"/>
      <name val="Arial"/>
      <family val="2"/>
    </font>
    <font>
      <sz val="11"/>
      <name val="Calibri"/>
      <family val="2"/>
    </font>
    <font>
      <b/>
      <u/>
      <sz val="11"/>
      <name val="Calibri"/>
      <family val="2"/>
      <scheme val="minor"/>
    </font>
    <font>
      <i/>
      <sz val="12"/>
      <name val="Calibri"/>
      <family val="2"/>
      <scheme val="minor"/>
    </font>
    <font>
      <sz val="9"/>
      <color theme="0"/>
      <name val="Calibri"/>
      <family val="2"/>
      <scheme val="minor"/>
    </font>
    <font>
      <b/>
      <sz val="14"/>
      <color rgb="FFFF0000"/>
      <name val="Arial"/>
      <family val="2"/>
    </font>
    <font>
      <sz val="8"/>
      <color rgb="FFFF0000"/>
      <name val="Arial"/>
      <family val="2"/>
    </font>
    <font>
      <sz val="8"/>
      <color theme="2" tint="-0.499984740745262"/>
      <name val="Arial"/>
      <family val="2"/>
    </font>
    <font>
      <sz val="10"/>
      <color theme="2" tint="-0.499984740745262"/>
      <name val="Arial"/>
      <family val="2"/>
    </font>
    <font>
      <b/>
      <u/>
      <sz val="11"/>
      <color rgb="FFFF0000"/>
      <name val="Calibri"/>
      <family val="2"/>
      <scheme val="minor"/>
    </font>
    <font>
      <i/>
      <sz val="10"/>
      <color rgb="FFFF0000"/>
      <name val="Calibri"/>
      <family val="2"/>
      <scheme val="minor"/>
    </font>
    <font>
      <b/>
      <u val="singleAccounting"/>
      <sz val="10"/>
      <name val="Calibri"/>
      <family val="2"/>
      <scheme val="minor"/>
    </font>
    <font>
      <b/>
      <sz val="10"/>
      <color theme="0"/>
      <name val="Calibri"/>
      <family val="2"/>
      <scheme val="minor"/>
    </font>
    <font>
      <sz val="18"/>
      <name val="Calibri"/>
      <family val="2"/>
      <scheme val="minor"/>
    </font>
    <font>
      <sz val="11"/>
      <color theme="7" tint="0.79998168889431442"/>
      <name val="Calibri"/>
      <family val="2"/>
      <scheme val="minor"/>
    </font>
    <font>
      <sz val="11"/>
      <color rgb="FF242424"/>
      <name val="Segoe UI"/>
      <family val="2"/>
    </font>
    <font>
      <b/>
      <sz val="14"/>
      <color rgb="FFFFFFFF"/>
      <name val="Calibri"/>
      <family val="2"/>
      <scheme val="minor"/>
    </font>
    <font>
      <b/>
      <sz val="11"/>
      <color theme="8" tint="-0.499984740745262"/>
      <name val="Calibri"/>
      <family val="2"/>
      <scheme val="minor"/>
    </font>
    <font>
      <b/>
      <sz val="9"/>
      <name val="Calibri"/>
      <family val="2"/>
      <scheme val="minor"/>
    </font>
    <font>
      <sz val="10"/>
      <color rgb="FFFFFFFF"/>
      <name val="Calibri"/>
      <family val="2"/>
      <scheme val="minor"/>
    </font>
    <font>
      <b/>
      <sz val="11"/>
      <color rgb="FFFFFFFF"/>
      <name val="Calibri"/>
      <family val="2"/>
      <scheme val="minor"/>
    </font>
    <font>
      <b/>
      <sz val="10"/>
      <color rgb="FFFFFFFF"/>
      <name val="Calibri"/>
      <family val="2"/>
      <scheme val="minor"/>
    </font>
    <font>
      <sz val="10"/>
      <color rgb="FFFFFF00"/>
      <name val="Arial"/>
      <family val="2"/>
    </font>
    <font>
      <b/>
      <sz val="10"/>
      <color theme="1"/>
      <name val="Calibri"/>
      <family val="2"/>
      <scheme val="minor"/>
    </font>
    <font>
      <b/>
      <sz val="14"/>
      <name val="Arial"/>
      <family val="2"/>
    </font>
    <font>
      <sz val="8"/>
      <name val="Arial"/>
      <family val="2"/>
    </font>
    <font>
      <sz val="10"/>
      <color theme="1"/>
      <name val="Calibri"/>
      <family val="2"/>
      <scheme val="minor"/>
    </font>
    <font>
      <sz val="9"/>
      <color rgb="FFFF0000"/>
      <name val="Calibri"/>
      <family val="2"/>
      <scheme val="minor"/>
    </font>
    <font>
      <sz val="12"/>
      <color theme="0"/>
      <name val="Calibri"/>
      <family val="2"/>
      <scheme val="minor"/>
    </font>
    <font>
      <b/>
      <sz val="12"/>
      <color rgb="FFFFFFFF"/>
      <name val="Calibri"/>
      <family val="2"/>
      <scheme val="minor"/>
    </font>
    <font>
      <b/>
      <sz val="11"/>
      <name val="Calibri"/>
      <family val="2"/>
    </font>
    <font>
      <u/>
      <sz val="10"/>
      <color theme="0"/>
      <name val="Calibri"/>
      <family val="2"/>
      <scheme val="minor"/>
    </font>
    <font>
      <b/>
      <sz val="7.5"/>
      <name val="Calibri"/>
      <family val="2"/>
      <scheme val="minor"/>
    </font>
    <font>
      <sz val="8"/>
      <name val="Arial"/>
    </font>
    <font>
      <b/>
      <sz val="12"/>
      <color rgb="FFFFFFFF"/>
      <name val="Arial"/>
      <family val="2"/>
    </font>
    <font>
      <b/>
      <i/>
      <sz val="12"/>
      <color theme="0"/>
      <name val="Arial"/>
      <family val="2"/>
    </font>
    <font>
      <sz val="9"/>
      <color rgb="FFFF0000"/>
      <name val="Arial"/>
      <family val="2"/>
    </font>
    <font>
      <sz val="8"/>
      <color rgb="FFFF0000"/>
      <name val="Calibri"/>
      <family val="2"/>
      <scheme val="minor"/>
    </font>
    <font>
      <b/>
      <sz val="9"/>
      <color rgb="FFFF0000"/>
      <name val="Arial"/>
      <family val="2"/>
    </font>
    <font>
      <sz val="10"/>
      <color theme="2" tint="-0.499984740745262"/>
      <name val="Calibri"/>
      <family val="2"/>
      <scheme val="minor"/>
    </font>
    <font>
      <b/>
      <sz val="10"/>
      <color theme="2" tint="-0.499984740745262"/>
      <name val="Calibri"/>
      <family val="2"/>
      <scheme val="minor"/>
    </font>
  </fonts>
  <fills count="53">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2"/>
        <bgColor indexed="64"/>
      </patternFill>
    </fill>
    <fill>
      <patternFill patternType="solid">
        <fgColor rgb="FF008000"/>
        <bgColor indexed="64"/>
      </patternFill>
    </fill>
    <fill>
      <patternFill patternType="solid">
        <fgColor theme="1"/>
        <bgColor indexed="64"/>
      </patternFill>
    </fill>
    <fill>
      <patternFill patternType="solid">
        <fgColor theme="4" tint="-0.249977111117893"/>
        <bgColor indexed="64"/>
      </patternFill>
    </fill>
    <fill>
      <patternFill patternType="solid">
        <fgColor rgb="FFFFFFCC"/>
        <bgColor indexed="64"/>
      </patternFill>
    </fill>
    <fill>
      <patternFill patternType="solid">
        <fgColor theme="0" tint="-9.9978637043366805E-2"/>
        <bgColor indexed="64"/>
      </patternFill>
    </fill>
    <fill>
      <patternFill patternType="solid">
        <fgColor theme="6"/>
        <bgColor indexed="64"/>
      </patternFill>
    </fill>
    <fill>
      <patternFill patternType="solid">
        <fgColor theme="3" tint="0.79998168889431442"/>
        <bgColor indexed="64"/>
      </patternFill>
    </fill>
    <fill>
      <patternFill patternType="solid">
        <fgColor rgb="FFFFFFFF"/>
        <bgColor indexed="64"/>
      </patternFill>
    </fill>
    <fill>
      <patternFill patternType="solid">
        <fgColor theme="1" tint="0.79998168889431442"/>
        <bgColor indexed="64"/>
      </patternFill>
    </fill>
    <fill>
      <patternFill patternType="solid">
        <fgColor theme="3" tint="0.59999389629810485"/>
        <bgColor indexed="64"/>
      </patternFill>
    </fill>
    <fill>
      <patternFill patternType="solid">
        <fgColor theme="3" tint="-0.249977111117893"/>
        <bgColor indexed="64"/>
      </patternFill>
    </fill>
    <fill>
      <patternFill patternType="solid">
        <fgColor theme="2" tint="-9.9978637043366805E-2"/>
        <bgColor indexed="64"/>
      </patternFill>
    </fill>
    <fill>
      <patternFill patternType="solid">
        <fgColor rgb="FFF2F5FF"/>
        <bgColor indexed="64"/>
      </patternFill>
    </fill>
    <fill>
      <patternFill patternType="solid">
        <fgColor theme="9" tint="0.59996337778862885"/>
        <bgColor indexed="64"/>
      </patternFill>
    </fill>
    <fill>
      <patternFill patternType="solid">
        <fgColor theme="2" tint="-0.749992370372631"/>
        <bgColor indexed="64"/>
      </patternFill>
    </fill>
    <fill>
      <patternFill patternType="solid">
        <fgColor theme="3" tint="0.39997558519241921"/>
        <bgColor indexed="64"/>
      </patternFill>
    </fill>
    <fill>
      <patternFill patternType="solid">
        <fgColor theme="7"/>
        <bgColor indexed="64"/>
      </patternFill>
    </fill>
    <fill>
      <patternFill patternType="solid">
        <fgColor theme="1" tint="-0.249977111117893"/>
        <bgColor indexed="64"/>
      </patternFill>
    </fill>
    <fill>
      <patternFill patternType="solid">
        <fgColor theme="3" tint="-0.499984740745262"/>
        <bgColor indexed="64"/>
      </patternFill>
    </fill>
    <fill>
      <patternFill patternType="solid">
        <fgColor theme="9" tint="0.39997558519241921"/>
        <bgColor indexed="64"/>
      </patternFill>
    </fill>
    <fill>
      <patternFill patternType="solid">
        <fgColor theme="5"/>
        <bgColor indexed="64"/>
      </patternFill>
    </fill>
    <fill>
      <patternFill patternType="solid">
        <fgColor theme="4"/>
        <bgColor indexed="64"/>
      </patternFill>
    </fill>
    <fill>
      <patternFill patternType="solid">
        <fgColor theme="9" tint="-0.499984740745262"/>
        <bgColor indexed="64"/>
      </patternFill>
    </fill>
    <fill>
      <patternFill patternType="solid">
        <fgColor rgb="FFFFC000"/>
        <bgColor indexed="64"/>
      </patternFill>
    </fill>
    <fill>
      <patternFill patternType="solid">
        <fgColor theme="8" tint="0.59999389629810485"/>
        <bgColor indexed="64"/>
      </patternFill>
    </fill>
  </fills>
  <borders count="183">
    <border>
      <left/>
      <right/>
      <top/>
      <bottom/>
      <diagonal/>
    </border>
    <border>
      <left/>
      <right/>
      <top style="medium">
        <color indexed="64"/>
      </top>
      <bottom/>
      <diagonal/>
    </border>
    <border>
      <left style="medium">
        <color indexed="64"/>
      </left>
      <right/>
      <top/>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auto="1"/>
      </top>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style="medium">
        <color indexed="64"/>
      </right>
      <top/>
      <bottom/>
      <diagonal/>
    </border>
    <border>
      <left style="medium">
        <color auto="1"/>
      </left>
      <right/>
      <top/>
      <bottom/>
      <diagonal/>
    </border>
    <border>
      <left/>
      <right/>
      <top/>
      <bottom style="thin">
        <color auto="1"/>
      </bottom>
      <diagonal/>
    </border>
    <border>
      <left style="thin">
        <color indexed="22"/>
      </left>
      <right style="thin">
        <color indexed="22"/>
      </right>
      <top style="thin">
        <color indexed="22"/>
      </top>
      <bottom style="thin">
        <color indexed="2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rgb="FFABABAB"/>
      </left>
      <right style="thin">
        <color rgb="FFABABAB"/>
      </right>
      <top style="thin">
        <color rgb="FFABABAB"/>
      </top>
      <bottom style="thin">
        <color rgb="FFABABAB"/>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medium">
        <color auto="1"/>
      </bottom>
      <diagonal/>
    </border>
    <border>
      <left style="thin">
        <color rgb="FFC0C0C0"/>
      </left>
      <right style="thin">
        <color rgb="FFC0C0C0"/>
      </right>
      <top style="thin">
        <color rgb="FFC0C0C0"/>
      </top>
      <bottom style="thin">
        <color rgb="FFC0C0C0"/>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ck">
        <color theme="3" tint="0.39994506668294322"/>
      </top>
      <bottom/>
      <diagonal/>
    </border>
    <border>
      <left/>
      <right/>
      <top style="mediumDashed">
        <color theme="3" tint="0.39982299264503923"/>
      </top>
      <bottom style="mediumDashed">
        <color theme="3" tint="0.39982299264503923"/>
      </bottom>
      <diagonal/>
    </border>
    <border>
      <left/>
      <right/>
      <top/>
      <bottom style="thick">
        <color theme="3" tint="0.39994506668294322"/>
      </bottom>
      <diagonal/>
    </border>
    <border>
      <left/>
      <right/>
      <top/>
      <bottom style="thick">
        <color theme="4"/>
      </bottom>
      <diagonal/>
    </border>
    <border>
      <left style="thin">
        <color indexed="22"/>
      </left>
      <right style="thin">
        <color indexed="22"/>
      </right>
      <top style="thin">
        <color indexed="22"/>
      </top>
      <bottom style="thin">
        <color indexed="22"/>
      </bottom>
      <diagonal/>
    </border>
    <border>
      <left/>
      <right/>
      <top style="thin">
        <color auto="1"/>
      </top>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medium">
        <color indexed="64"/>
      </right>
      <top style="medium">
        <color indexed="64"/>
      </top>
      <bottom/>
      <diagonal/>
    </border>
    <border>
      <left style="thin">
        <color auto="1"/>
      </left>
      <right style="thin">
        <color auto="1"/>
      </right>
      <top/>
      <bottom style="thin">
        <color auto="1"/>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top style="medium">
        <color auto="1"/>
      </top>
      <bottom style="medium">
        <color auto="1"/>
      </bottom>
      <diagonal/>
    </border>
    <border>
      <left style="medium">
        <color indexed="64"/>
      </left>
      <right/>
      <top style="medium">
        <color indexed="64"/>
      </top>
      <bottom/>
      <diagonal/>
    </border>
    <border>
      <left style="dotted">
        <color auto="1"/>
      </left>
      <right style="dotted">
        <color auto="1"/>
      </right>
      <top/>
      <bottom style="medium">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right style="medium">
        <color auto="1"/>
      </right>
      <top/>
      <bottom style="thin">
        <color indexed="64"/>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style="thin">
        <color auto="1"/>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thin">
        <color indexed="64"/>
      </bottom>
      <diagonal/>
    </border>
    <border>
      <left/>
      <right/>
      <top style="medium">
        <color indexed="64"/>
      </top>
      <bottom style="medium">
        <color indexed="64"/>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bottom style="thin">
        <color auto="1"/>
      </bottom>
      <diagonal/>
    </border>
    <border>
      <left style="thin">
        <color auto="1"/>
      </left>
      <right style="thin">
        <color auto="1"/>
      </right>
      <top style="thin">
        <color indexed="64"/>
      </top>
      <bottom style="thin">
        <color auto="1"/>
      </bottom>
      <diagonal/>
    </border>
    <border>
      <left/>
      <right/>
      <top style="thin">
        <color indexed="64"/>
      </top>
      <bottom/>
      <diagonal/>
    </border>
    <border>
      <left style="thin">
        <color auto="1"/>
      </left>
      <right style="medium">
        <color indexed="64"/>
      </right>
      <top/>
      <bottom/>
      <diagonal/>
    </border>
    <border>
      <left/>
      <right/>
      <top style="thin">
        <color theme="4"/>
      </top>
      <bottom/>
      <diagonal/>
    </border>
    <border>
      <left style="thin">
        <color indexed="64"/>
      </left>
      <right style="thin">
        <color indexed="64"/>
      </right>
      <top/>
      <bottom style="thin">
        <color rgb="FF000000"/>
      </bottom>
      <diagonal/>
    </border>
    <border>
      <left style="thin">
        <color auto="1"/>
      </left>
      <right style="thin">
        <color auto="1"/>
      </right>
      <top style="thin">
        <color auto="1"/>
      </top>
      <bottom/>
      <diagonal/>
    </border>
    <border>
      <left style="thin">
        <color auto="1"/>
      </left>
      <right style="thin">
        <color auto="1"/>
      </right>
      <top style="medium">
        <color auto="1"/>
      </top>
      <bottom style="thin">
        <color auto="1"/>
      </bottom>
      <diagonal/>
    </border>
    <border>
      <left/>
      <right/>
      <top style="thin">
        <color rgb="FFABABAB"/>
      </top>
      <bottom/>
      <diagonal/>
    </border>
    <border>
      <left style="dashed">
        <color auto="1"/>
      </left>
      <right style="dashed">
        <color auto="1"/>
      </right>
      <top/>
      <bottom/>
      <diagonal/>
    </border>
    <border>
      <left style="dashed">
        <color auto="1"/>
      </left>
      <right style="dashed">
        <color auto="1"/>
      </right>
      <top/>
      <bottom style="thin">
        <color indexed="64"/>
      </bottom>
      <diagonal/>
    </border>
    <border>
      <left style="dashed">
        <color auto="1"/>
      </left>
      <right style="medium">
        <color indexed="64"/>
      </right>
      <top/>
      <bottom/>
      <diagonal/>
    </border>
    <border>
      <left style="dashed">
        <color auto="1"/>
      </left>
      <right style="medium">
        <color indexed="64"/>
      </right>
      <top/>
      <bottom style="thin">
        <color indexed="64"/>
      </bottom>
      <diagonal/>
    </border>
    <border>
      <left/>
      <right style="medium">
        <color auto="1"/>
      </right>
      <top style="thin">
        <color auto="1"/>
      </top>
      <bottom/>
      <diagonal/>
    </border>
    <border>
      <left style="thin">
        <color auto="1"/>
      </left>
      <right/>
      <top style="thin">
        <color indexed="64"/>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indexed="64"/>
      </top>
      <bottom style="thin">
        <color auto="1"/>
      </bottom>
      <diagonal/>
    </border>
    <border>
      <left style="thin">
        <color rgb="FFC0C0C0"/>
      </left>
      <right style="thin">
        <color rgb="FFC0C0C0"/>
      </right>
      <top/>
      <bottom style="thin">
        <color rgb="FFC0C0C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thin">
        <color auto="1"/>
      </right>
      <top style="thin">
        <color rgb="FF000000"/>
      </top>
      <bottom style="thin">
        <color auto="1"/>
      </bottom>
      <diagonal/>
    </border>
    <border>
      <left style="thin">
        <color rgb="FF808080"/>
      </left>
      <right style="thin">
        <color rgb="FFC0C0C0"/>
      </right>
      <top style="thin">
        <color rgb="FFC0C0C0"/>
      </top>
      <bottom style="thin">
        <color rgb="FFC0C0C0"/>
      </bottom>
      <diagonal/>
    </border>
    <border>
      <left style="thin">
        <color rgb="FFC0C0C0"/>
      </left>
      <right style="thin">
        <color rgb="FF808080"/>
      </right>
      <top style="thin">
        <color rgb="FFC0C0C0"/>
      </top>
      <bottom style="thin">
        <color rgb="FFC0C0C0"/>
      </bottom>
      <diagonal/>
    </border>
    <border>
      <left style="thin">
        <color theme="6" tint="0.39994506668294322"/>
      </left>
      <right style="thin">
        <color theme="6" tint="0.39994506668294322"/>
      </right>
      <top style="thin">
        <color theme="6" tint="0.39994506668294322"/>
      </top>
      <bottom style="thin">
        <color theme="6" tint="0.39994506668294322"/>
      </bottom>
      <diagonal/>
    </border>
    <border>
      <left style="thin">
        <color theme="0" tint="-0.249977111117893"/>
      </left>
      <right style="thin">
        <color theme="0" tint="-0.249977111117893"/>
      </right>
      <top style="thin">
        <color theme="0" tint="-0.249977111117893"/>
      </top>
      <bottom/>
      <diagonal/>
    </border>
  </borders>
  <cellStyleXfs count="27744">
    <xf numFmtId="0" fontId="0" fillId="0" borderId="0"/>
    <xf numFmtId="43" fontId="49" fillId="0" borderId="0" applyFont="0" applyFill="0" applyBorder="0" applyAlignment="0" applyProtection="0"/>
    <xf numFmtId="9" fontId="49" fillId="0" borderId="0" applyFont="0" applyFill="0" applyBorder="0" applyAlignment="0" applyProtection="0"/>
    <xf numFmtId="0" fontId="49" fillId="0" borderId="0"/>
    <xf numFmtId="0" fontId="46" fillId="0" borderId="0"/>
    <xf numFmtId="44" fontId="46" fillId="0" borderId="0" applyFont="0" applyFill="0" applyBorder="0" applyAlignment="0" applyProtection="0"/>
    <xf numFmtId="43" fontId="46" fillId="0" borderId="0" applyFont="0" applyFill="0" applyBorder="0" applyAlignment="0" applyProtection="0"/>
    <xf numFmtId="0" fontId="64" fillId="5" borderId="0" applyNumberFormat="0" applyBorder="0" applyAlignment="0" applyProtection="0"/>
    <xf numFmtId="0" fontId="64" fillId="5" borderId="0" applyNumberFormat="0" applyBorder="0" applyAlignment="0" applyProtection="0"/>
    <xf numFmtId="0" fontId="65" fillId="5" borderId="0" applyNumberFormat="0" applyBorder="0" applyAlignment="0" applyProtection="0"/>
    <xf numFmtId="0" fontId="64" fillId="5" borderId="0" applyNumberFormat="0" applyBorder="0" applyAlignment="0" applyProtection="0"/>
    <xf numFmtId="0" fontId="63"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5" fillId="6" borderId="0" applyNumberFormat="0" applyBorder="0" applyAlignment="0" applyProtection="0"/>
    <xf numFmtId="0" fontId="64" fillId="6" borderId="0" applyNumberFormat="0" applyBorder="0" applyAlignment="0" applyProtection="0"/>
    <xf numFmtId="0" fontId="63"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5" fillId="7" borderId="0" applyNumberFormat="0" applyBorder="0" applyAlignment="0" applyProtection="0"/>
    <xf numFmtId="0" fontId="64" fillId="7" borderId="0" applyNumberFormat="0" applyBorder="0" applyAlignment="0" applyProtection="0"/>
    <xf numFmtId="0" fontId="63"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5" fillId="8" borderId="0" applyNumberFormat="0" applyBorder="0" applyAlignment="0" applyProtection="0"/>
    <xf numFmtId="0" fontId="64" fillId="8" borderId="0" applyNumberFormat="0" applyBorder="0" applyAlignment="0" applyProtection="0"/>
    <xf numFmtId="0" fontId="63"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5" fillId="9" borderId="0" applyNumberFormat="0" applyBorder="0" applyAlignment="0" applyProtection="0"/>
    <xf numFmtId="0" fontId="64" fillId="9" borderId="0" applyNumberFormat="0" applyBorder="0" applyAlignment="0" applyProtection="0"/>
    <xf numFmtId="0" fontId="63"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5" fillId="10" borderId="0" applyNumberFormat="0" applyBorder="0" applyAlignment="0" applyProtection="0"/>
    <xf numFmtId="0" fontId="64" fillId="10" borderId="0" applyNumberFormat="0" applyBorder="0" applyAlignment="0" applyProtection="0"/>
    <xf numFmtId="0" fontId="63"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5" fillId="11" borderId="0" applyNumberFormat="0" applyBorder="0" applyAlignment="0" applyProtection="0"/>
    <xf numFmtId="0" fontId="64" fillId="11" borderId="0" applyNumberFormat="0" applyBorder="0" applyAlignment="0" applyProtection="0"/>
    <xf numFmtId="0" fontId="63"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65" fillId="12" borderId="0" applyNumberFormat="0" applyBorder="0" applyAlignment="0" applyProtection="0"/>
    <xf numFmtId="0" fontId="64" fillId="12" borderId="0" applyNumberFormat="0" applyBorder="0" applyAlignment="0" applyProtection="0"/>
    <xf numFmtId="0" fontId="63" fillId="12"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64" fillId="13" borderId="0" applyNumberFormat="0" applyBorder="0" applyAlignment="0" applyProtection="0"/>
    <xf numFmtId="0" fontId="64" fillId="13" borderId="0" applyNumberFormat="0" applyBorder="0" applyAlignment="0" applyProtection="0"/>
    <xf numFmtId="0" fontId="65" fillId="13" borderId="0" applyNumberFormat="0" applyBorder="0" applyAlignment="0" applyProtection="0"/>
    <xf numFmtId="0" fontId="64" fillId="13" borderId="0" applyNumberFormat="0" applyBorder="0" applyAlignment="0" applyProtection="0"/>
    <xf numFmtId="0" fontId="63" fillId="13" borderId="0" applyNumberFormat="0" applyBorder="0" applyAlignment="0" applyProtection="0"/>
    <xf numFmtId="0" fontId="64" fillId="13" borderId="0" applyNumberFormat="0" applyBorder="0" applyAlignment="0" applyProtection="0"/>
    <xf numFmtId="0" fontId="64" fillId="13" borderId="0" applyNumberFormat="0" applyBorder="0" applyAlignment="0" applyProtection="0"/>
    <xf numFmtId="0" fontId="64" fillId="13"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5" fillId="8" borderId="0" applyNumberFormat="0" applyBorder="0" applyAlignment="0" applyProtection="0"/>
    <xf numFmtId="0" fontId="64" fillId="8" borderId="0" applyNumberFormat="0" applyBorder="0" applyAlignment="0" applyProtection="0"/>
    <xf numFmtId="0" fontId="63"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5" fillId="11" borderId="0" applyNumberFormat="0" applyBorder="0" applyAlignment="0" applyProtection="0"/>
    <xf numFmtId="0" fontId="64" fillId="11" borderId="0" applyNumberFormat="0" applyBorder="0" applyAlignment="0" applyProtection="0"/>
    <xf numFmtId="0" fontId="63"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5" fillId="14" borderId="0" applyNumberFormat="0" applyBorder="0" applyAlignment="0" applyProtection="0"/>
    <xf numFmtId="0" fontId="64" fillId="14" borderId="0" applyNumberFormat="0" applyBorder="0" applyAlignment="0" applyProtection="0"/>
    <xf numFmtId="0" fontId="63"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6" fillId="15" borderId="0" applyNumberFormat="0" applyBorder="0" applyAlignment="0" applyProtection="0"/>
    <xf numFmtId="0" fontId="67"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2" borderId="0" applyNumberFormat="0" applyBorder="0" applyAlignment="0" applyProtection="0"/>
    <xf numFmtId="0" fontId="67" fillId="12"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66" fillId="13" borderId="0" applyNumberFormat="0" applyBorder="0" applyAlignment="0" applyProtection="0"/>
    <xf numFmtId="0" fontId="67"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6" borderId="0" applyNumberFormat="0" applyBorder="0" applyAlignment="0" applyProtection="0"/>
    <xf numFmtId="0" fontId="67" fillId="1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7"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7"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9" borderId="0" applyNumberFormat="0" applyBorder="0" applyAlignment="0" applyProtection="0"/>
    <xf numFmtId="0" fontId="67"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20" borderId="0" applyNumberFormat="0" applyBorder="0" applyAlignment="0" applyProtection="0"/>
    <xf numFmtId="0" fontId="67"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1" borderId="0" applyNumberFormat="0" applyBorder="0" applyAlignment="0" applyProtection="0"/>
    <xf numFmtId="0" fontId="67"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16" borderId="0" applyNumberFormat="0" applyBorder="0" applyAlignment="0" applyProtection="0"/>
    <xf numFmtId="0" fontId="67" fillId="1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7"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2" borderId="0" applyNumberFormat="0" applyBorder="0" applyAlignment="0" applyProtection="0"/>
    <xf numFmtId="0" fontId="67"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8" fillId="6" borderId="0" applyNumberFormat="0" applyBorder="0" applyAlignment="0" applyProtection="0"/>
    <xf numFmtId="0" fontId="69"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70" fillId="23" borderId="8" applyNumberFormat="0" applyAlignment="0" applyProtection="0"/>
    <xf numFmtId="0" fontId="71" fillId="23" borderId="8" applyNumberFormat="0" applyAlignment="0" applyProtection="0"/>
    <xf numFmtId="0" fontId="70" fillId="23" borderId="8" applyNumberFormat="0" applyAlignment="0" applyProtection="0"/>
    <xf numFmtId="0" fontId="70" fillId="23" borderId="8" applyNumberFormat="0" applyAlignment="0" applyProtection="0"/>
    <xf numFmtId="0" fontId="72" fillId="24" borderId="9" applyNumberFormat="0" applyAlignment="0" applyProtection="0"/>
    <xf numFmtId="0" fontId="73" fillId="24" borderId="9" applyNumberFormat="0" applyAlignment="0" applyProtection="0"/>
    <xf numFmtId="0" fontId="72" fillId="24" borderId="9" applyNumberFormat="0" applyAlignment="0" applyProtection="0"/>
    <xf numFmtId="0" fontId="72" fillId="24" borderId="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6"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9"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9" fillId="0" borderId="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6" fillId="0" borderId="0" applyFont="0" applyFill="0" applyBorder="0" applyAlignment="0" applyProtection="0"/>
    <xf numFmtId="43" fontId="49" fillId="0" borderId="0" applyFont="0" applyFill="0" applyBorder="0" applyAlignment="0" applyProtection="0"/>
    <xf numFmtId="43" fontId="49" fillId="0" borderId="0" applyFill="0" applyBorder="0" applyAlignment="0" applyProtection="0"/>
    <xf numFmtId="43" fontId="46" fillId="0" borderId="0" applyFont="0" applyFill="0" applyBorder="0" applyAlignment="0" applyProtection="0"/>
    <xf numFmtId="43" fontId="49" fillId="0" borderId="0" applyFont="0" applyFill="0" applyBorder="0" applyAlignment="0" applyProtection="0"/>
    <xf numFmtId="43" fontId="63" fillId="0" borderId="0" applyFont="0" applyFill="0" applyBorder="0" applyAlignment="0" applyProtection="0"/>
    <xf numFmtId="43" fontId="64" fillId="0" borderId="0" applyFont="0" applyFill="0" applyBorder="0" applyAlignment="0" applyProtection="0"/>
    <xf numFmtId="43" fontId="46"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74" fillId="0" borderId="0"/>
    <xf numFmtId="44" fontId="46"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63" fillId="0" borderId="0" applyFont="0" applyFill="0" applyBorder="0" applyAlignment="0" applyProtection="0"/>
    <xf numFmtId="44" fontId="46"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6" fillId="0" borderId="0" applyFont="0" applyFill="0" applyBorder="0" applyAlignment="0" applyProtection="0"/>
    <xf numFmtId="0" fontId="75" fillId="0" borderId="0" applyNumberFormat="0" applyFill="0" applyBorder="0" applyAlignment="0" applyProtection="0"/>
    <xf numFmtId="0" fontId="76"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4" fillId="0" borderId="0"/>
    <xf numFmtId="0" fontId="77" fillId="7" borderId="0" applyNumberFormat="0" applyBorder="0" applyAlignment="0" applyProtection="0"/>
    <xf numFmtId="0" fontId="78" fillId="7" borderId="0" applyNumberFormat="0" applyBorder="0" applyAlignment="0" applyProtection="0"/>
    <xf numFmtId="0" fontId="77" fillId="7" borderId="0" applyNumberFormat="0" applyBorder="0" applyAlignment="0" applyProtection="0"/>
    <xf numFmtId="0" fontId="77" fillId="7" borderId="0" applyNumberFormat="0" applyBorder="0" applyAlignment="0" applyProtection="0"/>
    <xf numFmtId="0" fontId="79" fillId="0" borderId="10" applyNumberFormat="0" applyFill="0" applyAlignment="0" applyProtection="0"/>
    <xf numFmtId="0" fontId="80" fillId="0" borderId="10" applyNumberFormat="0" applyFill="0" applyAlignment="0" applyProtection="0"/>
    <xf numFmtId="0" fontId="79" fillId="0" borderId="10" applyNumberFormat="0" applyFill="0" applyAlignment="0" applyProtection="0"/>
    <xf numFmtId="0" fontId="79" fillId="0" borderId="10" applyNumberFormat="0" applyFill="0" applyAlignment="0" applyProtection="0"/>
    <xf numFmtId="0" fontId="81" fillId="0" borderId="11" applyNumberFormat="0" applyFill="0" applyAlignment="0" applyProtection="0"/>
    <xf numFmtId="0" fontId="82" fillId="0" borderId="11" applyNumberFormat="0" applyFill="0" applyAlignment="0" applyProtection="0"/>
    <xf numFmtId="0" fontId="81" fillId="0" borderId="11" applyNumberFormat="0" applyFill="0" applyAlignment="0" applyProtection="0"/>
    <xf numFmtId="0" fontId="81" fillId="0" borderId="11" applyNumberFormat="0" applyFill="0" applyAlignment="0" applyProtection="0"/>
    <xf numFmtId="0" fontId="83" fillId="0" borderId="12" applyNumberFormat="0" applyFill="0" applyAlignment="0" applyProtection="0"/>
    <xf numFmtId="0" fontId="84" fillId="0" borderId="12" applyNumberFormat="0" applyFill="0" applyAlignment="0" applyProtection="0"/>
    <xf numFmtId="0" fontId="83" fillId="0" borderId="12" applyNumberFormat="0" applyFill="0" applyAlignment="0" applyProtection="0"/>
    <xf numFmtId="0" fontId="83" fillId="0" borderId="12" applyNumberFormat="0" applyFill="0" applyAlignment="0" applyProtection="0"/>
    <xf numFmtId="0" fontId="83" fillId="0" borderId="0" applyNumberFormat="0" applyFill="0" applyBorder="0" applyAlignment="0" applyProtection="0"/>
    <xf numFmtId="0" fontId="84"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5" fillId="10" borderId="8" applyNumberFormat="0" applyAlignment="0" applyProtection="0"/>
    <xf numFmtId="0" fontId="86" fillId="10" borderId="8" applyNumberFormat="0" applyAlignment="0" applyProtection="0"/>
    <xf numFmtId="0" fontId="85" fillId="10" borderId="8" applyNumberFormat="0" applyAlignment="0" applyProtection="0"/>
    <xf numFmtId="0" fontId="85" fillId="10" borderId="8" applyNumberFormat="0" applyAlignment="0" applyProtection="0"/>
    <xf numFmtId="0" fontId="87" fillId="0" borderId="13" applyNumberFormat="0" applyFill="0" applyAlignment="0" applyProtection="0"/>
    <xf numFmtId="0" fontId="88" fillId="0" borderId="13" applyNumberFormat="0" applyFill="0" applyAlignment="0" applyProtection="0"/>
    <xf numFmtId="0" fontId="87" fillId="0" borderId="13" applyNumberFormat="0" applyFill="0" applyAlignment="0" applyProtection="0"/>
    <xf numFmtId="0" fontId="87" fillId="0" borderId="13" applyNumberFormat="0" applyFill="0" applyAlignment="0" applyProtection="0"/>
    <xf numFmtId="0" fontId="89" fillId="25" borderId="0" applyNumberFormat="0" applyBorder="0" applyAlignment="0" applyProtection="0"/>
    <xf numFmtId="0" fontId="90"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49" fillId="0" borderId="0"/>
    <xf numFmtId="0" fontId="64" fillId="0" borderId="0"/>
    <xf numFmtId="0" fontId="64" fillId="0" borderId="0"/>
    <xf numFmtId="0" fontId="49" fillId="0" borderId="0"/>
    <xf numFmtId="0" fontId="49" fillId="0" borderId="0"/>
    <xf numFmtId="0" fontId="49" fillId="0" borderId="0"/>
    <xf numFmtId="0" fontId="49" fillId="0" borderId="0"/>
    <xf numFmtId="0" fontId="49" fillId="0" borderId="0"/>
    <xf numFmtId="168" fontId="74" fillId="0" borderId="0"/>
    <xf numFmtId="0" fontId="46" fillId="0" borderId="0"/>
    <xf numFmtId="0" fontId="46" fillId="0" borderId="0"/>
    <xf numFmtId="0" fontId="49" fillId="0" borderId="0"/>
    <xf numFmtId="0" fontId="4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49" fillId="0" borderId="0">
      <alignment wrapText="1"/>
    </xf>
    <xf numFmtId="0" fontId="92" fillId="0" borderId="0"/>
    <xf numFmtId="0" fontId="91" fillId="0" borderId="0"/>
    <xf numFmtId="0" fontId="49" fillId="0" borderId="0"/>
    <xf numFmtId="0" fontId="49" fillId="0" borderId="0"/>
    <xf numFmtId="0" fontId="4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6" fillId="0" borderId="0"/>
    <xf numFmtId="0" fontId="49" fillId="0" borderId="0"/>
    <xf numFmtId="0" fontId="49" fillId="0" borderId="0"/>
    <xf numFmtId="0" fontId="49" fillId="0" borderId="0"/>
    <xf numFmtId="0" fontId="49" fillId="0" borderId="0"/>
    <xf numFmtId="0" fontId="49" fillId="0" borderId="0"/>
    <xf numFmtId="0" fontId="46" fillId="0" borderId="0"/>
    <xf numFmtId="0" fontId="46" fillId="0" borderId="0"/>
    <xf numFmtId="0" fontId="46" fillId="0" borderId="0"/>
    <xf numFmtId="49" fontId="93" fillId="0" borderId="0"/>
    <xf numFmtId="0" fontId="49"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9" fillId="0" borderId="0">
      <alignment wrapText="1"/>
    </xf>
    <xf numFmtId="0" fontId="94" fillId="0" borderId="0"/>
    <xf numFmtId="0" fontId="49" fillId="0" borderId="0"/>
    <xf numFmtId="0" fontId="49" fillId="0" borderId="0"/>
    <xf numFmtId="0" fontId="46" fillId="0" borderId="0"/>
    <xf numFmtId="0" fontId="46" fillId="0" borderId="0"/>
    <xf numFmtId="0" fontId="49" fillId="0" borderId="0"/>
    <xf numFmtId="0" fontId="46" fillId="0" borderId="0"/>
    <xf numFmtId="0" fontId="94" fillId="0" borderId="0"/>
    <xf numFmtId="0" fontId="46" fillId="0" borderId="0"/>
    <xf numFmtId="0" fontId="46" fillId="0" borderId="0"/>
    <xf numFmtId="0" fontId="63" fillId="0" borderId="0"/>
    <xf numFmtId="0" fontId="63" fillId="0" borderId="0"/>
    <xf numFmtId="0" fontId="46" fillId="0" borderId="0"/>
    <xf numFmtId="0" fontId="49" fillId="0" borderId="0"/>
    <xf numFmtId="0" fontId="63" fillId="0" borderId="0"/>
    <xf numFmtId="0" fontId="49" fillId="0" borderId="0"/>
    <xf numFmtId="0" fontId="46" fillId="0" borderId="0"/>
    <xf numFmtId="0" fontId="49" fillId="0" borderId="0"/>
    <xf numFmtId="0" fontId="64" fillId="26" borderId="14" applyNumberFormat="0" applyFont="0" applyAlignment="0" applyProtection="0"/>
    <xf numFmtId="0" fontId="65" fillId="26" borderId="14" applyNumberFormat="0" applyFont="0" applyAlignment="0" applyProtection="0"/>
    <xf numFmtId="0" fontId="63" fillId="26" borderId="14" applyNumberFormat="0" applyFont="0" applyAlignment="0" applyProtection="0"/>
    <xf numFmtId="0" fontId="49" fillId="26" borderId="14" applyNumberFormat="0" applyFont="0" applyAlignment="0" applyProtection="0"/>
    <xf numFmtId="0" fontId="46" fillId="4" borderId="6" applyNumberFormat="0" applyFont="0" applyAlignment="0" applyProtection="0"/>
    <xf numFmtId="0" fontId="95" fillId="23" borderId="15" applyNumberFormat="0" applyAlignment="0" applyProtection="0"/>
    <xf numFmtId="0" fontId="96" fillId="23" borderId="15" applyNumberFormat="0" applyAlignment="0" applyProtection="0"/>
    <xf numFmtId="0" fontId="95" fillId="23" borderId="15" applyNumberFormat="0" applyAlignment="0" applyProtection="0"/>
    <xf numFmtId="0" fontId="95" fillId="23" borderId="15" applyNumberFormat="0" applyAlignment="0" applyProtection="0"/>
    <xf numFmtId="9" fontId="46" fillId="0" borderId="0" applyFont="0" applyFill="0" applyBorder="0" applyAlignment="0" applyProtection="0"/>
    <xf numFmtId="9" fontId="49" fillId="0" borderId="0" applyFont="0" applyFill="0" applyBorder="0" applyAlignment="0" applyProtection="0"/>
    <xf numFmtId="9" fontId="46"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16" applyNumberFormat="0" applyFill="0" applyAlignment="0" applyProtection="0"/>
    <xf numFmtId="0" fontId="99" fillId="0" borderId="16" applyNumberFormat="0" applyFill="0" applyAlignment="0" applyProtection="0"/>
    <xf numFmtId="0" fontId="98" fillId="0" borderId="16" applyNumberFormat="0" applyFill="0" applyAlignment="0" applyProtection="0"/>
    <xf numFmtId="0" fontId="98" fillId="0" borderId="16" applyNumberFormat="0" applyFill="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45" fillId="0" borderId="0"/>
    <xf numFmtId="44"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4" borderId="6" applyNumberFormat="0" applyFont="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44" fontId="103" fillId="0" borderId="0" applyFont="0" applyFill="0" applyBorder="0" applyAlignment="0" applyProtection="0"/>
    <xf numFmtId="0" fontId="44" fillId="0" borderId="0"/>
    <xf numFmtId="43" fontId="44" fillId="0" borderId="0" applyFont="0" applyFill="0" applyBorder="0" applyAlignment="0" applyProtection="0"/>
    <xf numFmtId="44" fontId="4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3" fillId="0" borderId="0"/>
    <xf numFmtId="0" fontId="42" fillId="0" borderId="0"/>
    <xf numFmtId="44" fontId="42" fillId="0" borderId="0" applyFont="0" applyFill="0" applyBorder="0" applyAlignment="0" applyProtection="0"/>
    <xf numFmtId="43" fontId="42" fillId="0" borderId="0" applyFont="0" applyFill="0" applyBorder="0" applyAlignment="0" applyProtection="0"/>
    <xf numFmtId="0" fontId="63" fillId="26" borderId="21" applyNumberFormat="0" applyFont="0" applyAlignment="0" applyProtection="0"/>
    <xf numFmtId="0" fontId="64" fillId="26" borderId="21" applyNumberFormat="0" applyFont="0" applyAlignment="0" applyProtection="0"/>
    <xf numFmtId="0" fontId="85" fillId="10" borderId="20" applyNumberFormat="0" applyAlignment="0" applyProtection="0"/>
    <xf numFmtId="0" fontId="85" fillId="10" borderId="20" applyNumberFormat="0" applyAlignment="0" applyProtection="0"/>
    <xf numFmtId="0" fontId="70" fillId="23" borderId="20" applyNumberFormat="0" applyAlignment="0" applyProtection="0"/>
    <xf numFmtId="0" fontId="71" fillId="23" borderId="20" applyNumberFormat="0" applyAlignment="0" applyProtection="0"/>
    <xf numFmtId="0" fontId="70" fillId="23" borderId="20" applyNumberFormat="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0" fontId="95" fillId="23" borderId="18" applyNumberFormat="0" applyAlignment="0" applyProtection="0"/>
    <xf numFmtId="0" fontId="96" fillId="23" borderId="18" applyNumberFormat="0" applyAlignment="0" applyProtection="0"/>
    <xf numFmtId="0" fontId="95" fillId="23" borderId="18" applyNumberFormat="0" applyAlignment="0" applyProtection="0"/>
    <xf numFmtId="0" fontId="95" fillId="23" borderId="18" applyNumberFormat="0" applyAlignment="0" applyProtection="0"/>
    <xf numFmtId="0" fontId="42" fillId="0" borderId="0"/>
    <xf numFmtId="0" fontId="42" fillId="0" borderId="0"/>
    <xf numFmtId="0" fontId="42" fillId="0" borderId="0"/>
    <xf numFmtId="0" fontId="98" fillId="0" borderId="19" applyNumberFormat="0" applyFill="0" applyAlignment="0" applyProtection="0"/>
    <xf numFmtId="0" fontId="99" fillId="0" borderId="19" applyNumberFormat="0" applyFill="0" applyAlignment="0" applyProtection="0"/>
    <xf numFmtId="0" fontId="98" fillId="0" borderId="19" applyNumberFormat="0" applyFill="0" applyAlignment="0" applyProtection="0"/>
    <xf numFmtId="0" fontId="98" fillId="0" borderId="19" applyNumberFormat="0" applyFill="0" applyAlignment="0" applyProtection="0"/>
    <xf numFmtId="0" fontId="85" fillId="10" borderId="20" applyNumberFormat="0" applyAlignment="0" applyProtection="0"/>
    <xf numFmtId="0" fontId="86" fillId="10" borderId="20" applyNumberForma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4" borderId="6" applyNumberFormat="0" applyFont="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2" fillId="0" borderId="0"/>
    <xf numFmtId="44"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4" borderId="6" applyNumberFormat="0" applyFont="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2" fillId="0" borderId="0"/>
    <xf numFmtId="43" fontId="42" fillId="0" borderId="0" applyFont="0" applyFill="0" applyBorder="0" applyAlignment="0" applyProtection="0"/>
    <xf numFmtId="44"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70" fillId="23" borderId="20" applyNumberFormat="0" applyAlignment="0" applyProtection="0"/>
    <xf numFmtId="0" fontId="65" fillId="26" borderId="21" applyNumberFormat="0" applyFont="0" applyAlignment="0" applyProtection="0"/>
    <xf numFmtId="0" fontId="49" fillId="26" borderId="21" applyNumberFormat="0" applyFont="0" applyAlignment="0" applyProtection="0"/>
    <xf numFmtId="0" fontId="41" fillId="0" borderId="0"/>
    <xf numFmtId="0" fontId="40" fillId="0" borderId="0"/>
    <xf numFmtId="44" fontId="40" fillId="0" borderId="0" applyFont="0" applyFill="0" applyBorder="0" applyAlignment="0" applyProtection="0"/>
    <xf numFmtId="43" fontId="40" fillId="0" borderId="0" applyFont="0" applyFill="0" applyBorder="0" applyAlignment="0" applyProtection="0"/>
    <xf numFmtId="0" fontId="70" fillId="23" borderId="24" applyNumberFormat="0" applyAlignment="0" applyProtection="0"/>
    <xf numFmtId="0" fontId="71" fillId="23" borderId="24" applyNumberFormat="0" applyAlignment="0" applyProtection="0"/>
    <xf numFmtId="0" fontId="70" fillId="23" borderId="24" applyNumberFormat="0" applyAlignment="0" applyProtection="0"/>
    <xf numFmtId="0" fontId="70" fillId="23" borderId="24" applyNumberFormat="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85" fillId="10" borderId="24" applyNumberFormat="0" applyAlignment="0" applyProtection="0"/>
    <xf numFmtId="0" fontId="86" fillId="10" borderId="24" applyNumberFormat="0" applyAlignment="0" applyProtection="0"/>
    <xf numFmtId="0" fontId="85" fillId="10" borderId="24" applyNumberFormat="0" applyAlignment="0" applyProtection="0"/>
    <xf numFmtId="0" fontId="85" fillId="10" borderId="24" applyNumberFormat="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64" fillId="26" borderId="25" applyNumberFormat="0" applyFont="0" applyAlignment="0" applyProtection="0"/>
    <xf numFmtId="0" fontId="65" fillId="26" borderId="25" applyNumberFormat="0" applyFont="0" applyAlignment="0" applyProtection="0"/>
    <xf numFmtId="0" fontId="63" fillId="26" borderId="25" applyNumberFormat="0" applyFont="0" applyAlignment="0" applyProtection="0"/>
    <xf numFmtId="0" fontId="49" fillId="26" borderId="25" applyNumberFormat="0" applyFont="0" applyAlignment="0" applyProtection="0"/>
    <xf numFmtId="0" fontId="40" fillId="4" borderId="6" applyNumberFormat="0" applyFont="0" applyAlignment="0" applyProtection="0"/>
    <xf numFmtId="0" fontId="95" fillId="23" borderId="26" applyNumberFormat="0" applyAlignment="0" applyProtection="0"/>
    <xf numFmtId="0" fontId="96" fillId="23" borderId="26" applyNumberFormat="0" applyAlignment="0" applyProtection="0"/>
    <xf numFmtId="0" fontId="95" fillId="23" borderId="26" applyNumberFormat="0" applyAlignment="0" applyProtection="0"/>
    <xf numFmtId="0" fontId="95" fillId="23" borderId="26" applyNumberFormat="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98" fillId="0" borderId="27" applyNumberFormat="0" applyFill="0" applyAlignment="0" applyProtection="0"/>
    <xf numFmtId="0" fontId="99" fillId="0" borderId="27" applyNumberFormat="0" applyFill="0" applyAlignment="0" applyProtection="0"/>
    <xf numFmtId="0" fontId="98" fillId="0" borderId="27" applyNumberFormat="0" applyFill="0" applyAlignment="0" applyProtection="0"/>
    <xf numFmtId="0" fontId="98" fillId="0" borderId="27" applyNumberFormat="0" applyFill="0" applyAlignment="0" applyProtection="0"/>
    <xf numFmtId="0" fontId="40" fillId="0" borderId="0"/>
    <xf numFmtId="4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4" borderId="6" applyNumberFormat="0" applyFont="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43" fontId="40" fillId="0" borderId="0" applyFont="0" applyFill="0" applyBorder="0" applyAlignment="0" applyProtection="0"/>
    <xf numFmtId="0" fontId="63" fillId="26" borderId="25" applyNumberFormat="0" applyFont="0" applyAlignment="0" applyProtection="0"/>
    <xf numFmtId="0" fontId="64" fillId="26" borderId="25" applyNumberFormat="0" applyFont="0" applyAlignment="0" applyProtection="0"/>
    <xf numFmtId="0" fontId="85" fillId="10" borderId="24" applyNumberFormat="0" applyAlignment="0" applyProtection="0"/>
    <xf numFmtId="0" fontId="85" fillId="10" borderId="24" applyNumberFormat="0" applyAlignment="0" applyProtection="0"/>
    <xf numFmtId="0" fontId="70" fillId="23" borderId="24" applyNumberFormat="0" applyAlignment="0" applyProtection="0"/>
    <xf numFmtId="0" fontId="71" fillId="23" borderId="24" applyNumberFormat="0" applyAlignment="0" applyProtection="0"/>
    <xf numFmtId="0" fontId="70" fillId="23" borderId="24" applyNumberFormat="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95" fillId="23" borderId="26" applyNumberFormat="0" applyAlignment="0" applyProtection="0"/>
    <xf numFmtId="0" fontId="96" fillId="23" borderId="26" applyNumberFormat="0" applyAlignment="0" applyProtection="0"/>
    <xf numFmtId="0" fontId="95" fillId="23" borderId="26" applyNumberFormat="0" applyAlignment="0" applyProtection="0"/>
    <xf numFmtId="0" fontId="95" fillId="23" borderId="26" applyNumberFormat="0" applyAlignment="0" applyProtection="0"/>
    <xf numFmtId="0" fontId="40" fillId="0" borderId="0"/>
    <xf numFmtId="0" fontId="40" fillId="0" borderId="0"/>
    <xf numFmtId="0" fontId="40" fillId="0" borderId="0"/>
    <xf numFmtId="0" fontId="98" fillId="0" borderId="27" applyNumberFormat="0" applyFill="0" applyAlignment="0" applyProtection="0"/>
    <xf numFmtId="0" fontId="99" fillId="0" borderId="27" applyNumberFormat="0" applyFill="0" applyAlignment="0" applyProtection="0"/>
    <xf numFmtId="0" fontId="98" fillId="0" borderId="27" applyNumberFormat="0" applyFill="0" applyAlignment="0" applyProtection="0"/>
    <xf numFmtId="0" fontId="98" fillId="0" borderId="27" applyNumberFormat="0" applyFill="0" applyAlignment="0" applyProtection="0"/>
    <xf numFmtId="0" fontId="85" fillId="10" borderId="24" applyNumberFormat="0" applyAlignment="0" applyProtection="0"/>
    <xf numFmtId="0" fontId="86" fillId="10" borderId="24" applyNumberFormat="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4" borderId="6" applyNumberFormat="0" applyFont="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40" fillId="0" borderId="0"/>
    <xf numFmtId="4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4" borderId="6" applyNumberFormat="0" applyFont="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70" fillId="23" borderId="24" applyNumberFormat="0" applyAlignment="0" applyProtection="0"/>
    <xf numFmtId="0" fontId="65" fillId="26" borderId="25" applyNumberFormat="0" applyFont="0" applyAlignment="0" applyProtection="0"/>
    <xf numFmtId="0" fontId="49" fillId="26" borderId="25" applyNumberFormat="0" applyFont="0" applyAlignment="0" applyProtection="0"/>
    <xf numFmtId="0" fontId="40" fillId="0" borderId="0"/>
    <xf numFmtId="0" fontId="39" fillId="0" borderId="0"/>
    <xf numFmtId="0" fontId="39"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70" fillId="23" borderId="28" applyNumberFormat="0" applyAlignment="0" applyProtection="0"/>
    <xf numFmtId="0" fontId="71" fillId="23" borderId="28" applyNumberFormat="0" applyAlignment="0" applyProtection="0"/>
    <xf numFmtId="0" fontId="70" fillId="23" borderId="28" applyNumberFormat="0" applyAlignment="0" applyProtection="0"/>
    <xf numFmtId="0" fontId="70" fillId="23" borderId="28" applyNumberFormat="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85" fillId="10" borderId="28" applyNumberFormat="0" applyAlignment="0" applyProtection="0"/>
    <xf numFmtId="0" fontId="86" fillId="10" borderId="28" applyNumberFormat="0" applyAlignment="0" applyProtection="0"/>
    <xf numFmtId="0" fontId="85" fillId="10" borderId="28" applyNumberFormat="0" applyAlignment="0" applyProtection="0"/>
    <xf numFmtId="0" fontId="85" fillId="10" borderId="28" applyNumberForma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4" fillId="26" borderId="29" applyNumberFormat="0" applyFont="0" applyAlignment="0" applyProtection="0"/>
    <xf numFmtId="0" fontId="65" fillId="26" borderId="29" applyNumberFormat="0" applyFont="0" applyAlignment="0" applyProtection="0"/>
    <xf numFmtId="0" fontId="63" fillId="26" borderId="29" applyNumberFormat="0" applyFont="0" applyAlignment="0" applyProtection="0"/>
    <xf numFmtId="0" fontId="49" fillId="26" borderId="29" applyNumberFormat="0" applyFont="0" applyAlignment="0" applyProtection="0"/>
    <xf numFmtId="0" fontId="38" fillId="4" borderId="6" applyNumberFormat="0" applyFont="0" applyAlignment="0" applyProtection="0"/>
    <xf numFmtId="0" fontId="95" fillId="23" borderId="30" applyNumberFormat="0" applyAlignment="0" applyProtection="0"/>
    <xf numFmtId="0" fontId="96" fillId="23" borderId="30" applyNumberFormat="0" applyAlignment="0" applyProtection="0"/>
    <xf numFmtId="0" fontId="95" fillId="23" borderId="30" applyNumberFormat="0" applyAlignment="0" applyProtection="0"/>
    <xf numFmtId="0" fontId="95" fillId="23" borderId="30" applyNumberFormat="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98" fillId="0" borderId="31" applyNumberFormat="0" applyFill="0" applyAlignment="0" applyProtection="0"/>
    <xf numFmtId="0" fontId="99" fillId="0" borderId="31" applyNumberFormat="0" applyFill="0" applyAlignment="0" applyProtection="0"/>
    <xf numFmtId="0" fontId="98" fillId="0" borderId="31" applyNumberFormat="0" applyFill="0" applyAlignment="0" applyProtection="0"/>
    <xf numFmtId="0" fontId="98" fillId="0" borderId="31" applyNumberFormat="0" applyFill="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4" borderId="6" applyNumberFormat="0" applyFont="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63" fillId="26" borderId="29" applyNumberFormat="0" applyFont="0" applyAlignment="0" applyProtection="0"/>
    <xf numFmtId="0" fontId="64" fillId="26" borderId="29" applyNumberFormat="0" applyFont="0" applyAlignment="0" applyProtection="0"/>
    <xf numFmtId="0" fontId="85" fillId="10" borderId="28" applyNumberFormat="0" applyAlignment="0" applyProtection="0"/>
    <xf numFmtId="0" fontId="85" fillId="10" borderId="28" applyNumberFormat="0" applyAlignment="0" applyProtection="0"/>
    <xf numFmtId="0" fontId="70" fillId="23" borderId="28" applyNumberFormat="0" applyAlignment="0" applyProtection="0"/>
    <xf numFmtId="0" fontId="71" fillId="23" borderId="28" applyNumberFormat="0" applyAlignment="0" applyProtection="0"/>
    <xf numFmtId="0" fontId="70" fillId="23" borderId="28" applyNumberFormat="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95" fillId="23" borderId="30" applyNumberFormat="0" applyAlignment="0" applyProtection="0"/>
    <xf numFmtId="0" fontId="96" fillId="23" borderId="30" applyNumberFormat="0" applyAlignment="0" applyProtection="0"/>
    <xf numFmtId="0" fontId="95" fillId="23" borderId="30" applyNumberFormat="0" applyAlignment="0" applyProtection="0"/>
    <xf numFmtId="0" fontId="95" fillId="23" borderId="30" applyNumberFormat="0" applyAlignment="0" applyProtection="0"/>
    <xf numFmtId="0" fontId="38" fillId="0" borderId="0"/>
    <xf numFmtId="0" fontId="38" fillId="0" borderId="0"/>
    <xf numFmtId="0" fontId="38" fillId="0" borderId="0"/>
    <xf numFmtId="0" fontId="98" fillId="0" borderId="31" applyNumberFormat="0" applyFill="0" applyAlignment="0" applyProtection="0"/>
    <xf numFmtId="0" fontId="99" fillId="0" borderId="31" applyNumberFormat="0" applyFill="0" applyAlignment="0" applyProtection="0"/>
    <xf numFmtId="0" fontId="98" fillId="0" borderId="31" applyNumberFormat="0" applyFill="0" applyAlignment="0" applyProtection="0"/>
    <xf numFmtId="0" fontId="98" fillId="0" borderId="31" applyNumberFormat="0" applyFill="0" applyAlignment="0" applyProtection="0"/>
    <xf numFmtId="0" fontId="85" fillId="10" borderId="28" applyNumberFormat="0" applyAlignment="0" applyProtection="0"/>
    <xf numFmtId="0" fontId="86" fillId="10" borderId="28" applyNumberForma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4" borderId="6" applyNumberFormat="0" applyFont="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4" borderId="6" applyNumberFormat="0" applyFont="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0" fillId="23" borderId="28" applyNumberFormat="0" applyAlignment="0" applyProtection="0"/>
    <xf numFmtId="0" fontId="65" fillId="26" borderId="29" applyNumberFormat="0" applyFont="0" applyAlignment="0" applyProtection="0"/>
    <xf numFmtId="0" fontId="49" fillId="26" borderId="29" applyNumberFormat="0" applyFont="0" applyAlignment="0" applyProtection="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70" fillId="23" borderId="28" applyNumberFormat="0" applyAlignment="0" applyProtection="0"/>
    <xf numFmtId="0" fontId="71" fillId="23" borderId="28" applyNumberFormat="0" applyAlignment="0" applyProtection="0"/>
    <xf numFmtId="0" fontId="70" fillId="23" borderId="28" applyNumberFormat="0" applyAlignment="0" applyProtection="0"/>
    <xf numFmtId="0" fontId="70" fillId="23" borderId="28" applyNumberFormat="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85" fillId="10" borderId="28" applyNumberFormat="0" applyAlignment="0" applyProtection="0"/>
    <xf numFmtId="0" fontId="86" fillId="10" borderId="28" applyNumberFormat="0" applyAlignment="0" applyProtection="0"/>
    <xf numFmtId="0" fontId="85" fillId="10" borderId="28" applyNumberFormat="0" applyAlignment="0" applyProtection="0"/>
    <xf numFmtId="0" fontId="85" fillId="10" borderId="28" applyNumberForma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4" fillId="26" borderId="29" applyNumberFormat="0" applyFont="0" applyAlignment="0" applyProtection="0"/>
    <xf numFmtId="0" fontId="65" fillId="26" borderId="29" applyNumberFormat="0" applyFont="0" applyAlignment="0" applyProtection="0"/>
    <xf numFmtId="0" fontId="63" fillId="26" borderId="29" applyNumberFormat="0" applyFont="0" applyAlignment="0" applyProtection="0"/>
    <xf numFmtId="0" fontId="49" fillId="26" borderId="29" applyNumberFormat="0" applyFont="0" applyAlignment="0" applyProtection="0"/>
    <xf numFmtId="0" fontId="38" fillId="4" borderId="6" applyNumberFormat="0" applyFont="0" applyAlignment="0" applyProtection="0"/>
    <xf numFmtId="0" fontId="95" fillId="23" borderId="30" applyNumberFormat="0" applyAlignment="0" applyProtection="0"/>
    <xf numFmtId="0" fontId="96" fillId="23" borderId="30" applyNumberFormat="0" applyAlignment="0" applyProtection="0"/>
    <xf numFmtId="0" fontId="95" fillId="23" borderId="30" applyNumberFormat="0" applyAlignment="0" applyProtection="0"/>
    <xf numFmtId="0" fontId="95" fillId="23" borderId="30" applyNumberFormat="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98" fillId="0" borderId="31" applyNumberFormat="0" applyFill="0" applyAlignment="0" applyProtection="0"/>
    <xf numFmtId="0" fontId="99" fillId="0" borderId="31" applyNumberFormat="0" applyFill="0" applyAlignment="0" applyProtection="0"/>
    <xf numFmtId="0" fontId="98" fillId="0" borderId="31" applyNumberFormat="0" applyFill="0" applyAlignment="0" applyProtection="0"/>
    <xf numFmtId="0" fontId="98" fillId="0" borderId="31" applyNumberFormat="0" applyFill="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4" borderId="6" applyNumberFormat="0" applyFont="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63" fillId="26" borderId="29" applyNumberFormat="0" applyFont="0" applyAlignment="0" applyProtection="0"/>
    <xf numFmtId="0" fontId="64" fillId="26" borderId="29" applyNumberFormat="0" applyFont="0" applyAlignment="0" applyProtection="0"/>
    <xf numFmtId="0" fontId="85" fillId="10" borderId="28" applyNumberFormat="0" applyAlignment="0" applyProtection="0"/>
    <xf numFmtId="0" fontId="85" fillId="10" borderId="28" applyNumberFormat="0" applyAlignment="0" applyProtection="0"/>
    <xf numFmtId="0" fontId="70" fillId="23" borderId="28" applyNumberFormat="0" applyAlignment="0" applyProtection="0"/>
    <xf numFmtId="0" fontId="71" fillId="23" borderId="28" applyNumberFormat="0" applyAlignment="0" applyProtection="0"/>
    <xf numFmtId="0" fontId="70" fillId="23" borderId="28" applyNumberFormat="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95" fillId="23" borderId="30" applyNumberFormat="0" applyAlignment="0" applyProtection="0"/>
    <xf numFmtId="0" fontId="96" fillId="23" borderId="30" applyNumberFormat="0" applyAlignment="0" applyProtection="0"/>
    <xf numFmtId="0" fontId="95" fillId="23" borderId="30" applyNumberFormat="0" applyAlignment="0" applyProtection="0"/>
    <xf numFmtId="0" fontId="95" fillId="23" borderId="30" applyNumberFormat="0" applyAlignment="0" applyProtection="0"/>
    <xf numFmtId="0" fontId="38" fillId="0" borderId="0"/>
    <xf numFmtId="0" fontId="38" fillId="0" borderId="0"/>
    <xf numFmtId="0" fontId="38" fillId="0" borderId="0"/>
    <xf numFmtId="0" fontId="98" fillId="0" borderId="31" applyNumberFormat="0" applyFill="0" applyAlignment="0" applyProtection="0"/>
    <xf numFmtId="0" fontId="99" fillId="0" borderId="31" applyNumberFormat="0" applyFill="0" applyAlignment="0" applyProtection="0"/>
    <xf numFmtId="0" fontId="98" fillId="0" borderId="31" applyNumberFormat="0" applyFill="0" applyAlignment="0" applyProtection="0"/>
    <xf numFmtId="0" fontId="98" fillId="0" borderId="31" applyNumberFormat="0" applyFill="0" applyAlignment="0" applyProtection="0"/>
    <xf numFmtId="0" fontId="85" fillId="10" borderId="28" applyNumberFormat="0" applyAlignment="0" applyProtection="0"/>
    <xf numFmtId="0" fontId="86" fillId="10" borderId="28" applyNumberForma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4" borderId="6" applyNumberFormat="0" applyFont="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4" borderId="6" applyNumberFormat="0" applyFont="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0" fillId="23" borderId="28" applyNumberFormat="0" applyAlignment="0" applyProtection="0"/>
    <xf numFmtId="0" fontId="65" fillId="26" borderId="29" applyNumberFormat="0" applyFont="0" applyAlignment="0" applyProtection="0"/>
    <xf numFmtId="0" fontId="49" fillId="26" borderId="29" applyNumberFormat="0" applyFont="0" applyAlignment="0" applyProtection="0"/>
    <xf numFmtId="0" fontId="38" fillId="0" borderId="0"/>
    <xf numFmtId="0" fontId="63" fillId="26" borderId="35" applyNumberFormat="0" applyFont="0" applyAlignment="0" applyProtection="0"/>
    <xf numFmtId="0" fontId="64" fillId="26" borderId="35" applyNumberFormat="0" applyFont="0" applyAlignment="0" applyProtection="0"/>
    <xf numFmtId="0" fontId="85" fillId="10" borderId="34" applyNumberFormat="0" applyAlignment="0" applyProtection="0"/>
    <xf numFmtId="0" fontId="85" fillId="10" borderId="34" applyNumberFormat="0" applyAlignment="0" applyProtection="0"/>
    <xf numFmtId="0" fontId="70" fillId="23" borderId="34" applyNumberFormat="0" applyAlignment="0" applyProtection="0"/>
    <xf numFmtId="0" fontId="71" fillId="23" borderId="34" applyNumberFormat="0" applyAlignment="0" applyProtection="0"/>
    <xf numFmtId="0" fontId="70" fillId="23" borderId="34" applyNumberFormat="0" applyAlignment="0" applyProtection="0"/>
    <xf numFmtId="0" fontId="95" fillId="23" borderId="32" applyNumberFormat="0" applyAlignment="0" applyProtection="0"/>
    <xf numFmtId="0" fontId="96" fillId="23" borderId="32" applyNumberFormat="0" applyAlignment="0" applyProtection="0"/>
    <xf numFmtId="0" fontId="95" fillId="23" borderId="32" applyNumberFormat="0" applyAlignment="0" applyProtection="0"/>
    <xf numFmtId="0" fontId="95" fillId="23" borderId="32" applyNumberFormat="0" applyAlignment="0" applyProtection="0"/>
    <xf numFmtId="0" fontId="98" fillId="0" borderId="33" applyNumberFormat="0" applyFill="0" applyAlignment="0" applyProtection="0"/>
    <xf numFmtId="0" fontId="99" fillId="0" borderId="33" applyNumberFormat="0" applyFill="0" applyAlignment="0" applyProtection="0"/>
    <xf numFmtId="0" fontId="98" fillId="0" borderId="33" applyNumberFormat="0" applyFill="0" applyAlignment="0" applyProtection="0"/>
    <xf numFmtId="0" fontId="98" fillId="0" borderId="33" applyNumberFormat="0" applyFill="0" applyAlignment="0" applyProtection="0"/>
    <xf numFmtId="0" fontId="85" fillId="10" borderId="34" applyNumberFormat="0" applyAlignment="0" applyProtection="0"/>
    <xf numFmtId="0" fontId="86" fillId="10" borderId="34" applyNumberFormat="0" applyAlignment="0" applyProtection="0"/>
    <xf numFmtId="0" fontId="70" fillId="23" borderId="34" applyNumberFormat="0" applyAlignment="0" applyProtection="0"/>
    <xf numFmtId="0" fontId="65" fillId="26" borderId="35" applyNumberFormat="0" applyFont="0" applyAlignment="0" applyProtection="0"/>
    <xf numFmtId="0" fontId="49" fillId="26" borderId="35" applyNumberFormat="0" applyFont="0" applyAlignment="0" applyProtection="0"/>
    <xf numFmtId="0" fontId="70" fillId="23" borderId="34" applyNumberFormat="0" applyAlignment="0" applyProtection="0"/>
    <xf numFmtId="0" fontId="71" fillId="23" borderId="34" applyNumberFormat="0" applyAlignment="0" applyProtection="0"/>
    <xf numFmtId="0" fontId="70" fillId="23" borderId="34" applyNumberFormat="0" applyAlignment="0" applyProtection="0"/>
    <xf numFmtId="0" fontId="70" fillId="23" borderId="34" applyNumberFormat="0" applyAlignment="0" applyProtection="0"/>
    <xf numFmtId="0" fontId="85" fillId="10" borderId="34" applyNumberFormat="0" applyAlignment="0" applyProtection="0"/>
    <xf numFmtId="0" fontId="86" fillId="10" borderId="34" applyNumberFormat="0" applyAlignment="0" applyProtection="0"/>
    <xf numFmtId="0" fontId="85" fillId="10" borderId="34" applyNumberFormat="0" applyAlignment="0" applyProtection="0"/>
    <xf numFmtId="0" fontId="85" fillId="10" borderId="34" applyNumberFormat="0" applyAlignment="0" applyProtection="0"/>
    <xf numFmtId="0" fontId="64" fillId="26" borderId="35" applyNumberFormat="0" applyFont="0" applyAlignment="0" applyProtection="0"/>
    <xf numFmtId="0" fontId="65" fillId="26" borderId="35" applyNumberFormat="0" applyFont="0" applyAlignment="0" applyProtection="0"/>
    <xf numFmtId="0" fontId="63" fillId="26" borderId="35" applyNumberFormat="0" applyFont="0" applyAlignment="0" applyProtection="0"/>
    <xf numFmtId="0" fontId="49" fillId="26" borderId="35" applyNumberFormat="0" applyFont="0" applyAlignment="0" applyProtection="0"/>
    <xf numFmtId="0" fontId="95" fillId="23" borderId="32" applyNumberFormat="0" applyAlignment="0" applyProtection="0"/>
    <xf numFmtId="0" fontId="96" fillId="23" borderId="32" applyNumberFormat="0" applyAlignment="0" applyProtection="0"/>
    <xf numFmtId="0" fontId="95" fillId="23" borderId="32" applyNumberFormat="0" applyAlignment="0" applyProtection="0"/>
    <xf numFmtId="0" fontId="95" fillId="23" borderId="32" applyNumberFormat="0" applyAlignment="0" applyProtection="0"/>
    <xf numFmtId="0" fontId="98" fillId="0" borderId="33" applyNumberFormat="0" applyFill="0" applyAlignment="0" applyProtection="0"/>
    <xf numFmtId="0" fontId="99" fillId="0" borderId="33" applyNumberFormat="0" applyFill="0" applyAlignment="0" applyProtection="0"/>
    <xf numFmtId="0" fontId="98" fillId="0" borderId="33" applyNumberFormat="0" applyFill="0" applyAlignment="0" applyProtection="0"/>
    <xf numFmtId="0" fontId="98" fillId="0" borderId="33" applyNumberFormat="0" applyFill="0" applyAlignment="0" applyProtection="0"/>
    <xf numFmtId="0" fontId="63" fillId="26" borderId="35" applyNumberFormat="0" applyFont="0" applyAlignment="0" applyProtection="0"/>
    <xf numFmtId="0" fontId="64" fillId="26" borderId="35" applyNumberFormat="0" applyFont="0" applyAlignment="0" applyProtection="0"/>
    <xf numFmtId="0" fontId="85" fillId="10" borderId="34" applyNumberFormat="0" applyAlignment="0" applyProtection="0"/>
    <xf numFmtId="0" fontId="85" fillId="10" borderId="34" applyNumberFormat="0" applyAlignment="0" applyProtection="0"/>
    <xf numFmtId="0" fontId="70" fillId="23" borderId="34" applyNumberFormat="0" applyAlignment="0" applyProtection="0"/>
    <xf numFmtId="0" fontId="71" fillId="23" borderId="34" applyNumberFormat="0" applyAlignment="0" applyProtection="0"/>
    <xf numFmtId="0" fontId="70" fillId="23" borderId="34" applyNumberFormat="0" applyAlignment="0" applyProtection="0"/>
    <xf numFmtId="0" fontId="95" fillId="23" borderId="32" applyNumberFormat="0" applyAlignment="0" applyProtection="0"/>
    <xf numFmtId="0" fontId="96" fillId="23" borderId="32" applyNumberFormat="0" applyAlignment="0" applyProtection="0"/>
    <xf numFmtId="0" fontId="95" fillId="23" borderId="32" applyNumberFormat="0" applyAlignment="0" applyProtection="0"/>
    <xf numFmtId="0" fontId="95" fillId="23" borderId="32" applyNumberFormat="0" applyAlignment="0" applyProtection="0"/>
    <xf numFmtId="0" fontId="98" fillId="0" borderId="33" applyNumberFormat="0" applyFill="0" applyAlignment="0" applyProtection="0"/>
    <xf numFmtId="0" fontId="99" fillId="0" borderId="33" applyNumberFormat="0" applyFill="0" applyAlignment="0" applyProtection="0"/>
    <xf numFmtId="0" fontId="98" fillId="0" borderId="33" applyNumberFormat="0" applyFill="0" applyAlignment="0" applyProtection="0"/>
    <xf numFmtId="0" fontId="98" fillId="0" borderId="33" applyNumberFormat="0" applyFill="0" applyAlignment="0" applyProtection="0"/>
    <xf numFmtId="0" fontId="85" fillId="10" borderId="34" applyNumberFormat="0" applyAlignment="0" applyProtection="0"/>
    <xf numFmtId="0" fontId="86" fillId="10" borderId="34" applyNumberFormat="0" applyAlignment="0" applyProtection="0"/>
    <xf numFmtId="0" fontId="70" fillId="23" borderId="34" applyNumberFormat="0" applyAlignment="0" applyProtection="0"/>
    <xf numFmtId="0" fontId="65" fillId="26" borderId="35" applyNumberFormat="0" applyFont="0" applyAlignment="0" applyProtection="0"/>
    <xf numFmtId="0" fontId="49" fillId="26" borderId="35" applyNumberFormat="0" applyFont="0" applyAlignment="0" applyProtection="0"/>
    <xf numFmtId="0" fontId="37" fillId="0" borderId="0"/>
    <xf numFmtId="43" fontId="37" fillId="0" borderId="0" applyFont="0" applyFill="0" applyBorder="0" applyAlignment="0" applyProtection="0"/>
    <xf numFmtId="0" fontId="37" fillId="0" borderId="0"/>
    <xf numFmtId="0" fontId="36" fillId="0" borderId="0"/>
    <xf numFmtId="43" fontId="36" fillId="0" borderId="0" applyFont="0" applyFill="0" applyBorder="0" applyAlignment="0" applyProtection="0"/>
    <xf numFmtId="44" fontId="36" fillId="0" borderId="0" applyFont="0" applyFill="0" applyBorder="0" applyAlignment="0" applyProtection="0"/>
    <xf numFmtId="0" fontId="36" fillId="0" borderId="0"/>
    <xf numFmtId="0" fontId="35" fillId="0" borderId="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114" fillId="0" borderId="0" applyNumberFormat="0" applyFill="0" applyBorder="0" applyAlignment="0" applyProtection="0"/>
    <xf numFmtId="0" fontId="34" fillId="0" borderId="0"/>
    <xf numFmtId="0" fontId="33" fillId="0" borderId="0"/>
    <xf numFmtId="43" fontId="33" fillId="0" borderId="0" applyFont="0" applyFill="0" applyBorder="0" applyAlignment="0" applyProtection="0"/>
    <xf numFmtId="0" fontId="32" fillId="0" borderId="0"/>
    <xf numFmtId="0" fontId="31" fillId="0" borderId="0"/>
    <xf numFmtId="43" fontId="31" fillId="0" borderId="0" applyFont="0" applyFill="0" applyBorder="0" applyAlignment="0" applyProtection="0"/>
    <xf numFmtId="0" fontId="30" fillId="0" borderId="0"/>
    <xf numFmtId="0" fontId="29" fillId="0" borderId="0"/>
    <xf numFmtId="43" fontId="29" fillId="0" borderId="0" applyFont="0" applyFill="0" applyBorder="0" applyAlignment="0" applyProtection="0"/>
    <xf numFmtId="44" fontId="29" fillId="0" borderId="0" applyFont="0" applyFill="0" applyBorder="0" applyAlignment="0" applyProtection="0"/>
    <xf numFmtId="0" fontId="28" fillId="0" borderId="0"/>
    <xf numFmtId="43" fontId="28" fillId="0" borderId="0" applyFont="0" applyFill="0" applyBorder="0" applyAlignment="0" applyProtection="0"/>
    <xf numFmtId="44" fontId="28" fillId="0" borderId="0" applyFont="0" applyFill="0" applyBorder="0" applyAlignment="0" applyProtection="0"/>
    <xf numFmtId="0" fontId="27" fillId="0" borderId="0"/>
    <xf numFmtId="0" fontId="26" fillId="0" borderId="0"/>
    <xf numFmtId="43" fontId="26" fillId="0" borderId="0" applyFont="0" applyFill="0" applyBorder="0" applyAlignment="0" applyProtection="0"/>
    <xf numFmtId="44" fontId="26" fillId="0" borderId="0" applyFont="0" applyFill="0" applyBorder="0" applyAlignment="0" applyProtection="0"/>
    <xf numFmtId="0" fontId="25" fillId="0" borderId="0"/>
    <xf numFmtId="0" fontId="24" fillId="0" borderId="0"/>
    <xf numFmtId="43" fontId="24" fillId="0" borderId="0" applyFont="0" applyFill="0" applyBorder="0" applyAlignment="0" applyProtection="0"/>
    <xf numFmtId="44" fontId="24" fillId="0" borderId="0" applyFont="0" applyFill="0" applyBorder="0" applyAlignment="0" applyProtection="0"/>
    <xf numFmtId="9" fontId="24" fillId="0" borderId="0" applyFont="0" applyFill="0" applyBorder="0" applyAlignment="0" applyProtection="0"/>
    <xf numFmtId="0" fontId="120" fillId="0" borderId="0" applyNumberFormat="0" applyFill="0" applyBorder="0" applyAlignment="0" applyProtection="0"/>
    <xf numFmtId="0" fontId="24" fillId="0" borderId="0"/>
    <xf numFmtId="43" fontId="61" fillId="0" borderId="0" applyFont="0" applyFill="0" applyBorder="0" applyAlignment="0" applyProtection="0"/>
    <xf numFmtId="0" fontId="24" fillId="0" borderId="0"/>
    <xf numFmtId="9" fontId="24" fillId="0" borderId="0" applyFont="0" applyFill="0" applyBorder="0" applyAlignment="0" applyProtection="0"/>
    <xf numFmtId="43" fontId="24" fillId="0" borderId="0" applyFont="0" applyFill="0" applyBorder="0" applyAlignment="0" applyProtection="0"/>
    <xf numFmtId="0" fontId="23" fillId="0" borderId="0"/>
    <xf numFmtId="0" fontId="22" fillId="0" borderId="0"/>
    <xf numFmtId="43" fontId="22" fillId="0" borderId="0" applyFont="0" applyFill="0" applyBorder="0" applyAlignment="0" applyProtection="0"/>
    <xf numFmtId="44" fontId="22" fillId="0" borderId="0" applyFont="0" applyFill="0" applyBorder="0" applyAlignment="0" applyProtection="0"/>
    <xf numFmtId="0" fontId="21" fillId="0" borderId="0"/>
    <xf numFmtId="0" fontId="20" fillId="0" borderId="0"/>
    <xf numFmtId="43" fontId="20" fillId="0" borderId="0" applyFont="0" applyFill="0" applyBorder="0" applyAlignment="0" applyProtection="0"/>
    <xf numFmtId="0" fontId="19" fillId="0" borderId="0"/>
    <xf numFmtId="43" fontId="19" fillId="0" borderId="0" applyFont="0" applyFill="0" applyBorder="0" applyAlignment="0" applyProtection="0"/>
    <xf numFmtId="0" fontId="18" fillId="0" borderId="0"/>
    <xf numFmtId="43" fontId="18" fillId="0" borderId="0" applyFont="0" applyFill="0" applyBorder="0" applyAlignment="0" applyProtection="0"/>
    <xf numFmtId="44" fontId="18" fillId="0" borderId="0" applyFont="0" applyFill="0" applyBorder="0" applyAlignment="0" applyProtection="0"/>
    <xf numFmtId="0" fontId="17" fillId="0" borderId="0"/>
    <xf numFmtId="43" fontId="17" fillId="0" borderId="0" applyFont="0" applyFill="0" applyBorder="0" applyAlignment="0" applyProtection="0"/>
    <xf numFmtId="44" fontId="61" fillId="0" borderId="0" applyFont="0" applyFill="0" applyBorder="0" applyAlignment="0" applyProtection="0"/>
    <xf numFmtId="0" fontId="17" fillId="0" borderId="0"/>
    <xf numFmtId="9" fontId="17" fillId="0" borderId="0" applyFont="0" applyFill="0" applyBorder="0" applyAlignment="0" applyProtection="0"/>
    <xf numFmtId="9" fontId="61" fillId="0" borderId="0" applyFont="0" applyFill="0" applyBorder="0" applyAlignment="0" applyProtection="0"/>
    <xf numFmtId="0" fontId="16" fillId="0" borderId="0"/>
    <xf numFmtId="43" fontId="16" fillId="0" borderId="0" applyFont="0" applyFill="0" applyBorder="0" applyAlignment="0" applyProtection="0"/>
    <xf numFmtId="0" fontId="15" fillId="0" borderId="0"/>
    <xf numFmtId="0" fontId="14" fillId="0" borderId="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61" fillId="0" borderId="0" applyFont="0" applyFill="0" applyBorder="0" applyAlignment="0" applyProtection="0"/>
    <xf numFmtId="44" fontId="14" fillId="0" borderId="0" applyFont="0" applyFill="0" applyBorder="0" applyAlignment="0" applyProtection="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2" fillId="0" borderId="0"/>
    <xf numFmtId="43" fontId="12" fillId="0" borderId="0" applyFont="0" applyFill="0" applyBorder="0" applyAlignment="0" applyProtection="0"/>
    <xf numFmtId="0" fontId="12" fillId="0" borderId="0"/>
    <xf numFmtId="0" fontId="12" fillId="0" borderId="0"/>
    <xf numFmtId="44" fontId="12" fillId="0" borderId="0" applyFont="0" applyFill="0" applyBorder="0" applyAlignment="0" applyProtection="0"/>
    <xf numFmtId="0" fontId="11" fillId="0" borderId="0"/>
    <xf numFmtId="0" fontId="11" fillId="0" borderId="0"/>
    <xf numFmtId="0" fontId="10" fillId="0" borderId="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4" fillId="0" borderId="40" applyNumberFormat="0" applyFill="0" applyAlignment="0" applyProtection="0"/>
    <xf numFmtId="0" fontId="9" fillId="0" borderId="0"/>
    <xf numFmtId="0" fontId="121" fillId="0" borderId="0"/>
    <xf numFmtId="0" fontId="9" fillId="0" borderId="0"/>
    <xf numFmtId="0" fontId="122" fillId="28" borderId="41" applyNumberFormat="0" applyProtection="0">
      <alignment horizontal="center"/>
    </xf>
    <xf numFmtId="0" fontId="127" fillId="0" borderId="0" applyNumberFormat="0" applyFill="0" applyAlignment="0" applyProtection="0"/>
    <xf numFmtId="0" fontId="126" fillId="0" borderId="0" applyNumberFormat="0" applyFill="0" applyAlignment="0" applyProtection="0"/>
    <xf numFmtId="43" fontId="121" fillId="0" borderId="0" applyFont="0" applyFill="0" applyBorder="0" applyAlignment="0" applyProtection="0"/>
    <xf numFmtId="44" fontId="121" fillId="0" borderId="0" applyFont="0" applyFill="0" applyBorder="0" applyAlignment="0" applyProtection="0"/>
    <xf numFmtId="0" fontId="9" fillId="0" borderId="0"/>
    <xf numFmtId="0" fontId="122" fillId="28" borderId="44" applyNumberFormat="0" applyProtection="0">
      <alignment horizontal="center"/>
    </xf>
    <xf numFmtId="0" fontId="111" fillId="0" borderId="0" applyNumberFormat="0" applyFill="0" applyAlignment="0" applyProtection="0"/>
    <xf numFmtId="0" fontId="9" fillId="0" borderId="0"/>
    <xf numFmtId="0" fontId="122" fillId="28" borderId="47" applyNumberFormat="0" applyProtection="0">
      <alignment horizontal="center"/>
    </xf>
    <xf numFmtId="0" fontId="8" fillId="0" borderId="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26" borderId="43" applyNumberFormat="0" applyFont="0" applyAlignment="0" applyProtection="0"/>
    <xf numFmtId="0" fontId="65" fillId="26" borderId="43" applyNumberFormat="0" applyFont="0" applyAlignment="0" applyProtection="0"/>
    <xf numFmtId="0" fontId="63" fillId="26" borderId="43" applyNumberFormat="0" applyFont="0" applyAlignment="0" applyProtection="0"/>
    <xf numFmtId="0" fontId="49" fillId="26" borderId="43" applyNumberFormat="0" applyFont="0" applyAlignment="0" applyProtection="0"/>
    <xf numFmtId="0" fontId="8" fillId="4" borderId="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 borderId="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3" fontId="8" fillId="0" borderId="0" applyFont="0" applyFill="0" applyBorder="0" applyAlignment="0" applyProtection="0"/>
    <xf numFmtId="0" fontId="63" fillId="26" borderId="43" applyNumberFormat="0" applyFont="0" applyAlignment="0" applyProtection="0"/>
    <xf numFmtId="0" fontId="64" fillId="26" borderId="43"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 borderId="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 borderId="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5" fillId="26" borderId="43" applyNumberFormat="0" applyFont="0" applyAlignment="0" applyProtection="0"/>
    <xf numFmtId="0" fontId="49" fillId="26" borderId="43" applyNumberFormat="0" applyFont="0" applyAlignment="0" applyProtection="0"/>
    <xf numFmtId="0" fontId="8" fillId="0" borderId="0"/>
    <xf numFmtId="0" fontId="8" fillId="0" borderId="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26" borderId="43" applyNumberFormat="0" applyFont="0" applyAlignment="0" applyProtection="0"/>
    <xf numFmtId="0" fontId="65" fillId="26" borderId="43" applyNumberFormat="0" applyFont="0" applyAlignment="0" applyProtection="0"/>
    <xf numFmtId="0" fontId="63" fillId="26" borderId="43" applyNumberFormat="0" applyFont="0" applyAlignment="0" applyProtection="0"/>
    <xf numFmtId="0" fontId="49" fillId="26" borderId="43" applyNumberFormat="0" applyFont="0" applyAlignment="0" applyProtection="0"/>
    <xf numFmtId="0" fontId="8" fillId="4" borderId="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 borderId="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3" fontId="8" fillId="0" borderId="0" applyFont="0" applyFill="0" applyBorder="0" applyAlignment="0" applyProtection="0"/>
    <xf numFmtId="0" fontId="63" fillId="26" borderId="43" applyNumberFormat="0" applyFont="0" applyAlignment="0" applyProtection="0"/>
    <xf numFmtId="0" fontId="64" fillId="26" borderId="43"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 borderId="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 borderId="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5" fillId="26" borderId="43" applyNumberFormat="0" applyFont="0" applyAlignment="0" applyProtection="0"/>
    <xf numFmtId="0" fontId="49" fillId="26" borderId="43" applyNumberFormat="0" applyFont="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43" fontId="8" fillId="0" borderId="0" applyFont="0" applyFill="0" applyBorder="0" applyAlignment="0" applyProtection="0"/>
    <xf numFmtId="0" fontId="70" fillId="23" borderId="34" applyNumberFormat="0" applyAlignment="0" applyProtection="0"/>
    <xf numFmtId="0" fontId="71" fillId="23" borderId="34" applyNumberFormat="0" applyAlignment="0" applyProtection="0"/>
    <xf numFmtId="0" fontId="70" fillId="23" borderId="34" applyNumberFormat="0" applyAlignment="0" applyProtection="0"/>
    <xf numFmtId="0" fontId="70" fillId="23" borderId="34"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5" fillId="10" borderId="34" applyNumberFormat="0" applyAlignment="0" applyProtection="0"/>
    <xf numFmtId="0" fontId="86" fillId="10" borderId="34" applyNumberFormat="0" applyAlignment="0" applyProtection="0"/>
    <xf numFmtId="0" fontId="85" fillId="10" borderId="34" applyNumberFormat="0" applyAlignment="0" applyProtection="0"/>
    <xf numFmtId="0" fontId="85" fillId="10" borderId="34"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26" borderId="43" applyNumberFormat="0" applyFont="0" applyAlignment="0" applyProtection="0"/>
    <xf numFmtId="0" fontId="65" fillId="26" borderId="43" applyNumberFormat="0" applyFont="0" applyAlignment="0" applyProtection="0"/>
    <xf numFmtId="0" fontId="63" fillId="26" borderId="43" applyNumberFormat="0" applyFont="0" applyAlignment="0" applyProtection="0"/>
    <xf numFmtId="0" fontId="49" fillId="26" borderId="43" applyNumberFormat="0" applyFont="0" applyAlignment="0" applyProtection="0"/>
    <xf numFmtId="0" fontId="8" fillId="4" borderId="6" applyNumberFormat="0" applyFont="0" applyAlignment="0" applyProtection="0"/>
    <xf numFmtId="0" fontId="95" fillId="23" borderId="32" applyNumberFormat="0" applyAlignment="0" applyProtection="0"/>
    <xf numFmtId="0" fontId="96" fillId="23" borderId="32" applyNumberFormat="0" applyAlignment="0" applyProtection="0"/>
    <xf numFmtId="0" fontId="95" fillId="23" borderId="32" applyNumberFormat="0" applyAlignment="0" applyProtection="0"/>
    <xf numFmtId="0" fontId="95" fillId="23" borderId="32"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8" fillId="0" borderId="33" applyNumberFormat="0" applyFill="0" applyAlignment="0" applyProtection="0"/>
    <xf numFmtId="0" fontId="99" fillId="0" borderId="33" applyNumberFormat="0" applyFill="0" applyAlignment="0" applyProtection="0"/>
    <xf numFmtId="0" fontId="98" fillId="0" borderId="33" applyNumberFormat="0" applyFill="0" applyAlignment="0" applyProtection="0"/>
    <xf numFmtId="0" fontId="98" fillId="0" borderId="33" applyNumberFormat="0" applyFill="0" applyAlignment="0" applyProtection="0"/>
    <xf numFmtId="0" fontId="8" fillId="0" borderId="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 borderId="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3" fontId="8" fillId="0" borderId="0" applyFont="0" applyFill="0" applyBorder="0" applyAlignment="0" applyProtection="0"/>
    <xf numFmtId="0" fontId="63" fillId="26" borderId="43" applyNumberFormat="0" applyFont="0" applyAlignment="0" applyProtection="0"/>
    <xf numFmtId="0" fontId="64" fillId="26" borderId="43" applyNumberFormat="0" applyFont="0" applyAlignment="0" applyProtection="0"/>
    <xf numFmtId="0" fontId="85" fillId="10" borderId="34" applyNumberFormat="0" applyAlignment="0" applyProtection="0"/>
    <xf numFmtId="0" fontId="85" fillId="10" borderId="34" applyNumberFormat="0" applyAlignment="0" applyProtection="0"/>
    <xf numFmtId="0" fontId="70" fillId="23" borderId="34" applyNumberFormat="0" applyAlignment="0" applyProtection="0"/>
    <xf numFmtId="0" fontId="71" fillId="23" borderId="34" applyNumberFormat="0" applyAlignment="0" applyProtection="0"/>
    <xf numFmtId="0" fontId="70" fillId="23" borderId="34"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95" fillId="23" borderId="32" applyNumberFormat="0" applyAlignment="0" applyProtection="0"/>
    <xf numFmtId="0" fontId="96" fillId="23" borderId="32" applyNumberFormat="0" applyAlignment="0" applyProtection="0"/>
    <xf numFmtId="0" fontId="95" fillId="23" borderId="32" applyNumberFormat="0" applyAlignment="0" applyProtection="0"/>
    <xf numFmtId="0" fontId="95" fillId="23" borderId="32" applyNumberFormat="0" applyAlignment="0" applyProtection="0"/>
    <xf numFmtId="0" fontId="8" fillId="0" borderId="0"/>
    <xf numFmtId="0" fontId="8" fillId="0" borderId="0"/>
    <xf numFmtId="0" fontId="8" fillId="0" borderId="0"/>
    <xf numFmtId="0" fontId="98" fillId="0" borderId="33" applyNumberFormat="0" applyFill="0" applyAlignment="0" applyProtection="0"/>
    <xf numFmtId="0" fontId="99" fillId="0" borderId="33" applyNumberFormat="0" applyFill="0" applyAlignment="0" applyProtection="0"/>
    <xf numFmtId="0" fontId="98" fillId="0" borderId="33" applyNumberFormat="0" applyFill="0" applyAlignment="0" applyProtection="0"/>
    <xf numFmtId="0" fontId="98" fillId="0" borderId="33" applyNumberFormat="0" applyFill="0" applyAlignment="0" applyProtection="0"/>
    <xf numFmtId="0" fontId="85" fillId="10" borderId="34" applyNumberFormat="0" applyAlignment="0" applyProtection="0"/>
    <xf numFmtId="0" fontId="86" fillId="10" borderId="34"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 borderId="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 borderId="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0" fillId="23" borderId="34" applyNumberFormat="0" applyAlignment="0" applyProtection="0"/>
    <xf numFmtId="0" fontId="65" fillId="26" borderId="43" applyNumberFormat="0" applyFont="0" applyAlignment="0" applyProtection="0"/>
    <xf numFmtId="0" fontId="49" fillId="26" borderId="43" applyNumberFormat="0" applyFont="0" applyAlignment="0" applyProtection="0"/>
    <xf numFmtId="0" fontId="8" fillId="0" borderId="0"/>
    <xf numFmtId="0" fontId="8" fillId="0" borderId="0"/>
    <xf numFmtId="44" fontId="8" fillId="0" borderId="0" applyFont="0" applyFill="0" applyBorder="0" applyAlignment="0" applyProtection="0"/>
    <xf numFmtId="43" fontId="8" fillId="0" borderId="0" applyFont="0" applyFill="0" applyBorder="0" applyAlignment="0" applyProtection="0"/>
    <xf numFmtId="0" fontId="70" fillId="23" borderId="34" applyNumberFormat="0" applyAlignment="0" applyProtection="0"/>
    <xf numFmtId="0" fontId="71" fillId="23" borderId="34" applyNumberFormat="0" applyAlignment="0" applyProtection="0"/>
    <xf numFmtId="0" fontId="70" fillId="23" borderId="34" applyNumberFormat="0" applyAlignment="0" applyProtection="0"/>
    <xf numFmtId="0" fontId="70" fillId="23" borderId="34"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5" fillId="10" borderId="34" applyNumberFormat="0" applyAlignment="0" applyProtection="0"/>
    <xf numFmtId="0" fontId="86" fillId="10" borderId="34" applyNumberFormat="0" applyAlignment="0" applyProtection="0"/>
    <xf numFmtId="0" fontId="85" fillId="10" borderId="34" applyNumberFormat="0" applyAlignment="0" applyProtection="0"/>
    <xf numFmtId="0" fontId="85" fillId="10" borderId="34"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26" borderId="43" applyNumberFormat="0" applyFont="0" applyAlignment="0" applyProtection="0"/>
    <xf numFmtId="0" fontId="65" fillId="26" borderId="43" applyNumberFormat="0" applyFont="0" applyAlignment="0" applyProtection="0"/>
    <xf numFmtId="0" fontId="63" fillId="26" borderId="43" applyNumberFormat="0" applyFont="0" applyAlignment="0" applyProtection="0"/>
    <xf numFmtId="0" fontId="49" fillId="26" borderId="43" applyNumberFormat="0" applyFont="0" applyAlignment="0" applyProtection="0"/>
    <xf numFmtId="0" fontId="8" fillId="4" borderId="6" applyNumberFormat="0" applyFont="0" applyAlignment="0" applyProtection="0"/>
    <xf numFmtId="0" fontId="95" fillId="23" borderId="32" applyNumberFormat="0" applyAlignment="0" applyProtection="0"/>
    <xf numFmtId="0" fontId="96" fillId="23" borderId="32" applyNumberFormat="0" applyAlignment="0" applyProtection="0"/>
    <xf numFmtId="0" fontId="95" fillId="23" borderId="32" applyNumberFormat="0" applyAlignment="0" applyProtection="0"/>
    <xf numFmtId="0" fontId="95" fillId="23" borderId="32"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8" fillId="0" borderId="33" applyNumberFormat="0" applyFill="0" applyAlignment="0" applyProtection="0"/>
    <xf numFmtId="0" fontId="99" fillId="0" borderId="33" applyNumberFormat="0" applyFill="0" applyAlignment="0" applyProtection="0"/>
    <xf numFmtId="0" fontId="98" fillId="0" borderId="33" applyNumberFormat="0" applyFill="0" applyAlignment="0" applyProtection="0"/>
    <xf numFmtId="0" fontId="98" fillId="0" borderId="33" applyNumberFormat="0" applyFill="0" applyAlignment="0" applyProtection="0"/>
    <xf numFmtId="0" fontId="8" fillId="0" borderId="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 borderId="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3" fontId="8" fillId="0" borderId="0" applyFont="0" applyFill="0" applyBorder="0" applyAlignment="0" applyProtection="0"/>
    <xf numFmtId="0" fontId="63" fillId="26" borderId="43" applyNumberFormat="0" applyFont="0" applyAlignment="0" applyProtection="0"/>
    <xf numFmtId="0" fontId="64" fillId="26" borderId="43" applyNumberFormat="0" applyFont="0" applyAlignment="0" applyProtection="0"/>
    <xf numFmtId="0" fontId="85" fillId="10" borderId="34" applyNumberFormat="0" applyAlignment="0" applyProtection="0"/>
    <xf numFmtId="0" fontId="85" fillId="10" borderId="34" applyNumberFormat="0" applyAlignment="0" applyProtection="0"/>
    <xf numFmtId="0" fontId="70" fillId="23" borderId="34" applyNumberFormat="0" applyAlignment="0" applyProtection="0"/>
    <xf numFmtId="0" fontId="71" fillId="23" borderId="34" applyNumberFormat="0" applyAlignment="0" applyProtection="0"/>
    <xf numFmtId="0" fontId="70" fillId="23" borderId="34"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95" fillId="23" borderId="32" applyNumberFormat="0" applyAlignment="0" applyProtection="0"/>
    <xf numFmtId="0" fontId="96" fillId="23" borderId="32" applyNumberFormat="0" applyAlignment="0" applyProtection="0"/>
    <xf numFmtId="0" fontId="95" fillId="23" borderId="32" applyNumberFormat="0" applyAlignment="0" applyProtection="0"/>
    <xf numFmtId="0" fontId="95" fillId="23" borderId="32" applyNumberFormat="0" applyAlignment="0" applyProtection="0"/>
    <xf numFmtId="0" fontId="8" fillId="0" borderId="0"/>
    <xf numFmtId="0" fontId="8" fillId="0" borderId="0"/>
    <xf numFmtId="0" fontId="8" fillId="0" borderId="0"/>
    <xf numFmtId="0" fontId="98" fillId="0" borderId="33" applyNumberFormat="0" applyFill="0" applyAlignment="0" applyProtection="0"/>
    <xf numFmtId="0" fontId="99" fillId="0" borderId="33" applyNumberFormat="0" applyFill="0" applyAlignment="0" applyProtection="0"/>
    <xf numFmtId="0" fontId="98" fillId="0" borderId="33" applyNumberFormat="0" applyFill="0" applyAlignment="0" applyProtection="0"/>
    <xf numFmtId="0" fontId="98" fillId="0" borderId="33" applyNumberFormat="0" applyFill="0" applyAlignment="0" applyProtection="0"/>
    <xf numFmtId="0" fontId="85" fillId="10" borderId="34" applyNumberFormat="0" applyAlignment="0" applyProtection="0"/>
    <xf numFmtId="0" fontId="86" fillId="10" borderId="34"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 borderId="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 borderId="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0" fillId="23" borderId="34" applyNumberFormat="0" applyAlignment="0" applyProtection="0"/>
    <xf numFmtId="0" fontId="65" fillId="26" borderId="43" applyNumberFormat="0" applyFont="0" applyAlignment="0" applyProtection="0"/>
    <xf numFmtId="0" fontId="49" fillId="26" borderId="43" applyNumberFormat="0" applyFont="0" applyAlignment="0" applyProtection="0"/>
    <xf numFmtId="0" fontId="8" fillId="0" borderId="0"/>
    <xf numFmtId="0" fontId="63" fillId="26" borderId="43" applyNumberFormat="0" applyFont="0" applyAlignment="0" applyProtection="0"/>
    <xf numFmtId="0" fontId="64" fillId="26" borderId="43" applyNumberFormat="0" applyFont="0" applyAlignment="0" applyProtection="0"/>
    <xf numFmtId="0" fontId="65" fillId="26" borderId="43" applyNumberFormat="0" applyFont="0" applyAlignment="0" applyProtection="0"/>
    <xf numFmtId="0" fontId="49" fillId="26" borderId="43" applyNumberFormat="0" applyFont="0" applyAlignment="0" applyProtection="0"/>
    <xf numFmtId="0" fontId="64" fillId="26" borderId="43" applyNumberFormat="0" applyFont="0" applyAlignment="0" applyProtection="0"/>
    <xf numFmtId="0" fontId="65" fillId="26" borderId="43" applyNumberFormat="0" applyFont="0" applyAlignment="0" applyProtection="0"/>
    <xf numFmtId="0" fontId="63" fillId="26" borderId="43" applyNumberFormat="0" applyFont="0" applyAlignment="0" applyProtection="0"/>
    <xf numFmtId="0" fontId="49" fillId="26" borderId="43" applyNumberFormat="0" applyFont="0" applyAlignment="0" applyProtection="0"/>
    <xf numFmtId="0" fontId="63" fillId="26" borderId="43" applyNumberFormat="0" applyFont="0" applyAlignment="0" applyProtection="0"/>
    <xf numFmtId="0" fontId="64" fillId="26" borderId="43" applyNumberFormat="0" applyFont="0" applyAlignment="0" applyProtection="0"/>
    <xf numFmtId="0" fontId="65" fillId="26" borderId="43" applyNumberFormat="0" applyFont="0" applyAlignment="0" applyProtection="0"/>
    <xf numFmtId="0" fontId="49" fillId="26" borderId="43" applyNumberFormat="0" applyFont="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0" fontId="8" fillId="0" borderId="0"/>
    <xf numFmtId="0" fontId="8" fillId="0" borderId="0"/>
    <xf numFmtId="0" fontId="8" fillId="0" borderId="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122" fillId="28" borderId="49" applyNumberFormat="0" applyProtection="0">
      <alignment horizontal="center"/>
    </xf>
    <xf numFmtId="0" fontId="8" fillId="0" borderId="0"/>
    <xf numFmtId="0" fontId="122" fillId="28" borderId="50" applyNumberFormat="0" applyProtection="0">
      <alignment horizontal="center"/>
    </xf>
    <xf numFmtId="0" fontId="8" fillId="0" borderId="0"/>
    <xf numFmtId="0" fontId="122" fillId="28" borderId="51" applyNumberFormat="0" applyProtection="0">
      <alignment horizontal="center"/>
    </xf>
    <xf numFmtId="0" fontId="7" fillId="0" borderId="0"/>
    <xf numFmtId="44" fontId="7" fillId="0" borderId="0" applyFont="0" applyFill="0" applyBorder="0" applyAlignment="0" applyProtection="0"/>
    <xf numFmtId="43" fontId="7" fillId="0" borderId="0" applyFont="0" applyFill="0" applyBorder="0" applyAlignment="0" applyProtection="0"/>
    <xf numFmtId="0" fontId="85" fillId="10" borderId="57" applyNumberFormat="0" applyAlignment="0" applyProtection="0"/>
    <xf numFmtId="0" fontId="85" fillId="10" borderId="57" applyNumberFormat="0" applyAlignment="0" applyProtection="0"/>
    <xf numFmtId="0" fontId="86" fillId="10" borderId="57" applyNumberFormat="0" applyAlignment="0" applyProtection="0"/>
    <xf numFmtId="0" fontId="85" fillId="10" borderId="57" applyNumberFormat="0" applyAlignment="0" applyProtection="0"/>
    <xf numFmtId="0" fontId="70" fillId="23" borderId="52" applyNumberFormat="0" applyAlignment="0" applyProtection="0"/>
    <xf numFmtId="0" fontId="71" fillId="23" borderId="52" applyNumberFormat="0" applyAlignment="0" applyProtection="0"/>
    <xf numFmtId="0" fontId="70" fillId="23" borderId="52" applyNumberFormat="0" applyAlignment="0" applyProtection="0"/>
    <xf numFmtId="0" fontId="70" fillId="23" borderId="5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0" fillId="23" borderId="57" applyNumberFormat="0" applyAlignment="0" applyProtection="0"/>
    <xf numFmtId="43" fontId="7" fillId="0" borderId="0" applyFont="0" applyFill="0" applyBorder="0" applyAlignment="0" applyProtection="0"/>
    <xf numFmtId="0" fontId="71" fillId="23" borderId="57" applyNumberFormat="0" applyAlignment="0" applyProtection="0"/>
    <xf numFmtId="0" fontId="70" fillId="23" borderId="57" applyNumberFormat="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85" fillId="10" borderId="52" applyNumberFormat="0" applyAlignment="0" applyProtection="0"/>
    <xf numFmtId="0" fontId="86" fillId="10" borderId="52" applyNumberFormat="0" applyAlignment="0" applyProtection="0"/>
    <xf numFmtId="0" fontId="85" fillId="10" borderId="52" applyNumberFormat="0" applyAlignment="0" applyProtection="0"/>
    <xf numFmtId="0" fontId="85" fillId="10" borderId="52"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4" fillId="26" borderId="39" applyNumberFormat="0" applyFont="0" applyAlignment="0" applyProtection="0"/>
    <xf numFmtId="0" fontId="65" fillId="26" borderId="39" applyNumberFormat="0" applyFont="0" applyAlignment="0" applyProtection="0"/>
    <xf numFmtId="0" fontId="63" fillId="26" borderId="39" applyNumberFormat="0" applyFont="0" applyAlignment="0" applyProtection="0"/>
    <xf numFmtId="0" fontId="49" fillId="26" borderId="39" applyNumberFormat="0" applyFont="0" applyAlignment="0" applyProtection="0"/>
    <xf numFmtId="0" fontId="7" fillId="4" borderId="6" applyNumberFormat="0" applyFont="0" applyAlignment="0" applyProtection="0"/>
    <xf numFmtId="0" fontId="95" fillId="23" borderId="53" applyNumberFormat="0" applyAlignment="0" applyProtection="0"/>
    <xf numFmtId="0" fontId="96" fillId="23" borderId="53" applyNumberFormat="0" applyAlignment="0" applyProtection="0"/>
    <xf numFmtId="0" fontId="95" fillId="23" borderId="53" applyNumberFormat="0" applyAlignment="0" applyProtection="0"/>
    <xf numFmtId="0" fontId="95" fillId="23" borderId="5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98" fillId="0" borderId="54" applyNumberFormat="0" applyFill="0" applyAlignment="0" applyProtection="0"/>
    <xf numFmtId="0" fontId="99" fillId="0" borderId="54" applyNumberFormat="0" applyFill="0" applyAlignment="0" applyProtection="0"/>
    <xf numFmtId="0" fontId="98" fillId="0" borderId="54" applyNumberFormat="0" applyFill="0" applyAlignment="0" applyProtection="0"/>
    <xf numFmtId="0" fontId="98" fillId="0" borderId="54" applyNumberFormat="0" applyFill="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63" fillId="26" borderId="39" applyNumberFormat="0" applyFont="0" applyAlignment="0" applyProtection="0"/>
    <xf numFmtId="0" fontId="64" fillId="26" borderId="39" applyNumberFormat="0" applyFont="0" applyAlignment="0" applyProtection="0"/>
    <xf numFmtId="0" fontId="85" fillId="10" borderId="52" applyNumberFormat="0" applyAlignment="0" applyProtection="0"/>
    <xf numFmtId="0" fontId="85" fillId="10" borderId="52" applyNumberFormat="0" applyAlignment="0" applyProtection="0"/>
    <xf numFmtId="0" fontId="70" fillId="23" borderId="52" applyNumberFormat="0" applyAlignment="0" applyProtection="0"/>
    <xf numFmtId="0" fontId="71" fillId="23" borderId="52" applyNumberFormat="0" applyAlignment="0" applyProtection="0"/>
    <xf numFmtId="0" fontId="70" fillId="23" borderId="5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95" fillId="23" borderId="53" applyNumberFormat="0" applyAlignment="0" applyProtection="0"/>
    <xf numFmtId="0" fontId="96" fillId="23" borderId="53" applyNumberFormat="0" applyAlignment="0" applyProtection="0"/>
    <xf numFmtId="0" fontId="95" fillId="23" borderId="53" applyNumberFormat="0" applyAlignment="0" applyProtection="0"/>
    <xf numFmtId="0" fontId="95" fillId="23" borderId="53" applyNumberFormat="0" applyAlignment="0" applyProtection="0"/>
    <xf numFmtId="0" fontId="7" fillId="0" borderId="0"/>
    <xf numFmtId="0" fontId="7" fillId="0" borderId="0"/>
    <xf numFmtId="0" fontId="7" fillId="0" borderId="0"/>
    <xf numFmtId="0" fontId="98" fillId="0" borderId="54" applyNumberFormat="0" applyFill="0" applyAlignment="0" applyProtection="0"/>
    <xf numFmtId="0" fontId="99" fillId="0" borderId="54" applyNumberFormat="0" applyFill="0" applyAlignment="0" applyProtection="0"/>
    <xf numFmtId="0" fontId="98" fillId="0" borderId="54" applyNumberFormat="0" applyFill="0" applyAlignment="0" applyProtection="0"/>
    <xf numFmtId="0" fontId="98" fillId="0" borderId="54" applyNumberFormat="0" applyFill="0" applyAlignment="0" applyProtection="0"/>
    <xf numFmtId="0" fontId="85" fillId="10" borderId="52" applyNumberFormat="0" applyAlignment="0" applyProtection="0"/>
    <xf numFmtId="0" fontId="86" fillId="10" borderId="52"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0" fillId="23" borderId="52" applyNumberFormat="0" applyAlignment="0" applyProtection="0"/>
    <xf numFmtId="0" fontId="65" fillId="26" borderId="39" applyNumberFormat="0" applyFont="0" applyAlignment="0" applyProtection="0"/>
    <xf numFmtId="0" fontId="49" fillId="26" borderId="39" applyNumberFormat="0" applyFont="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0" fillId="23" borderId="52" applyNumberFormat="0" applyAlignment="0" applyProtection="0"/>
    <xf numFmtId="0" fontId="71" fillId="23" borderId="52" applyNumberFormat="0" applyAlignment="0" applyProtection="0"/>
    <xf numFmtId="0" fontId="70" fillId="23" borderId="52" applyNumberFormat="0" applyAlignment="0" applyProtection="0"/>
    <xf numFmtId="0" fontId="70" fillId="23" borderId="5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85" fillId="10" borderId="52" applyNumberFormat="0" applyAlignment="0" applyProtection="0"/>
    <xf numFmtId="0" fontId="86" fillId="10" borderId="52" applyNumberFormat="0" applyAlignment="0" applyProtection="0"/>
    <xf numFmtId="0" fontId="85" fillId="10" borderId="52" applyNumberFormat="0" applyAlignment="0" applyProtection="0"/>
    <xf numFmtId="0" fontId="85" fillId="10" borderId="52"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4" fillId="26" borderId="39" applyNumberFormat="0" applyFont="0" applyAlignment="0" applyProtection="0"/>
    <xf numFmtId="0" fontId="65" fillId="26" borderId="39" applyNumberFormat="0" applyFont="0" applyAlignment="0" applyProtection="0"/>
    <xf numFmtId="0" fontId="63" fillId="26" borderId="39" applyNumberFormat="0" applyFont="0" applyAlignment="0" applyProtection="0"/>
    <xf numFmtId="0" fontId="49" fillId="26" borderId="39" applyNumberFormat="0" applyFont="0" applyAlignment="0" applyProtection="0"/>
    <xf numFmtId="0" fontId="7" fillId="4" borderId="6" applyNumberFormat="0" applyFont="0" applyAlignment="0" applyProtection="0"/>
    <xf numFmtId="0" fontId="95" fillId="23" borderId="53" applyNumberFormat="0" applyAlignment="0" applyProtection="0"/>
    <xf numFmtId="0" fontId="96" fillId="23" borderId="53" applyNumberFormat="0" applyAlignment="0" applyProtection="0"/>
    <xf numFmtId="0" fontId="95" fillId="23" borderId="53" applyNumberFormat="0" applyAlignment="0" applyProtection="0"/>
    <xf numFmtId="0" fontId="95" fillId="23" borderId="5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98" fillId="0" borderId="54" applyNumberFormat="0" applyFill="0" applyAlignment="0" applyProtection="0"/>
    <xf numFmtId="0" fontId="99" fillId="0" borderId="54" applyNumberFormat="0" applyFill="0" applyAlignment="0" applyProtection="0"/>
    <xf numFmtId="0" fontId="98" fillId="0" borderId="54" applyNumberFormat="0" applyFill="0" applyAlignment="0" applyProtection="0"/>
    <xf numFmtId="0" fontId="98" fillId="0" borderId="54" applyNumberFormat="0" applyFill="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63" fillId="26" borderId="39" applyNumberFormat="0" applyFont="0" applyAlignment="0" applyProtection="0"/>
    <xf numFmtId="0" fontId="64" fillId="26" borderId="39" applyNumberFormat="0" applyFont="0" applyAlignment="0" applyProtection="0"/>
    <xf numFmtId="0" fontId="85" fillId="10" borderId="52" applyNumberFormat="0" applyAlignment="0" applyProtection="0"/>
    <xf numFmtId="0" fontId="85" fillId="10" borderId="52" applyNumberFormat="0" applyAlignment="0" applyProtection="0"/>
    <xf numFmtId="0" fontId="70" fillId="23" borderId="52" applyNumberFormat="0" applyAlignment="0" applyProtection="0"/>
    <xf numFmtId="0" fontId="71" fillId="23" borderId="52" applyNumberFormat="0" applyAlignment="0" applyProtection="0"/>
    <xf numFmtId="0" fontId="70" fillId="23" borderId="5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95" fillId="23" borderId="53" applyNumberFormat="0" applyAlignment="0" applyProtection="0"/>
    <xf numFmtId="0" fontId="96" fillId="23" borderId="53" applyNumberFormat="0" applyAlignment="0" applyProtection="0"/>
    <xf numFmtId="0" fontId="95" fillId="23" borderId="53" applyNumberFormat="0" applyAlignment="0" applyProtection="0"/>
    <xf numFmtId="0" fontId="95" fillId="23" borderId="53" applyNumberFormat="0" applyAlignment="0" applyProtection="0"/>
    <xf numFmtId="0" fontId="7" fillId="0" borderId="0"/>
    <xf numFmtId="0" fontId="7" fillId="0" borderId="0"/>
    <xf numFmtId="0" fontId="7" fillId="0" borderId="0"/>
    <xf numFmtId="0" fontId="98" fillId="0" borderId="54" applyNumberFormat="0" applyFill="0" applyAlignment="0" applyProtection="0"/>
    <xf numFmtId="0" fontId="99" fillId="0" borderId="54" applyNumberFormat="0" applyFill="0" applyAlignment="0" applyProtection="0"/>
    <xf numFmtId="0" fontId="98" fillId="0" borderId="54" applyNumberFormat="0" applyFill="0" applyAlignment="0" applyProtection="0"/>
    <xf numFmtId="0" fontId="98" fillId="0" borderId="54" applyNumberFormat="0" applyFill="0" applyAlignment="0" applyProtection="0"/>
    <xf numFmtId="0" fontId="85" fillId="10" borderId="52" applyNumberFormat="0" applyAlignment="0" applyProtection="0"/>
    <xf numFmtId="0" fontId="86" fillId="10" borderId="52"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0" fillId="23" borderId="52" applyNumberFormat="0" applyAlignment="0" applyProtection="0"/>
    <xf numFmtId="0" fontId="65" fillId="26" borderId="39" applyNumberFormat="0" applyFont="0" applyAlignment="0" applyProtection="0"/>
    <xf numFmtId="0" fontId="49" fillId="26" borderId="39" applyNumberFormat="0" applyFont="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0" fillId="23" borderId="52" applyNumberFormat="0" applyAlignment="0" applyProtection="0"/>
    <xf numFmtId="0" fontId="71" fillId="23" borderId="52" applyNumberFormat="0" applyAlignment="0" applyProtection="0"/>
    <xf numFmtId="0" fontId="70" fillId="23" borderId="52" applyNumberFormat="0" applyAlignment="0" applyProtection="0"/>
    <xf numFmtId="0" fontId="70" fillId="23" borderId="5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85" fillId="10" borderId="52" applyNumberFormat="0" applyAlignment="0" applyProtection="0"/>
    <xf numFmtId="0" fontId="86" fillId="10" borderId="52" applyNumberFormat="0" applyAlignment="0" applyProtection="0"/>
    <xf numFmtId="0" fontId="85" fillId="10" borderId="52" applyNumberFormat="0" applyAlignment="0" applyProtection="0"/>
    <xf numFmtId="0" fontId="85" fillId="10" borderId="52"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4" fillId="26" borderId="39" applyNumberFormat="0" applyFont="0" applyAlignment="0" applyProtection="0"/>
    <xf numFmtId="0" fontId="65" fillId="26" borderId="39" applyNumberFormat="0" applyFont="0" applyAlignment="0" applyProtection="0"/>
    <xf numFmtId="0" fontId="63" fillId="26" borderId="39" applyNumberFormat="0" applyFont="0" applyAlignment="0" applyProtection="0"/>
    <xf numFmtId="0" fontId="49" fillId="26" borderId="39" applyNumberFormat="0" applyFont="0" applyAlignment="0" applyProtection="0"/>
    <xf numFmtId="0" fontId="7" fillId="4" borderId="6" applyNumberFormat="0" applyFont="0" applyAlignment="0" applyProtection="0"/>
    <xf numFmtId="0" fontId="95" fillId="23" borderId="53" applyNumberFormat="0" applyAlignment="0" applyProtection="0"/>
    <xf numFmtId="0" fontId="96" fillId="23" borderId="53" applyNumberFormat="0" applyAlignment="0" applyProtection="0"/>
    <xf numFmtId="0" fontId="95" fillId="23" borderId="53" applyNumberFormat="0" applyAlignment="0" applyProtection="0"/>
    <xf numFmtId="0" fontId="95" fillId="23" borderId="5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98" fillId="0" borderId="54" applyNumberFormat="0" applyFill="0" applyAlignment="0" applyProtection="0"/>
    <xf numFmtId="0" fontId="99" fillId="0" borderId="54" applyNumberFormat="0" applyFill="0" applyAlignment="0" applyProtection="0"/>
    <xf numFmtId="0" fontId="98" fillId="0" borderId="54" applyNumberFormat="0" applyFill="0" applyAlignment="0" applyProtection="0"/>
    <xf numFmtId="0" fontId="98" fillId="0" borderId="54" applyNumberFormat="0" applyFill="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63" fillId="26" borderId="39" applyNumberFormat="0" applyFont="0" applyAlignment="0" applyProtection="0"/>
    <xf numFmtId="0" fontId="64" fillId="26" borderId="39" applyNumberFormat="0" applyFont="0" applyAlignment="0" applyProtection="0"/>
    <xf numFmtId="0" fontId="85" fillId="10" borderId="52" applyNumberFormat="0" applyAlignment="0" applyProtection="0"/>
    <xf numFmtId="0" fontId="85" fillId="10" borderId="52" applyNumberFormat="0" applyAlignment="0" applyProtection="0"/>
    <xf numFmtId="0" fontId="70" fillId="23" borderId="52" applyNumberFormat="0" applyAlignment="0" applyProtection="0"/>
    <xf numFmtId="0" fontId="71" fillId="23" borderId="52" applyNumberFormat="0" applyAlignment="0" applyProtection="0"/>
    <xf numFmtId="0" fontId="70" fillId="23" borderId="5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95" fillId="23" borderId="53" applyNumberFormat="0" applyAlignment="0" applyProtection="0"/>
    <xf numFmtId="0" fontId="96" fillId="23" borderId="53" applyNumberFormat="0" applyAlignment="0" applyProtection="0"/>
    <xf numFmtId="0" fontId="95" fillId="23" borderId="53" applyNumberFormat="0" applyAlignment="0" applyProtection="0"/>
    <xf numFmtId="0" fontId="95" fillId="23" borderId="53" applyNumberFormat="0" applyAlignment="0" applyProtection="0"/>
    <xf numFmtId="0" fontId="7" fillId="0" borderId="0"/>
    <xf numFmtId="0" fontId="7" fillId="0" borderId="0"/>
    <xf numFmtId="0" fontId="7" fillId="0" borderId="0"/>
    <xf numFmtId="0" fontId="98" fillId="0" borderId="54" applyNumberFormat="0" applyFill="0" applyAlignment="0" applyProtection="0"/>
    <xf numFmtId="0" fontId="99" fillId="0" borderId="54" applyNumberFormat="0" applyFill="0" applyAlignment="0" applyProtection="0"/>
    <xf numFmtId="0" fontId="98" fillId="0" borderId="54" applyNumberFormat="0" applyFill="0" applyAlignment="0" applyProtection="0"/>
    <xf numFmtId="0" fontId="98" fillId="0" borderId="54" applyNumberFormat="0" applyFill="0" applyAlignment="0" applyProtection="0"/>
    <xf numFmtId="0" fontId="85" fillId="10" borderId="52" applyNumberFormat="0" applyAlignment="0" applyProtection="0"/>
    <xf numFmtId="0" fontId="86" fillId="10" borderId="52"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0" fillId="23" borderId="52" applyNumberFormat="0" applyAlignment="0" applyProtection="0"/>
    <xf numFmtId="0" fontId="65" fillId="26" borderId="39" applyNumberFormat="0" applyFont="0" applyAlignment="0" applyProtection="0"/>
    <xf numFmtId="0" fontId="49" fillId="26" borderId="39" applyNumberFormat="0" applyFont="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0" fillId="23" borderId="52" applyNumberFormat="0" applyAlignment="0" applyProtection="0"/>
    <xf numFmtId="0" fontId="71" fillId="23" borderId="52" applyNumberFormat="0" applyAlignment="0" applyProtection="0"/>
    <xf numFmtId="0" fontId="70" fillId="23" borderId="52" applyNumberFormat="0" applyAlignment="0" applyProtection="0"/>
    <xf numFmtId="0" fontId="70" fillId="23" borderId="5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85" fillId="10" borderId="52" applyNumberFormat="0" applyAlignment="0" applyProtection="0"/>
    <xf numFmtId="0" fontId="86" fillId="10" borderId="52" applyNumberFormat="0" applyAlignment="0" applyProtection="0"/>
    <xf numFmtId="0" fontId="85" fillId="10" borderId="52" applyNumberFormat="0" applyAlignment="0" applyProtection="0"/>
    <xf numFmtId="0" fontId="85" fillId="10" borderId="52"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4" fillId="26" borderId="39" applyNumberFormat="0" applyFont="0" applyAlignment="0" applyProtection="0"/>
    <xf numFmtId="0" fontId="65" fillId="26" borderId="39" applyNumberFormat="0" applyFont="0" applyAlignment="0" applyProtection="0"/>
    <xf numFmtId="0" fontId="63" fillId="26" borderId="39" applyNumberFormat="0" applyFont="0" applyAlignment="0" applyProtection="0"/>
    <xf numFmtId="0" fontId="49" fillId="26" borderId="39" applyNumberFormat="0" applyFont="0" applyAlignment="0" applyProtection="0"/>
    <xf numFmtId="0" fontId="7" fillId="4" borderId="6" applyNumberFormat="0" applyFont="0" applyAlignment="0" applyProtection="0"/>
    <xf numFmtId="0" fontId="95" fillId="23" borderId="53" applyNumberFormat="0" applyAlignment="0" applyProtection="0"/>
    <xf numFmtId="0" fontId="96" fillId="23" borderId="53" applyNumberFormat="0" applyAlignment="0" applyProtection="0"/>
    <xf numFmtId="0" fontId="95" fillId="23" borderId="53" applyNumberFormat="0" applyAlignment="0" applyProtection="0"/>
    <xf numFmtId="0" fontId="95" fillId="23" borderId="5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98" fillId="0" borderId="54" applyNumberFormat="0" applyFill="0" applyAlignment="0" applyProtection="0"/>
    <xf numFmtId="0" fontId="99" fillId="0" borderId="54" applyNumberFormat="0" applyFill="0" applyAlignment="0" applyProtection="0"/>
    <xf numFmtId="0" fontId="98" fillId="0" borderId="54" applyNumberFormat="0" applyFill="0" applyAlignment="0" applyProtection="0"/>
    <xf numFmtId="0" fontId="98" fillId="0" borderId="54" applyNumberFormat="0" applyFill="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63" fillId="26" borderId="39" applyNumberFormat="0" applyFont="0" applyAlignment="0" applyProtection="0"/>
    <xf numFmtId="0" fontId="64" fillId="26" borderId="39" applyNumberFormat="0" applyFont="0" applyAlignment="0" applyProtection="0"/>
    <xf numFmtId="0" fontId="85" fillId="10" borderId="52" applyNumberFormat="0" applyAlignment="0" applyProtection="0"/>
    <xf numFmtId="0" fontId="85" fillId="10" borderId="52" applyNumberFormat="0" applyAlignment="0" applyProtection="0"/>
    <xf numFmtId="0" fontId="70" fillId="23" borderId="52" applyNumberFormat="0" applyAlignment="0" applyProtection="0"/>
    <xf numFmtId="0" fontId="71" fillId="23" borderId="52" applyNumberFormat="0" applyAlignment="0" applyProtection="0"/>
    <xf numFmtId="0" fontId="70" fillId="23" borderId="5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95" fillId="23" borderId="53" applyNumberFormat="0" applyAlignment="0" applyProtection="0"/>
    <xf numFmtId="0" fontId="96" fillId="23" borderId="53" applyNumberFormat="0" applyAlignment="0" applyProtection="0"/>
    <xf numFmtId="0" fontId="95" fillId="23" borderId="53" applyNumberFormat="0" applyAlignment="0" applyProtection="0"/>
    <xf numFmtId="0" fontId="95" fillId="23" borderId="53" applyNumberFormat="0" applyAlignment="0" applyProtection="0"/>
    <xf numFmtId="0" fontId="7" fillId="0" borderId="0"/>
    <xf numFmtId="0" fontId="7" fillId="0" borderId="0"/>
    <xf numFmtId="0" fontId="7" fillId="0" borderId="0"/>
    <xf numFmtId="0" fontId="98" fillId="0" borderId="54" applyNumberFormat="0" applyFill="0" applyAlignment="0" applyProtection="0"/>
    <xf numFmtId="0" fontId="99" fillId="0" borderId="54" applyNumberFormat="0" applyFill="0" applyAlignment="0" applyProtection="0"/>
    <xf numFmtId="0" fontId="98" fillId="0" borderId="54" applyNumberFormat="0" applyFill="0" applyAlignment="0" applyProtection="0"/>
    <xf numFmtId="0" fontId="98" fillId="0" borderId="54" applyNumberFormat="0" applyFill="0" applyAlignment="0" applyProtection="0"/>
    <xf numFmtId="0" fontId="85" fillId="10" borderId="52" applyNumberFormat="0" applyAlignment="0" applyProtection="0"/>
    <xf numFmtId="0" fontId="86" fillId="10" borderId="52"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0" fillId="23" borderId="52" applyNumberFormat="0" applyAlignment="0" applyProtection="0"/>
    <xf numFmtId="0" fontId="65" fillId="26" borderId="39" applyNumberFormat="0" applyFont="0" applyAlignment="0" applyProtection="0"/>
    <xf numFmtId="0" fontId="49" fillId="26" borderId="39" applyNumberFormat="0" applyFont="0" applyAlignment="0" applyProtection="0"/>
    <xf numFmtId="0" fontId="7" fillId="0" borderId="0"/>
    <xf numFmtId="0" fontId="63" fillId="26" borderId="39" applyNumberFormat="0" applyFont="0" applyAlignment="0" applyProtection="0"/>
    <xf numFmtId="0" fontId="64" fillId="26" borderId="39" applyNumberFormat="0" applyFont="0" applyAlignment="0" applyProtection="0"/>
    <xf numFmtId="0" fontId="85" fillId="10" borderId="52" applyNumberFormat="0" applyAlignment="0" applyProtection="0"/>
    <xf numFmtId="0" fontId="85" fillId="10" borderId="52" applyNumberFormat="0" applyAlignment="0" applyProtection="0"/>
    <xf numFmtId="0" fontId="70" fillId="23" borderId="52" applyNumberFormat="0" applyAlignment="0" applyProtection="0"/>
    <xf numFmtId="0" fontId="71" fillId="23" borderId="52" applyNumberFormat="0" applyAlignment="0" applyProtection="0"/>
    <xf numFmtId="0" fontId="70" fillId="23" borderId="52" applyNumberFormat="0" applyAlignment="0" applyProtection="0"/>
    <xf numFmtId="0" fontId="95" fillId="23" borderId="53" applyNumberFormat="0" applyAlignment="0" applyProtection="0"/>
    <xf numFmtId="0" fontId="96" fillId="23" borderId="53" applyNumberFormat="0" applyAlignment="0" applyProtection="0"/>
    <xf numFmtId="0" fontId="95" fillId="23" borderId="53" applyNumberFormat="0" applyAlignment="0" applyProtection="0"/>
    <xf numFmtId="0" fontId="95" fillId="23" borderId="53" applyNumberFormat="0" applyAlignment="0" applyProtection="0"/>
    <xf numFmtId="0" fontId="98" fillId="0" borderId="54" applyNumberFormat="0" applyFill="0" applyAlignment="0" applyProtection="0"/>
    <xf numFmtId="0" fontId="99" fillId="0" borderId="54" applyNumberFormat="0" applyFill="0" applyAlignment="0" applyProtection="0"/>
    <xf numFmtId="0" fontId="98" fillId="0" borderId="54" applyNumberFormat="0" applyFill="0" applyAlignment="0" applyProtection="0"/>
    <xf numFmtId="0" fontId="98" fillId="0" borderId="54" applyNumberFormat="0" applyFill="0" applyAlignment="0" applyProtection="0"/>
    <xf numFmtId="0" fontId="85" fillId="10" borderId="52" applyNumberFormat="0" applyAlignment="0" applyProtection="0"/>
    <xf numFmtId="0" fontId="86" fillId="10" borderId="52" applyNumberFormat="0" applyAlignment="0" applyProtection="0"/>
    <xf numFmtId="0" fontId="70" fillId="23" borderId="52" applyNumberFormat="0" applyAlignment="0" applyProtection="0"/>
    <xf numFmtId="0" fontId="65" fillId="26" borderId="39" applyNumberFormat="0" applyFont="0" applyAlignment="0" applyProtection="0"/>
    <xf numFmtId="0" fontId="49" fillId="26" borderId="39" applyNumberFormat="0" applyFont="0" applyAlignment="0" applyProtection="0"/>
    <xf numFmtId="0" fontId="70" fillId="23" borderId="52" applyNumberFormat="0" applyAlignment="0" applyProtection="0"/>
    <xf numFmtId="0" fontId="71" fillId="23" borderId="52" applyNumberFormat="0" applyAlignment="0" applyProtection="0"/>
    <xf numFmtId="0" fontId="70" fillId="23" borderId="52" applyNumberFormat="0" applyAlignment="0" applyProtection="0"/>
    <xf numFmtId="0" fontId="70" fillId="23" borderId="52" applyNumberFormat="0" applyAlignment="0" applyProtection="0"/>
    <xf numFmtId="0" fontId="85" fillId="10" borderId="52" applyNumberFormat="0" applyAlignment="0" applyProtection="0"/>
    <xf numFmtId="0" fontId="86" fillId="10" borderId="52" applyNumberFormat="0" applyAlignment="0" applyProtection="0"/>
    <xf numFmtId="0" fontId="85" fillId="10" borderId="52" applyNumberFormat="0" applyAlignment="0" applyProtection="0"/>
    <xf numFmtId="0" fontId="85" fillId="10" borderId="52" applyNumberFormat="0" applyAlignment="0" applyProtection="0"/>
    <xf numFmtId="0" fontId="64" fillId="26" borderId="39" applyNumberFormat="0" applyFont="0" applyAlignment="0" applyProtection="0"/>
    <xf numFmtId="0" fontId="65" fillId="26" borderId="39" applyNumberFormat="0" applyFont="0" applyAlignment="0" applyProtection="0"/>
    <xf numFmtId="0" fontId="63" fillId="26" borderId="39" applyNumberFormat="0" applyFont="0" applyAlignment="0" applyProtection="0"/>
    <xf numFmtId="0" fontId="49" fillId="26" borderId="39" applyNumberFormat="0" applyFont="0" applyAlignment="0" applyProtection="0"/>
    <xf numFmtId="0" fontId="95" fillId="23" borderId="53" applyNumberFormat="0" applyAlignment="0" applyProtection="0"/>
    <xf numFmtId="0" fontId="96" fillId="23" borderId="53" applyNumberFormat="0" applyAlignment="0" applyProtection="0"/>
    <xf numFmtId="0" fontId="95" fillId="23" borderId="53" applyNumberFormat="0" applyAlignment="0" applyProtection="0"/>
    <xf numFmtId="0" fontId="95" fillId="23" borderId="53" applyNumberFormat="0" applyAlignment="0" applyProtection="0"/>
    <xf numFmtId="0" fontId="98" fillId="0" borderId="54" applyNumberFormat="0" applyFill="0" applyAlignment="0" applyProtection="0"/>
    <xf numFmtId="0" fontId="99" fillId="0" borderId="54" applyNumberFormat="0" applyFill="0" applyAlignment="0" applyProtection="0"/>
    <xf numFmtId="0" fontId="98" fillId="0" borderId="54" applyNumberFormat="0" applyFill="0" applyAlignment="0" applyProtection="0"/>
    <xf numFmtId="0" fontId="98" fillId="0" borderId="54" applyNumberFormat="0" applyFill="0" applyAlignment="0" applyProtection="0"/>
    <xf numFmtId="0" fontId="63" fillId="26" borderId="39" applyNumberFormat="0" applyFont="0" applyAlignment="0" applyProtection="0"/>
    <xf numFmtId="0" fontId="64" fillId="26" borderId="39" applyNumberFormat="0" applyFont="0" applyAlignment="0" applyProtection="0"/>
    <xf numFmtId="0" fontId="85" fillId="10" borderId="52" applyNumberFormat="0" applyAlignment="0" applyProtection="0"/>
    <xf numFmtId="0" fontId="85" fillId="10" borderId="52" applyNumberFormat="0" applyAlignment="0" applyProtection="0"/>
    <xf numFmtId="0" fontId="70" fillId="23" borderId="52" applyNumberFormat="0" applyAlignment="0" applyProtection="0"/>
    <xf numFmtId="0" fontId="71" fillId="23" borderId="52" applyNumberFormat="0" applyAlignment="0" applyProtection="0"/>
    <xf numFmtId="0" fontId="70" fillId="23" borderId="52" applyNumberFormat="0" applyAlignment="0" applyProtection="0"/>
    <xf numFmtId="0" fontId="95" fillId="23" borderId="53" applyNumberFormat="0" applyAlignment="0" applyProtection="0"/>
    <xf numFmtId="0" fontId="96" fillId="23" borderId="53" applyNumberFormat="0" applyAlignment="0" applyProtection="0"/>
    <xf numFmtId="0" fontId="95" fillId="23" borderId="53" applyNumberFormat="0" applyAlignment="0" applyProtection="0"/>
    <xf numFmtId="0" fontId="95" fillId="23" borderId="53" applyNumberFormat="0" applyAlignment="0" applyProtection="0"/>
    <xf numFmtId="0" fontId="98" fillId="0" borderId="54" applyNumberFormat="0" applyFill="0" applyAlignment="0" applyProtection="0"/>
    <xf numFmtId="0" fontId="99" fillId="0" borderId="54" applyNumberFormat="0" applyFill="0" applyAlignment="0" applyProtection="0"/>
    <xf numFmtId="0" fontId="98" fillId="0" borderId="54" applyNumberFormat="0" applyFill="0" applyAlignment="0" applyProtection="0"/>
    <xf numFmtId="0" fontId="98" fillId="0" borderId="54" applyNumberFormat="0" applyFill="0" applyAlignment="0" applyProtection="0"/>
    <xf numFmtId="0" fontId="85" fillId="10" borderId="52" applyNumberFormat="0" applyAlignment="0" applyProtection="0"/>
    <xf numFmtId="0" fontId="86" fillId="10" borderId="52" applyNumberFormat="0" applyAlignment="0" applyProtection="0"/>
    <xf numFmtId="0" fontId="70" fillId="23" borderId="52" applyNumberFormat="0" applyAlignment="0" applyProtection="0"/>
    <xf numFmtId="0" fontId="65" fillId="26" borderId="39" applyNumberFormat="0" applyFont="0" applyAlignment="0" applyProtection="0"/>
    <xf numFmtId="0" fontId="49" fillId="26" borderId="39" applyNumberFormat="0" applyFont="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0" fillId="23" borderId="57" applyNumberFormat="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122" fillId="28" borderId="51" applyNumberFormat="0" applyProtection="0">
      <alignment horizontal="center"/>
    </xf>
    <xf numFmtId="0" fontId="7" fillId="0" borderId="0"/>
    <xf numFmtId="0" fontId="122" fillId="28" borderId="55" applyNumberFormat="0" applyProtection="0">
      <alignment horizontal="center"/>
    </xf>
    <xf numFmtId="0" fontId="7" fillId="0" borderId="0"/>
    <xf numFmtId="0" fontId="122" fillId="28" borderId="56" applyNumberFormat="0" applyProtection="0">
      <alignment horizontal="center"/>
    </xf>
    <xf numFmtId="0" fontId="7" fillId="0" borderId="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4" fillId="26" borderId="45" applyNumberFormat="0" applyFont="0" applyAlignment="0" applyProtection="0"/>
    <xf numFmtId="0" fontId="65" fillId="26" borderId="45" applyNumberFormat="0" applyFont="0" applyAlignment="0" applyProtection="0"/>
    <xf numFmtId="0" fontId="63" fillId="26" borderId="45" applyNumberFormat="0" applyFont="0" applyAlignment="0" applyProtection="0"/>
    <xf numFmtId="0" fontId="49" fillId="26" borderId="45" applyNumberFormat="0" applyFont="0" applyAlignment="0" applyProtection="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63" fillId="26" borderId="45" applyNumberFormat="0" applyFont="0" applyAlignment="0" applyProtection="0"/>
    <xf numFmtId="0" fontId="64" fillId="26" borderId="45"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5" fillId="26" borderId="45" applyNumberFormat="0" applyFont="0" applyAlignment="0" applyProtection="0"/>
    <xf numFmtId="0" fontId="49" fillId="26" borderId="45" applyNumberFormat="0" applyFont="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4" fillId="26" borderId="45" applyNumberFormat="0" applyFont="0" applyAlignment="0" applyProtection="0"/>
    <xf numFmtId="0" fontId="65" fillId="26" borderId="45" applyNumberFormat="0" applyFont="0" applyAlignment="0" applyProtection="0"/>
    <xf numFmtId="0" fontId="63" fillId="26" borderId="45" applyNumberFormat="0" applyFont="0" applyAlignment="0" applyProtection="0"/>
    <xf numFmtId="0" fontId="49" fillId="26" borderId="45" applyNumberFormat="0" applyFont="0" applyAlignment="0" applyProtection="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63" fillId="26" borderId="45" applyNumberFormat="0" applyFont="0" applyAlignment="0" applyProtection="0"/>
    <xf numFmtId="0" fontId="64" fillId="26" borderId="45"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5" fillId="26" borderId="45" applyNumberFormat="0" applyFont="0" applyAlignment="0" applyProtection="0"/>
    <xf numFmtId="0" fontId="49" fillId="26" borderId="45" applyNumberFormat="0" applyFont="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0" fillId="23" borderId="52" applyNumberFormat="0" applyAlignment="0" applyProtection="0"/>
    <xf numFmtId="0" fontId="71" fillId="23" borderId="52" applyNumberFormat="0" applyAlignment="0" applyProtection="0"/>
    <xf numFmtId="0" fontId="70" fillId="23" borderId="52" applyNumberFormat="0" applyAlignment="0" applyProtection="0"/>
    <xf numFmtId="0" fontId="70" fillId="23" borderId="5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85" fillId="10" borderId="52" applyNumberFormat="0" applyAlignment="0" applyProtection="0"/>
    <xf numFmtId="0" fontId="86" fillId="10" borderId="52" applyNumberFormat="0" applyAlignment="0" applyProtection="0"/>
    <xf numFmtId="0" fontId="85" fillId="10" borderId="52" applyNumberFormat="0" applyAlignment="0" applyProtection="0"/>
    <xf numFmtId="0" fontId="85" fillId="10" borderId="52"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4" fillId="26" borderId="45" applyNumberFormat="0" applyFont="0" applyAlignment="0" applyProtection="0"/>
    <xf numFmtId="0" fontId="65" fillId="26" borderId="45" applyNumberFormat="0" applyFont="0" applyAlignment="0" applyProtection="0"/>
    <xf numFmtId="0" fontId="63" fillId="26" borderId="45" applyNumberFormat="0" applyFont="0" applyAlignment="0" applyProtection="0"/>
    <xf numFmtId="0" fontId="49" fillId="26" borderId="45" applyNumberFormat="0" applyFont="0" applyAlignment="0" applyProtection="0"/>
    <xf numFmtId="0" fontId="7" fillId="4" borderId="6" applyNumberFormat="0" applyFont="0" applyAlignment="0" applyProtection="0"/>
    <xf numFmtId="0" fontId="95" fillId="23" borderId="53" applyNumberFormat="0" applyAlignment="0" applyProtection="0"/>
    <xf numFmtId="0" fontId="96" fillId="23" borderId="53" applyNumberFormat="0" applyAlignment="0" applyProtection="0"/>
    <xf numFmtId="0" fontId="95" fillId="23" borderId="53" applyNumberFormat="0" applyAlignment="0" applyProtection="0"/>
    <xf numFmtId="0" fontId="95" fillId="23" borderId="5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98" fillId="0" borderId="54" applyNumberFormat="0" applyFill="0" applyAlignment="0" applyProtection="0"/>
    <xf numFmtId="0" fontId="99" fillId="0" borderId="54" applyNumberFormat="0" applyFill="0" applyAlignment="0" applyProtection="0"/>
    <xf numFmtId="0" fontId="98" fillId="0" borderId="54" applyNumberFormat="0" applyFill="0" applyAlignment="0" applyProtection="0"/>
    <xf numFmtId="0" fontId="98" fillId="0" borderId="54" applyNumberFormat="0" applyFill="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63" fillId="26" borderId="45" applyNumberFormat="0" applyFont="0" applyAlignment="0" applyProtection="0"/>
    <xf numFmtId="0" fontId="64" fillId="26" borderId="45" applyNumberFormat="0" applyFont="0" applyAlignment="0" applyProtection="0"/>
    <xf numFmtId="0" fontId="85" fillId="10" borderId="52" applyNumberFormat="0" applyAlignment="0" applyProtection="0"/>
    <xf numFmtId="0" fontId="85" fillId="10" borderId="52" applyNumberFormat="0" applyAlignment="0" applyProtection="0"/>
    <xf numFmtId="0" fontId="70" fillId="23" borderId="52" applyNumberFormat="0" applyAlignment="0" applyProtection="0"/>
    <xf numFmtId="0" fontId="71" fillId="23" borderId="52" applyNumberFormat="0" applyAlignment="0" applyProtection="0"/>
    <xf numFmtId="0" fontId="70" fillId="23" borderId="5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95" fillId="23" borderId="53" applyNumberFormat="0" applyAlignment="0" applyProtection="0"/>
    <xf numFmtId="0" fontId="96" fillId="23" borderId="53" applyNumberFormat="0" applyAlignment="0" applyProtection="0"/>
    <xf numFmtId="0" fontId="95" fillId="23" borderId="53" applyNumberFormat="0" applyAlignment="0" applyProtection="0"/>
    <xf numFmtId="0" fontId="95" fillId="23" borderId="53" applyNumberFormat="0" applyAlignment="0" applyProtection="0"/>
    <xf numFmtId="0" fontId="7" fillId="0" borderId="0"/>
    <xf numFmtId="0" fontId="7" fillId="0" borderId="0"/>
    <xf numFmtId="0" fontId="7" fillId="0" borderId="0"/>
    <xf numFmtId="0" fontId="98" fillId="0" borderId="54" applyNumberFormat="0" applyFill="0" applyAlignment="0" applyProtection="0"/>
    <xf numFmtId="0" fontId="99" fillId="0" borderId="54" applyNumberFormat="0" applyFill="0" applyAlignment="0" applyProtection="0"/>
    <xf numFmtId="0" fontId="98" fillId="0" borderId="54" applyNumberFormat="0" applyFill="0" applyAlignment="0" applyProtection="0"/>
    <xf numFmtId="0" fontId="98" fillId="0" borderId="54" applyNumberFormat="0" applyFill="0" applyAlignment="0" applyProtection="0"/>
    <xf numFmtId="0" fontId="85" fillId="10" borderId="52" applyNumberFormat="0" applyAlignment="0" applyProtection="0"/>
    <xf numFmtId="0" fontId="86" fillId="10" borderId="52"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0" fillId="23" borderId="52" applyNumberFormat="0" applyAlignment="0" applyProtection="0"/>
    <xf numFmtId="0" fontId="65" fillId="26" borderId="45" applyNumberFormat="0" applyFont="0" applyAlignment="0" applyProtection="0"/>
    <xf numFmtId="0" fontId="49" fillId="26" borderId="45" applyNumberFormat="0" applyFont="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0" fillId="23" borderId="52" applyNumberFormat="0" applyAlignment="0" applyProtection="0"/>
    <xf numFmtId="0" fontId="71" fillId="23" borderId="52" applyNumberFormat="0" applyAlignment="0" applyProtection="0"/>
    <xf numFmtId="0" fontId="70" fillId="23" borderId="52" applyNumberFormat="0" applyAlignment="0" applyProtection="0"/>
    <xf numFmtId="0" fontId="70" fillId="23" borderId="5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85" fillId="10" borderId="52" applyNumberFormat="0" applyAlignment="0" applyProtection="0"/>
    <xf numFmtId="0" fontId="86" fillId="10" borderId="52" applyNumberFormat="0" applyAlignment="0" applyProtection="0"/>
    <xf numFmtId="0" fontId="85" fillId="10" borderId="52" applyNumberFormat="0" applyAlignment="0" applyProtection="0"/>
    <xf numFmtId="0" fontId="85" fillId="10" borderId="52"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4" fillId="26" borderId="45" applyNumberFormat="0" applyFont="0" applyAlignment="0" applyProtection="0"/>
    <xf numFmtId="0" fontId="65" fillId="26" borderId="45" applyNumberFormat="0" applyFont="0" applyAlignment="0" applyProtection="0"/>
    <xf numFmtId="0" fontId="63" fillId="26" borderId="45" applyNumberFormat="0" applyFont="0" applyAlignment="0" applyProtection="0"/>
    <xf numFmtId="0" fontId="49" fillId="26" borderId="45" applyNumberFormat="0" applyFont="0" applyAlignment="0" applyProtection="0"/>
    <xf numFmtId="0" fontId="7" fillId="4" borderId="6" applyNumberFormat="0" applyFont="0" applyAlignment="0" applyProtection="0"/>
    <xf numFmtId="0" fontId="95" fillId="23" borderId="53" applyNumberFormat="0" applyAlignment="0" applyProtection="0"/>
    <xf numFmtId="0" fontId="96" fillId="23" borderId="53" applyNumberFormat="0" applyAlignment="0" applyProtection="0"/>
    <xf numFmtId="0" fontId="95" fillId="23" borderId="53" applyNumberFormat="0" applyAlignment="0" applyProtection="0"/>
    <xf numFmtId="0" fontId="95" fillId="23" borderId="5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98" fillId="0" borderId="54" applyNumberFormat="0" applyFill="0" applyAlignment="0" applyProtection="0"/>
    <xf numFmtId="0" fontId="99" fillId="0" borderId="54" applyNumberFormat="0" applyFill="0" applyAlignment="0" applyProtection="0"/>
    <xf numFmtId="0" fontId="98" fillId="0" borderId="54" applyNumberFormat="0" applyFill="0" applyAlignment="0" applyProtection="0"/>
    <xf numFmtId="0" fontId="98" fillId="0" borderId="54" applyNumberFormat="0" applyFill="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63" fillId="26" borderId="45" applyNumberFormat="0" applyFont="0" applyAlignment="0" applyProtection="0"/>
    <xf numFmtId="0" fontId="64" fillId="26" borderId="45" applyNumberFormat="0" applyFont="0" applyAlignment="0" applyProtection="0"/>
    <xf numFmtId="0" fontId="85" fillId="10" borderId="52" applyNumberFormat="0" applyAlignment="0" applyProtection="0"/>
    <xf numFmtId="0" fontId="85" fillId="10" borderId="52" applyNumberFormat="0" applyAlignment="0" applyProtection="0"/>
    <xf numFmtId="0" fontId="70" fillId="23" borderId="52" applyNumberFormat="0" applyAlignment="0" applyProtection="0"/>
    <xf numFmtId="0" fontId="71" fillId="23" borderId="52" applyNumberFormat="0" applyAlignment="0" applyProtection="0"/>
    <xf numFmtId="0" fontId="70" fillId="23" borderId="5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95" fillId="23" borderId="53" applyNumberFormat="0" applyAlignment="0" applyProtection="0"/>
    <xf numFmtId="0" fontId="96" fillId="23" borderId="53" applyNumberFormat="0" applyAlignment="0" applyProtection="0"/>
    <xf numFmtId="0" fontId="95" fillId="23" borderId="53" applyNumberFormat="0" applyAlignment="0" applyProtection="0"/>
    <xf numFmtId="0" fontId="95" fillId="23" borderId="53" applyNumberFormat="0" applyAlignment="0" applyProtection="0"/>
    <xf numFmtId="0" fontId="7" fillId="0" borderId="0"/>
    <xf numFmtId="0" fontId="7" fillId="0" borderId="0"/>
    <xf numFmtId="0" fontId="7" fillId="0" borderId="0"/>
    <xf numFmtId="0" fontId="98" fillId="0" borderId="54" applyNumberFormat="0" applyFill="0" applyAlignment="0" applyProtection="0"/>
    <xf numFmtId="0" fontId="99" fillId="0" borderId="54" applyNumberFormat="0" applyFill="0" applyAlignment="0" applyProtection="0"/>
    <xf numFmtId="0" fontId="98" fillId="0" borderId="54" applyNumberFormat="0" applyFill="0" applyAlignment="0" applyProtection="0"/>
    <xf numFmtId="0" fontId="98" fillId="0" borderId="54" applyNumberFormat="0" applyFill="0" applyAlignment="0" applyProtection="0"/>
    <xf numFmtId="0" fontId="85" fillId="10" borderId="52" applyNumberFormat="0" applyAlignment="0" applyProtection="0"/>
    <xf numFmtId="0" fontId="86" fillId="10" borderId="52"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0" fillId="23" borderId="52" applyNumberFormat="0" applyAlignment="0" applyProtection="0"/>
    <xf numFmtId="0" fontId="65" fillId="26" borderId="45" applyNumberFormat="0" applyFont="0" applyAlignment="0" applyProtection="0"/>
    <xf numFmtId="0" fontId="49" fillId="26" borderId="45" applyNumberFormat="0" applyFont="0" applyAlignment="0" applyProtection="0"/>
    <xf numFmtId="0" fontId="7" fillId="0" borderId="0"/>
    <xf numFmtId="0" fontId="63" fillId="26" borderId="45" applyNumberFormat="0" applyFont="0" applyAlignment="0" applyProtection="0"/>
    <xf numFmtId="0" fontId="64" fillId="26" borderId="45" applyNumberFormat="0" applyFont="0" applyAlignment="0" applyProtection="0"/>
    <xf numFmtId="0" fontId="65" fillId="26" borderId="45" applyNumberFormat="0" applyFont="0" applyAlignment="0" applyProtection="0"/>
    <xf numFmtId="0" fontId="49" fillId="26" borderId="45" applyNumberFormat="0" applyFont="0" applyAlignment="0" applyProtection="0"/>
    <xf numFmtId="0" fontId="64" fillId="26" borderId="45" applyNumberFormat="0" applyFont="0" applyAlignment="0" applyProtection="0"/>
    <xf numFmtId="0" fontId="65" fillId="26" borderId="45" applyNumberFormat="0" applyFont="0" applyAlignment="0" applyProtection="0"/>
    <xf numFmtId="0" fontId="63" fillId="26" borderId="45" applyNumberFormat="0" applyFont="0" applyAlignment="0" applyProtection="0"/>
    <xf numFmtId="0" fontId="49" fillId="26" borderId="45" applyNumberFormat="0" applyFont="0" applyAlignment="0" applyProtection="0"/>
    <xf numFmtId="0" fontId="63" fillId="26" borderId="45" applyNumberFormat="0" applyFont="0" applyAlignment="0" applyProtection="0"/>
    <xf numFmtId="0" fontId="64" fillId="26" borderId="45" applyNumberFormat="0" applyFont="0" applyAlignment="0" applyProtection="0"/>
    <xf numFmtId="0" fontId="65" fillId="26" borderId="45" applyNumberFormat="0" applyFont="0" applyAlignment="0" applyProtection="0"/>
    <xf numFmtId="0" fontId="49" fillId="26" borderId="45" applyNumberFormat="0" applyFont="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122" fillId="28" borderId="56" applyNumberFormat="0" applyProtection="0">
      <alignment horizontal="center"/>
    </xf>
    <xf numFmtId="0" fontId="7" fillId="0" borderId="0"/>
    <xf numFmtId="0" fontId="122" fillId="28" borderId="56" applyNumberFormat="0" applyProtection="0">
      <alignment horizontal="center"/>
    </xf>
    <xf numFmtId="0" fontId="7" fillId="0" borderId="0"/>
    <xf numFmtId="0" fontId="122" fillId="28" borderId="56" applyNumberFormat="0" applyProtection="0">
      <alignment horizontal="center"/>
    </xf>
    <xf numFmtId="0" fontId="64" fillId="26" borderId="58" applyNumberFormat="0" applyFont="0" applyAlignment="0" applyProtection="0"/>
    <xf numFmtId="0" fontId="65" fillId="26" borderId="58" applyNumberFormat="0" applyFont="0" applyAlignment="0" applyProtection="0"/>
    <xf numFmtId="0" fontId="63" fillId="26" borderId="58" applyNumberFormat="0" applyFont="0" applyAlignment="0" applyProtection="0"/>
    <xf numFmtId="0" fontId="49" fillId="26" borderId="58" applyNumberFormat="0" applyFont="0" applyAlignment="0" applyProtection="0"/>
    <xf numFmtId="0" fontId="95" fillId="23" borderId="59" applyNumberFormat="0" applyAlignment="0" applyProtection="0"/>
    <xf numFmtId="0" fontId="96" fillId="23" borderId="59" applyNumberFormat="0" applyAlignment="0" applyProtection="0"/>
    <xf numFmtId="0" fontId="95" fillId="23" borderId="59" applyNumberFormat="0" applyAlignment="0" applyProtection="0"/>
    <xf numFmtId="0" fontId="95" fillId="23" borderId="59" applyNumberFormat="0" applyAlignment="0" applyProtection="0"/>
    <xf numFmtId="0" fontId="98" fillId="0" borderId="60" applyNumberFormat="0" applyFill="0" applyAlignment="0" applyProtection="0"/>
    <xf numFmtId="0" fontId="99"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63" fillId="26" borderId="58" applyNumberFormat="0" applyFont="0" applyAlignment="0" applyProtection="0"/>
    <xf numFmtId="0" fontId="64" fillId="26" borderId="58" applyNumberFormat="0" applyFont="0" applyAlignment="0" applyProtection="0"/>
    <xf numFmtId="0" fontId="85" fillId="10" borderId="57" applyNumberFormat="0" applyAlignment="0" applyProtection="0"/>
    <xf numFmtId="0" fontId="85" fillId="10" borderId="57" applyNumberFormat="0" applyAlignment="0" applyProtection="0"/>
    <xf numFmtId="0" fontId="70" fillId="23" borderId="57" applyNumberFormat="0" applyAlignment="0" applyProtection="0"/>
    <xf numFmtId="0" fontId="71" fillId="23" borderId="57" applyNumberFormat="0" applyAlignment="0" applyProtection="0"/>
    <xf numFmtId="0" fontId="70" fillId="23" borderId="57" applyNumberFormat="0" applyAlignment="0" applyProtection="0"/>
    <xf numFmtId="0" fontId="95" fillId="23" borderId="59" applyNumberFormat="0" applyAlignment="0" applyProtection="0"/>
    <xf numFmtId="0" fontId="96" fillId="23" borderId="59" applyNumberFormat="0" applyAlignment="0" applyProtection="0"/>
    <xf numFmtId="0" fontId="95" fillId="23" borderId="59" applyNumberFormat="0" applyAlignment="0" applyProtection="0"/>
    <xf numFmtId="0" fontId="95" fillId="23" borderId="59" applyNumberFormat="0" applyAlignment="0" applyProtection="0"/>
    <xf numFmtId="0" fontId="98" fillId="0" borderId="60" applyNumberFormat="0" applyFill="0" applyAlignment="0" applyProtection="0"/>
    <xf numFmtId="0" fontId="99"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85" fillId="10" borderId="57" applyNumberFormat="0" applyAlignment="0" applyProtection="0"/>
    <xf numFmtId="0" fontId="86" fillId="10" borderId="57" applyNumberFormat="0" applyAlignment="0" applyProtection="0"/>
    <xf numFmtId="0" fontId="70" fillId="23" borderId="57" applyNumberFormat="0" applyAlignment="0" applyProtection="0"/>
    <xf numFmtId="0" fontId="65" fillId="26" borderId="58" applyNumberFormat="0" applyFont="0" applyAlignment="0" applyProtection="0"/>
    <xf numFmtId="0" fontId="49" fillId="26" borderId="58" applyNumberFormat="0" applyFont="0" applyAlignment="0" applyProtection="0"/>
    <xf numFmtId="0" fontId="70" fillId="23" borderId="57" applyNumberFormat="0" applyAlignment="0" applyProtection="0"/>
    <xf numFmtId="0" fontId="71" fillId="23" borderId="57" applyNumberFormat="0" applyAlignment="0" applyProtection="0"/>
    <xf numFmtId="0" fontId="70" fillId="23" borderId="57" applyNumberFormat="0" applyAlignment="0" applyProtection="0"/>
    <xf numFmtId="0" fontId="70" fillId="23" borderId="57" applyNumberFormat="0" applyAlignment="0" applyProtection="0"/>
    <xf numFmtId="0" fontId="85" fillId="10" borderId="57" applyNumberFormat="0" applyAlignment="0" applyProtection="0"/>
    <xf numFmtId="0" fontId="86" fillId="10" borderId="57" applyNumberFormat="0" applyAlignment="0" applyProtection="0"/>
    <xf numFmtId="0" fontId="85" fillId="10" borderId="57" applyNumberFormat="0" applyAlignment="0" applyProtection="0"/>
    <xf numFmtId="0" fontId="85" fillId="10" borderId="57" applyNumberFormat="0" applyAlignment="0" applyProtection="0"/>
    <xf numFmtId="0" fontId="64" fillId="26" borderId="58" applyNumberFormat="0" applyFont="0" applyAlignment="0" applyProtection="0"/>
    <xf numFmtId="0" fontId="65" fillId="26" borderId="58" applyNumberFormat="0" applyFont="0" applyAlignment="0" applyProtection="0"/>
    <xf numFmtId="0" fontId="63" fillId="26" borderId="58" applyNumberFormat="0" applyFont="0" applyAlignment="0" applyProtection="0"/>
    <xf numFmtId="0" fontId="49" fillId="26" borderId="58" applyNumberFormat="0" applyFont="0" applyAlignment="0" applyProtection="0"/>
    <xf numFmtId="0" fontId="95" fillId="23" borderId="59" applyNumberFormat="0" applyAlignment="0" applyProtection="0"/>
    <xf numFmtId="0" fontId="96" fillId="23" borderId="59" applyNumberFormat="0" applyAlignment="0" applyProtection="0"/>
    <xf numFmtId="0" fontId="95" fillId="23" borderId="59" applyNumberFormat="0" applyAlignment="0" applyProtection="0"/>
    <xf numFmtId="0" fontId="95" fillId="23" borderId="59" applyNumberFormat="0" applyAlignment="0" applyProtection="0"/>
    <xf numFmtId="0" fontId="98" fillId="0" borderId="60" applyNumberFormat="0" applyFill="0" applyAlignment="0" applyProtection="0"/>
    <xf numFmtId="0" fontId="99"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63" fillId="26" borderId="58" applyNumberFormat="0" applyFont="0" applyAlignment="0" applyProtection="0"/>
    <xf numFmtId="0" fontId="64" fillId="26" borderId="58" applyNumberFormat="0" applyFont="0" applyAlignment="0" applyProtection="0"/>
    <xf numFmtId="0" fontId="85" fillId="10" borderId="57" applyNumberFormat="0" applyAlignment="0" applyProtection="0"/>
    <xf numFmtId="0" fontId="85" fillId="10" borderId="57" applyNumberFormat="0" applyAlignment="0" applyProtection="0"/>
    <xf numFmtId="0" fontId="70" fillId="23" borderId="57" applyNumberFormat="0" applyAlignment="0" applyProtection="0"/>
    <xf numFmtId="0" fontId="71" fillId="23" borderId="57" applyNumberFormat="0" applyAlignment="0" applyProtection="0"/>
    <xf numFmtId="0" fontId="70" fillId="23" borderId="57" applyNumberFormat="0" applyAlignment="0" applyProtection="0"/>
    <xf numFmtId="0" fontId="95" fillId="23" borderId="59" applyNumberFormat="0" applyAlignment="0" applyProtection="0"/>
    <xf numFmtId="0" fontId="96" fillId="23" borderId="59" applyNumberFormat="0" applyAlignment="0" applyProtection="0"/>
    <xf numFmtId="0" fontId="95" fillId="23" borderId="59" applyNumberFormat="0" applyAlignment="0" applyProtection="0"/>
    <xf numFmtId="0" fontId="95" fillId="23" borderId="59" applyNumberFormat="0" applyAlignment="0" applyProtection="0"/>
    <xf numFmtId="0" fontId="98" fillId="0" borderId="60" applyNumberFormat="0" applyFill="0" applyAlignment="0" applyProtection="0"/>
    <xf numFmtId="0" fontId="99"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85" fillId="10" borderId="57" applyNumberFormat="0" applyAlignment="0" applyProtection="0"/>
    <xf numFmtId="0" fontId="86" fillId="10" borderId="57" applyNumberFormat="0" applyAlignment="0" applyProtection="0"/>
    <xf numFmtId="0" fontId="70" fillId="23" borderId="57" applyNumberFormat="0" applyAlignment="0" applyProtection="0"/>
    <xf numFmtId="0" fontId="65" fillId="26" borderId="58" applyNumberFormat="0" applyFont="0" applyAlignment="0" applyProtection="0"/>
    <xf numFmtId="0" fontId="49" fillId="26" borderId="58" applyNumberFormat="0" applyFont="0" applyAlignment="0" applyProtection="0"/>
    <xf numFmtId="0" fontId="70" fillId="23" borderId="57" applyNumberFormat="0" applyAlignment="0" applyProtection="0"/>
    <xf numFmtId="0" fontId="71" fillId="23" borderId="57" applyNumberFormat="0" applyAlignment="0" applyProtection="0"/>
    <xf numFmtId="0" fontId="70" fillId="23" borderId="57" applyNumberFormat="0" applyAlignment="0" applyProtection="0"/>
    <xf numFmtId="0" fontId="70" fillId="23" borderId="57" applyNumberFormat="0" applyAlignment="0" applyProtection="0"/>
    <xf numFmtId="0" fontId="85" fillId="10" borderId="57" applyNumberFormat="0" applyAlignment="0" applyProtection="0"/>
    <xf numFmtId="0" fontId="86" fillId="10" borderId="57" applyNumberFormat="0" applyAlignment="0" applyProtection="0"/>
    <xf numFmtId="0" fontId="85" fillId="10" borderId="57" applyNumberFormat="0" applyAlignment="0" applyProtection="0"/>
    <xf numFmtId="0" fontId="85" fillId="10" borderId="57" applyNumberFormat="0" applyAlignment="0" applyProtection="0"/>
    <xf numFmtId="0" fontId="64" fillId="26" borderId="58" applyNumberFormat="0" applyFont="0" applyAlignment="0" applyProtection="0"/>
    <xf numFmtId="0" fontId="65" fillId="26" borderId="58" applyNumberFormat="0" applyFont="0" applyAlignment="0" applyProtection="0"/>
    <xf numFmtId="0" fontId="63" fillId="26" borderId="58" applyNumberFormat="0" applyFont="0" applyAlignment="0" applyProtection="0"/>
    <xf numFmtId="0" fontId="49" fillId="26" borderId="58" applyNumberFormat="0" applyFont="0" applyAlignment="0" applyProtection="0"/>
    <xf numFmtId="0" fontId="95" fillId="23" borderId="59" applyNumberFormat="0" applyAlignment="0" applyProtection="0"/>
    <xf numFmtId="0" fontId="96" fillId="23" borderId="59" applyNumberFormat="0" applyAlignment="0" applyProtection="0"/>
    <xf numFmtId="0" fontId="95" fillId="23" borderId="59" applyNumberFormat="0" applyAlignment="0" applyProtection="0"/>
    <xf numFmtId="0" fontId="95" fillId="23" borderId="59" applyNumberFormat="0" applyAlignment="0" applyProtection="0"/>
    <xf numFmtId="0" fontId="98" fillId="0" borderId="60" applyNumberFormat="0" applyFill="0" applyAlignment="0" applyProtection="0"/>
    <xf numFmtId="0" fontId="99"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63" fillId="26" borderId="58" applyNumberFormat="0" applyFont="0" applyAlignment="0" applyProtection="0"/>
    <xf numFmtId="0" fontId="64" fillId="26" borderId="58" applyNumberFormat="0" applyFont="0" applyAlignment="0" applyProtection="0"/>
    <xf numFmtId="0" fontId="85" fillId="10" borderId="57" applyNumberFormat="0" applyAlignment="0" applyProtection="0"/>
    <xf numFmtId="0" fontId="85" fillId="10" borderId="57" applyNumberFormat="0" applyAlignment="0" applyProtection="0"/>
    <xf numFmtId="0" fontId="70" fillId="23" borderId="57" applyNumberFormat="0" applyAlignment="0" applyProtection="0"/>
    <xf numFmtId="0" fontId="71" fillId="23" borderId="57" applyNumberFormat="0" applyAlignment="0" applyProtection="0"/>
    <xf numFmtId="0" fontId="70" fillId="23" borderId="57" applyNumberFormat="0" applyAlignment="0" applyProtection="0"/>
    <xf numFmtId="0" fontId="95" fillId="23" borderId="59" applyNumberFormat="0" applyAlignment="0" applyProtection="0"/>
    <xf numFmtId="0" fontId="96" fillId="23" borderId="59" applyNumberFormat="0" applyAlignment="0" applyProtection="0"/>
    <xf numFmtId="0" fontId="95" fillId="23" borderId="59" applyNumberFormat="0" applyAlignment="0" applyProtection="0"/>
    <xf numFmtId="0" fontId="95" fillId="23" borderId="59" applyNumberFormat="0" applyAlignment="0" applyProtection="0"/>
    <xf numFmtId="0" fontId="98" fillId="0" borderId="60" applyNumberFormat="0" applyFill="0" applyAlignment="0" applyProtection="0"/>
    <xf numFmtId="0" fontId="99"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85" fillId="10" borderId="57" applyNumberFormat="0" applyAlignment="0" applyProtection="0"/>
    <xf numFmtId="0" fontId="86" fillId="10" borderId="57" applyNumberFormat="0" applyAlignment="0" applyProtection="0"/>
    <xf numFmtId="0" fontId="70" fillId="23" borderId="57" applyNumberFormat="0" applyAlignment="0" applyProtection="0"/>
    <xf numFmtId="0" fontId="65" fillId="26" borderId="58" applyNumberFormat="0" applyFont="0" applyAlignment="0" applyProtection="0"/>
    <xf numFmtId="0" fontId="49" fillId="26" borderId="58" applyNumberFormat="0" applyFont="0" applyAlignment="0" applyProtection="0"/>
    <xf numFmtId="0" fontId="70" fillId="23" borderId="57" applyNumberFormat="0" applyAlignment="0" applyProtection="0"/>
    <xf numFmtId="0" fontId="71" fillId="23" borderId="57" applyNumberFormat="0" applyAlignment="0" applyProtection="0"/>
    <xf numFmtId="0" fontId="70" fillId="23" borderId="57" applyNumberFormat="0" applyAlignment="0" applyProtection="0"/>
    <xf numFmtId="0" fontId="70" fillId="23" borderId="57" applyNumberFormat="0" applyAlignment="0" applyProtection="0"/>
    <xf numFmtId="0" fontId="85" fillId="10" borderId="57" applyNumberFormat="0" applyAlignment="0" applyProtection="0"/>
    <xf numFmtId="0" fontId="86" fillId="10" borderId="57" applyNumberFormat="0" applyAlignment="0" applyProtection="0"/>
    <xf numFmtId="0" fontId="85" fillId="10" borderId="57" applyNumberFormat="0" applyAlignment="0" applyProtection="0"/>
    <xf numFmtId="0" fontId="85" fillId="10" borderId="57" applyNumberFormat="0" applyAlignment="0" applyProtection="0"/>
    <xf numFmtId="0" fontId="64" fillId="26" borderId="58" applyNumberFormat="0" applyFont="0" applyAlignment="0" applyProtection="0"/>
    <xf numFmtId="0" fontId="65" fillId="26" borderId="58" applyNumberFormat="0" applyFont="0" applyAlignment="0" applyProtection="0"/>
    <xf numFmtId="0" fontId="63" fillId="26" borderId="58" applyNumberFormat="0" applyFont="0" applyAlignment="0" applyProtection="0"/>
    <xf numFmtId="0" fontId="49" fillId="26" borderId="58" applyNumberFormat="0" applyFont="0" applyAlignment="0" applyProtection="0"/>
    <xf numFmtId="0" fontId="95" fillId="23" borderId="59" applyNumberFormat="0" applyAlignment="0" applyProtection="0"/>
    <xf numFmtId="0" fontId="96" fillId="23" borderId="59" applyNumberFormat="0" applyAlignment="0" applyProtection="0"/>
    <xf numFmtId="0" fontId="95" fillId="23" borderId="59" applyNumberFormat="0" applyAlignment="0" applyProtection="0"/>
    <xf numFmtId="0" fontId="95" fillId="23" borderId="59" applyNumberFormat="0" applyAlignment="0" applyProtection="0"/>
    <xf numFmtId="0" fontId="98" fillId="0" borderId="60" applyNumberFormat="0" applyFill="0" applyAlignment="0" applyProtection="0"/>
    <xf numFmtId="0" fontId="99"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63" fillId="26" borderId="58" applyNumberFormat="0" applyFont="0" applyAlignment="0" applyProtection="0"/>
    <xf numFmtId="0" fontId="64" fillId="26" borderId="58" applyNumberFormat="0" applyFont="0" applyAlignment="0" applyProtection="0"/>
    <xf numFmtId="0" fontId="85" fillId="10" borderId="57" applyNumberFormat="0" applyAlignment="0" applyProtection="0"/>
    <xf numFmtId="0" fontId="85" fillId="10" borderId="57" applyNumberFormat="0" applyAlignment="0" applyProtection="0"/>
    <xf numFmtId="0" fontId="70" fillId="23" borderId="57" applyNumberFormat="0" applyAlignment="0" applyProtection="0"/>
    <xf numFmtId="0" fontId="71" fillId="23" borderId="57" applyNumberFormat="0" applyAlignment="0" applyProtection="0"/>
    <xf numFmtId="0" fontId="70" fillId="23" borderId="57" applyNumberFormat="0" applyAlignment="0" applyProtection="0"/>
    <xf numFmtId="0" fontId="95" fillId="23" borderId="59" applyNumberFormat="0" applyAlignment="0" applyProtection="0"/>
    <xf numFmtId="0" fontId="96" fillId="23" borderId="59" applyNumberFormat="0" applyAlignment="0" applyProtection="0"/>
    <xf numFmtId="0" fontId="95" fillId="23" borderId="59" applyNumberFormat="0" applyAlignment="0" applyProtection="0"/>
    <xf numFmtId="0" fontId="95" fillId="23" borderId="59" applyNumberFormat="0" applyAlignment="0" applyProtection="0"/>
    <xf numFmtId="0" fontId="98" fillId="0" borderId="60" applyNumberFormat="0" applyFill="0" applyAlignment="0" applyProtection="0"/>
    <xf numFmtId="0" fontId="99"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85" fillId="10" borderId="57" applyNumberFormat="0" applyAlignment="0" applyProtection="0"/>
    <xf numFmtId="0" fontId="86" fillId="10" borderId="57" applyNumberFormat="0" applyAlignment="0" applyProtection="0"/>
    <xf numFmtId="0" fontId="70" fillId="23" borderId="57" applyNumberFormat="0" applyAlignment="0" applyProtection="0"/>
    <xf numFmtId="0" fontId="65" fillId="26" borderId="58" applyNumberFormat="0" applyFont="0" applyAlignment="0" applyProtection="0"/>
    <xf numFmtId="0" fontId="49" fillId="26" borderId="58" applyNumberFormat="0" applyFont="0" applyAlignment="0" applyProtection="0"/>
    <xf numFmtId="0" fontId="63" fillId="26" borderId="58" applyNumberFormat="0" applyFont="0" applyAlignment="0" applyProtection="0"/>
    <xf numFmtId="0" fontId="64" fillId="26" borderId="58" applyNumberFormat="0" applyFont="0" applyAlignment="0" applyProtection="0"/>
    <xf numFmtId="0" fontId="85" fillId="10" borderId="57" applyNumberFormat="0" applyAlignment="0" applyProtection="0"/>
    <xf numFmtId="0" fontId="85" fillId="10" borderId="57" applyNumberFormat="0" applyAlignment="0" applyProtection="0"/>
    <xf numFmtId="0" fontId="70" fillId="23" borderId="57" applyNumberFormat="0" applyAlignment="0" applyProtection="0"/>
    <xf numFmtId="0" fontId="71" fillId="23" borderId="57" applyNumberFormat="0" applyAlignment="0" applyProtection="0"/>
    <xf numFmtId="0" fontId="70" fillId="23" borderId="57" applyNumberFormat="0" applyAlignment="0" applyProtection="0"/>
    <xf numFmtId="0" fontId="95" fillId="23" borderId="59" applyNumberFormat="0" applyAlignment="0" applyProtection="0"/>
    <xf numFmtId="0" fontId="96" fillId="23" borderId="59" applyNumberFormat="0" applyAlignment="0" applyProtection="0"/>
    <xf numFmtId="0" fontId="95" fillId="23" borderId="59" applyNumberFormat="0" applyAlignment="0" applyProtection="0"/>
    <xf numFmtId="0" fontId="95" fillId="23" borderId="59" applyNumberFormat="0" applyAlignment="0" applyProtection="0"/>
    <xf numFmtId="0" fontId="98" fillId="0" borderId="60" applyNumberFormat="0" applyFill="0" applyAlignment="0" applyProtection="0"/>
    <xf numFmtId="0" fontId="99"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85" fillId="10" borderId="57" applyNumberFormat="0" applyAlignment="0" applyProtection="0"/>
    <xf numFmtId="0" fontId="86" fillId="10" borderId="57" applyNumberFormat="0" applyAlignment="0" applyProtection="0"/>
    <xf numFmtId="0" fontId="70" fillId="23" borderId="57" applyNumberFormat="0" applyAlignment="0" applyProtection="0"/>
    <xf numFmtId="0" fontId="65" fillId="26" borderId="58" applyNumberFormat="0" applyFont="0" applyAlignment="0" applyProtection="0"/>
    <xf numFmtId="0" fontId="49" fillId="26" borderId="58" applyNumberFormat="0" applyFont="0" applyAlignment="0" applyProtection="0"/>
    <xf numFmtId="0" fontId="70" fillId="23" borderId="57" applyNumberFormat="0" applyAlignment="0" applyProtection="0"/>
    <xf numFmtId="0" fontId="71" fillId="23" borderId="57" applyNumberFormat="0" applyAlignment="0" applyProtection="0"/>
    <xf numFmtId="0" fontId="70" fillId="23" borderId="57" applyNumberFormat="0" applyAlignment="0" applyProtection="0"/>
    <xf numFmtId="0" fontId="70" fillId="23" borderId="57" applyNumberFormat="0" applyAlignment="0" applyProtection="0"/>
    <xf numFmtId="0" fontId="85" fillId="10" borderId="57" applyNumberFormat="0" applyAlignment="0" applyProtection="0"/>
    <xf numFmtId="0" fontId="86" fillId="10" borderId="57" applyNumberFormat="0" applyAlignment="0" applyProtection="0"/>
    <xf numFmtId="0" fontId="85" fillId="10" borderId="57" applyNumberFormat="0" applyAlignment="0" applyProtection="0"/>
    <xf numFmtId="0" fontId="85" fillId="10" borderId="57" applyNumberFormat="0" applyAlignment="0" applyProtection="0"/>
    <xf numFmtId="0" fontId="64" fillId="26" borderId="58" applyNumberFormat="0" applyFont="0" applyAlignment="0" applyProtection="0"/>
    <xf numFmtId="0" fontId="65" fillId="26" borderId="58" applyNumberFormat="0" applyFont="0" applyAlignment="0" applyProtection="0"/>
    <xf numFmtId="0" fontId="63" fillId="26" borderId="58" applyNumberFormat="0" applyFont="0" applyAlignment="0" applyProtection="0"/>
    <xf numFmtId="0" fontId="49" fillId="26" borderId="58" applyNumberFormat="0" applyFont="0" applyAlignment="0" applyProtection="0"/>
    <xf numFmtId="0" fontId="95" fillId="23" borderId="59" applyNumberFormat="0" applyAlignment="0" applyProtection="0"/>
    <xf numFmtId="0" fontId="96" fillId="23" borderId="59" applyNumberFormat="0" applyAlignment="0" applyProtection="0"/>
    <xf numFmtId="0" fontId="95" fillId="23" borderId="59" applyNumberFormat="0" applyAlignment="0" applyProtection="0"/>
    <xf numFmtId="0" fontId="95" fillId="23" borderId="59" applyNumberFormat="0" applyAlignment="0" applyProtection="0"/>
    <xf numFmtId="0" fontId="98" fillId="0" borderId="60" applyNumberFormat="0" applyFill="0" applyAlignment="0" applyProtection="0"/>
    <xf numFmtId="0" fontId="99"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63" fillId="26" borderId="58" applyNumberFormat="0" applyFont="0" applyAlignment="0" applyProtection="0"/>
    <xf numFmtId="0" fontId="64" fillId="26" borderId="58" applyNumberFormat="0" applyFont="0" applyAlignment="0" applyProtection="0"/>
    <xf numFmtId="0" fontId="85" fillId="10" borderId="57" applyNumberFormat="0" applyAlignment="0" applyProtection="0"/>
    <xf numFmtId="0" fontId="85" fillId="10" borderId="57" applyNumberFormat="0" applyAlignment="0" applyProtection="0"/>
    <xf numFmtId="0" fontId="70" fillId="23" borderId="57" applyNumberFormat="0" applyAlignment="0" applyProtection="0"/>
    <xf numFmtId="0" fontId="71" fillId="23" borderId="57" applyNumberFormat="0" applyAlignment="0" applyProtection="0"/>
    <xf numFmtId="0" fontId="70" fillId="23" borderId="57" applyNumberFormat="0" applyAlignment="0" applyProtection="0"/>
    <xf numFmtId="0" fontId="95" fillId="23" borderId="59" applyNumberFormat="0" applyAlignment="0" applyProtection="0"/>
    <xf numFmtId="0" fontId="96" fillId="23" borderId="59" applyNumberFormat="0" applyAlignment="0" applyProtection="0"/>
    <xf numFmtId="0" fontId="95" fillId="23" borderId="59" applyNumberFormat="0" applyAlignment="0" applyProtection="0"/>
    <xf numFmtId="0" fontId="95" fillId="23" borderId="59" applyNumberFormat="0" applyAlignment="0" applyProtection="0"/>
    <xf numFmtId="0" fontId="98" fillId="0" borderId="60" applyNumberFormat="0" applyFill="0" applyAlignment="0" applyProtection="0"/>
    <xf numFmtId="0" fontId="99"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85" fillId="10" borderId="57" applyNumberFormat="0" applyAlignment="0" applyProtection="0"/>
    <xf numFmtId="0" fontId="86" fillId="10" borderId="57" applyNumberFormat="0" applyAlignment="0" applyProtection="0"/>
    <xf numFmtId="0" fontId="70" fillId="23" borderId="57" applyNumberFormat="0" applyAlignment="0" applyProtection="0"/>
    <xf numFmtId="0" fontId="65" fillId="26" borderId="58" applyNumberFormat="0" applyFont="0" applyAlignment="0" applyProtection="0"/>
    <xf numFmtId="0" fontId="49" fillId="26" borderId="58" applyNumberFormat="0" applyFont="0" applyAlignment="0" applyProtection="0"/>
    <xf numFmtId="0" fontId="122" fillId="28" borderId="61" applyNumberFormat="0" applyProtection="0">
      <alignment horizontal="center"/>
    </xf>
    <xf numFmtId="0" fontId="122" fillId="28" borderId="63" applyNumberFormat="0" applyProtection="0">
      <alignment horizontal="center"/>
    </xf>
    <xf numFmtId="0" fontId="122" fillId="28" borderId="64" applyNumberFormat="0" applyProtection="0">
      <alignment horizontal="center"/>
    </xf>
    <xf numFmtId="0" fontId="64" fillId="26" borderId="62" applyNumberFormat="0" applyFont="0" applyAlignment="0" applyProtection="0"/>
    <xf numFmtId="0" fontId="65" fillId="26" borderId="62" applyNumberFormat="0" applyFont="0" applyAlignment="0" applyProtection="0"/>
    <xf numFmtId="0" fontId="63" fillId="26" borderId="62" applyNumberFormat="0" applyFont="0" applyAlignment="0" applyProtection="0"/>
    <xf numFmtId="0" fontId="49" fillId="26" borderId="62" applyNumberFormat="0" applyFont="0" applyAlignment="0" applyProtection="0"/>
    <xf numFmtId="0" fontId="63" fillId="26" borderId="62" applyNumberFormat="0" applyFont="0" applyAlignment="0" applyProtection="0"/>
    <xf numFmtId="0" fontId="64" fillId="26" borderId="62" applyNumberFormat="0" applyFont="0" applyAlignment="0" applyProtection="0"/>
    <xf numFmtId="0" fontId="65" fillId="26" borderId="62" applyNumberFormat="0" applyFont="0" applyAlignment="0" applyProtection="0"/>
    <xf numFmtId="0" fontId="49" fillId="26" borderId="62" applyNumberFormat="0" applyFont="0" applyAlignment="0" applyProtection="0"/>
    <xf numFmtId="0" fontId="64" fillId="26" borderId="62" applyNumberFormat="0" applyFont="0" applyAlignment="0" applyProtection="0"/>
    <xf numFmtId="0" fontId="65" fillId="26" borderId="62" applyNumberFormat="0" applyFont="0" applyAlignment="0" applyProtection="0"/>
    <xf numFmtId="0" fontId="63" fillId="26" borderId="62" applyNumberFormat="0" applyFont="0" applyAlignment="0" applyProtection="0"/>
    <xf numFmtId="0" fontId="49" fillId="26" borderId="62" applyNumberFormat="0" applyFont="0" applyAlignment="0" applyProtection="0"/>
    <xf numFmtId="0" fontId="63" fillId="26" borderId="62" applyNumberFormat="0" applyFont="0" applyAlignment="0" applyProtection="0"/>
    <xf numFmtId="0" fontId="64" fillId="26" borderId="62" applyNumberFormat="0" applyFont="0" applyAlignment="0" applyProtection="0"/>
    <xf numFmtId="0" fontId="65" fillId="26" borderId="62" applyNumberFormat="0" applyFont="0" applyAlignment="0" applyProtection="0"/>
    <xf numFmtId="0" fontId="49" fillId="26" borderId="62" applyNumberFormat="0" applyFont="0" applyAlignment="0" applyProtection="0"/>
    <xf numFmtId="0" fontId="70" fillId="23" borderId="57" applyNumberFormat="0" applyAlignment="0" applyProtection="0"/>
    <xf numFmtId="0" fontId="71" fillId="23" borderId="57" applyNumberFormat="0" applyAlignment="0" applyProtection="0"/>
    <xf numFmtId="0" fontId="70" fillId="23" borderId="57" applyNumberFormat="0" applyAlignment="0" applyProtection="0"/>
    <xf numFmtId="0" fontId="70" fillId="23" borderId="57" applyNumberFormat="0" applyAlignment="0" applyProtection="0"/>
    <xf numFmtId="0" fontId="85" fillId="10" borderId="57" applyNumberFormat="0" applyAlignment="0" applyProtection="0"/>
    <xf numFmtId="0" fontId="86" fillId="10" borderId="57" applyNumberFormat="0" applyAlignment="0" applyProtection="0"/>
    <xf numFmtId="0" fontId="85" fillId="10" borderId="57" applyNumberFormat="0" applyAlignment="0" applyProtection="0"/>
    <xf numFmtId="0" fontId="85" fillId="10" borderId="57" applyNumberFormat="0" applyAlignment="0" applyProtection="0"/>
    <xf numFmtId="0" fontId="64" fillId="26" borderId="62" applyNumberFormat="0" applyFont="0" applyAlignment="0" applyProtection="0"/>
    <xf numFmtId="0" fontId="65" fillId="26" borderId="62" applyNumberFormat="0" applyFont="0" applyAlignment="0" applyProtection="0"/>
    <xf numFmtId="0" fontId="63" fillId="26" borderId="62" applyNumberFormat="0" applyFont="0" applyAlignment="0" applyProtection="0"/>
    <xf numFmtId="0" fontId="49" fillId="26" borderId="62" applyNumberFormat="0" applyFont="0" applyAlignment="0" applyProtection="0"/>
    <xf numFmtId="0" fontId="95" fillId="23" borderId="59" applyNumberFormat="0" applyAlignment="0" applyProtection="0"/>
    <xf numFmtId="0" fontId="96" fillId="23" borderId="59" applyNumberFormat="0" applyAlignment="0" applyProtection="0"/>
    <xf numFmtId="0" fontId="95" fillId="23" borderId="59" applyNumberFormat="0" applyAlignment="0" applyProtection="0"/>
    <xf numFmtId="0" fontId="95" fillId="23" borderId="59" applyNumberFormat="0" applyAlignment="0" applyProtection="0"/>
    <xf numFmtId="0" fontId="98" fillId="0" borderId="60" applyNumberFormat="0" applyFill="0" applyAlignment="0" applyProtection="0"/>
    <xf numFmtId="0" fontId="99"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63" fillId="26" borderId="62" applyNumberFormat="0" applyFont="0" applyAlignment="0" applyProtection="0"/>
    <xf numFmtId="0" fontId="64" fillId="26" borderId="62" applyNumberFormat="0" applyFont="0" applyAlignment="0" applyProtection="0"/>
    <xf numFmtId="0" fontId="85" fillId="10" borderId="57" applyNumberFormat="0" applyAlignment="0" applyProtection="0"/>
    <xf numFmtId="0" fontId="85" fillId="10" borderId="57" applyNumberFormat="0" applyAlignment="0" applyProtection="0"/>
    <xf numFmtId="0" fontId="70" fillId="23" borderId="57" applyNumberFormat="0" applyAlignment="0" applyProtection="0"/>
    <xf numFmtId="0" fontId="71" fillId="23" borderId="57" applyNumberFormat="0" applyAlignment="0" applyProtection="0"/>
    <xf numFmtId="0" fontId="70" fillId="23" borderId="57" applyNumberFormat="0" applyAlignment="0" applyProtection="0"/>
    <xf numFmtId="0" fontId="95" fillId="23" borderId="59" applyNumberFormat="0" applyAlignment="0" applyProtection="0"/>
    <xf numFmtId="0" fontId="96" fillId="23" borderId="59" applyNumberFormat="0" applyAlignment="0" applyProtection="0"/>
    <xf numFmtId="0" fontId="95" fillId="23" borderId="59" applyNumberFormat="0" applyAlignment="0" applyProtection="0"/>
    <xf numFmtId="0" fontId="95" fillId="23" borderId="59" applyNumberFormat="0" applyAlignment="0" applyProtection="0"/>
    <xf numFmtId="0" fontId="98" fillId="0" borderId="60" applyNumberFormat="0" applyFill="0" applyAlignment="0" applyProtection="0"/>
    <xf numFmtId="0" fontId="99"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85" fillId="10" borderId="57" applyNumberFormat="0" applyAlignment="0" applyProtection="0"/>
    <xf numFmtId="0" fontId="86" fillId="10" borderId="57" applyNumberFormat="0" applyAlignment="0" applyProtection="0"/>
    <xf numFmtId="0" fontId="70" fillId="23" borderId="57" applyNumberFormat="0" applyAlignment="0" applyProtection="0"/>
    <xf numFmtId="0" fontId="65" fillId="26" borderId="62" applyNumberFormat="0" applyFont="0" applyAlignment="0" applyProtection="0"/>
    <xf numFmtId="0" fontId="49" fillId="26" borderId="62" applyNumberFormat="0" applyFont="0" applyAlignment="0" applyProtection="0"/>
    <xf numFmtId="0" fontId="70" fillId="23" borderId="57" applyNumberFormat="0" applyAlignment="0" applyProtection="0"/>
    <xf numFmtId="0" fontId="71" fillId="23" borderId="57" applyNumberFormat="0" applyAlignment="0" applyProtection="0"/>
    <xf numFmtId="0" fontId="70" fillId="23" borderId="57" applyNumberFormat="0" applyAlignment="0" applyProtection="0"/>
    <xf numFmtId="0" fontId="70" fillId="23" borderId="57" applyNumberFormat="0" applyAlignment="0" applyProtection="0"/>
    <xf numFmtId="0" fontId="85" fillId="10" borderId="57" applyNumberFormat="0" applyAlignment="0" applyProtection="0"/>
    <xf numFmtId="0" fontId="86" fillId="10" borderId="57" applyNumberFormat="0" applyAlignment="0" applyProtection="0"/>
    <xf numFmtId="0" fontId="85" fillId="10" borderId="57" applyNumberFormat="0" applyAlignment="0" applyProtection="0"/>
    <xf numFmtId="0" fontId="85" fillId="10" borderId="57" applyNumberFormat="0" applyAlignment="0" applyProtection="0"/>
    <xf numFmtId="0" fontId="64" fillId="26" borderId="62" applyNumberFormat="0" applyFont="0" applyAlignment="0" applyProtection="0"/>
    <xf numFmtId="0" fontId="65" fillId="26" borderId="62" applyNumberFormat="0" applyFont="0" applyAlignment="0" applyProtection="0"/>
    <xf numFmtId="0" fontId="63" fillId="26" borderId="62" applyNumberFormat="0" applyFont="0" applyAlignment="0" applyProtection="0"/>
    <xf numFmtId="0" fontId="49" fillId="26" borderId="62" applyNumberFormat="0" applyFont="0" applyAlignment="0" applyProtection="0"/>
    <xf numFmtId="0" fontId="95" fillId="23" borderId="59" applyNumberFormat="0" applyAlignment="0" applyProtection="0"/>
    <xf numFmtId="0" fontId="96" fillId="23" borderId="59" applyNumberFormat="0" applyAlignment="0" applyProtection="0"/>
    <xf numFmtId="0" fontId="95" fillId="23" borderId="59" applyNumberFormat="0" applyAlignment="0" applyProtection="0"/>
    <xf numFmtId="0" fontId="95" fillId="23" borderId="59" applyNumberFormat="0" applyAlignment="0" applyProtection="0"/>
    <xf numFmtId="0" fontId="98" fillId="0" borderId="60" applyNumberFormat="0" applyFill="0" applyAlignment="0" applyProtection="0"/>
    <xf numFmtId="0" fontId="99"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63" fillId="26" borderId="62" applyNumberFormat="0" applyFont="0" applyAlignment="0" applyProtection="0"/>
    <xf numFmtId="0" fontId="64" fillId="26" borderId="62" applyNumberFormat="0" applyFont="0" applyAlignment="0" applyProtection="0"/>
    <xf numFmtId="0" fontId="85" fillId="10" borderId="57" applyNumberFormat="0" applyAlignment="0" applyProtection="0"/>
    <xf numFmtId="0" fontId="85" fillId="10" borderId="57" applyNumberFormat="0" applyAlignment="0" applyProtection="0"/>
    <xf numFmtId="0" fontId="70" fillId="23" borderId="57" applyNumberFormat="0" applyAlignment="0" applyProtection="0"/>
    <xf numFmtId="0" fontId="71" fillId="23" borderId="57" applyNumberFormat="0" applyAlignment="0" applyProtection="0"/>
    <xf numFmtId="0" fontId="70" fillId="23" borderId="57" applyNumberFormat="0" applyAlignment="0" applyProtection="0"/>
    <xf numFmtId="0" fontId="95" fillId="23" borderId="59" applyNumberFormat="0" applyAlignment="0" applyProtection="0"/>
    <xf numFmtId="0" fontId="96" fillId="23" borderId="59" applyNumberFormat="0" applyAlignment="0" applyProtection="0"/>
    <xf numFmtId="0" fontId="95" fillId="23" borderId="59" applyNumberFormat="0" applyAlignment="0" applyProtection="0"/>
    <xf numFmtId="0" fontId="95" fillId="23" borderId="59" applyNumberFormat="0" applyAlignment="0" applyProtection="0"/>
    <xf numFmtId="0" fontId="98" fillId="0" borderId="60" applyNumberFormat="0" applyFill="0" applyAlignment="0" applyProtection="0"/>
    <xf numFmtId="0" fontId="99"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85" fillId="10" borderId="57" applyNumberFormat="0" applyAlignment="0" applyProtection="0"/>
    <xf numFmtId="0" fontId="86" fillId="10" borderId="57" applyNumberFormat="0" applyAlignment="0" applyProtection="0"/>
    <xf numFmtId="0" fontId="70" fillId="23" borderId="57" applyNumberFormat="0" applyAlignment="0" applyProtection="0"/>
    <xf numFmtId="0" fontId="65" fillId="26" borderId="62" applyNumberFormat="0" applyFont="0" applyAlignment="0" applyProtection="0"/>
    <xf numFmtId="0" fontId="49" fillId="26" borderId="62" applyNumberFormat="0" applyFont="0" applyAlignment="0" applyProtection="0"/>
    <xf numFmtId="0" fontId="63" fillId="26" borderId="62" applyNumberFormat="0" applyFont="0" applyAlignment="0" applyProtection="0"/>
    <xf numFmtId="0" fontId="64" fillId="26" borderId="62" applyNumberFormat="0" applyFont="0" applyAlignment="0" applyProtection="0"/>
    <xf numFmtId="0" fontId="65" fillId="26" borderId="62" applyNumberFormat="0" applyFont="0" applyAlignment="0" applyProtection="0"/>
    <xf numFmtId="0" fontId="49" fillId="26" borderId="62" applyNumberFormat="0" applyFont="0" applyAlignment="0" applyProtection="0"/>
    <xf numFmtId="0" fontId="64" fillId="26" borderId="62" applyNumberFormat="0" applyFont="0" applyAlignment="0" applyProtection="0"/>
    <xf numFmtId="0" fontId="65" fillId="26" borderId="62" applyNumberFormat="0" applyFont="0" applyAlignment="0" applyProtection="0"/>
    <xf numFmtId="0" fontId="63" fillId="26" borderId="62" applyNumberFormat="0" applyFont="0" applyAlignment="0" applyProtection="0"/>
    <xf numFmtId="0" fontId="49" fillId="26" borderId="62" applyNumberFormat="0" applyFont="0" applyAlignment="0" applyProtection="0"/>
    <xf numFmtId="0" fontId="63" fillId="26" borderId="62" applyNumberFormat="0" applyFont="0" applyAlignment="0" applyProtection="0"/>
    <xf numFmtId="0" fontId="64" fillId="26" borderId="62" applyNumberFormat="0" applyFont="0" applyAlignment="0" applyProtection="0"/>
    <xf numFmtId="0" fontId="65" fillId="26" borderId="62" applyNumberFormat="0" applyFont="0" applyAlignment="0" applyProtection="0"/>
    <xf numFmtId="0" fontId="49" fillId="26" borderId="62" applyNumberFormat="0" applyFont="0" applyAlignment="0" applyProtection="0"/>
    <xf numFmtId="0" fontId="122" fillId="28" borderId="63" applyNumberFormat="0" applyProtection="0">
      <alignment horizontal="center"/>
    </xf>
    <xf numFmtId="0" fontId="122" fillId="28" borderId="63" applyNumberFormat="0" applyProtection="0">
      <alignment horizontal="center"/>
    </xf>
    <xf numFmtId="0" fontId="122" fillId="28" borderId="63" applyNumberFormat="0" applyProtection="0">
      <alignment horizontal="center"/>
    </xf>
    <xf numFmtId="0" fontId="122" fillId="28" borderId="64" applyNumberFormat="0" applyProtection="0">
      <alignment horizontal="center" wrapText="1"/>
    </xf>
    <xf numFmtId="0" fontId="6" fillId="0" borderId="0"/>
    <xf numFmtId="44" fontId="6" fillId="0" borderId="0" applyFont="0" applyFill="0" applyBorder="0" applyAlignment="0" applyProtection="0"/>
    <xf numFmtId="43" fontId="6" fillId="0" borderId="0" applyFont="0" applyFill="0" applyBorder="0" applyAlignment="0" applyProtection="0"/>
    <xf numFmtId="0" fontId="85" fillId="10" borderId="75" applyNumberFormat="0" applyAlignment="0" applyProtection="0"/>
    <xf numFmtId="0" fontId="85" fillId="10" borderId="75" applyNumberFormat="0" applyAlignment="0" applyProtection="0"/>
    <xf numFmtId="0" fontId="86" fillId="10" borderId="75" applyNumberFormat="0" applyAlignment="0" applyProtection="0"/>
    <xf numFmtId="0" fontId="85" fillId="10" borderId="75"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70" fillId="23" borderId="6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70" fillId="23" borderId="75" applyNumberFormat="0" applyAlignment="0" applyProtection="0"/>
    <xf numFmtId="43" fontId="6" fillId="0" borderId="0" applyFont="0" applyFill="0" applyBorder="0" applyAlignment="0" applyProtection="0"/>
    <xf numFmtId="0" fontId="70" fillId="23" borderId="75" applyNumberFormat="0" applyAlignment="0" applyProtection="0"/>
    <xf numFmtId="0" fontId="70" fillId="23" borderId="75"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85" fillId="10" borderId="67" applyNumberFormat="0" applyAlignment="0" applyProtection="0"/>
    <xf numFmtId="0" fontId="86" fillId="10" borderId="67" applyNumberFormat="0" applyAlignment="0" applyProtection="0"/>
    <xf numFmtId="0" fontId="85" fillId="10" borderId="67" applyNumberFormat="0" applyAlignment="0" applyProtection="0"/>
    <xf numFmtId="0" fontId="85" fillId="10" borderId="6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26" borderId="68" applyNumberFormat="0" applyFont="0" applyAlignment="0" applyProtection="0"/>
    <xf numFmtId="0" fontId="65" fillId="26" borderId="68" applyNumberFormat="0" applyFont="0" applyAlignment="0" applyProtection="0"/>
    <xf numFmtId="0" fontId="63" fillId="26" borderId="68" applyNumberFormat="0" applyFont="0" applyAlignment="0" applyProtection="0"/>
    <xf numFmtId="0" fontId="49" fillId="26" borderId="68" applyNumberFormat="0" applyFont="0" applyAlignment="0" applyProtection="0"/>
    <xf numFmtId="0" fontId="6" fillId="4" borderId="6" applyNumberFormat="0" applyFon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3" fillId="26" borderId="68" applyNumberFormat="0" applyFont="0" applyAlignment="0" applyProtection="0"/>
    <xf numFmtId="0" fontId="64" fillId="26" borderId="68" applyNumberFormat="0" applyFont="0" applyAlignment="0" applyProtection="0"/>
    <xf numFmtId="0" fontId="85" fillId="10" borderId="67" applyNumberFormat="0" applyAlignment="0" applyProtection="0"/>
    <xf numFmtId="0" fontId="85" fillId="10" borderId="67"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6" fillId="0" borderId="0"/>
    <xf numFmtId="0" fontId="6" fillId="0" borderId="0"/>
    <xf numFmtId="0" fontId="6" fillId="0" borderId="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85" fillId="10" borderId="67" applyNumberFormat="0" applyAlignment="0" applyProtection="0"/>
    <xf numFmtId="0" fontId="86" fillId="10" borderId="6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0" fillId="23" borderId="67" applyNumberFormat="0" applyAlignment="0" applyProtection="0"/>
    <xf numFmtId="0" fontId="65" fillId="26" borderId="68" applyNumberFormat="0" applyFont="0" applyAlignment="0" applyProtection="0"/>
    <xf numFmtId="0" fontId="49" fillId="26" borderId="68" applyNumberFormat="0" applyFont="0" applyAlignment="0" applyProtection="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70" fillId="23" borderId="6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85" fillId="10" borderId="67" applyNumberFormat="0" applyAlignment="0" applyProtection="0"/>
    <xf numFmtId="0" fontId="86" fillId="10" borderId="67" applyNumberFormat="0" applyAlignment="0" applyProtection="0"/>
    <xf numFmtId="0" fontId="85" fillId="10" borderId="67" applyNumberFormat="0" applyAlignment="0" applyProtection="0"/>
    <xf numFmtId="0" fontId="85" fillId="10" borderId="6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26" borderId="68" applyNumberFormat="0" applyFont="0" applyAlignment="0" applyProtection="0"/>
    <xf numFmtId="0" fontId="65" fillId="26" borderId="68" applyNumberFormat="0" applyFont="0" applyAlignment="0" applyProtection="0"/>
    <xf numFmtId="0" fontId="63" fillId="26" borderId="68" applyNumberFormat="0" applyFont="0" applyAlignment="0" applyProtection="0"/>
    <xf numFmtId="0" fontId="49" fillId="26" borderId="68" applyNumberFormat="0" applyFont="0" applyAlignment="0" applyProtection="0"/>
    <xf numFmtId="0" fontId="6" fillId="4" borderId="6" applyNumberFormat="0" applyFon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3" fillId="26" borderId="68" applyNumberFormat="0" applyFont="0" applyAlignment="0" applyProtection="0"/>
    <xf numFmtId="0" fontId="64" fillId="26" borderId="68" applyNumberFormat="0" applyFont="0" applyAlignment="0" applyProtection="0"/>
    <xf numFmtId="0" fontId="85" fillId="10" borderId="67" applyNumberFormat="0" applyAlignment="0" applyProtection="0"/>
    <xf numFmtId="0" fontId="85" fillId="10" borderId="67"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6" fillId="0" borderId="0"/>
    <xf numFmtId="0" fontId="6" fillId="0" borderId="0"/>
    <xf numFmtId="0" fontId="6" fillId="0" borderId="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85" fillId="10" borderId="67" applyNumberFormat="0" applyAlignment="0" applyProtection="0"/>
    <xf numFmtId="0" fontId="86" fillId="10" borderId="6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0" fillId="23" borderId="67" applyNumberFormat="0" applyAlignment="0" applyProtection="0"/>
    <xf numFmtId="0" fontId="65" fillId="26" borderId="68" applyNumberFormat="0" applyFont="0" applyAlignment="0" applyProtection="0"/>
    <xf numFmtId="0" fontId="49" fillId="26" borderId="68" applyNumberFormat="0" applyFont="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70" fillId="23" borderId="6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85" fillId="10" borderId="67" applyNumberFormat="0" applyAlignment="0" applyProtection="0"/>
    <xf numFmtId="0" fontId="86" fillId="10" borderId="67" applyNumberFormat="0" applyAlignment="0" applyProtection="0"/>
    <xf numFmtId="0" fontId="85" fillId="10" borderId="67" applyNumberFormat="0" applyAlignment="0" applyProtection="0"/>
    <xf numFmtId="0" fontId="85" fillId="10" borderId="6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26" borderId="68" applyNumberFormat="0" applyFont="0" applyAlignment="0" applyProtection="0"/>
    <xf numFmtId="0" fontId="65" fillId="26" borderId="68" applyNumberFormat="0" applyFont="0" applyAlignment="0" applyProtection="0"/>
    <xf numFmtId="0" fontId="63" fillId="26" borderId="68" applyNumberFormat="0" applyFont="0" applyAlignment="0" applyProtection="0"/>
    <xf numFmtId="0" fontId="49" fillId="26" borderId="68" applyNumberFormat="0" applyFont="0" applyAlignment="0" applyProtection="0"/>
    <xf numFmtId="0" fontId="6" fillId="4" borderId="6" applyNumberFormat="0" applyFon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3" fillId="26" borderId="68" applyNumberFormat="0" applyFont="0" applyAlignment="0" applyProtection="0"/>
    <xf numFmtId="0" fontId="64" fillId="26" borderId="68" applyNumberFormat="0" applyFont="0" applyAlignment="0" applyProtection="0"/>
    <xf numFmtId="0" fontId="85" fillId="10" borderId="67" applyNumberFormat="0" applyAlignment="0" applyProtection="0"/>
    <xf numFmtId="0" fontId="85" fillId="10" borderId="67"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6" fillId="0" borderId="0"/>
    <xf numFmtId="0" fontId="6" fillId="0" borderId="0"/>
    <xf numFmtId="0" fontId="6" fillId="0" borderId="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85" fillId="10" borderId="67" applyNumberFormat="0" applyAlignment="0" applyProtection="0"/>
    <xf numFmtId="0" fontId="86" fillId="10" borderId="6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0" fillId="23" borderId="67" applyNumberFormat="0" applyAlignment="0" applyProtection="0"/>
    <xf numFmtId="0" fontId="65" fillId="26" borderId="68" applyNumberFormat="0" applyFont="0" applyAlignment="0" applyProtection="0"/>
    <xf numFmtId="0" fontId="49" fillId="26" borderId="68" applyNumberFormat="0" applyFont="0" applyAlignment="0" applyProtection="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70" fillId="23" borderId="6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85" fillId="10" borderId="67" applyNumberFormat="0" applyAlignment="0" applyProtection="0"/>
    <xf numFmtId="0" fontId="86" fillId="10" borderId="67" applyNumberFormat="0" applyAlignment="0" applyProtection="0"/>
    <xf numFmtId="0" fontId="85" fillId="10" borderId="67" applyNumberFormat="0" applyAlignment="0" applyProtection="0"/>
    <xf numFmtId="0" fontId="85" fillId="10" borderId="6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26" borderId="68" applyNumberFormat="0" applyFont="0" applyAlignment="0" applyProtection="0"/>
    <xf numFmtId="0" fontId="65" fillId="26" borderId="68" applyNumberFormat="0" applyFont="0" applyAlignment="0" applyProtection="0"/>
    <xf numFmtId="0" fontId="63" fillId="26" borderId="68" applyNumberFormat="0" applyFont="0" applyAlignment="0" applyProtection="0"/>
    <xf numFmtId="0" fontId="49" fillId="26" borderId="68" applyNumberFormat="0" applyFont="0" applyAlignment="0" applyProtection="0"/>
    <xf numFmtId="0" fontId="6" fillId="4" borderId="6" applyNumberFormat="0" applyFon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3" fillId="26" borderId="68" applyNumberFormat="0" applyFont="0" applyAlignment="0" applyProtection="0"/>
    <xf numFmtId="0" fontId="64" fillId="26" borderId="68" applyNumberFormat="0" applyFont="0" applyAlignment="0" applyProtection="0"/>
    <xf numFmtId="0" fontId="85" fillId="10" borderId="67" applyNumberFormat="0" applyAlignment="0" applyProtection="0"/>
    <xf numFmtId="0" fontId="85" fillId="10" borderId="67"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6" fillId="0" borderId="0"/>
    <xf numFmtId="0" fontId="6" fillId="0" borderId="0"/>
    <xf numFmtId="0" fontId="6" fillId="0" borderId="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85" fillId="10" borderId="67" applyNumberFormat="0" applyAlignment="0" applyProtection="0"/>
    <xf numFmtId="0" fontId="86" fillId="10" borderId="6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0" fillId="23" borderId="67" applyNumberFormat="0" applyAlignment="0" applyProtection="0"/>
    <xf numFmtId="0" fontId="65" fillId="26" borderId="68" applyNumberFormat="0" applyFont="0" applyAlignment="0" applyProtection="0"/>
    <xf numFmtId="0" fontId="49" fillId="26" borderId="68" applyNumberFormat="0" applyFont="0" applyAlignment="0" applyProtection="0"/>
    <xf numFmtId="0" fontId="6" fillId="0" borderId="0"/>
    <xf numFmtId="0" fontId="63" fillId="26" borderId="68" applyNumberFormat="0" applyFont="0" applyAlignment="0" applyProtection="0"/>
    <xf numFmtId="0" fontId="64" fillId="26" borderId="68" applyNumberFormat="0" applyFont="0" applyAlignment="0" applyProtection="0"/>
    <xf numFmtId="0" fontId="85" fillId="10" borderId="67" applyNumberFormat="0" applyAlignment="0" applyProtection="0"/>
    <xf numFmtId="0" fontId="85" fillId="10" borderId="67"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85" fillId="10" borderId="67" applyNumberFormat="0" applyAlignment="0" applyProtection="0"/>
    <xf numFmtId="0" fontId="86" fillId="10" borderId="67" applyNumberFormat="0" applyAlignment="0" applyProtection="0"/>
    <xf numFmtId="0" fontId="70" fillId="23" borderId="67" applyNumberFormat="0" applyAlignment="0" applyProtection="0"/>
    <xf numFmtId="0" fontId="65" fillId="26" borderId="68" applyNumberFormat="0" applyFont="0" applyAlignment="0" applyProtection="0"/>
    <xf numFmtId="0" fontId="49" fillId="26" borderId="68" applyNumberFormat="0" applyFon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70" fillId="23" borderId="67" applyNumberFormat="0" applyAlignment="0" applyProtection="0"/>
    <xf numFmtId="0" fontId="85" fillId="10" borderId="67" applyNumberFormat="0" applyAlignment="0" applyProtection="0"/>
    <xf numFmtId="0" fontId="86" fillId="10" borderId="67" applyNumberFormat="0" applyAlignment="0" applyProtection="0"/>
    <xf numFmtId="0" fontId="85" fillId="10" borderId="67" applyNumberFormat="0" applyAlignment="0" applyProtection="0"/>
    <xf numFmtId="0" fontId="85" fillId="10" borderId="67" applyNumberFormat="0" applyAlignment="0" applyProtection="0"/>
    <xf numFmtId="0" fontId="64" fillId="26" borderId="68" applyNumberFormat="0" applyFont="0" applyAlignment="0" applyProtection="0"/>
    <xf numFmtId="0" fontId="65" fillId="26" borderId="68" applyNumberFormat="0" applyFont="0" applyAlignment="0" applyProtection="0"/>
    <xf numFmtId="0" fontId="63" fillId="26" borderId="68" applyNumberFormat="0" applyFont="0" applyAlignment="0" applyProtection="0"/>
    <xf numFmtId="0" fontId="49" fillId="26" borderId="68" applyNumberFormat="0" applyFon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63" fillId="26" borderId="68" applyNumberFormat="0" applyFont="0" applyAlignment="0" applyProtection="0"/>
    <xf numFmtId="0" fontId="64" fillId="26" borderId="68" applyNumberFormat="0" applyFont="0" applyAlignment="0" applyProtection="0"/>
    <xf numFmtId="0" fontId="85" fillId="10" borderId="67" applyNumberFormat="0" applyAlignment="0" applyProtection="0"/>
    <xf numFmtId="0" fontId="85" fillId="10" borderId="67"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85" fillId="10" borderId="67" applyNumberFormat="0" applyAlignment="0" applyProtection="0"/>
    <xf numFmtId="0" fontId="86" fillId="10" borderId="67" applyNumberFormat="0" applyAlignment="0" applyProtection="0"/>
    <xf numFmtId="0" fontId="70" fillId="23" borderId="67" applyNumberFormat="0" applyAlignment="0" applyProtection="0"/>
    <xf numFmtId="0" fontId="65" fillId="26" borderId="68" applyNumberFormat="0" applyFont="0" applyAlignment="0" applyProtection="0"/>
    <xf numFmtId="0" fontId="49" fillId="26" borderId="68"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71" fillId="23" borderId="75" applyNumberFormat="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122" fillId="28" borderId="71" applyNumberFormat="0" applyProtection="0">
      <alignment horizontal="center"/>
    </xf>
    <xf numFmtId="0" fontId="6" fillId="0" borderId="0"/>
    <xf numFmtId="0" fontId="122" fillId="28" borderId="73" applyNumberFormat="0" applyProtection="0">
      <alignment horizontal="center"/>
    </xf>
    <xf numFmtId="0" fontId="6" fillId="0" borderId="0"/>
    <xf numFmtId="0" fontId="122" fillId="28" borderId="71" applyNumberFormat="0" applyProtection="0">
      <alignment horizontal="center"/>
    </xf>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26" borderId="72" applyNumberFormat="0" applyFont="0" applyAlignment="0" applyProtection="0"/>
    <xf numFmtId="0" fontId="65" fillId="26" borderId="72" applyNumberFormat="0" applyFont="0" applyAlignment="0" applyProtection="0"/>
    <xf numFmtId="0" fontId="63" fillId="26" borderId="72" applyNumberFormat="0" applyFont="0" applyAlignment="0" applyProtection="0"/>
    <xf numFmtId="0" fontId="49" fillId="26" borderId="72" applyNumberFormat="0" applyFont="0" applyAlignment="0" applyProtection="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3" fillId="26" borderId="72" applyNumberFormat="0" applyFont="0" applyAlignment="0" applyProtection="0"/>
    <xf numFmtId="0" fontId="64" fillId="26" borderId="72"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5" fillId="26" borderId="72" applyNumberFormat="0" applyFont="0" applyAlignment="0" applyProtection="0"/>
    <xf numFmtId="0" fontId="49" fillId="26" borderId="72" applyNumberFormat="0" applyFont="0" applyAlignment="0" applyProtection="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26" borderId="72" applyNumberFormat="0" applyFont="0" applyAlignment="0" applyProtection="0"/>
    <xf numFmtId="0" fontId="65" fillId="26" borderId="72" applyNumberFormat="0" applyFont="0" applyAlignment="0" applyProtection="0"/>
    <xf numFmtId="0" fontId="63" fillId="26" borderId="72" applyNumberFormat="0" applyFont="0" applyAlignment="0" applyProtection="0"/>
    <xf numFmtId="0" fontId="49" fillId="26" borderId="72" applyNumberFormat="0" applyFont="0" applyAlignment="0" applyProtection="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3" fillId="26" borderId="72" applyNumberFormat="0" applyFont="0" applyAlignment="0" applyProtection="0"/>
    <xf numFmtId="0" fontId="64" fillId="26" borderId="72"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5" fillId="26" borderId="72" applyNumberFormat="0" applyFont="0" applyAlignment="0" applyProtection="0"/>
    <xf numFmtId="0" fontId="49" fillId="26" borderId="72" applyNumberFormat="0" applyFont="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70" fillId="23" borderId="6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85" fillId="10" borderId="67" applyNumberFormat="0" applyAlignment="0" applyProtection="0"/>
    <xf numFmtId="0" fontId="86" fillId="10" borderId="67" applyNumberFormat="0" applyAlignment="0" applyProtection="0"/>
    <xf numFmtId="0" fontId="85" fillId="10" borderId="67" applyNumberFormat="0" applyAlignment="0" applyProtection="0"/>
    <xf numFmtId="0" fontId="85" fillId="10" borderId="6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26" borderId="72" applyNumberFormat="0" applyFont="0" applyAlignment="0" applyProtection="0"/>
    <xf numFmtId="0" fontId="65" fillId="26" borderId="72" applyNumberFormat="0" applyFont="0" applyAlignment="0" applyProtection="0"/>
    <xf numFmtId="0" fontId="63" fillId="26" borderId="72" applyNumberFormat="0" applyFont="0" applyAlignment="0" applyProtection="0"/>
    <xf numFmtId="0" fontId="49" fillId="26" borderId="72" applyNumberFormat="0" applyFont="0" applyAlignment="0" applyProtection="0"/>
    <xf numFmtId="0" fontId="6" fillId="4" borderId="6" applyNumberFormat="0" applyFon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3" fillId="26" borderId="72" applyNumberFormat="0" applyFont="0" applyAlignment="0" applyProtection="0"/>
    <xf numFmtId="0" fontId="64" fillId="26" borderId="72" applyNumberFormat="0" applyFont="0" applyAlignment="0" applyProtection="0"/>
    <xf numFmtId="0" fontId="85" fillId="10" borderId="67" applyNumberFormat="0" applyAlignment="0" applyProtection="0"/>
    <xf numFmtId="0" fontId="85" fillId="10" borderId="67"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6" fillId="0" borderId="0"/>
    <xf numFmtId="0" fontId="6" fillId="0" borderId="0"/>
    <xf numFmtId="0" fontId="6" fillId="0" borderId="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85" fillId="10" borderId="67" applyNumberFormat="0" applyAlignment="0" applyProtection="0"/>
    <xf numFmtId="0" fontId="86" fillId="10" borderId="6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0" fillId="23" borderId="67" applyNumberFormat="0" applyAlignment="0" applyProtection="0"/>
    <xf numFmtId="0" fontId="65" fillId="26" borderId="72" applyNumberFormat="0" applyFont="0" applyAlignment="0" applyProtection="0"/>
    <xf numFmtId="0" fontId="49" fillId="26" borderId="72" applyNumberFormat="0" applyFont="0" applyAlignment="0" applyProtection="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70" fillId="23" borderId="6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85" fillId="10" borderId="67" applyNumberFormat="0" applyAlignment="0" applyProtection="0"/>
    <xf numFmtId="0" fontId="86" fillId="10" borderId="67" applyNumberFormat="0" applyAlignment="0" applyProtection="0"/>
    <xf numFmtId="0" fontId="85" fillId="10" borderId="67" applyNumberFormat="0" applyAlignment="0" applyProtection="0"/>
    <xf numFmtId="0" fontId="85" fillId="10" borderId="6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26" borderId="72" applyNumberFormat="0" applyFont="0" applyAlignment="0" applyProtection="0"/>
    <xf numFmtId="0" fontId="65" fillId="26" borderId="72" applyNumberFormat="0" applyFont="0" applyAlignment="0" applyProtection="0"/>
    <xf numFmtId="0" fontId="63" fillId="26" borderId="72" applyNumberFormat="0" applyFont="0" applyAlignment="0" applyProtection="0"/>
    <xf numFmtId="0" fontId="49" fillId="26" borderId="72" applyNumberFormat="0" applyFont="0" applyAlignment="0" applyProtection="0"/>
    <xf numFmtId="0" fontId="6" fillId="4" borderId="6" applyNumberFormat="0" applyFon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3" fillId="26" borderId="72" applyNumberFormat="0" applyFont="0" applyAlignment="0" applyProtection="0"/>
    <xf numFmtId="0" fontId="64" fillId="26" borderId="72" applyNumberFormat="0" applyFont="0" applyAlignment="0" applyProtection="0"/>
    <xf numFmtId="0" fontId="85" fillId="10" borderId="67" applyNumberFormat="0" applyAlignment="0" applyProtection="0"/>
    <xf numFmtId="0" fontId="85" fillId="10" borderId="67"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6" fillId="0" borderId="0"/>
    <xf numFmtId="0" fontId="6" fillId="0" borderId="0"/>
    <xf numFmtId="0" fontId="6" fillId="0" borderId="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85" fillId="10" borderId="67" applyNumberFormat="0" applyAlignment="0" applyProtection="0"/>
    <xf numFmtId="0" fontId="86" fillId="10" borderId="6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0" fillId="23" borderId="67" applyNumberFormat="0" applyAlignment="0" applyProtection="0"/>
    <xf numFmtId="0" fontId="65" fillId="26" borderId="72" applyNumberFormat="0" applyFont="0" applyAlignment="0" applyProtection="0"/>
    <xf numFmtId="0" fontId="49" fillId="26" borderId="72" applyNumberFormat="0" applyFont="0" applyAlignment="0" applyProtection="0"/>
    <xf numFmtId="0" fontId="6" fillId="0" borderId="0"/>
    <xf numFmtId="0" fontId="63" fillId="26" borderId="72" applyNumberFormat="0" applyFont="0" applyAlignment="0" applyProtection="0"/>
    <xf numFmtId="0" fontId="64" fillId="26" borderId="72" applyNumberFormat="0" applyFont="0" applyAlignment="0" applyProtection="0"/>
    <xf numFmtId="0" fontId="65" fillId="26" borderId="72" applyNumberFormat="0" applyFont="0" applyAlignment="0" applyProtection="0"/>
    <xf numFmtId="0" fontId="49" fillId="26" borderId="72" applyNumberFormat="0" applyFont="0" applyAlignment="0" applyProtection="0"/>
    <xf numFmtId="0" fontId="64" fillId="26" borderId="72" applyNumberFormat="0" applyFont="0" applyAlignment="0" applyProtection="0"/>
    <xf numFmtId="0" fontId="65" fillId="26" borderId="72" applyNumberFormat="0" applyFont="0" applyAlignment="0" applyProtection="0"/>
    <xf numFmtId="0" fontId="63" fillId="26" borderId="72" applyNumberFormat="0" applyFont="0" applyAlignment="0" applyProtection="0"/>
    <xf numFmtId="0" fontId="49" fillId="26" borderId="72" applyNumberFormat="0" applyFont="0" applyAlignment="0" applyProtection="0"/>
    <xf numFmtId="0" fontId="63" fillId="26" borderId="72" applyNumberFormat="0" applyFont="0" applyAlignment="0" applyProtection="0"/>
    <xf numFmtId="0" fontId="64" fillId="26" borderId="72" applyNumberFormat="0" applyFont="0" applyAlignment="0" applyProtection="0"/>
    <xf numFmtId="0" fontId="65" fillId="26" borderId="72" applyNumberFormat="0" applyFont="0" applyAlignment="0" applyProtection="0"/>
    <xf numFmtId="0" fontId="49" fillId="26" borderId="72"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122" fillId="28" borderId="71" applyNumberFormat="0" applyProtection="0">
      <alignment horizontal="center"/>
    </xf>
    <xf numFmtId="0" fontId="6" fillId="0" borderId="0"/>
    <xf numFmtId="0" fontId="122" fillId="28" borderId="71" applyNumberFormat="0" applyProtection="0">
      <alignment horizontal="center"/>
    </xf>
    <xf numFmtId="0" fontId="6" fillId="0" borderId="0"/>
    <xf numFmtId="0" fontId="122" fillId="28" borderId="71" applyNumberFormat="0" applyProtection="0">
      <alignment horizontal="center"/>
    </xf>
    <xf numFmtId="0" fontId="6" fillId="0" borderId="0"/>
    <xf numFmtId="44" fontId="6" fillId="0" borderId="0" applyFont="0" applyFill="0" applyBorder="0" applyAlignment="0" applyProtection="0"/>
    <xf numFmtId="43" fontId="6" fillId="0" borderId="0" applyFont="0" applyFill="0" applyBorder="0" applyAlignment="0" applyProtection="0"/>
    <xf numFmtId="0" fontId="85" fillId="10" borderId="67" applyNumberFormat="0" applyAlignment="0" applyProtection="0"/>
    <xf numFmtId="0" fontId="85" fillId="10" borderId="67" applyNumberFormat="0" applyAlignment="0" applyProtection="0"/>
    <xf numFmtId="0" fontId="86" fillId="10" borderId="67" applyNumberFormat="0" applyAlignment="0" applyProtection="0"/>
    <xf numFmtId="0" fontId="85" fillId="10" borderId="67"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70" fillId="23" borderId="6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70" fillId="23" borderId="67" applyNumberFormat="0" applyAlignment="0" applyProtection="0"/>
    <xf numFmtId="43" fontId="6" fillId="0" borderId="0" applyFont="0" applyFill="0" applyBorder="0" applyAlignment="0" applyProtection="0"/>
    <xf numFmtId="0" fontId="71" fillId="23" borderId="67" applyNumberFormat="0" applyAlignment="0" applyProtection="0"/>
    <xf numFmtId="0" fontId="70" fillId="23" borderId="67" applyNumberFormat="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85" fillId="10" borderId="67" applyNumberFormat="0" applyAlignment="0" applyProtection="0"/>
    <xf numFmtId="0" fontId="86" fillId="10" borderId="67" applyNumberFormat="0" applyAlignment="0" applyProtection="0"/>
    <xf numFmtId="0" fontId="85" fillId="10" borderId="67" applyNumberFormat="0" applyAlignment="0" applyProtection="0"/>
    <xf numFmtId="0" fontId="85" fillId="10" borderId="6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26" borderId="68" applyNumberFormat="0" applyFont="0" applyAlignment="0" applyProtection="0"/>
    <xf numFmtId="0" fontId="65" fillId="26" borderId="68" applyNumberFormat="0" applyFont="0" applyAlignment="0" applyProtection="0"/>
    <xf numFmtId="0" fontId="63" fillId="26" borderId="68" applyNumberFormat="0" applyFont="0" applyAlignment="0" applyProtection="0"/>
    <xf numFmtId="0" fontId="49" fillId="26" borderId="68" applyNumberFormat="0" applyFont="0" applyAlignment="0" applyProtection="0"/>
    <xf numFmtId="0" fontId="6" fillId="4" borderId="6" applyNumberFormat="0" applyFon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3" fillId="26" borderId="68" applyNumberFormat="0" applyFont="0" applyAlignment="0" applyProtection="0"/>
    <xf numFmtId="0" fontId="64" fillId="26" borderId="68" applyNumberFormat="0" applyFont="0" applyAlignment="0" applyProtection="0"/>
    <xf numFmtId="0" fontId="85" fillId="10" borderId="67" applyNumberFormat="0" applyAlignment="0" applyProtection="0"/>
    <xf numFmtId="0" fontId="85" fillId="10" borderId="67"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6" fillId="0" borderId="0"/>
    <xf numFmtId="0" fontId="6" fillId="0" borderId="0"/>
    <xf numFmtId="0" fontId="6" fillId="0" borderId="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85" fillId="10" borderId="67" applyNumberFormat="0" applyAlignment="0" applyProtection="0"/>
    <xf numFmtId="0" fontId="86" fillId="10" borderId="6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0" fillId="23" borderId="67" applyNumberFormat="0" applyAlignment="0" applyProtection="0"/>
    <xf numFmtId="0" fontId="65" fillId="26" borderId="68" applyNumberFormat="0" applyFont="0" applyAlignment="0" applyProtection="0"/>
    <xf numFmtId="0" fontId="49" fillId="26" borderId="68" applyNumberFormat="0" applyFont="0" applyAlignment="0" applyProtection="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70" fillId="23" borderId="6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85" fillId="10" borderId="67" applyNumberFormat="0" applyAlignment="0" applyProtection="0"/>
    <xf numFmtId="0" fontId="86" fillId="10" borderId="67" applyNumberFormat="0" applyAlignment="0" applyProtection="0"/>
    <xf numFmtId="0" fontId="85" fillId="10" borderId="67" applyNumberFormat="0" applyAlignment="0" applyProtection="0"/>
    <xf numFmtId="0" fontId="85" fillId="10" borderId="6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26" borderId="68" applyNumberFormat="0" applyFont="0" applyAlignment="0" applyProtection="0"/>
    <xf numFmtId="0" fontId="65" fillId="26" borderId="68" applyNumberFormat="0" applyFont="0" applyAlignment="0" applyProtection="0"/>
    <xf numFmtId="0" fontId="63" fillId="26" borderId="68" applyNumberFormat="0" applyFont="0" applyAlignment="0" applyProtection="0"/>
    <xf numFmtId="0" fontId="49" fillId="26" borderId="68" applyNumberFormat="0" applyFont="0" applyAlignment="0" applyProtection="0"/>
    <xf numFmtId="0" fontId="6" fillId="4" borderId="6" applyNumberFormat="0" applyFon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3" fillId="26" borderId="68" applyNumberFormat="0" applyFont="0" applyAlignment="0" applyProtection="0"/>
    <xf numFmtId="0" fontId="64" fillId="26" borderId="68" applyNumberFormat="0" applyFont="0" applyAlignment="0" applyProtection="0"/>
    <xf numFmtId="0" fontId="85" fillId="10" borderId="67" applyNumberFormat="0" applyAlignment="0" applyProtection="0"/>
    <xf numFmtId="0" fontId="85" fillId="10" borderId="67"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6" fillId="0" borderId="0"/>
    <xf numFmtId="0" fontId="6" fillId="0" borderId="0"/>
    <xf numFmtId="0" fontId="6" fillId="0" borderId="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85" fillId="10" borderId="67" applyNumberFormat="0" applyAlignment="0" applyProtection="0"/>
    <xf numFmtId="0" fontId="86" fillId="10" borderId="6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0" fillId="23" borderId="67" applyNumberFormat="0" applyAlignment="0" applyProtection="0"/>
    <xf numFmtId="0" fontId="65" fillId="26" borderId="68" applyNumberFormat="0" applyFont="0" applyAlignment="0" applyProtection="0"/>
    <xf numFmtId="0" fontId="49" fillId="26" borderId="68" applyNumberFormat="0" applyFont="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70" fillId="23" borderId="6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85" fillId="10" borderId="67" applyNumberFormat="0" applyAlignment="0" applyProtection="0"/>
    <xf numFmtId="0" fontId="86" fillId="10" borderId="67" applyNumberFormat="0" applyAlignment="0" applyProtection="0"/>
    <xf numFmtId="0" fontId="85" fillId="10" borderId="67" applyNumberFormat="0" applyAlignment="0" applyProtection="0"/>
    <xf numFmtId="0" fontId="85" fillId="10" borderId="6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26" borderId="68" applyNumberFormat="0" applyFont="0" applyAlignment="0" applyProtection="0"/>
    <xf numFmtId="0" fontId="65" fillId="26" borderId="68" applyNumberFormat="0" applyFont="0" applyAlignment="0" applyProtection="0"/>
    <xf numFmtId="0" fontId="63" fillId="26" borderId="68" applyNumberFormat="0" applyFont="0" applyAlignment="0" applyProtection="0"/>
    <xf numFmtId="0" fontId="49" fillId="26" borderId="68" applyNumberFormat="0" applyFont="0" applyAlignment="0" applyProtection="0"/>
    <xf numFmtId="0" fontId="6" fillId="4" borderId="6" applyNumberFormat="0" applyFon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3" fillId="26" borderId="68" applyNumberFormat="0" applyFont="0" applyAlignment="0" applyProtection="0"/>
    <xf numFmtId="0" fontId="64" fillId="26" borderId="68" applyNumberFormat="0" applyFont="0" applyAlignment="0" applyProtection="0"/>
    <xf numFmtId="0" fontId="85" fillId="10" borderId="67" applyNumberFormat="0" applyAlignment="0" applyProtection="0"/>
    <xf numFmtId="0" fontId="85" fillId="10" borderId="67"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6" fillId="0" borderId="0"/>
    <xf numFmtId="0" fontId="6" fillId="0" borderId="0"/>
    <xf numFmtId="0" fontId="6" fillId="0" borderId="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85" fillId="10" borderId="67" applyNumberFormat="0" applyAlignment="0" applyProtection="0"/>
    <xf numFmtId="0" fontId="86" fillId="10" borderId="6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0" fillId="23" borderId="67" applyNumberFormat="0" applyAlignment="0" applyProtection="0"/>
    <xf numFmtId="0" fontId="65" fillId="26" borderId="68" applyNumberFormat="0" applyFont="0" applyAlignment="0" applyProtection="0"/>
    <xf numFmtId="0" fontId="49" fillId="26" borderId="68" applyNumberFormat="0" applyFont="0" applyAlignment="0" applyProtection="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70" fillId="23" borderId="6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85" fillId="10" borderId="67" applyNumberFormat="0" applyAlignment="0" applyProtection="0"/>
    <xf numFmtId="0" fontId="86" fillId="10" borderId="67" applyNumberFormat="0" applyAlignment="0" applyProtection="0"/>
    <xf numFmtId="0" fontId="85" fillId="10" borderId="67" applyNumberFormat="0" applyAlignment="0" applyProtection="0"/>
    <xf numFmtId="0" fontId="85" fillId="10" borderId="6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26" borderId="68" applyNumberFormat="0" applyFont="0" applyAlignment="0" applyProtection="0"/>
    <xf numFmtId="0" fontId="65" fillId="26" borderId="68" applyNumberFormat="0" applyFont="0" applyAlignment="0" applyProtection="0"/>
    <xf numFmtId="0" fontId="63" fillId="26" borderId="68" applyNumberFormat="0" applyFont="0" applyAlignment="0" applyProtection="0"/>
    <xf numFmtId="0" fontId="49" fillId="26" borderId="68" applyNumberFormat="0" applyFont="0" applyAlignment="0" applyProtection="0"/>
    <xf numFmtId="0" fontId="6" fillId="4" borderId="6" applyNumberFormat="0" applyFon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3" fillId="26" borderId="68" applyNumberFormat="0" applyFont="0" applyAlignment="0" applyProtection="0"/>
    <xf numFmtId="0" fontId="64" fillId="26" borderId="68" applyNumberFormat="0" applyFont="0" applyAlignment="0" applyProtection="0"/>
    <xf numFmtId="0" fontId="85" fillId="10" borderId="67" applyNumberFormat="0" applyAlignment="0" applyProtection="0"/>
    <xf numFmtId="0" fontId="85" fillId="10" borderId="67"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6" fillId="0" borderId="0"/>
    <xf numFmtId="0" fontId="6" fillId="0" borderId="0"/>
    <xf numFmtId="0" fontId="6" fillId="0" borderId="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85" fillId="10" borderId="67" applyNumberFormat="0" applyAlignment="0" applyProtection="0"/>
    <xf numFmtId="0" fontId="86" fillId="10" borderId="6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0" fillId="23" borderId="67" applyNumberFormat="0" applyAlignment="0" applyProtection="0"/>
    <xf numFmtId="0" fontId="65" fillId="26" borderId="68" applyNumberFormat="0" applyFont="0" applyAlignment="0" applyProtection="0"/>
    <xf numFmtId="0" fontId="49" fillId="26" borderId="68" applyNumberFormat="0" applyFont="0" applyAlignment="0" applyProtection="0"/>
    <xf numFmtId="0" fontId="6" fillId="0" borderId="0"/>
    <xf numFmtId="0" fontId="63" fillId="26" borderId="68" applyNumberFormat="0" applyFont="0" applyAlignment="0" applyProtection="0"/>
    <xf numFmtId="0" fontId="64" fillId="26" borderId="68" applyNumberFormat="0" applyFont="0" applyAlignment="0" applyProtection="0"/>
    <xf numFmtId="0" fontId="85" fillId="10" borderId="67" applyNumberFormat="0" applyAlignment="0" applyProtection="0"/>
    <xf numFmtId="0" fontId="85" fillId="10" borderId="67"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85" fillId="10" borderId="67" applyNumberFormat="0" applyAlignment="0" applyProtection="0"/>
    <xf numFmtId="0" fontId="86" fillId="10" borderId="67" applyNumberFormat="0" applyAlignment="0" applyProtection="0"/>
    <xf numFmtId="0" fontId="70" fillId="23" borderId="67" applyNumberFormat="0" applyAlignment="0" applyProtection="0"/>
    <xf numFmtId="0" fontId="65" fillId="26" borderId="68" applyNumberFormat="0" applyFont="0" applyAlignment="0" applyProtection="0"/>
    <xf numFmtId="0" fontId="49" fillId="26" borderId="68" applyNumberFormat="0" applyFon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70" fillId="23" borderId="67" applyNumberFormat="0" applyAlignment="0" applyProtection="0"/>
    <xf numFmtId="0" fontId="85" fillId="10" borderId="67" applyNumberFormat="0" applyAlignment="0" applyProtection="0"/>
    <xf numFmtId="0" fontId="86" fillId="10" borderId="67" applyNumberFormat="0" applyAlignment="0" applyProtection="0"/>
    <xf numFmtId="0" fontId="85" fillId="10" borderId="67" applyNumberFormat="0" applyAlignment="0" applyProtection="0"/>
    <xf numFmtId="0" fontId="85" fillId="10" borderId="67" applyNumberFormat="0" applyAlignment="0" applyProtection="0"/>
    <xf numFmtId="0" fontId="64" fillId="26" borderId="68" applyNumberFormat="0" applyFont="0" applyAlignment="0" applyProtection="0"/>
    <xf numFmtId="0" fontId="65" fillId="26" borderId="68" applyNumberFormat="0" applyFont="0" applyAlignment="0" applyProtection="0"/>
    <xf numFmtId="0" fontId="63" fillId="26" borderId="68" applyNumberFormat="0" applyFont="0" applyAlignment="0" applyProtection="0"/>
    <xf numFmtId="0" fontId="49" fillId="26" borderId="68" applyNumberFormat="0" applyFon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63" fillId="26" borderId="68" applyNumberFormat="0" applyFont="0" applyAlignment="0" applyProtection="0"/>
    <xf numFmtId="0" fontId="64" fillId="26" borderId="68" applyNumberFormat="0" applyFont="0" applyAlignment="0" applyProtection="0"/>
    <xf numFmtId="0" fontId="85" fillId="10" borderId="67" applyNumberFormat="0" applyAlignment="0" applyProtection="0"/>
    <xf numFmtId="0" fontId="85" fillId="10" borderId="67"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85" fillId="10" borderId="67" applyNumberFormat="0" applyAlignment="0" applyProtection="0"/>
    <xf numFmtId="0" fontId="86" fillId="10" borderId="67" applyNumberFormat="0" applyAlignment="0" applyProtection="0"/>
    <xf numFmtId="0" fontId="70" fillId="23" borderId="67" applyNumberFormat="0" applyAlignment="0" applyProtection="0"/>
    <xf numFmtId="0" fontId="65" fillId="26" borderId="68" applyNumberFormat="0" applyFont="0" applyAlignment="0" applyProtection="0"/>
    <xf numFmtId="0" fontId="49" fillId="26" borderId="68"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70" fillId="23" borderId="67" applyNumberFormat="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122" fillId="28" borderId="71" applyNumberFormat="0" applyProtection="0">
      <alignment horizontal="center"/>
    </xf>
    <xf numFmtId="0" fontId="6" fillId="0" borderId="0"/>
    <xf numFmtId="0" fontId="122" fillId="28" borderId="71" applyNumberFormat="0" applyProtection="0">
      <alignment horizontal="center"/>
    </xf>
    <xf numFmtId="0" fontId="6" fillId="0" borderId="0"/>
    <xf numFmtId="0" fontId="122" fillId="28" borderId="71" applyNumberFormat="0" applyProtection="0">
      <alignment horizontal="center"/>
    </xf>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26" borderId="72" applyNumberFormat="0" applyFont="0" applyAlignment="0" applyProtection="0"/>
    <xf numFmtId="0" fontId="65" fillId="26" borderId="72" applyNumberFormat="0" applyFont="0" applyAlignment="0" applyProtection="0"/>
    <xf numFmtId="0" fontId="63" fillId="26" borderId="72" applyNumberFormat="0" applyFont="0" applyAlignment="0" applyProtection="0"/>
    <xf numFmtId="0" fontId="49" fillId="26" borderId="72" applyNumberFormat="0" applyFont="0" applyAlignment="0" applyProtection="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3" fillId="26" borderId="72" applyNumberFormat="0" applyFont="0" applyAlignment="0" applyProtection="0"/>
    <xf numFmtId="0" fontId="64" fillId="26" borderId="72"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5" fillId="26" borderId="72" applyNumberFormat="0" applyFont="0" applyAlignment="0" applyProtection="0"/>
    <xf numFmtId="0" fontId="49" fillId="26" borderId="72" applyNumberFormat="0" applyFont="0" applyAlignment="0" applyProtection="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26" borderId="72" applyNumberFormat="0" applyFont="0" applyAlignment="0" applyProtection="0"/>
    <xf numFmtId="0" fontId="65" fillId="26" borderId="72" applyNumberFormat="0" applyFont="0" applyAlignment="0" applyProtection="0"/>
    <xf numFmtId="0" fontId="63" fillId="26" borderId="72" applyNumberFormat="0" applyFont="0" applyAlignment="0" applyProtection="0"/>
    <xf numFmtId="0" fontId="49" fillId="26" borderId="72" applyNumberFormat="0" applyFont="0" applyAlignment="0" applyProtection="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3" fillId="26" borderId="72" applyNumberFormat="0" applyFont="0" applyAlignment="0" applyProtection="0"/>
    <xf numFmtId="0" fontId="64" fillId="26" borderId="72"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5" fillId="26" borderId="72" applyNumberFormat="0" applyFont="0" applyAlignment="0" applyProtection="0"/>
    <xf numFmtId="0" fontId="49" fillId="26" borderId="72" applyNumberFormat="0" applyFont="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70" fillId="23" borderId="6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85" fillId="10" borderId="67" applyNumberFormat="0" applyAlignment="0" applyProtection="0"/>
    <xf numFmtId="0" fontId="86" fillId="10" borderId="67" applyNumberFormat="0" applyAlignment="0" applyProtection="0"/>
    <xf numFmtId="0" fontId="85" fillId="10" borderId="67" applyNumberFormat="0" applyAlignment="0" applyProtection="0"/>
    <xf numFmtId="0" fontId="85" fillId="10" borderId="6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26" borderId="72" applyNumberFormat="0" applyFont="0" applyAlignment="0" applyProtection="0"/>
    <xf numFmtId="0" fontId="65" fillId="26" borderId="72" applyNumberFormat="0" applyFont="0" applyAlignment="0" applyProtection="0"/>
    <xf numFmtId="0" fontId="63" fillId="26" borderId="72" applyNumberFormat="0" applyFont="0" applyAlignment="0" applyProtection="0"/>
    <xf numFmtId="0" fontId="49" fillId="26" borderId="72" applyNumberFormat="0" applyFont="0" applyAlignment="0" applyProtection="0"/>
    <xf numFmtId="0" fontId="6" fillId="4" borderId="6" applyNumberFormat="0" applyFon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3" fillId="26" borderId="72" applyNumberFormat="0" applyFont="0" applyAlignment="0" applyProtection="0"/>
    <xf numFmtId="0" fontId="64" fillId="26" borderId="72" applyNumberFormat="0" applyFont="0" applyAlignment="0" applyProtection="0"/>
    <xf numFmtId="0" fontId="85" fillId="10" borderId="67" applyNumberFormat="0" applyAlignment="0" applyProtection="0"/>
    <xf numFmtId="0" fontId="85" fillId="10" borderId="67"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6" fillId="0" borderId="0"/>
    <xf numFmtId="0" fontId="6" fillId="0" borderId="0"/>
    <xf numFmtId="0" fontId="6" fillId="0" borderId="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85" fillId="10" borderId="67" applyNumberFormat="0" applyAlignment="0" applyProtection="0"/>
    <xf numFmtId="0" fontId="86" fillId="10" borderId="6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0" fillId="23" borderId="67" applyNumberFormat="0" applyAlignment="0" applyProtection="0"/>
    <xf numFmtId="0" fontId="65" fillId="26" borderId="72" applyNumberFormat="0" applyFont="0" applyAlignment="0" applyProtection="0"/>
    <xf numFmtId="0" fontId="49" fillId="26" borderId="72" applyNumberFormat="0" applyFont="0" applyAlignment="0" applyProtection="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70" fillId="23" borderId="6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85" fillId="10" borderId="67" applyNumberFormat="0" applyAlignment="0" applyProtection="0"/>
    <xf numFmtId="0" fontId="86" fillId="10" borderId="67" applyNumberFormat="0" applyAlignment="0" applyProtection="0"/>
    <xf numFmtId="0" fontId="85" fillId="10" borderId="67" applyNumberFormat="0" applyAlignment="0" applyProtection="0"/>
    <xf numFmtId="0" fontId="85" fillId="10" borderId="6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26" borderId="72" applyNumberFormat="0" applyFont="0" applyAlignment="0" applyProtection="0"/>
    <xf numFmtId="0" fontId="65" fillId="26" borderId="72" applyNumberFormat="0" applyFont="0" applyAlignment="0" applyProtection="0"/>
    <xf numFmtId="0" fontId="63" fillId="26" borderId="72" applyNumberFormat="0" applyFont="0" applyAlignment="0" applyProtection="0"/>
    <xf numFmtId="0" fontId="49" fillId="26" borderId="72" applyNumberFormat="0" applyFont="0" applyAlignment="0" applyProtection="0"/>
    <xf numFmtId="0" fontId="6" fillId="4" borderId="6" applyNumberFormat="0" applyFon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3" fillId="26" borderId="72" applyNumberFormat="0" applyFont="0" applyAlignment="0" applyProtection="0"/>
    <xf numFmtId="0" fontId="64" fillId="26" borderId="72" applyNumberFormat="0" applyFont="0" applyAlignment="0" applyProtection="0"/>
    <xf numFmtId="0" fontId="85" fillId="10" borderId="67" applyNumberFormat="0" applyAlignment="0" applyProtection="0"/>
    <xf numFmtId="0" fontId="85" fillId="10" borderId="67"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6" fillId="0" borderId="0"/>
    <xf numFmtId="0" fontId="6" fillId="0" borderId="0"/>
    <xf numFmtId="0" fontId="6" fillId="0" borderId="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85" fillId="10" borderId="67" applyNumberFormat="0" applyAlignment="0" applyProtection="0"/>
    <xf numFmtId="0" fontId="86" fillId="10" borderId="6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0" fillId="23" borderId="67" applyNumberFormat="0" applyAlignment="0" applyProtection="0"/>
    <xf numFmtId="0" fontId="65" fillId="26" borderId="72" applyNumberFormat="0" applyFont="0" applyAlignment="0" applyProtection="0"/>
    <xf numFmtId="0" fontId="49" fillId="26" borderId="72" applyNumberFormat="0" applyFont="0" applyAlignment="0" applyProtection="0"/>
    <xf numFmtId="0" fontId="6" fillId="0" borderId="0"/>
    <xf numFmtId="0" fontId="63" fillId="26" borderId="72" applyNumberFormat="0" applyFont="0" applyAlignment="0" applyProtection="0"/>
    <xf numFmtId="0" fontId="64" fillId="26" borderId="72" applyNumberFormat="0" applyFont="0" applyAlignment="0" applyProtection="0"/>
    <xf numFmtId="0" fontId="65" fillId="26" borderId="72" applyNumberFormat="0" applyFont="0" applyAlignment="0" applyProtection="0"/>
    <xf numFmtId="0" fontId="49" fillId="26" borderId="72" applyNumberFormat="0" applyFont="0" applyAlignment="0" applyProtection="0"/>
    <xf numFmtId="0" fontId="64" fillId="26" borderId="72" applyNumberFormat="0" applyFont="0" applyAlignment="0" applyProtection="0"/>
    <xf numFmtId="0" fontId="65" fillId="26" borderId="72" applyNumberFormat="0" applyFont="0" applyAlignment="0" applyProtection="0"/>
    <xf numFmtId="0" fontId="63" fillId="26" borderId="72" applyNumberFormat="0" applyFont="0" applyAlignment="0" applyProtection="0"/>
    <xf numFmtId="0" fontId="49" fillId="26" borderId="72" applyNumberFormat="0" applyFont="0" applyAlignment="0" applyProtection="0"/>
    <xf numFmtId="0" fontId="63" fillId="26" borderId="72" applyNumberFormat="0" applyFont="0" applyAlignment="0" applyProtection="0"/>
    <xf numFmtId="0" fontId="64" fillId="26" borderId="72" applyNumberFormat="0" applyFont="0" applyAlignment="0" applyProtection="0"/>
    <xf numFmtId="0" fontId="65" fillId="26" borderId="72" applyNumberFormat="0" applyFont="0" applyAlignment="0" applyProtection="0"/>
    <xf numFmtId="0" fontId="49" fillId="26" borderId="72"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122" fillId="28" borderId="71" applyNumberFormat="0" applyProtection="0">
      <alignment horizontal="center"/>
    </xf>
    <xf numFmtId="0" fontId="6" fillId="0" borderId="0"/>
    <xf numFmtId="0" fontId="122" fillId="28" borderId="71" applyNumberFormat="0" applyProtection="0">
      <alignment horizontal="center"/>
    </xf>
    <xf numFmtId="0" fontId="6" fillId="0" borderId="0"/>
    <xf numFmtId="0" fontId="122" fillId="28" borderId="71" applyNumberFormat="0" applyProtection="0">
      <alignment horizontal="center"/>
    </xf>
    <xf numFmtId="0" fontId="64" fillId="26" borderId="68" applyNumberFormat="0" applyFont="0" applyAlignment="0" applyProtection="0"/>
    <xf numFmtId="0" fontId="65" fillId="26" borderId="68" applyNumberFormat="0" applyFont="0" applyAlignment="0" applyProtection="0"/>
    <xf numFmtId="0" fontId="63" fillId="26" borderId="68" applyNumberFormat="0" applyFont="0" applyAlignment="0" applyProtection="0"/>
    <xf numFmtId="0" fontId="49" fillId="26" borderId="68" applyNumberFormat="0" applyFon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63" fillId="26" borderId="68" applyNumberFormat="0" applyFont="0" applyAlignment="0" applyProtection="0"/>
    <xf numFmtId="0" fontId="64" fillId="26" borderId="68" applyNumberFormat="0" applyFont="0" applyAlignment="0" applyProtection="0"/>
    <xf numFmtId="0" fontId="85" fillId="10" borderId="67" applyNumberFormat="0" applyAlignment="0" applyProtection="0"/>
    <xf numFmtId="0" fontId="85" fillId="10" borderId="67"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85" fillId="10" borderId="67" applyNumberFormat="0" applyAlignment="0" applyProtection="0"/>
    <xf numFmtId="0" fontId="86" fillId="10" borderId="67" applyNumberFormat="0" applyAlignment="0" applyProtection="0"/>
    <xf numFmtId="0" fontId="70" fillId="23" borderId="67" applyNumberFormat="0" applyAlignment="0" applyProtection="0"/>
    <xf numFmtId="0" fontId="65" fillId="26" borderId="68" applyNumberFormat="0" applyFont="0" applyAlignment="0" applyProtection="0"/>
    <xf numFmtId="0" fontId="49" fillId="26" borderId="68" applyNumberFormat="0" applyFon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70" fillId="23" borderId="67" applyNumberFormat="0" applyAlignment="0" applyProtection="0"/>
    <xf numFmtId="0" fontId="85" fillId="10" borderId="67" applyNumberFormat="0" applyAlignment="0" applyProtection="0"/>
    <xf numFmtId="0" fontId="86" fillId="10" borderId="67" applyNumberFormat="0" applyAlignment="0" applyProtection="0"/>
    <xf numFmtId="0" fontId="85" fillId="10" borderId="67" applyNumberFormat="0" applyAlignment="0" applyProtection="0"/>
    <xf numFmtId="0" fontId="85" fillId="10" borderId="67" applyNumberFormat="0" applyAlignment="0" applyProtection="0"/>
    <xf numFmtId="0" fontId="64" fillId="26" borderId="68" applyNumberFormat="0" applyFont="0" applyAlignment="0" applyProtection="0"/>
    <xf numFmtId="0" fontId="65" fillId="26" borderId="68" applyNumberFormat="0" applyFont="0" applyAlignment="0" applyProtection="0"/>
    <xf numFmtId="0" fontId="63" fillId="26" borderId="68" applyNumberFormat="0" applyFont="0" applyAlignment="0" applyProtection="0"/>
    <xf numFmtId="0" fontId="49" fillId="26" borderId="68" applyNumberFormat="0" applyFon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63" fillId="26" borderId="68" applyNumberFormat="0" applyFont="0" applyAlignment="0" applyProtection="0"/>
    <xf numFmtId="0" fontId="64" fillId="26" borderId="68" applyNumberFormat="0" applyFont="0" applyAlignment="0" applyProtection="0"/>
    <xf numFmtId="0" fontId="85" fillId="10" borderId="67" applyNumberFormat="0" applyAlignment="0" applyProtection="0"/>
    <xf numFmtId="0" fontId="85" fillId="10" borderId="67"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85" fillId="10" borderId="67" applyNumberFormat="0" applyAlignment="0" applyProtection="0"/>
    <xf numFmtId="0" fontId="86" fillId="10" borderId="67" applyNumberFormat="0" applyAlignment="0" applyProtection="0"/>
    <xf numFmtId="0" fontId="70" fillId="23" borderId="67" applyNumberFormat="0" applyAlignment="0" applyProtection="0"/>
    <xf numFmtId="0" fontId="65" fillId="26" borderId="68" applyNumberFormat="0" applyFont="0" applyAlignment="0" applyProtection="0"/>
    <xf numFmtId="0" fontId="49" fillId="26" borderId="68" applyNumberFormat="0" applyFon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70" fillId="23" borderId="67" applyNumberFormat="0" applyAlignment="0" applyProtection="0"/>
    <xf numFmtId="0" fontId="85" fillId="10" borderId="67" applyNumberFormat="0" applyAlignment="0" applyProtection="0"/>
    <xf numFmtId="0" fontId="86" fillId="10" borderId="67" applyNumberFormat="0" applyAlignment="0" applyProtection="0"/>
    <xf numFmtId="0" fontId="85" fillId="10" borderId="67" applyNumberFormat="0" applyAlignment="0" applyProtection="0"/>
    <xf numFmtId="0" fontId="85" fillId="10" borderId="67" applyNumberFormat="0" applyAlignment="0" applyProtection="0"/>
    <xf numFmtId="0" fontId="64" fillId="26" borderId="68" applyNumberFormat="0" applyFont="0" applyAlignment="0" applyProtection="0"/>
    <xf numFmtId="0" fontId="65" fillId="26" borderId="68" applyNumberFormat="0" applyFont="0" applyAlignment="0" applyProtection="0"/>
    <xf numFmtId="0" fontId="63" fillId="26" borderId="68" applyNumberFormat="0" applyFont="0" applyAlignment="0" applyProtection="0"/>
    <xf numFmtId="0" fontId="49" fillId="26" borderId="68" applyNumberFormat="0" applyFon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63" fillId="26" borderId="68" applyNumberFormat="0" applyFont="0" applyAlignment="0" applyProtection="0"/>
    <xf numFmtId="0" fontId="64" fillId="26" borderId="68" applyNumberFormat="0" applyFont="0" applyAlignment="0" applyProtection="0"/>
    <xf numFmtId="0" fontId="85" fillId="10" borderId="67" applyNumberFormat="0" applyAlignment="0" applyProtection="0"/>
    <xf numFmtId="0" fontId="85" fillId="10" borderId="67"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85" fillId="10" borderId="67" applyNumberFormat="0" applyAlignment="0" applyProtection="0"/>
    <xf numFmtId="0" fontId="86" fillId="10" borderId="67" applyNumberFormat="0" applyAlignment="0" applyProtection="0"/>
    <xf numFmtId="0" fontId="70" fillId="23" borderId="67" applyNumberFormat="0" applyAlignment="0" applyProtection="0"/>
    <xf numFmtId="0" fontId="65" fillId="26" borderId="68" applyNumberFormat="0" applyFont="0" applyAlignment="0" applyProtection="0"/>
    <xf numFmtId="0" fontId="49" fillId="26" borderId="68" applyNumberFormat="0" applyFon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70" fillId="23" borderId="67" applyNumberFormat="0" applyAlignment="0" applyProtection="0"/>
    <xf numFmtId="0" fontId="85" fillId="10" borderId="67" applyNumberFormat="0" applyAlignment="0" applyProtection="0"/>
    <xf numFmtId="0" fontId="86" fillId="10" borderId="67" applyNumberFormat="0" applyAlignment="0" applyProtection="0"/>
    <xf numFmtId="0" fontId="85" fillId="10" borderId="67" applyNumberFormat="0" applyAlignment="0" applyProtection="0"/>
    <xf numFmtId="0" fontId="85" fillId="10" borderId="67" applyNumberFormat="0" applyAlignment="0" applyProtection="0"/>
    <xf numFmtId="0" fontId="64" fillId="26" borderId="68" applyNumberFormat="0" applyFont="0" applyAlignment="0" applyProtection="0"/>
    <xf numFmtId="0" fontId="65" fillId="26" borderId="68" applyNumberFormat="0" applyFont="0" applyAlignment="0" applyProtection="0"/>
    <xf numFmtId="0" fontId="63" fillId="26" borderId="68" applyNumberFormat="0" applyFont="0" applyAlignment="0" applyProtection="0"/>
    <xf numFmtId="0" fontId="49" fillId="26" borderId="68" applyNumberFormat="0" applyFon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63" fillId="26" borderId="68" applyNumberFormat="0" applyFont="0" applyAlignment="0" applyProtection="0"/>
    <xf numFmtId="0" fontId="64" fillId="26" borderId="68" applyNumberFormat="0" applyFont="0" applyAlignment="0" applyProtection="0"/>
    <xf numFmtId="0" fontId="85" fillId="10" borderId="67" applyNumberFormat="0" applyAlignment="0" applyProtection="0"/>
    <xf numFmtId="0" fontId="85" fillId="10" borderId="67"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85" fillId="10" borderId="67" applyNumberFormat="0" applyAlignment="0" applyProtection="0"/>
    <xf numFmtId="0" fontId="86" fillId="10" borderId="67" applyNumberFormat="0" applyAlignment="0" applyProtection="0"/>
    <xf numFmtId="0" fontId="70" fillId="23" borderId="67" applyNumberFormat="0" applyAlignment="0" applyProtection="0"/>
    <xf numFmtId="0" fontId="65" fillId="26" borderId="68" applyNumberFormat="0" applyFont="0" applyAlignment="0" applyProtection="0"/>
    <xf numFmtId="0" fontId="49" fillId="26" borderId="68" applyNumberFormat="0" applyFont="0" applyAlignment="0" applyProtection="0"/>
    <xf numFmtId="0" fontId="63" fillId="26" borderId="68" applyNumberFormat="0" applyFont="0" applyAlignment="0" applyProtection="0"/>
    <xf numFmtId="0" fontId="64" fillId="26" borderId="68" applyNumberFormat="0" applyFont="0" applyAlignment="0" applyProtection="0"/>
    <xf numFmtId="0" fontId="85" fillId="10" borderId="67" applyNumberFormat="0" applyAlignment="0" applyProtection="0"/>
    <xf numFmtId="0" fontId="85" fillId="10" borderId="67"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85" fillId="10" borderId="67" applyNumberFormat="0" applyAlignment="0" applyProtection="0"/>
    <xf numFmtId="0" fontId="86" fillId="10" borderId="67" applyNumberFormat="0" applyAlignment="0" applyProtection="0"/>
    <xf numFmtId="0" fontId="70" fillId="23" borderId="67" applyNumberFormat="0" applyAlignment="0" applyProtection="0"/>
    <xf numFmtId="0" fontId="65" fillId="26" borderId="68" applyNumberFormat="0" applyFont="0" applyAlignment="0" applyProtection="0"/>
    <xf numFmtId="0" fontId="49" fillId="26" borderId="68" applyNumberFormat="0" applyFon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70" fillId="23" borderId="67" applyNumberFormat="0" applyAlignment="0" applyProtection="0"/>
    <xf numFmtId="0" fontId="85" fillId="10" borderId="67" applyNumberFormat="0" applyAlignment="0" applyProtection="0"/>
    <xf numFmtId="0" fontId="86" fillId="10" borderId="67" applyNumberFormat="0" applyAlignment="0" applyProtection="0"/>
    <xf numFmtId="0" fontId="85" fillId="10" borderId="67" applyNumberFormat="0" applyAlignment="0" applyProtection="0"/>
    <xf numFmtId="0" fontId="85" fillId="10" borderId="67" applyNumberFormat="0" applyAlignment="0" applyProtection="0"/>
    <xf numFmtId="0" fontId="64" fillId="26" borderId="68" applyNumberFormat="0" applyFont="0" applyAlignment="0" applyProtection="0"/>
    <xf numFmtId="0" fontId="65" fillId="26" borderId="68" applyNumberFormat="0" applyFont="0" applyAlignment="0" applyProtection="0"/>
    <xf numFmtId="0" fontId="63" fillId="26" borderId="68" applyNumberFormat="0" applyFont="0" applyAlignment="0" applyProtection="0"/>
    <xf numFmtId="0" fontId="49" fillId="26" borderId="68" applyNumberFormat="0" applyFon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63" fillId="26" borderId="68" applyNumberFormat="0" applyFont="0" applyAlignment="0" applyProtection="0"/>
    <xf numFmtId="0" fontId="64" fillId="26" borderId="68" applyNumberFormat="0" applyFont="0" applyAlignment="0" applyProtection="0"/>
    <xf numFmtId="0" fontId="85" fillId="10" borderId="67" applyNumberFormat="0" applyAlignment="0" applyProtection="0"/>
    <xf numFmtId="0" fontId="85" fillId="10" borderId="67"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85" fillId="10" borderId="67" applyNumberFormat="0" applyAlignment="0" applyProtection="0"/>
    <xf numFmtId="0" fontId="86" fillId="10" borderId="67" applyNumberFormat="0" applyAlignment="0" applyProtection="0"/>
    <xf numFmtId="0" fontId="70" fillId="23" borderId="67" applyNumberFormat="0" applyAlignment="0" applyProtection="0"/>
    <xf numFmtId="0" fontId="65" fillId="26" borderId="68" applyNumberFormat="0" applyFont="0" applyAlignment="0" applyProtection="0"/>
    <xf numFmtId="0" fontId="49" fillId="26" borderId="68" applyNumberFormat="0" applyFont="0" applyAlignment="0" applyProtection="0"/>
    <xf numFmtId="0" fontId="122" fillId="28" borderId="71" applyNumberFormat="0" applyProtection="0">
      <alignment horizontal="center"/>
    </xf>
    <xf numFmtId="0" fontId="122" fillId="28" borderId="71" applyNumberFormat="0" applyProtection="0">
      <alignment horizontal="center"/>
    </xf>
    <xf numFmtId="0" fontId="122" fillId="28" borderId="71" applyNumberFormat="0" applyProtection="0">
      <alignment horizontal="center"/>
    </xf>
    <xf numFmtId="0" fontId="64" fillId="26" borderId="68" applyNumberFormat="0" applyFont="0" applyAlignment="0" applyProtection="0"/>
    <xf numFmtId="0" fontId="65" fillId="26" borderId="68" applyNumberFormat="0" applyFont="0" applyAlignment="0" applyProtection="0"/>
    <xf numFmtId="0" fontId="63" fillId="26" borderId="68" applyNumberFormat="0" applyFont="0" applyAlignment="0" applyProtection="0"/>
    <xf numFmtId="0" fontId="49" fillId="26" borderId="68" applyNumberFormat="0" applyFont="0" applyAlignment="0" applyProtection="0"/>
    <xf numFmtId="0" fontId="63" fillId="26" borderId="68" applyNumberFormat="0" applyFont="0" applyAlignment="0" applyProtection="0"/>
    <xf numFmtId="0" fontId="64" fillId="26" borderId="68" applyNumberFormat="0" applyFont="0" applyAlignment="0" applyProtection="0"/>
    <xf numFmtId="0" fontId="65" fillId="26" borderId="68" applyNumberFormat="0" applyFont="0" applyAlignment="0" applyProtection="0"/>
    <xf numFmtId="0" fontId="49" fillId="26" borderId="68" applyNumberFormat="0" applyFont="0" applyAlignment="0" applyProtection="0"/>
    <xf numFmtId="0" fontId="64" fillId="26" borderId="68" applyNumberFormat="0" applyFont="0" applyAlignment="0" applyProtection="0"/>
    <xf numFmtId="0" fontId="65" fillId="26" borderId="68" applyNumberFormat="0" applyFont="0" applyAlignment="0" applyProtection="0"/>
    <xf numFmtId="0" fontId="63" fillId="26" borderId="68" applyNumberFormat="0" applyFont="0" applyAlignment="0" applyProtection="0"/>
    <xf numFmtId="0" fontId="49" fillId="26" borderId="68" applyNumberFormat="0" applyFont="0" applyAlignment="0" applyProtection="0"/>
    <xf numFmtId="0" fontId="63" fillId="26" borderId="68" applyNumberFormat="0" applyFont="0" applyAlignment="0" applyProtection="0"/>
    <xf numFmtId="0" fontId="64" fillId="26" borderId="68" applyNumberFormat="0" applyFont="0" applyAlignment="0" applyProtection="0"/>
    <xf numFmtId="0" fontId="65" fillId="26" borderId="68" applyNumberFormat="0" applyFont="0" applyAlignment="0" applyProtection="0"/>
    <xf numFmtId="0" fontId="49" fillId="26" borderId="68" applyNumberFormat="0" applyFon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70" fillId="23" borderId="67" applyNumberFormat="0" applyAlignment="0" applyProtection="0"/>
    <xf numFmtId="0" fontId="85" fillId="10" borderId="67" applyNumberFormat="0" applyAlignment="0" applyProtection="0"/>
    <xf numFmtId="0" fontId="86" fillId="10" borderId="67" applyNumberFormat="0" applyAlignment="0" applyProtection="0"/>
    <xf numFmtId="0" fontId="85" fillId="10" borderId="67" applyNumberFormat="0" applyAlignment="0" applyProtection="0"/>
    <xf numFmtId="0" fontId="85" fillId="10" borderId="67" applyNumberFormat="0" applyAlignment="0" applyProtection="0"/>
    <xf numFmtId="0" fontId="64" fillId="26" borderId="68" applyNumberFormat="0" applyFont="0" applyAlignment="0" applyProtection="0"/>
    <xf numFmtId="0" fontId="65" fillId="26" borderId="68" applyNumberFormat="0" applyFont="0" applyAlignment="0" applyProtection="0"/>
    <xf numFmtId="0" fontId="63" fillId="26" borderId="68" applyNumberFormat="0" applyFont="0" applyAlignment="0" applyProtection="0"/>
    <xf numFmtId="0" fontId="49" fillId="26" borderId="68" applyNumberFormat="0" applyFon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63" fillId="26" borderId="68" applyNumberFormat="0" applyFont="0" applyAlignment="0" applyProtection="0"/>
    <xf numFmtId="0" fontId="64" fillId="26" borderId="68" applyNumberFormat="0" applyFont="0" applyAlignment="0" applyProtection="0"/>
    <xf numFmtId="0" fontId="85" fillId="10" borderId="67" applyNumberFormat="0" applyAlignment="0" applyProtection="0"/>
    <xf numFmtId="0" fontId="85" fillId="10" borderId="67"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85" fillId="10" borderId="67" applyNumberFormat="0" applyAlignment="0" applyProtection="0"/>
    <xf numFmtId="0" fontId="86" fillId="10" borderId="67" applyNumberFormat="0" applyAlignment="0" applyProtection="0"/>
    <xf numFmtId="0" fontId="70" fillId="23" borderId="67" applyNumberFormat="0" applyAlignment="0" applyProtection="0"/>
    <xf numFmtId="0" fontId="65" fillId="26" borderId="68" applyNumberFormat="0" applyFont="0" applyAlignment="0" applyProtection="0"/>
    <xf numFmtId="0" fontId="49" fillId="26" borderId="68" applyNumberFormat="0" applyFon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70" fillId="23" borderId="67" applyNumberFormat="0" applyAlignment="0" applyProtection="0"/>
    <xf numFmtId="0" fontId="85" fillId="10" borderId="67" applyNumberFormat="0" applyAlignment="0" applyProtection="0"/>
    <xf numFmtId="0" fontId="86" fillId="10" borderId="67" applyNumberFormat="0" applyAlignment="0" applyProtection="0"/>
    <xf numFmtId="0" fontId="85" fillId="10" borderId="67" applyNumberFormat="0" applyAlignment="0" applyProtection="0"/>
    <xf numFmtId="0" fontId="85" fillId="10" borderId="67" applyNumberFormat="0" applyAlignment="0" applyProtection="0"/>
    <xf numFmtId="0" fontId="64" fillId="26" borderId="68" applyNumberFormat="0" applyFont="0" applyAlignment="0" applyProtection="0"/>
    <xf numFmtId="0" fontId="65" fillId="26" borderId="68" applyNumberFormat="0" applyFont="0" applyAlignment="0" applyProtection="0"/>
    <xf numFmtId="0" fontId="63" fillId="26" borderId="68" applyNumberFormat="0" applyFont="0" applyAlignment="0" applyProtection="0"/>
    <xf numFmtId="0" fontId="49" fillId="26" borderId="68" applyNumberFormat="0" applyFon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63" fillId="26" borderId="68" applyNumberFormat="0" applyFont="0" applyAlignment="0" applyProtection="0"/>
    <xf numFmtId="0" fontId="64" fillId="26" borderId="68" applyNumberFormat="0" applyFont="0" applyAlignment="0" applyProtection="0"/>
    <xf numFmtId="0" fontId="85" fillId="10" borderId="67" applyNumberFormat="0" applyAlignment="0" applyProtection="0"/>
    <xf numFmtId="0" fontId="85" fillId="10" borderId="67"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85" fillId="10" borderId="67" applyNumberFormat="0" applyAlignment="0" applyProtection="0"/>
    <xf numFmtId="0" fontId="86" fillId="10" borderId="67" applyNumberFormat="0" applyAlignment="0" applyProtection="0"/>
    <xf numFmtId="0" fontId="70" fillId="23" borderId="67" applyNumberFormat="0" applyAlignment="0" applyProtection="0"/>
    <xf numFmtId="0" fontId="65" fillId="26" borderId="68" applyNumberFormat="0" applyFont="0" applyAlignment="0" applyProtection="0"/>
    <xf numFmtId="0" fontId="49" fillId="26" borderId="68" applyNumberFormat="0" applyFont="0" applyAlignment="0" applyProtection="0"/>
    <xf numFmtId="0" fontId="63" fillId="26" borderId="68" applyNumberFormat="0" applyFont="0" applyAlignment="0" applyProtection="0"/>
    <xf numFmtId="0" fontId="64" fillId="26" borderId="68" applyNumberFormat="0" applyFont="0" applyAlignment="0" applyProtection="0"/>
    <xf numFmtId="0" fontId="65" fillId="26" borderId="68" applyNumberFormat="0" applyFont="0" applyAlignment="0" applyProtection="0"/>
    <xf numFmtId="0" fontId="49" fillId="26" borderId="68" applyNumberFormat="0" applyFont="0" applyAlignment="0" applyProtection="0"/>
    <xf numFmtId="0" fontId="64" fillId="26" borderId="68" applyNumberFormat="0" applyFont="0" applyAlignment="0" applyProtection="0"/>
    <xf numFmtId="0" fontId="65" fillId="26" borderId="68" applyNumberFormat="0" applyFont="0" applyAlignment="0" applyProtection="0"/>
    <xf numFmtId="0" fontId="63" fillId="26" borderId="68" applyNumberFormat="0" applyFont="0" applyAlignment="0" applyProtection="0"/>
    <xf numFmtId="0" fontId="49" fillId="26" borderId="68" applyNumberFormat="0" applyFont="0" applyAlignment="0" applyProtection="0"/>
    <xf numFmtId="0" fontId="63" fillId="26" borderId="68" applyNumberFormat="0" applyFont="0" applyAlignment="0" applyProtection="0"/>
    <xf numFmtId="0" fontId="64" fillId="26" borderId="68" applyNumberFormat="0" applyFont="0" applyAlignment="0" applyProtection="0"/>
    <xf numFmtId="0" fontId="65" fillId="26" borderId="68" applyNumberFormat="0" applyFont="0" applyAlignment="0" applyProtection="0"/>
    <xf numFmtId="0" fontId="49" fillId="26" borderId="68" applyNumberFormat="0" applyFont="0" applyAlignment="0" applyProtection="0"/>
    <xf numFmtId="0" fontId="122" fillId="28" borderId="71" applyNumberFormat="0" applyProtection="0">
      <alignment horizontal="center"/>
    </xf>
    <xf numFmtId="0" fontId="122" fillId="28" borderId="71" applyNumberFormat="0" applyProtection="0">
      <alignment horizontal="center"/>
    </xf>
    <xf numFmtId="0" fontId="122" fillId="28" borderId="71" applyNumberFormat="0" applyProtection="0">
      <alignment horizontal="center"/>
    </xf>
    <xf numFmtId="0" fontId="122" fillId="28" borderId="71" applyNumberFormat="0" applyProtection="0">
      <alignment horizontal="center" wrapText="1"/>
    </xf>
    <xf numFmtId="0" fontId="64" fillId="26" borderId="74" applyNumberFormat="0" applyFont="0" applyAlignment="0" applyProtection="0"/>
    <xf numFmtId="0" fontId="65" fillId="26" borderId="74" applyNumberFormat="0" applyFont="0" applyAlignment="0" applyProtection="0"/>
    <xf numFmtId="0" fontId="63" fillId="26" borderId="74" applyNumberFormat="0" applyFont="0" applyAlignment="0" applyProtection="0"/>
    <xf numFmtId="0" fontId="49" fillId="26" borderId="74" applyNumberFormat="0" applyFon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63" fillId="26" borderId="74" applyNumberFormat="0" applyFont="0" applyAlignment="0" applyProtection="0"/>
    <xf numFmtId="0" fontId="64" fillId="26" borderId="74" applyNumberFormat="0" applyFont="0" applyAlignment="0" applyProtection="0"/>
    <xf numFmtId="0" fontId="85" fillId="10" borderId="75" applyNumberFormat="0" applyAlignment="0" applyProtection="0"/>
    <xf numFmtId="0" fontId="85" fillId="10"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85" fillId="10" borderId="75" applyNumberFormat="0" applyAlignment="0" applyProtection="0"/>
    <xf numFmtId="0" fontId="86" fillId="10" borderId="75" applyNumberFormat="0" applyAlignment="0" applyProtection="0"/>
    <xf numFmtId="0" fontId="70" fillId="23" borderId="75" applyNumberFormat="0" applyAlignment="0" applyProtection="0"/>
    <xf numFmtId="0" fontId="65" fillId="26" borderId="74" applyNumberFormat="0" applyFont="0" applyAlignment="0" applyProtection="0"/>
    <xf numFmtId="0" fontId="49" fillId="26" borderId="74" applyNumberFormat="0" applyFon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70" fillId="23" borderId="75" applyNumberFormat="0" applyAlignment="0" applyProtection="0"/>
    <xf numFmtId="0" fontId="85" fillId="10" borderId="75" applyNumberFormat="0" applyAlignment="0" applyProtection="0"/>
    <xf numFmtId="0" fontId="86" fillId="10" borderId="75" applyNumberFormat="0" applyAlignment="0" applyProtection="0"/>
    <xf numFmtId="0" fontId="85" fillId="10" borderId="75" applyNumberFormat="0" applyAlignment="0" applyProtection="0"/>
    <xf numFmtId="0" fontId="85" fillId="10" borderId="75" applyNumberFormat="0" applyAlignment="0" applyProtection="0"/>
    <xf numFmtId="0" fontId="64" fillId="26" borderId="74" applyNumberFormat="0" applyFont="0" applyAlignment="0" applyProtection="0"/>
    <xf numFmtId="0" fontId="65" fillId="26" borderId="74" applyNumberFormat="0" applyFont="0" applyAlignment="0" applyProtection="0"/>
    <xf numFmtId="0" fontId="63" fillId="26" borderId="74" applyNumberFormat="0" applyFont="0" applyAlignment="0" applyProtection="0"/>
    <xf numFmtId="0" fontId="49" fillId="26" borderId="74" applyNumberFormat="0" applyFon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63" fillId="26" borderId="74" applyNumberFormat="0" applyFont="0" applyAlignment="0" applyProtection="0"/>
    <xf numFmtId="0" fontId="64" fillId="26" borderId="74" applyNumberFormat="0" applyFont="0" applyAlignment="0" applyProtection="0"/>
    <xf numFmtId="0" fontId="85" fillId="10" borderId="75" applyNumberFormat="0" applyAlignment="0" applyProtection="0"/>
    <xf numFmtId="0" fontId="85" fillId="10"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85" fillId="10" borderId="75" applyNumberFormat="0" applyAlignment="0" applyProtection="0"/>
    <xf numFmtId="0" fontId="86" fillId="10" borderId="75" applyNumberFormat="0" applyAlignment="0" applyProtection="0"/>
    <xf numFmtId="0" fontId="70" fillId="23" borderId="75" applyNumberFormat="0" applyAlignment="0" applyProtection="0"/>
    <xf numFmtId="0" fontId="65" fillId="26" borderId="74" applyNumberFormat="0" applyFont="0" applyAlignment="0" applyProtection="0"/>
    <xf numFmtId="0" fontId="49" fillId="26" borderId="74" applyNumberFormat="0" applyFon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70" fillId="23" borderId="75" applyNumberFormat="0" applyAlignment="0" applyProtection="0"/>
    <xf numFmtId="0" fontId="85" fillId="10" borderId="75" applyNumberFormat="0" applyAlignment="0" applyProtection="0"/>
    <xf numFmtId="0" fontId="86" fillId="10" borderId="75" applyNumberFormat="0" applyAlignment="0" applyProtection="0"/>
    <xf numFmtId="0" fontId="85" fillId="10" borderId="75" applyNumberFormat="0" applyAlignment="0" applyProtection="0"/>
    <xf numFmtId="0" fontId="85" fillId="10" borderId="75" applyNumberFormat="0" applyAlignment="0" applyProtection="0"/>
    <xf numFmtId="0" fontId="64" fillId="26" borderId="74" applyNumberFormat="0" applyFont="0" applyAlignment="0" applyProtection="0"/>
    <xf numFmtId="0" fontId="65" fillId="26" borderId="74" applyNumberFormat="0" applyFont="0" applyAlignment="0" applyProtection="0"/>
    <xf numFmtId="0" fontId="63" fillId="26" borderId="74" applyNumberFormat="0" applyFont="0" applyAlignment="0" applyProtection="0"/>
    <xf numFmtId="0" fontId="49" fillId="26" borderId="74" applyNumberFormat="0" applyFon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63" fillId="26" borderId="74" applyNumberFormat="0" applyFont="0" applyAlignment="0" applyProtection="0"/>
    <xf numFmtId="0" fontId="64" fillId="26" borderId="74" applyNumberFormat="0" applyFont="0" applyAlignment="0" applyProtection="0"/>
    <xf numFmtId="0" fontId="85" fillId="10" borderId="75" applyNumberFormat="0" applyAlignment="0" applyProtection="0"/>
    <xf numFmtId="0" fontId="85" fillId="10"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85" fillId="10" borderId="75" applyNumberFormat="0" applyAlignment="0" applyProtection="0"/>
    <xf numFmtId="0" fontId="86" fillId="10" borderId="75" applyNumberFormat="0" applyAlignment="0" applyProtection="0"/>
    <xf numFmtId="0" fontId="70" fillId="23" borderId="75" applyNumberFormat="0" applyAlignment="0" applyProtection="0"/>
    <xf numFmtId="0" fontId="65" fillId="26" borderId="74" applyNumberFormat="0" applyFont="0" applyAlignment="0" applyProtection="0"/>
    <xf numFmtId="0" fontId="49" fillId="26" borderId="74" applyNumberFormat="0" applyFon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70" fillId="23" borderId="75" applyNumberFormat="0" applyAlignment="0" applyProtection="0"/>
    <xf numFmtId="0" fontId="85" fillId="10" borderId="75" applyNumberFormat="0" applyAlignment="0" applyProtection="0"/>
    <xf numFmtId="0" fontId="86" fillId="10" borderId="75" applyNumberFormat="0" applyAlignment="0" applyProtection="0"/>
    <xf numFmtId="0" fontId="85" fillId="10" borderId="75" applyNumberFormat="0" applyAlignment="0" applyProtection="0"/>
    <xf numFmtId="0" fontId="85" fillId="10" borderId="75" applyNumberFormat="0" applyAlignment="0" applyProtection="0"/>
    <xf numFmtId="0" fontId="64" fillId="26" borderId="74" applyNumberFormat="0" applyFont="0" applyAlignment="0" applyProtection="0"/>
    <xf numFmtId="0" fontId="65" fillId="26" borderId="74" applyNumberFormat="0" applyFont="0" applyAlignment="0" applyProtection="0"/>
    <xf numFmtId="0" fontId="63" fillId="26" borderId="74" applyNumberFormat="0" applyFont="0" applyAlignment="0" applyProtection="0"/>
    <xf numFmtId="0" fontId="49" fillId="26" borderId="74" applyNumberFormat="0" applyFon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63" fillId="26" borderId="74" applyNumberFormat="0" applyFont="0" applyAlignment="0" applyProtection="0"/>
    <xf numFmtId="0" fontId="64" fillId="26" borderId="74" applyNumberFormat="0" applyFont="0" applyAlignment="0" applyProtection="0"/>
    <xf numFmtId="0" fontId="85" fillId="10" borderId="75" applyNumberFormat="0" applyAlignment="0" applyProtection="0"/>
    <xf numFmtId="0" fontId="85" fillId="10"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85" fillId="10" borderId="75" applyNumberFormat="0" applyAlignment="0" applyProtection="0"/>
    <xf numFmtId="0" fontId="86" fillId="10" borderId="75" applyNumberFormat="0" applyAlignment="0" applyProtection="0"/>
    <xf numFmtId="0" fontId="70" fillId="23" borderId="75" applyNumberFormat="0" applyAlignment="0" applyProtection="0"/>
    <xf numFmtId="0" fontId="65" fillId="26" borderId="74" applyNumberFormat="0" applyFont="0" applyAlignment="0" applyProtection="0"/>
    <xf numFmtId="0" fontId="49" fillId="26" borderId="74" applyNumberFormat="0" applyFont="0" applyAlignment="0" applyProtection="0"/>
    <xf numFmtId="0" fontId="63" fillId="26" borderId="74" applyNumberFormat="0" applyFont="0" applyAlignment="0" applyProtection="0"/>
    <xf numFmtId="0" fontId="64" fillId="26" borderId="74" applyNumberFormat="0" applyFont="0" applyAlignment="0" applyProtection="0"/>
    <xf numFmtId="0" fontId="85" fillId="10" borderId="75" applyNumberFormat="0" applyAlignment="0" applyProtection="0"/>
    <xf numFmtId="0" fontId="85" fillId="10"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85" fillId="10" borderId="75" applyNumberFormat="0" applyAlignment="0" applyProtection="0"/>
    <xf numFmtId="0" fontId="86" fillId="10" borderId="75" applyNumberFormat="0" applyAlignment="0" applyProtection="0"/>
    <xf numFmtId="0" fontId="70" fillId="23" borderId="75" applyNumberFormat="0" applyAlignment="0" applyProtection="0"/>
    <xf numFmtId="0" fontId="65" fillId="26" borderId="74" applyNumberFormat="0" applyFont="0" applyAlignment="0" applyProtection="0"/>
    <xf numFmtId="0" fontId="49" fillId="26" borderId="74" applyNumberFormat="0" applyFon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70" fillId="23" borderId="75" applyNumberFormat="0" applyAlignment="0" applyProtection="0"/>
    <xf numFmtId="0" fontId="85" fillId="10" borderId="75" applyNumberFormat="0" applyAlignment="0" applyProtection="0"/>
    <xf numFmtId="0" fontId="86" fillId="10" borderId="75" applyNumberFormat="0" applyAlignment="0" applyProtection="0"/>
    <xf numFmtId="0" fontId="85" fillId="10" borderId="75" applyNumberFormat="0" applyAlignment="0" applyProtection="0"/>
    <xf numFmtId="0" fontId="85" fillId="10" borderId="75" applyNumberFormat="0" applyAlignment="0" applyProtection="0"/>
    <xf numFmtId="0" fontId="64" fillId="26" borderId="74" applyNumberFormat="0" applyFont="0" applyAlignment="0" applyProtection="0"/>
    <xf numFmtId="0" fontId="65" fillId="26" borderId="74" applyNumberFormat="0" applyFont="0" applyAlignment="0" applyProtection="0"/>
    <xf numFmtId="0" fontId="63" fillId="26" borderId="74" applyNumberFormat="0" applyFont="0" applyAlignment="0" applyProtection="0"/>
    <xf numFmtId="0" fontId="49" fillId="26" borderId="74" applyNumberFormat="0" applyFon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63" fillId="26" borderId="74" applyNumberFormat="0" applyFont="0" applyAlignment="0" applyProtection="0"/>
    <xf numFmtId="0" fontId="64" fillId="26" borderId="74" applyNumberFormat="0" applyFont="0" applyAlignment="0" applyProtection="0"/>
    <xf numFmtId="0" fontId="85" fillId="10" borderId="75" applyNumberFormat="0" applyAlignment="0" applyProtection="0"/>
    <xf numFmtId="0" fontId="85" fillId="10"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85" fillId="10" borderId="75" applyNumberFormat="0" applyAlignment="0" applyProtection="0"/>
    <xf numFmtId="0" fontId="86" fillId="10" borderId="75" applyNumberFormat="0" applyAlignment="0" applyProtection="0"/>
    <xf numFmtId="0" fontId="70" fillId="23" borderId="75" applyNumberFormat="0" applyAlignment="0" applyProtection="0"/>
    <xf numFmtId="0" fontId="65" fillId="26" borderId="74" applyNumberFormat="0" applyFont="0" applyAlignment="0" applyProtection="0"/>
    <xf numFmtId="0" fontId="49" fillId="26" borderId="74" applyNumberFormat="0" applyFont="0" applyAlignment="0" applyProtection="0"/>
    <xf numFmtId="0" fontId="122" fillId="28" borderId="78" applyNumberFormat="0" applyProtection="0">
      <alignment horizontal="center"/>
    </xf>
    <xf numFmtId="0" fontId="122" fillId="28" borderId="80" applyNumberFormat="0" applyProtection="0">
      <alignment horizontal="center"/>
    </xf>
    <xf numFmtId="0" fontId="122" fillId="28" borderId="78" applyNumberFormat="0" applyProtection="0">
      <alignment horizontal="center"/>
    </xf>
    <xf numFmtId="0" fontId="64" fillId="26" borderId="79" applyNumberFormat="0" applyFont="0" applyAlignment="0" applyProtection="0"/>
    <xf numFmtId="0" fontId="65" fillId="26" borderId="79" applyNumberFormat="0" applyFont="0" applyAlignment="0" applyProtection="0"/>
    <xf numFmtId="0" fontId="63" fillId="26" borderId="79" applyNumberFormat="0" applyFont="0" applyAlignment="0" applyProtection="0"/>
    <xf numFmtId="0" fontId="49" fillId="26" borderId="79" applyNumberFormat="0" applyFont="0" applyAlignment="0" applyProtection="0"/>
    <xf numFmtId="0" fontId="63" fillId="26" borderId="79" applyNumberFormat="0" applyFont="0" applyAlignment="0" applyProtection="0"/>
    <xf numFmtId="0" fontId="64" fillId="26" borderId="79" applyNumberFormat="0" applyFont="0" applyAlignment="0" applyProtection="0"/>
    <xf numFmtId="0" fontId="65" fillId="26" borderId="79" applyNumberFormat="0" applyFont="0" applyAlignment="0" applyProtection="0"/>
    <xf numFmtId="0" fontId="49" fillId="26" borderId="79" applyNumberFormat="0" applyFont="0" applyAlignment="0" applyProtection="0"/>
    <xf numFmtId="0" fontId="64" fillId="26" borderId="79" applyNumberFormat="0" applyFont="0" applyAlignment="0" applyProtection="0"/>
    <xf numFmtId="0" fontId="65" fillId="26" borderId="79" applyNumberFormat="0" applyFont="0" applyAlignment="0" applyProtection="0"/>
    <xf numFmtId="0" fontId="63" fillId="26" borderId="79" applyNumberFormat="0" applyFont="0" applyAlignment="0" applyProtection="0"/>
    <xf numFmtId="0" fontId="49" fillId="26" borderId="79" applyNumberFormat="0" applyFont="0" applyAlignment="0" applyProtection="0"/>
    <xf numFmtId="0" fontId="63" fillId="26" borderId="79" applyNumberFormat="0" applyFont="0" applyAlignment="0" applyProtection="0"/>
    <xf numFmtId="0" fontId="64" fillId="26" borderId="79" applyNumberFormat="0" applyFont="0" applyAlignment="0" applyProtection="0"/>
    <xf numFmtId="0" fontId="65" fillId="26" borderId="79" applyNumberFormat="0" applyFont="0" applyAlignment="0" applyProtection="0"/>
    <xf numFmtId="0" fontId="49" fillId="26" borderId="79" applyNumberFormat="0" applyFon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70" fillId="23" borderId="75" applyNumberFormat="0" applyAlignment="0" applyProtection="0"/>
    <xf numFmtId="0" fontId="85" fillId="10" borderId="75" applyNumberFormat="0" applyAlignment="0" applyProtection="0"/>
    <xf numFmtId="0" fontId="86" fillId="10" borderId="75" applyNumberFormat="0" applyAlignment="0" applyProtection="0"/>
    <xf numFmtId="0" fontId="85" fillId="10" borderId="75" applyNumberFormat="0" applyAlignment="0" applyProtection="0"/>
    <xf numFmtId="0" fontId="85" fillId="10" borderId="75" applyNumberFormat="0" applyAlignment="0" applyProtection="0"/>
    <xf numFmtId="0" fontId="64" fillId="26" borderId="79" applyNumberFormat="0" applyFont="0" applyAlignment="0" applyProtection="0"/>
    <xf numFmtId="0" fontId="65" fillId="26" borderId="79" applyNumberFormat="0" applyFont="0" applyAlignment="0" applyProtection="0"/>
    <xf numFmtId="0" fontId="63" fillId="26" borderId="79" applyNumberFormat="0" applyFont="0" applyAlignment="0" applyProtection="0"/>
    <xf numFmtId="0" fontId="49" fillId="26" borderId="79" applyNumberFormat="0" applyFon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63" fillId="26" borderId="79" applyNumberFormat="0" applyFont="0" applyAlignment="0" applyProtection="0"/>
    <xf numFmtId="0" fontId="64" fillId="26" borderId="79" applyNumberFormat="0" applyFont="0" applyAlignment="0" applyProtection="0"/>
    <xf numFmtId="0" fontId="85" fillId="10" borderId="75" applyNumberFormat="0" applyAlignment="0" applyProtection="0"/>
    <xf numFmtId="0" fontId="85" fillId="10"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85" fillId="10" borderId="75" applyNumberFormat="0" applyAlignment="0" applyProtection="0"/>
    <xf numFmtId="0" fontId="86" fillId="10" borderId="75" applyNumberFormat="0" applyAlignment="0" applyProtection="0"/>
    <xf numFmtId="0" fontId="70" fillId="23" borderId="75" applyNumberFormat="0" applyAlignment="0" applyProtection="0"/>
    <xf numFmtId="0" fontId="65" fillId="26" borderId="79" applyNumberFormat="0" applyFont="0" applyAlignment="0" applyProtection="0"/>
    <xf numFmtId="0" fontId="49" fillId="26" borderId="79" applyNumberFormat="0" applyFon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70" fillId="23" borderId="75" applyNumberFormat="0" applyAlignment="0" applyProtection="0"/>
    <xf numFmtId="0" fontId="85" fillId="10" borderId="75" applyNumberFormat="0" applyAlignment="0" applyProtection="0"/>
    <xf numFmtId="0" fontId="86" fillId="10" borderId="75" applyNumberFormat="0" applyAlignment="0" applyProtection="0"/>
    <xf numFmtId="0" fontId="85" fillId="10" borderId="75" applyNumberFormat="0" applyAlignment="0" applyProtection="0"/>
    <xf numFmtId="0" fontId="85" fillId="10" borderId="75" applyNumberFormat="0" applyAlignment="0" applyProtection="0"/>
    <xf numFmtId="0" fontId="64" fillId="26" borderId="79" applyNumberFormat="0" applyFont="0" applyAlignment="0" applyProtection="0"/>
    <xf numFmtId="0" fontId="65" fillId="26" borderId="79" applyNumberFormat="0" applyFont="0" applyAlignment="0" applyProtection="0"/>
    <xf numFmtId="0" fontId="63" fillId="26" borderId="79" applyNumberFormat="0" applyFont="0" applyAlignment="0" applyProtection="0"/>
    <xf numFmtId="0" fontId="49" fillId="26" borderId="79" applyNumberFormat="0" applyFon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63" fillId="26" borderId="79" applyNumberFormat="0" applyFont="0" applyAlignment="0" applyProtection="0"/>
    <xf numFmtId="0" fontId="64" fillId="26" borderId="79" applyNumberFormat="0" applyFont="0" applyAlignment="0" applyProtection="0"/>
    <xf numFmtId="0" fontId="85" fillId="10" borderId="75" applyNumberFormat="0" applyAlignment="0" applyProtection="0"/>
    <xf numFmtId="0" fontId="85" fillId="10"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85" fillId="10" borderId="75" applyNumberFormat="0" applyAlignment="0" applyProtection="0"/>
    <xf numFmtId="0" fontId="86" fillId="10" borderId="75" applyNumberFormat="0" applyAlignment="0" applyProtection="0"/>
    <xf numFmtId="0" fontId="70" fillId="23" borderId="75" applyNumberFormat="0" applyAlignment="0" applyProtection="0"/>
    <xf numFmtId="0" fontId="65" fillId="26" borderId="79" applyNumberFormat="0" applyFont="0" applyAlignment="0" applyProtection="0"/>
    <xf numFmtId="0" fontId="49" fillId="26" borderId="79" applyNumberFormat="0" applyFont="0" applyAlignment="0" applyProtection="0"/>
    <xf numFmtId="0" fontId="63" fillId="26" borderId="79" applyNumberFormat="0" applyFont="0" applyAlignment="0" applyProtection="0"/>
    <xf numFmtId="0" fontId="64" fillId="26" borderId="79" applyNumberFormat="0" applyFont="0" applyAlignment="0" applyProtection="0"/>
    <xf numFmtId="0" fontId="65" fillId="26" borderId="79" applyNumberFormat="0" applyFont="0" applyAlignment="0" applyProtection="0"/>
    <xf numFmtId="0" fontId="49" fillId="26" borderId="79" applyNumberFormat="0" applyFont="0" applyAlignment="0" applyProtection="0"/>
    <xf numFmtId="0" fontId="64" fillId="26" borderId="79" applyNumberFormat="0" applyFont="0" applyAlignment="0" applyProtection="0"/>
    <xf numFmtId="0" fontId="65" fillId="26" borderId="79" applyNumberFormat="0" applyFont="0" applyAlignment="0" applyProtection="0"/>
    <xf numFmtId="0" fontId="63" fillId="26" borderId="79" applyNumberFormat="0" applyFont="0" applyAlignment="0" applyProtection="0"/>
    <xf numFmtId="0" fontId="49" fillId="26" borderId="79" applyNumberFormat="0" applyFont="0" applyAlignment="0" applyProtection="0"/>
    <xf numFmtId="0" fontId="63" fillId="26" borderId="79" applyNumberFormat="0" applyFont="0" applyAlignment="0" applyProtection="0"/>
    <xf numFmtId="0" fontId="64" fillId="26" borderId="79" applyNumberFormat="0" applyFont="0" applyAlignment="0" applyProtection="0"/>
    <xf numFmtId="0" fontId="65" fillId="26" borderId="79" applyNumberFormat="0" applyFont="0" applyAlignment="0" applyProtection="0"/>
    <xf numFmtId="0" fontId="49" fillId="26" borderId="79" applyNumberFormat="0" applyFont="0" applyAlignment="0" applyProtection="0"/>
    <xf numFmtId="0" fontId="122" fillId="28" borderId="80" applyNumberFormat="0" applyProtection="0">
      <alignment horizontal="center"/>
    </xf>
    <xf numFmtId="0" fontId="122" fillId="28" borderId="80" applyNumberFormat="0" applyProtection="0">
      <alignment horizontal="center"/>
    </xf>
    <xf numFmtId="0" fontId="122" fillId="28" borderId="80" applyNumberFormat="0" applyProtection="0">
      <alignment horizontal="center"/>
    </xf>
    <xf numFmtId="0" fontId="85" fillId="10" borderId="75" applyNumberFormat="0" applyAlignment="0" applyProtection="0"/>
    <xf numFmtId="0" fontId="85" fillId="10" borderId="75" applyNumberFormat="0" applyAlignment="0" applyProtection="0"/>
    <xf numFmtId="0" fontId="86" fillId="10" borderId="75" applyNumberFormat="0" applyAlignment="0" applyProtection="0"/>
    <xf numFmtId="0" fontId="85" fillId="10"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70" fillId="23"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85" fillId="10" borderId="75" applyNumberFormat="0" applyAlignment="0" applyProtection="0"/>
    <xf numFmtId="0" fontId="86" fillId="10" borderId="75" applyNumberFormat="0" applyAlignment="0" applyProtection="0"/>
    <xf numFmtId="0" fontId="85" fillId="10" borderId="75" applyNumberFormat="0" applyAlignment="0" applyProtection="0"/>
    <xf numFmtId="0" fontId="85" fillId="10" borderId="75" applyNumberFormat="0" applyAlignment="0" applyProtection="0"/>
    <xf numFmtId="0" fontId="64" fillId="26" borderId="74" applyNumberFormat="0" applyFont="0" applyAlignment="0" applyProtection="0"/>
    <xf numFmtId="0" fontId="65" fillId="26" borderId="74" applyNumberFormat="0" applyFont="0" applyAlignment="0" applyProtection="0"/>
    <xf numFmtId="0" fontId="63" fillId="26" borderId="74" applyNumberFormat="0" applyFont="0" applyAlignment="0" applyProtection="0"/>
    <xf numFmtId="0" fontId="49" fillId="26" borderId="74" applyNumberFormat="0" applyFon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63" fillId="26" borderId="74" applyNumberFormat="0" applyFont="0" applyAlignment="0" applyProtection="0"/>
    <xf numFmtId="0" fontId="64" fillId="26" borderId="74" applyNumberFormat="0" applyFont="0" applyAlignment="0" applyProtection="0"/>
    <xf numFmtId="0" fontId="85" fillId="10" borderId="75" applyNumberFormat="0" applyAlignment="0" applyProtection="0"/>
    <xf numFmtId="0" fontId="85" fillId="10"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85" fillId="10" borderId="75" applyNumberFormat="0" applyAlignment="0" applyProtection="0"/>
    <xf numFmtId="0" fontId="86" fillId="10" borderId="75" applyNumberFormat="0" applyAlignment="0" applyProtection="0"/>
    <xf numFmtId="0" fontId="70" fillId="23" borderId="75" applyNumberFormat="0" applyAlignment="0" applyProtection="0"/>
    <xf numFmtId="0" fontId="65" fillId="26" borderId="74" applyNumberFormat="0" applyFont="0" applyAlignment="0" applyProtection="0"/>
    <xf numFmtId="0" fontId="49" fillId="26" borderId="74" applyNumberFormat="0" applyFon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70" fillId="23" borderId="75" applyNumberFormat="0" applyAlignment="0" applyProtection="0"/>
    <xf numFmtId="0" fontId="85" fillId="10" borderId="75" applyNumberFormat="0" applyAlignment="0" applyProtection="0"/>
    <xf numFmtId="0" fontId="86" fillId="10" borderId="75" applyNumberFormat="0" applyAlignment="0" applyProtection="0"/>
    <xf numFmtId="0" fontId="85" fillId="10" borderId="75" applyNumberFormat="0" applyAlignment="0" applyProtection="0"/>
    <xf numFmtId="0" fontId="85" fillId="10" borderId="75" applyNumberFormat="0" applyAlignment="0" applyProtection="0"/>
    <xf numFmtId="0" fontId="64" fillId="26" borderId="74" applyNumberFormat="0" applyFont="0" applyAlignment="0" applyProtection="0"/>
    <xf numFmtId="0" fontId="65" fillId="26" borderId="74" applyNumberFormat="0" applyFont="0" applyAlignment="0" applyProtection="0"/>
    <xf numFmtId="0" fontId="63" fillId="26" borderId="74" applyNumberFormat="0" applyFont="0" applyAlignment="0" applyProtection="0"/>
    <xf numFmtId="0" fontId="49" fillId="26" borderId="74" applyNumberFormat="0" applyFon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63" fillId="26" borderId="74" applyNumberFormat="0" applyFont="0" applyAlignment="0" applyProtection="0"/>
    <xf numFmtId="0" fontId="64" fillId="26" borderId="74" applyNumberFormat="0" applyFont="0" applyAlignment="0" applyProtection="0"/>
    <xf numFmtId="0" fontId="85" fillId="10" borderId="75" applyNumberFormat="0" applyAlignment="0" applyProtection="0"/>
    <xf numFmtId="0" fontId="85" fillId="10"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85" fillId="10" borderId="75" applyNumberFormat="0" applyAlignment="0" applyProtection="0"/>
    <xf numFmtId="0" fontId="86" fillId="10" borderId="75" applyNumberFormat="0" applyAlignment="0" applyProtection="0"/>
    <xf numFmtId="0" fontId="70" fillId="23" borderId="75" applyNumberFormat="0" applyAlignment="0" applyProtection="0"/>
    <xf numFmtId="0" fontId="65" fillId="26" borderId="74" applyNumberFormat="0" applyFont="0" applyAlignment="0" applyProtection="0"/>
    <xf numFmtId="0" fontId="49" fillId="26" borderId="74" applyNumberFormat="0" applyFon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70" fillId="23" borderId="75" applyNumberFormat="0" applyAlignment="0" applyProtection="0"/>
    <xf numFmtId="0" fontId="85" fillId="10" borderId="75" applyNumberFormat="0" applyAlignment="0" applyProtection="0"/>
    <xf numFmtId="0" fontId="86" fillId="10" borderId="75" applyNumberFormat="0" applyAlignment="0" applyProtection="0"/>
    <xf numFmtId="0" fontId="85" fillId="10" borderId="75" applyNumberFormat="0" applyAlignment="0" applyProtection="0"/>
    <xf numFmtId="0" fontId="85" fillId="10" borderId="75" applyNumberFormat="0" applyAlignment="0" applyProtection="0"/>
    <xf numFmtId="0" fontId="64" fillId="26" borderId="74" applyNumberFormat="0" applyFont="0" applyAlignment="0" applyProtection="0"/>
    <xf numFmtId="0" fontId="65" fillId="26" borderId="74" applyNumberFormat="0" applyFont="0" applyAlignment="0" applyProtection="0"/>
    <xf numFmtId="0" fontId="63" fillId="26" borderId="74" applyNumberFormat="0" applyFont="0" applyAlignment="0" applyProtection="0"/>
    <xf numFmtId="0" fontId="49" fillId="26" borderId="74" applyNumberFormat="0" applyFon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63" fillId="26" borderId="74" applyNumberFormat="0" applyFont="0" applyAlignment="0" applyProtection="0"/>
    <xf numFmtId="0" fontId="64" fillId="26" borderId="74" applyNumberFormat="0" applyFont="0" applyAlignment="0" applyProtection="0"/>
    <xf numFmtId="0" fontId="85" fillId="10" borderId="75" applyNumberFormat="0" applyAlignment="0" applyProtection="0"/>
    <xf numFmtId="0" fontId="85" fillId="10"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85" fillId="10" borderId="75" applyNumberFormat="0" applyAlignment="0" applyProtection="0"/>
    <xf numFmtId="0" fontId="86" fillId="10" borderId="75" applyNumberFormat="0" applyAlignment="0" applyProtection="0"/>
    <xf numFmtId="0" fontId="70" fillId="23" borderId="75" applyNumberFormat="0" applyAlignment="0" applyProtection="0"/>
    <xf numFmtId="0" fontId="65" fillId="26" borderId="74" applyNumberFormat="0" applyFont="0" applyAlignment="0" applyProtection="0"/>
    <xf numFmtId="0" fontId="49" fillId="26" borderId="74" applyNumberFormat="0" applyFon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70" fillId="23" borderId="75" applyNumberFormat="0" applyAlignment="0" applyProtection="0"/>
    <xf numFmtId="0" fontId="85" fillId="10" borderId="75" applyNumberFormat="0" applyAlignment="0" applyProtection="0"/>
    <xf numFmtId="0" fontId="86" fillId="10" borderId="75" applyNumberFormat="0" applyAlignment="0" applyProtection="0"/>
    <xf numFmtId="0" fontId="85" fillId="10" borderId="75" applyNumberFormat="0" applyAlignment="0" applyProtection="0"/>
    <xf numFmtId="0" fontId="85" fillId="10" borderId="75" applyNumberFormat="0" applyAlignment="0" applyProtection="0"/>
    <xf numFmtId="0" fontId="64" fillId="26" borderId="74" applyNumberFormat="0" applyFont="0" applyAlignment="0" applyProtection="0"/>
    <xf numFmtId="0" fontId="65" fillId="26" borderId="74" applyNumberFormat="0" applyFont="0" applyAlignment="0" applyProtection="0"/>
    <xf numFmtId="0" fontId="63" fillId="26" borderId="74" applyNumberFormat="0" applyFont="0" applyAlignment="0" applyProtection="0"/>
    <xf numFmtId="0" fontId="49" fillId="26" borderId="74" applyNumberFormat="0" applyFon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63" fillId="26" borderId="74" applyNumberFormat="0" applyFont="0" applyAlignment="0" applyProtection="0"/>
    <xf numFmtId="0" fontId="64" fillId="26" borderId="74" applyNumberFormat="0" applyFont="0" applyAlignment="0" applyProtection="0"/>
    <xf numFmtId="0" fontId="85" fillId="10" borderId="75" applyNumberFormat="0" applyAlignment="0" applyProtection="0"/>
    <xf numFmtId="0" fontId="85" fillId="10"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85" fillId="10" borderId="75" applyNumberFormat="0" applyAlignment="0" applyProtection="0"/>
    <xf numFmtId="0" fontId="86" fillId="10" borderId="75" applyNumberFormat="0" applyAlignment="0" applyProtection="0"/>
    <xf numFmtId="0" fontId="70" fillId="23" borderId="75" applyNumberFormat="0" applyAlignment="0" applyProtection="0"/>
    <xf numFmtId="0" fontId="65" fillId="26" borderId="74" applyNumberFormat="0" applyFont="0" applyAlignment="0" applyProtection="0"/>
    <xf numFmtId="0" fontId="49" fillId="26" borderId="74" applyNumberFormat="0" applyFont="0" applyAlignment="0" applyProtection="0"/>
    <xf numFmtId="0" fontId="63" fillId="26" borderId="74" applyNumberFormat="0" applyFont="0" applyAlignment="0" applyProtection="0"/>
    <xf numFmtId="0" fontId="64" fillId="26" borderId="74" applyNumberFormat="0" applyFont="0" applyAlignment="0" applyProtection="0"/>
    <xf numFmtId="0" fontId="85" fillId="10" borderId="75" applyNumberFormat="0" applyAlignment="0" applyProtection="0"/>
    <xf numFmtId="0" fontId="85" fillId="10"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85" fillId="10" borderId="75" applyNumberFormat="0" applyAlignment="0" applyProtection="0"/>
    <xf numFmtId="0" fontId="86" fillId="10" borderId="75" applyNumberFormat="0" applyAlignment="0" applyProtection="0"/>
    <xf numFmtId="0" fontId="70" fillId="23" borderId="75" applyNumberFormat="0" applyAlignment="0" applyProtection="0"/>
    <xf numFmtId="0" fontId="65" fillId="26" borderId="74" applyNumberFormat="0" applyFont="0" applyAlignment="0" applyProtection="0"/>
    <xf numFmtId="0" fontId="49" fillId="26" borderId="74" applyNumberFormat="0" applyFon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70" fillId="23" borderId="75" applyNumberFormat="0" applyAlignment="0" applyProtection="0"/>
    <xf numFmtId="0" fontId="85" fillId="10" borderId="75" applyNumberFormat="0" applyAlignment="0" applyProtection="0"/>
    <xf numFmtId="0" fontId="86" fillId="10" borderId="75" applyNumberFormat="0" applyAlignment="0" applyProtection="0"/>
    <xf numFmtId="0" fontId="85" fillId="10" borderId="75" applyNumberFormat="0" applyAlignment="0" applyProtection="0"/>
    <xf numFmtId="0" fontId="85" fillId="10" borderId="75" applyNumberFormat="0" applyAlignment="0" applyProtection="0"/>
    <xf numFmtId="0" fontId="64" fillId="26" borderId="74" applyNumberFormat="0" applyFont="0" applyAlignment="0" applyProtection="0"/>
    <xf numFmtId="0" fontId="65" fillId="26" borderId="74" applyNumberFormat="0" applyFont="0" applyAlignment="0" applyProtection="0"/>
    <xf numFmtId="0" fontId="63" fillId="26" borderId="74" applyNumberFormat="0" applyFont="0" applyAlignment="0" applyProtection="0"/>
    <xf numFmtId="0" fontId="49" fillId="26" borderId="74" applyNumberFormat="0" applyFon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63" fillId="26" borderId="74" applyNumberFormat="0" applyFont="0" applyAlignment="0" applyProtection="0"/>
    <xf numFmtId="0" fontId="64" fillId="26" borderId="74" applyNumberFormat="0" applyFont="0" applyAlignment="0" applyProtection="0"/>
    <xf numFmtId="0" fontId="85" fillId="10" borderId="75" applyNumberFormat="0" applyAlignment="0" applyProtection="0"/>
    <xf numFmtId="0" fontId="85" fillId="10"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85" fillId="10" borderId="75" applyNumberFormat="0" applyAlignment="0" applyProtection="0"/>
    <xf numFmtId="0" fontId="86" fillId="10" borderId="75" applyNumberFormat="0" applyAlignment="0" applyProtection="0"/>
    <xf numFmtId="0" fontId="70" fillId="23" borderId="75" applyNumberFormat="0" applyAlignment="0" applyProtection="0"/>
    <xf numFmtId="0" fontId="65" fillId="26" borderId="74" applyNumberFormat="0" applyFont="0" applyAlignment="0" applyProtection="0"/>
    <xf numFmtId="0" fontId="49" fillId="26" borderId="74" applyNumberFormat="0" applyFont="0" applyAlignment="0" applyProtection="0"/>
    <xf numFmtId="0" fontId="70" fillId="23" borderId="75" applyNumberFormat="0" applyAlignment="0" applyProtection="0"/>
    <xf numFmtId="0" fontId="122" fillId="28" borderId="80" applyNumberFormat="0" applyProtection="0">
      <alignment horizontal="center"/>
    </xf>
    <xf numFmtId="0" fontId="122" fillId="28" borderId="80" applyNumberFormat="0" applyProtection="0">
      <alignment horizontal="center"/>
    </xf>
    <xf numFmtId="0" fontId="122" fillId="28" borderId="80" applyNumberFormat="0" applyProtection="0">
      <alignment horizontal="center"/>
    </xf>
    <xf numFmtId="0" fontId="64" fillId="26" borderId="79" applyNumberFormat="0" applyFont="0" applyAlignment="0" applyProtection="0"/>
    <xf numFmtId="0" fontId="65" fillId="26" borderId="79" applyNumberFormat="0" applyFont="0" applyAlignment="0" applyProtection="0"/>
    <xf numFmtId="0" fontId="63" fillId="26" borderId="79" applyNumberFormat="0" applyFont="0" applyAlignment="0" applyProtection="0"/>
    <xf numFmtId="0" fontId="49" fillId="26" borderId="79" applyNumberFormat="0" applyFont="0" applyAlignment="0" applyProtection="0"/>
    <xf numFmtId="0" fontId="63" fillId="26" borderId="79" applyNumberFormat="0" applyFont="0" applyAlignment="0" applyProtection="0"/>
    <xf numFmtId="0" fontId="64" fillId="26" borderId="79" applyNumberFormat="0" applyFont="0" applyAlignment="0" applyProtection="0"/>
    <xf numFmtId="0" fontId="65" fillId="26" borderId="79" applyNumberFormat="0" applyFont="0" applyAlignment="0" applyProtection="0"/>
    <xf numFmtId="0" fontId="49" fillId="26" borderId="79" applyNumberFormat="0" applyFont="0" applyAlignment="0" applyProtection="0"/>
    <xf numFmtId="0" fontId="64" fillId="26" borderId="79" applyNumberFormat="0" applyFont="0" applyAlignment="0" applyProtection="0"/>
    <xf numFmtId="0" fontId="65" fillId="26" borderId="79" applyNumberFormat="0" applyFont="0" applyAlignment="0" applyProtection="0"/>
    <xf numFmtId="0" fontId="63" fillId="26" borderId="79" applyNumberFormat="0" applyFont="0" applyAlignment="0" applyProtection="0"/>
    <xf numFmtId="0" fontId="49" fillId="26" borderId="79" applyNumberFormat="0" applyFont="0" applyAlignment="0" applyProtection="0"/>
    <xf numFmtId="0" fontId="63" fillId="26" borderId="79" applyNumberFormat="0" applyFont="0" applyAlignment="0" applyProtection="0"/>
    <xf numFmtId="0" fontId="64" fillId="26" borderId="79" applyNumberFormat="0" applyFont="0" applyAlignment="0" applyProtection="0"/>
    <xf numFmtId="0" fontId="65" fillId="26" borderId="79" applyNumberFormat="0" applyFont="0" applyAlignment="0" applyProtection="0"/>
    <xf numFmtId="0" fontId="49" fillId="26" borderId="79" applyNumberFormat="0" applyFon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70" fillId="23" borderId="75" applyNumberFormat="0" applyAlignment="0" applyProtection="0"/>
    <xf numFmtId="0" fontId="85" fillId="10" borderId="75" applyNumberFormat="0" applyAlignment="0" applyProtection="0"/>
    <xf numFmtId="0" fontId="86" fillId="10" borderId="75" applyNumberFormat="0" applyAlignment="0" applyProtection="0"/>
    <xf numFmtId="0" fontId="85" fillId="10" borderId="75" applyNumberFormat="0" applyAlignment="0" applyProtection="0"/>
    <xf numFmtId="0" fontId="85" fillId="10" borderId="75" applyNumberFormat="0" applyAlignment="0" applyProtection="0"/>
    <xf numFmtId="0" fontId="64" fillId="26" borderId="79" applyNumberFormat="0" applyFont="0" applyAlignment="0" applyProtection="0"/>
    <xf numFmtId="0" fontId="65" fillId="26" borderId="79" applyNumberFormat="0" applyFont="0" applyAlignment="0" applyProtection="0"/>
    <xf numFmtId="0" fontId="63" fillId="26" borderId="79" applyNumberFormat="0" applyFont="0" applyAlignment="0" applyProtection="0"/>
    <xf numFmtId="0" fontId="49" fillId="26" borderId="79" applyNumberFormat="0" applyFon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63" fillId="26" borderId="79" applyNumberFormat="0" applyFont="0" applyAlignment="0" applyProtection="0"/>
    <xf numFmtId="0" fontId="64" fillId="26" borderId="79" applyNumberFormat="0" applyFont="0" applyAlignment="0" applyProtection="0"/>
    <xf numFmtId="0" fontId="85" fillId="10" borderId="75" applyNumberFormat="0" applyAlignment="0" applyProtection="0"/>
    <xf numFmtId="0" fontId="85" fillId="10"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85" fillId="10" borderId="75" applyNumberFormat="0" applyAlignment="0" applyProtection="0"/>
    <xf numFmtId="0" fontId="86" fillId="10" borderId="75" applyNumberFormat="0" applyAlignment="0" applyProtection="0"/>
    <xf numFmtId="0" fontId="70" fillId="23" borderId="75" applyNumberFormat="0" applyAlignment="0" applyProtection="0"/>
    <xf numFmtId="0" fontId="65" fillId="26" borderId="79" applyNumberFormat="0" applyFont="0" applyAlignment="0" applyProtection="0"/>
    <xf numFmtId="0" fontId="49" fillId="26" borderId="79" applyNumberFormat="0" applyFon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70" fillId="23" borderId="75" applyNumberFormat="0" applyAlignment="0" applyProtection="0"/>
    <xf numFmtId="0" fontId="85" fillId="10" borderId="75" applyNumberFormat="0" applyAlignment="0" applyProtection="0"/>
    <xf numFmtId="0" fontId="86" fillId="10" borderId="75" applyNumberFormat="0" applyAlignment="0" applyProtection="0"/>
    <xf numFmtId="0" fontId="85" fillId="10" borderId="75" applyNumberFormat="0" applyAlignment="0" applyProtection="0"/>
    <xf numFmtId="0" fontId="85" fillId="10" borderId="75" applyNumberFormat="0" applyAlignment="0" applyProtection="0"/>
    <xf numFmtId="0" fontId="64" fillId="26" borderId="79" applyNumberFormat="0" applyFont="0" applyAlignment="0" applyProtection="0"/>
    <xf numFmtId="0" fontId="65" fillId="26" borderId="79" applyNumberFormat="0" applyFont="0" applyAlignment="0" applyProtection="0"/>
    <xf numFmtId="0" fontId="63" fillId="26" borderId="79" applyNumberFormat="0" applyFont="0" applyAlignment="0" applyProtection="0"/>
    <xf numFmtId="0" fontId="49" fillId="26" borderId="79" applyNumberFormat="0" applyFon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63" fillId="26" borderId="79" applyNumberFormat="0" applyFont="0" applyAlignment="0" applyProtection="0"/>
    <xf numFmtId="0" fontId="64" fillId="26" borderId="79" applyNumberFormat="0" applyFont="0" applyAlignment="0" applyProtection="0"/>
    <xf numFmtId="0" fontId="85" fillId="10" borderId="75" applyNumberFormat="0" applyAlignment="0" applyProtection="0"/>
    <xf numFmtId="0" fontId="85" fillId="10"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85" fillId="10" borderId="75" applyNumberFormat="0" applyAlignment="0" applyProtection="0"/>
    <xf numFmtId="0" fontId="86" fillId="10" borderId="75" applyNumberFormat="0" applyAlignment="0" applyProtection="0"/>
    <xf numFmtId="0" fontId="70" fillId="23" borderId="75" applyNumberFormat="0" applyAlignment="0" applyProtection="0"/>
    <xf numFmtId="0" fontId="65" fillId="26" borderId="79" applyNumberFormat="0" applyFont="0" applyAlignment="0" applyProtection="0"/>
    <xf numFmtId="0" fontId="49" fillId="26" borderId="79" applyNumberFormat="0" applyFont="0" applyAlignment="0" applyProtection="0"/>
    <xf numFmtId="0" fontId="63" fillId="26" borderId="79" applyNumberFormat="0" applyFont="0" applyAlignment="0" applyProtection="0"/>
    <xf numFmtId="0" fontId="64" fillId="26" borderId="79" applyNumberFormat="0" applyFont="0" applyAlignment="0" applyProtection="0"/>
    <xf numFmtId="0" fontId="65" fillId="26" borderId="79" applyNumberFormat="0" applyFont="0" applyAlignment="0" applyProtection="0"/>
    <xf numFmtId="0" fontId="49" fillId="26" borderId="79" applyNumberFormat="0" applyFont="0" applyAlignment="0" applyProtection="0"/>
    <xf numFmtId="0" fontId="64" fillId="26" borderId="79" applyNumberFormat="0" applyFont="0" applyAlignment="0" applyProtection="0"/>
    <xf numFmtId="0" fontId="65" fillId="26" borderId="79" applyNumberFormat="0" applyFont="0" applyAlignment="0" applyProtection="0"/>
    <xf numFmtId="0" fontId="63" fillId="26" borderId="79" applyNumberFormat="0" applyFont="0" applyAlignment="0" applyProtection="0"/>
    <xf numFmtId="0" fontId="49" fillId="26" borderId="79" applyNumberFormat="0" applyFont="0" applyAlignment="0" applyProtection="0"/>
    <xf numFmtId="0" fontId="63" fillId="26" borderId="79" applyNumberFormat="0" applyFont="0" applyAlignment="0" applyProtection="0"/>
    <xf numFmtId="0" fontId="64" fillId="26" borderId="79" applyNumberFormat="0" applyFont="0" applyAlignment="0" applyProtection="0"/>
    <xf numFmtId="0" fontId="65" fillId="26" borderId="79" applyNumberFormat="0" applyFont="0" applyAlignment="0" applyProtection="0"/>
    <xf numFmtId="0" fontId="49" fillId="26" borderId="79" applyNumberFormat="0" applyFont="0" applyAlignment="0" applyProtection="0"/>
    <xf numFmtId="0" fontId="122" fillId="28" borderId="80" applyNumberFormat="0" applyProtection="0">
      <alignment horizontal="center"/>
    </xf>
    <xf numFmtId="0" fontId="122" fillId="28" borderId="80" applyNumberFormat="0" applyProtection="0">
      <alignment horizontal="center"/>
    </xf>
    <xf numFmtId="0" fontId="122" fillId="28" borderId="80" applyNumberFormat="0" applyProtection="0">
      <alignment horizontal="center"/>
    </xf>
    <xf numFmtId="0" fontId="64" fillId="26" borderId="74" applyNumberFormat="0" applyFont="0" applyAlignment="0" applyProtection="0"/>
    <xf numFmtId="0" fontId="65" fillId="26" borderId="74" applyNumberFormat="0" applyFont="0" applyAlignment="0" applyProtection="0"/>
    <xf numFmtId="0" fontId="63" fillId="26" borderId="74" applyNumberFormat="0" applyFont="0" applyAlignment="0" applyProtection="0"/>
    <xf numFmtId="0" fontId="49" fillId="26" borderId="74" applyNumberFormat="0" applyFon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63" fillId="26" borderId="74" applyNumberFormat="0" applyFont="0" applyAlignment="0" applyProtection="0"/>
    <xf numFmtId="0" fontId="64" fillId="26" borderId="74" applyNumberFormat="0" applyFont="0" applyAlignment="0" applyProtection="0"/>
    <xf numFmtId="0" fontId="85" fillId="10" borderId="75" applyNumberFormat="0" applyAlignment="0" applyProtection="0"/>
    <xf numFmtId="0" fontId="85" fillId="10"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85" fillId="10" borderId="75" applyNumberFormat="0" applyAlignment="0" applyProtection="0"/>
    <xf numFmtId="0" fontId="86" fillId="10" borderId="75" applyNumberFormat="0" applyAlignment="0" applyProtection="0"/>
    <xf numFmtId="0" fontId="70" fillId="23" borderId="75" applyNumberFormat="0" applyAlignment="0" applyProtection="0"/>
    <xf numFmtId="0" fontId="65" fillId="26" borderId="74" applyNumberFormat="0" applyFont="0" applyAlignment="0" applyProtection="0"/>
    <xf numFmtId="0" fontId="49" fillId="26" borderId="74" applyNumberFormat="0" applyFon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70" fillId="23" borderId="75" applyNumberFormat="0" applyAlignment="0" applyProtection="0"/>
    <xf numFmtId="0" fontId="85" fillId="10" borderId="75" applyNumberFormat="0" applyAlignment="0" applyProtection="0"/>
    <xf numFmtId="0" fontId="86" fillId="10" borderId="75" applyNumberFormat="0" applyAlignment="0" applyProtection="0"/>
    <xf numFmtId="0" fontId="85" fillId="10" borderId="75" applyNumberFormat="0" applyAlignment="0" applyProtection="0"/>
    <xf numFmtId="0" fontId="85" fillId="10" borderId="75" applyNumberFormat="0" applyAlignment="0" applyProtection="0"/>
    <xf numFmtId="0" fontId="64" fillId="26" borderId="74" applyNumberFormat="0" applyFont="0" applyAlignment="0" applyProtection="0"/>
    <xf numFmtId="0" fontId="65" fillId="26" borderId="74" applyNumberFormat="0" applyFont="0" applyAlignment="0" applyProtection="0"/>
    <xf numFmtId="0" fontId="63" fillId="26" borderId="74" applyNumberFormat="0" applyFont="0" applyAlignment="0" applyProtection="0"/>
    <xf numFmtId="0" fontId="49" fillId="26" borderId="74" applyNumberFormat="0" applyFon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63" fillId="26" borderId="74" applyNumberFormat="0" applyFont="0" applyAlignment="0" applyProtection="0"/>
    <xf numFmtId="0" fontId="64" fillId="26" borderId="74" applyNumberFormat="0" applyFont="0" applyAlignment="0" applyProtection="0"/>
    <xf numFmtId="0" fontId="85" fillId="10" borderId="75" applyNumberFormat="0" applyAlignment="0" applyProtection="0"/>
    <xf numFmtId="0" fontId="85" fillId="10"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85" fillId="10" borderId="75" applyNumberFormat="0" applyAlignment="0" applyProtection="0"/>
    <xf numFmtId="0" fontId="86" fillId="10" borderId="75" applyNumberFormat="0" applyAlignment="0" applyProtection="0"/>
    <xf numFmtId="0" fontId="70" fillId="23" borderId="75" applyNumberFormat="0" applyAlignment="0" applyProtection="0"/>
    <xf numFmtId="0" fontId="65" fillId="26" borderId="74" applyNumberFormat="0" applyFont="0" applyAlignment="0" applyProtection="0"/>
    <xf numFmtId="0" fontId="49" fillId="26" borderId="74" applyNumberFormat="0" applyFon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70" fillId="23" borderId="75" applyNumberFormat="0" applyAlignment="0" applyProtection="0"/>
    <xf numFmtId="0" fontId="85" fillId="10" borderId="75" applyNumberFormat="0" applyAlignment="0" applyProtection="0"/>
    <xf numFmtId="0" fontId="86" fillId="10" borderId="75" applyNumberFormat="0" applyAlignment="0" applyProtection="0"/>
    <xf numFmtId="0" fontId="85" fillId="10" borderId="75" applyNumberFormat="0" applyAlignment="0" applyProtection="0"/>
    <xf numFmtId="0" fontId="85" fillId="10" borderId="75" applyNumberFormat="0" applyAlignment="0" applyProtection="0"/>
    <xf numFmtId="0" fontId="64" fillId="26" borderId="74" applyNumberFormat="0" applyFont="0" applyAlignment="0" applyProtection="0"/>
    <xf numFmtId="0" fontId="65" fillId="26" borderId="74" applyNumberFormat="0" applyFont="0" applyAlignment="0" applyProtection="0"/>
    <xf numFmtId="0" fontId="63" fillId="26" borderId="74" applyNumberFormat="0" applyFont="0" applyAlignment="0" applyProtection="0"/>
    <xf numFmtId="0" fontId="49" fillId="26" borderId="74" applyNumberFormat="0" applyFon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63" fillId="26" borderId="74" applyNumberFormat="0" applyFont="0" applyAlignment="0" applyProtection="0"/>
    <xf numFmtId="0" fontId="64" fillId="26" borderId="74" applyNumberFormat="0" applyFont="0" applyAlignment="0" applyProtection="0"/>
    <xf numFmtId="0" fontId="85" fillId="10" borderId="75" applyNumberFormat="0" applyAlignment="0" applyProtection="0"/>
    <xf numFmtId="0" fontId="85" fillId="10"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85" fillId="10" borderId="75" applyNumberFormat="0" applyAlignment="0" applyProtection="0"/>
    <xf numFmtId="0" fontId="86" fillId="10" borderId="75" applyNumberFormat="0" applyAlignment="0" applyProtection="0"/>
    <xf numFmtId="0" fontId="70" fillId="23" borderId="75" applyNumberFormat="0" applyAlignment="0" applyProtection="0"/>
    <xf numFmtId="0" fontId="65" fillId="26" borderId="74" applyNumberFormat="0" applyFont="0" applyAlignment="0" applyProtection="0"/>
    <xf numFmtId="0" fontId="49" fillId="26" borderId="74" applyNumberFormat="0" applyFon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70" fillId="23" borderId="75" applyNumberFormat="0" applyAlignment="0" applyProtection="0"/>
    <xf numFmtId="0" fontId="85" fillId="10" borderId="75" applyNumberFormat="0" applyAlignment="0" applyProtection="0"/>
    <xf numFmtId="0" fontId="86" fillId="10" borderId="75" applyNumberFormat="0" applyAlignment="0" applyProtection="0"/>
    <xf numFmtId="0" fontId="85" fillId="10" borderId="75" applyNumberFormat="0" applyAlignment="0" applyProtection="0"/>
    <xf numFmtId="0" fontId="85" fillId="10" borderId="75" applyNumberFormat="0" applyAlignment="0" applyProtection="0"/>
    <xf numFmtId="0" fontId="64" fillId="26" borderId="74" applyNumberFormat="0" applyFont="0" applyAlignment="0" applyProtection="0"/>
    <xf numFmtId="0" fontId="65" fillId="26" borderId="74" applyNumberFormat="0" applyFont="0" applyAlignment="0" applyProtection="0"/>
    <xf numFmtId="0" fontId="63" fillId="26" borderId="74" applyNumberFormat="0" applyFont="0" applyAlignment="0" applyProtection="0"/>
    <xf numFmtId="0" fontId="49" fillId="26" borderId="74" applyNumberFormat="0" applyFon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63" fillId="26" borderId="74" applyNumberFormat="0" applyFont="0" applyAlignment="0" applyProtection="0"/>
    <xf numFmtId="0" fontId="64" fillId="26" borderId="74" applyNumberFormat="0" applyFont="0" applyAlignment="0" applyProtection="0"/>
    <xf numFmtId="0" fontId="85" fillId="10" borderId="75" applyNumberFormat="0" applyAlignment="0" applyProtection="0"/>
    <xf numFmtId="0" fontId="85" fillId="10"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85" fillId="10" borderId="75" applyNumberFormat="0" applyAlignment="0" applyProtection="0"/>
    <xf numFmtId="0" fontId="86" fillId="10" borderId="75" applyNumberFormat="0" applyAlignment="0" applyProtection="0"/>
    <xf numFmtId="0" fontId="70" fillId="23" borderId="75" applyNumberFormat="0" applyAlignment="0" applyProtection="0"/>
    <xf numFmtId="0" fontId="65" fillId="26" borderId="74" applyNumberFormat="0" applyFont="0" applyAlignment="0" applyProtection="0"/>
    <xf numFmtId="0" fontId="49" fillId="26" borderId="74" applyNumberFormat="0" applyFont="0" applyAlignment="0" applyProtection="0"/>
    <xf numFmtId="0" fontId="63" fillId="26" borderId="74" applyNumberFormat="0" applyFont="0" applyAlignment="0" applyProtection="0"/>
    <xf numFmtId="0" fontId="64" fillId="26" borderId="74" applyNumberFormat="0" applyFont="0" applyAlignment="0" applyProtection="0"/>
    <xf numFmtId="0" fontId="85" fillId="10" borderId="75" applyNumberFormat="0" applyAlignment="0" applyProtection="0"/>
    <xf numFmtId="0" fontId="85" fillId="10"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85" fillId="10" borderId="75" applyNumberFormat="0" applyAlignment="0" applyProtection="0"/>
    <xf numFmtId="0" fontId="86" fillId="10" borderId="75" applyNumberFormat="0" applyAlignment="0" applyProtection="0"/>
    <xf numFmtId="0" fontId="70" fillId="23" borderId="75" applyNumberFormat="0" applyAlignment="0" applyProtection="0"/>
    <xf numFmtId="0" fontId="65" fillId="26" borderId="74" applyNumberFormat="0" applyFont="0" applyAlignment="0" applyProtection="0"/>
    <xf numFmtId="0" fontId="49" fillId="26" borderId="74" applyNumberFormat="0" applyFon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70" fillId="23" borderId="75" applyNumberFormat="0" applyAlignment="0" applyProtection="0"/>
    <xf numFmtId="0" fontId="85" fillId="10" borderId="75" applyNumberFormat="0" applyAlignment="0" applyProtection="0"/>
    <xf numFmtId="0" fontId="86" fillId="10" borderId="75" applyNumberFormat="0" applyAlignment="0" applyProtection="0"/>
    <xf numFmtId="0" fontId="85" fillId="10" borderId="75" applyNumberFormat="0" applyAlignment="0" applyProtection="0"/>
    <xf numFmtId="0" fontId="85" fillId="10" borderId="75" applyNumberFormat="0" applyAlignment="0" applyProtection="0"/>
    <xf numFmtId="0" fontId="64" fillId="26" borderId="74" applyNumberFormat="0" applyFont="0" applyAlignment="0" applyProtection="0"/>
    <xf numFmtId="0" fontId="65" fillId="26" borderId="74" applyNumberFormat="0" applyFont="0" applyAlignment="0" applyProtection="0"/>
    <xf numFmtId="0" fontId="63" fillId="26" borderId="74" applyNumberFormat="0" applyFont="0" applyAlignment="0" applyProtection="0"/>
    <xf numFmtId="0" fontId="49" fillId="26" borderId="74" applyNumberFormat="0" applyFon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63" fillId="26" borderId="74" applyNumberFormat="0" applyFont="0" applyAlignment="0" applyProtection="0"/>
    <xf numFmtId="0" fontId="64" fillId="26" borderId="74" applyNumberFormat="0" applyFont="0" applyAlignment="0" applyProtection="0"/>
    <xf numFmtId="0" fontId="85" fillId="10" borderId="75" applyNumberFormat="0" applyAlignment="0" applyProtection="0"/>
    <xf numFmtId="0" fontId="85" fillId="10"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85" fillId="10" borderId="75" applyNumberFormat="0" applyAlignment="0" applyProtection="0"/>
    <xf numFmtId="0" fontId="86" fillId="10" borderId="75" applyNumberFormat="0" applyAlignment="0" applyProtection="0"/>
    <xf numFmtId="0" fontId="70" fillId="23" borderId="75" applyNumberFormat="0" applyAlignment="0" applyProtection="0"/>
    <xf numFmtId="0" fontId="65" fillId="26" borderId="74" applyNumberFormat="0" applyFont="0" applyAlignment="0" applyProtection="0"/>
    <xf numFmtId="0" fontId="49" fillId="26" borderId="74" applyNumberFormat="0" applyFont="0" applyAlignment="0" applyProtection="0"/>
    <xf numFmtId="0" fontId="122" fillId="28" borderId="80" applyNumberFormat="0" applyProtection="0">
      <alignment horizontal="center"/>
    </xf>
    <xf numFmtId="0" fontId="122" fillId="28" borderId="80" applyNumberFormat="0" applyProtection="0">
      <alignment horizontal="center"/>
    </xf>
    <xf numFmtId="0" fontId="122" fillId="28" borderId="80" applyNumberFormat="0" applyProtection="0">
      <alignment horizontal="center"/>
    </xf>
    <xf numFmtId="0" fontId="64" fillId="26" borderId="74" applyNumberFormat="0" applyFont="0" applyAlignment="0" applyProtection="0"/>
    <xf numFmtId="0" fontId="65" fillId="26" borderId="74" applyNumberFormat="0" applyFont="0" applyAlignment="0" applyProtection="0"/>
    <xf numFmtId="0" fontId="63" fillId="26" borderId="74" applyNumberFormat="0" applyFont="0" applyAlignment="0" applyProtection="0"/>
    <xf numFmtId="0" fontId="49" fillId="26" borderId="74" applyNumberFormat="0" applyFont="0" applyAlignment="0" applyProtection="0"/>
    <xf numFmtId="0" fontId="63" fillId="26" borderId="74" applyNumberFormat="0" applyFont="0" applyAlignment="0" applyProtection="0"/>
    <xf numFmtId="0" fontId="64" fillId="26" borderId="74" applyNumberFormat="0" applyFont="0" applyAlignment="0" applyProtection="0"/>
    <xf numFmtId="0" fontId="65" fillId="26" borderId="74" applyNumberFormat="0" applyFont="0" applyAlignment="0" applyProtection="0"/>
    <xf numFmtId="0" fontId="49" fillId="26" borderId="74" applyNumberFormat="0" applyFont="0" applyAlignment="0" applyProtection="0"/>
    <xf numFmtId="0" fontId="64" fillId="26" borderId="74" applyNumberFormat="0" applyFont="0" applyAlignment="0" applyProtection="0"/>
    <xf numFmtId="0" fontId="65" fillId="26" borderId="74" applyNumberFormat="0" applyFont="0" applyAlignment="0" applyProtection="0"/>
    <xf numFmtId="0" fontId="63" fillId="26" borderId="74" applyNumberFormat="0" applyFont="0" applyAlignment="0" applyProtection="0"/>
    <xf numFmtId="0" fontId="49" fillId="26" borderId="74" applyNumberFormat="0" applyFont="0" applyAlignment="0" applyProtection="0"/>
    <xf numFmtId="0" fontId="63" fillId="26" borderId="74" applyNumberFormat="0" applyFont="0" applyAlignment="0" applyProtection="0"/>
    <xf numFmtId="0" fontId="64" fillId="26" borderId="74" applyNumberFormat="0" applyFont="0" applyAlignment="0" applyProtection="0"/>
    <xf numFmtId="0" fontId="65" fillId="26" borderId="74" applyNumberFormat="0" applyFont="0" applyAlignment="0" applyProtection="0"/>
    <xf numFmtId="0" fontId="49" fillId="26" borderId="74" applyNumberFormat="0" applyFon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70" fillId="23" borderId="75" applyNumberFormat="0" applyAlignment="0" applyProtection="0"/>
    <xf numFmtId="0" fontId="85" fillId="10" borderId="75" applyNumberFormat="0" applyAlignment="0" applyProtection="0"/>
    <xf numFmtId="0" fontId="86" fillId="10" borderId="75" applyNumberFormat="0" applyAlignment="0" applyProtection="0"/>
    <xf numFmtId="0" fontId="85" fillId="10" borderId="75" applyNumberFormat="0" applyAlignment="0" applyProtection="0"/>
    <xf numFmtId="0" fontId="85" fillId="10" borderId="75" applyNumberFormat="0" applyAlignment="0" applyProtection="0"/>
    <xf numFmtId="0" fontId="64" fillId="26" borderId="74" applyNumberFormat="0" applyFont="0" applyAlignment="0" applyProtection="0"/>
    <xf numFmtId="0" fontId="65" fillId="26" borderId="74" applyNumberFormat="0" applyFont="0" applyAlignment="0" applyProtection="0"/>
    <xf numFmtId="0" fontId="63" fillId="26" borderId="74" applyNumberFormat="0" applyFont="0" applyAlignment="0" applyProtection="0"/>
    <xf numFmtId="0" fontId="49" fillId="26" borderId="74" applyNumberFormat="0" applyFon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63" fillId="26" borderId="74" applyNumberFormat="0" applyFont="0" applyAlignment="0" applyProtection="0"/>
    <xf numFmtId="0" fontId="64" fillId="26" borderId="74" applyNumberFormat="0" applyFont="0" applyAlignment="0" applyProtection="0"/>
    <xf numFmtId="0" fontId="85" fillId="10" borderId="75" applyNumberFormat="0" applyAlignment="0" applyProtection="0"/>
    <xf numFmtId="0" fontId="85" fillId="10"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85" fillId="10" borderId="75" applyNumberFormat="0" applyAlignment="0" applyProtection="0"/>
    <xf numFmtId="0" fontId="86" fillId="10" borderId="75" applyNumberFormat="0" applyAlignment="0" applyProtection="0"/>
    <xf numFmtId="0" fontId="70" fillId="23" borderId="75" applyNumberFormat="0" applyAlignment="0" applyProtection="0"/>
    <xf numFmtId="0" fontId="65" fillId="26" borderId="74" applyNumberFormat="0" applyFont="0" applyAlignment="0" applyProtection="0"/>
    <xf numFmtId="0" fontId="49" fillId="26" borderId="74" applyNumberFormat="0" applyFon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70" fillId="23" borderId="75" applyNumberFormat="0" applyAlignment="0" applyProtection="0"/>
    <xf numFmtId="0" fontId="85" fillId="10" borderId="75" applyNumberFormat="0" applyAlignment="0" applyProtection="0"/>
    <xf numFmtId="0" fontId="86" fillId="10" borderId="75" applyNumberFormat="0" applyAlignment="0" applyProtection="0"/>
    <xf numFmtId="0" fontId="85" fillId="10" borderId="75" applyNumberFormat="0" applyAlignment="0" applyProtection="0"/>
    <xf numFmtId="0" fontId="85" fillId="10" borderId="75" applyNumberFormat="0" applyAlignment="0" applyProtection="0"/>
    <xf numFmtId="0" fontId="64" fillId="26" borderId="74" applyNumberFormat="0" applyFont="0" applyAlignment="0" applyProtection="0"/>
    <xf numFmtId="0" fontId="65" fillId="26" borderId="74" applyNumberFormat="0" applyFont="0" applyAlignment="0" applyProtection="0"/>
    <xf numFmtId="0" fontId="63" fillId="26" borderId="74" applyNumberFormat="0" applyFont="0" applyAlignment="0" applyProtection="0"/>
    <xf numFmtId="0" fontId="49" fillId="26" borderId="74" applyNumberFormat="0" applyFon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63" fillId="26" borderId="74" applyNumberFormat="0" applyFont="0" applyAlignment="0" applyProtection="0"/>
    <xf numFmtId="0" fontId="64" fillId="26" borderId="74" applyNumberFormat="0" applyFont="0" applyAlignment="0" applyProtection="0"/>
    <xf numFmtId="0" fontId="85" fillId="10" borderId="75" applyNumberFormat="0" applyAlignment="0" applyProtection="0"/>
    <xf numFmtId="0" fontId="85" fillId="10"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85" fillId="10" borderId="75" applyNumberFormat="0" applyAlignment="0" applyProtection="0"/>
    <xf numFmtId="0" fontId="86" fillId="10" borderId="75" applyNumberFormat="0" applyAlignment="0" applyProtection="0"/>
    <xf numFmtId="0" fontId="70" fillId="23" borderId="75" applyNumberFormat="0" applyAlignment="0" applyProtection="0"/>
    <xf numFmtId="0" fontId="65" fillId="26" borderId="74" applyNumberFormat="0" applyFont="0" applyAlignment="0" applyProtection="0"/>
    <xf numFmtId="0" fontId="49" fillId="26" borderId="74" applyNumberFormat="0" applyFont="0" applyAlignment="0" applyProtection="0"/>
    <xf numFmtId="0" fontId="63" fillId="26" borderId="74" applyNumberFormat="0" applyFont="0" applyAlignment="0" applyProtection="0"/>
    <xf numFmtId="0" fontId="64" fillId="26" borderId="74" applyNumberFormat="0" applyFont="0" applyAlignment="0" applyProtection="0"/>
    <xf numFmtId="0" fontId="65" fillId="26" borderId="74" applyNumberFormat="0" applyFont="0" applyAlignment="0" applyProtection="0"/>
    <xf numFmtId="0" fontId="49" fillId="26" borderId="74" applyNumberFormat="0" applyFont="0" applyAlignment="0" applyProtection="0"/>
    <xf numFmtId="0" fontId="64" fillId="26" borderId="74" applyNumberFormat="0" applyFont="0" applyAlignment="0" applyProtection="0"/>
    <xf numFmtId="0" fontId="65" fillId="26" borderId="74" applyNumberFormat="0" applyFont="0" applyAlignment="0" applyProtection="0"/>
    <xf numFmtId="0" fontId="63" fillId="26" borderId="74" applyNumberFormat="0" applyFont="0" applyAlignment="0" applyProtection="0"/>
    <xf numFmtId="0" fontId="49" fillId="26" borderId="74" applyNumberFormat="0" applyFont="0" applyAlignment="0" applyProtection="0"/>
    <xf numFmtId="0" fontId="63" fillId="26" borderId="74" applyNumberFormat="0" applyFont="0" applyAlignment="0" applyProtection="0"/>
    <xf numFmtId="0" fontId="64" fillId="26" borderId="74" applyNumberFormat="0" applyFont="0" applyAlignment="0" applyProtection="0"/>
    <xf numFmtId="0" fontId="65" fillId="26" borderId="74" applyNumberFormat="0" applyFont="0" applyAlignment="0" applyProtection="0"/>
    <xf numFmtId="0" fontId="49" fillId="26" borderId="74" applyNumberFormat="0" applyFont="0" applyAlignment="0" applyProtection="0"/>
    <xf numFmtId="0" fontId="122" fillId="28" borderId="80" applyNumberFormat="0" applyProtection="0">
      <alignment horizontal="center"/>
    </xf>
    <xf numFmtId="0" fontId="122" fillId="28" borderId="80" applyNumberFormat="0" applyProtection="0">
      <alignment horizontal="center"/>
    </xf>
    <xf numFmtId="0" fontId="122" fillId="28" borderId="80" applyNumberFormat="0" applyProtection="0">
      <alignment horizontal="center"/>
    </xf>
    <xf numFmtId="0" fontId="122" fillId="28" borderId="80" applyNumberFormat="0" applyProtection="0">
      <alignment horizontal="center" wrapText="1"/>
    </xf>
    <xf numFmtId="0" fontId="132" fillId="0" borderId="84" applyNumberFormat="0" applyFill="0" applyAlignment="0" applyProtection="0"/>
    <xf numFmtId="0" fontId="71" fillId="23" borderId="121" applyNumberFormat="0" applyAlignment="0" applyProtection="0"/>
    <xf numFmtId="0" fontId="85" fillId="10" borderId="121" applyNumberForma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70" fillId="23" borderId="116" applyNumberFormat="0" applyAlignment="0" applyProtection="0"/>
    <xf numFmtId="0" fontId="65" fillId="26" borderId="117" applyNumberFormat="0" applyFont="0" applyAlignment="0" applyProtection="0"/>
    <xf numFmtId="0" fontId="85" fillId="10" borderId="121" applyNumberFormat="0" applyAlignment="0" applyProtection="0"/>
    <xf numFmtId="0" fontId="65" fillId="26" borderId="117" applyNumberFormat="0" applyFont="0" applyAlignment="0" applyProtection="0"/>
    <xf numFmtId="0" fontId="70" fillId="23" borderId="121" applyNumberFormat="0" applyAlignment="0" applyProtection="0"/>
    <xf numFmtId="0" fontId="99" fillId="0" borderId="123" applyNumberFormat="0" applyFill="0" applyAlignment="0" applyProtection="0"/>
    <xf numFmtId="0" fontId="70" fillId="23" borderId="121" applyNumberFormat="0" applyAlignment="0" applyProtection="0"/>
    <xf numFmtId="0" fontId="99" fillId="0" borderId="123" applyNumberFormat="0" applyFill="0" applyAlignment="0" applyProtection="0"/>
    <xf numFmtId="0" fontId="64" fillId="26" borderId="125" applyNumberFormat="0" applyFont="0" applyAlignment="0" applyProtection="0"/>
    <xf numFmtId="0" fontId="70" fillId="23" borderId="121" applyNumberFormat="0" applyAlignment="0" applyProtection="0"/>
    <xf numFmtId="0" fontId="85" fillId="10" borderId="121" applyNumberFormat="0" applyAlignment="0" applyProtection="0"/>
    <xf numFmtId="0" fontId="95" fillId="23" borderId="122" applyNumberFormat="0" applyAlignment="0" applyProtection="0"/>
    <xf numFmtId="0" fontId="95" fillId="23" borderId="118" applyNumberFormat="0" applyAlignment="0" applyProtection="0"/>
    <xf numFmtId="0" fontId="96" fillId="23" borderId="118" applyNumberFormat="0" applyAlignment="0" applyProtection="0"/>
    <xf numFmtId="0" fontId="95" fillId="23" borderId="118" applyNumberFormat="0" applyAlignment="0" applyProtection="0"/>
    <xf numFmtId="0" fontId="85" fillId="10" borderId="116" applyNumberFormat="0" applyAlignment="0" applyProtection="0"/>
    <xf numFmtId="0" fontId="95" fillId="23" borderId="118" applyNumberFormat="0" applyAlignment="0" applyProtection="0"/>
    <xf numFmtId="0" fontId="85" fillId="10" borderId="116" applyNumberFormat="0" applyAlignment="0" applyProtection="0"/>
    <xf numFmtId="0" fontId="63" fillId="26" borderId="117" applyNumberFormat="0" applyFont="0" applyAlignment="0" applyProtection="0"/>
    <xf numFmtId="0" fontId="71" fillId="23" borderId="116" applyNumberFormat="0" applyAlignment="0" applyProtection="0"/>
    <xf numFmtId="0" fontId="49" fillId="26" borderId="117" applyNumberFormat="0" applyFont="0" applyAlignment="0" applyProtection="0"/>
    <xf numFmtId="0" fontId="64" fillId="26" borderId="117" applyNumberFormat="0" applyFont="0" applyAlignment="0" applyProtection="0"/>
    <xf numFmtId="0" fontId="65" fillId="26" borderId="117" applyNumberFormat="0" applyFont="0" applyAlignment="0" applyProtection="0"/>
    <xf numFmtId="0" fontId="63" fillId="26" borderId="117" applyNumberFormat="0" applyFont="0" applyAlignment="0" applyProtection="0"/>
    <xf numFmtId="0" fontId="49" fillId="26" borderId="117" applyNumberFormat="0" applyFont="0" applyAlignment="0" applyProtection="0"/>
    <xf numFmtId="0" fontId="85" fillId="10" borderId="121" applyNumberFormat="0" applyAlignment="0" applyProtection="0"/>
    <xf numFmtId="0" fontId="70" fillId="23" borderId="121" applyNumberFormat="0" applyAlignment="0" applyProtection="0"/>
    <xf numFmtId="0" fontId="49" fillId="26" borderId="117" applyNumberFormat="0" applyFon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70" fillId="23" borderId="87" applyNumberFormat="0" applyAlignment="0" applyProtection="0"/>
    <xf numFmtId="0" fontId="71" fillId="23" borderId="87" applyNumberFormat="0" applyAlignment="0" applyProtection="0"/>
    <xf numFmtId="0" fontId="70" fillId="23" borderId="87" applyNumberFormat="0" applyAlignment="0" applyProtection="0"/>
    <xf numFmtId="0" fontId="70" fillId="23" borderId="87"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43" fontId="5" fillId="0" borderId="0" applyFont="0" applyFill="0" applyBorder="0" applyAlignment="0" applyProtection="0"/>
    <xf numFmtId="0" fontId="98" fillId="0" borderId="123" applyNumberFormat="0" applyFill="0" applyAlignment="0" applyProtection="0"/>
    <xf numFmtId="0" fontId="95" fillId="23" borderId="122"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5" fillId="26" borderId="125" applyNumberFormat="0" applyFont="0" applyAlignment="0" applyProtection="0"/>
    <xf numFmtId="0" fontId="98" fillId="0" borderId="123" applyNumberFormat="0" applyFill="0" applyAlignment="0" applyProtection="0"/>
    <xf numFmtId="44" fontId="5" fillId="0" borderId="0" applyFont="0" applyFill="0" applyBorder="0" applyAlignment="0" applyProtection="0"/>
    <xf numFmtId="0" fontId="83" fillId="0" borderId="99" applyNumberFormat="0" applyFill="0" applyAlignment="0" applyProtection="0"/>
    <xf numFmtId="0" fontId="84" fillId="0" borderId="99" applyNumberFormat="0" applyFill="0" applyAlignment="0" applyProtection="0"/>
    <xf numFmtId="0" fontId="83" fillId="0" borderId="99" applyNumberFormat="0" applyFill="0" applyAlignment="0" applyProtection="0"/>
    <xf numFmtId="44" fontId="5" fillId="0" borderId="0" applyFont="0" applyFill="0" applyBorder="0" applyAlignment="0" applyProtection="0"/>
    <xf numFmtId="44" fontId="5" fillId="0" borderId="0" applyFont="0" applyFill="0" applyBorder="0" applyAlignment="0" applyProtection="0"/>
    <xf numFmtId="0" fontId="63"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3" fillId="0" borderId="88" applyNumberFormat="0" applyFill="0" applyAlignment="0" applyProtection="0"/>
    <xf numFmtId="0" fontId="84" fillId="0" borderId="88" applyNumberFormat="0" applyFill="0" applyAlignment="0" applyProtection="0"/>
    <xf numFmtId="0" fontId="83" fillId="0" borderId="88" applyNumberFormat="0" applyFill="0" applyAlignment="0" applyProtection="0"/>
    <xf numFmtId="0" fontId="83" fillId="0" borderId="88" applyNumberFormat="0" applyFill="0" applyAlignment="0" applyProtection="0"/>
    <xf numFmtId="0" fontId="85"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85" fillId="10" borderId="87" applyNumberFormat="0" applyAlignment="0" applyProtection="0"/>
    <xf numFmtId="0" fontId="86" fillId="10" borderId="87" applyNumberFormat="0" applyAlignment="0" applyProtection="0"/>
    <xf numFmtId="0" fontId="85" fillId="10" borderId="87" applyNumberFormat="0" applyAlignment="0" applyProtection="0"/>
    <xf numFmtId="0" fontId="85" fillId="10" borderId="87" applyNumberFormat="0" applyAlignment="0" applyProtection="0"/>
    <xf numFmtId="0" fontId="98" fillId="0" borderId="123" applyNumberFormat="0" applyFill="0" applyAlignment="0" applyProtection="0"/>
    <xf numFmtId="0" fontId="85" fillId="10" borderId="121" applyNumberFormat="0" applyAlignment="0" applyProtection="0"/>
    <xf numFmtId="0" fontId="5" fillId="0" borderId="0"/>
    <xf numFmtId="0" fontId="5" fillId="0" borderId="0"/>
    <xf numFmtId="0" fontId="5" fillId="0" borderId="0"/>
    <xf numFmtId="0" fontId="95" fillId="23" borderId="122"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5" fillId="10" borderId="121" applyNumberFormat="0" applyAlignment="0" applyProtection="0"/>
    <xf numFmtId="0" fontId="99" fillId="0" borderId="123" applyNumberFormat="0" applyFill="0" applyAlignment="0" applyProtection="0"/>
    <xf numFmtId="0" fontId="5" fillId="4" borderId="6" applyNumberFormat="0" applyFont="0" applyAlignment="0" applyProtection="0"/>
    <xf numFmtId="0" fontId="95" fillId="23" borderId="89" applyNumberFormat="0" applyAlignment="0" applyProtection="0"/>
    <xf numFmtId="0" fontId="96" fillId="23" borderId="89" applyNumberFormat="0" applyAlignment="0" applyProtection="0"/>
    <xf numFmtId="0" fontId="95" fillId="23" borderId="89" applyNumberFormat="0" applyAlignment="0" applyProtection="0"/>
    <xf numFmtId="0" fontId="95" fillId="23" borderId="89"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8" fillId="0" borderId="90" applyNumberFormat="0" applyFill="0" applyAlignment="0" applyProtection="0"/>
    <xf numFmtId="0" fontId="99" fillId="0" borderId="90" applyNumberFormat="0" applyFill="0" applyAlignment="0" applyProtection="0"/>
    <xf numFmtId="0" fontId="98" fillId="0" borderId="90" applyNumberFormat="0" applyFill="0" applyAlignment="0" applyProtection="0"/>
    <xf numFmtId="0" fontId="98" fillId="0" borderId="90"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0" fillId="23" borderId="121" applyNumberFormat="0" applyAlignment="0" applyProtection="0"/>
    <xf numFmtId="0" fontId="85" fillId="10" borderId="87" applyNumberFormat="0" applyAlignment="0" applyProtection="0"/>
    <xf numFmtId="0" fontId="85" fillId="10" borderId="87" applyNumberFormat="0" applyAlignment="0" applyProtection="0"/>
    <xf numFmtId="0" fontId="70" fillId="23" borderId="87" applyNumberFormat="0" applyAlignment="0" applyProtection="0"/>
    <xf numFmtId="0" fontId="71" fillId="23" borderId="87" applyNumberFormat="0" applyAlignment="0" applyProtection="0"/>
    <xf numFmtId="0" fontId="70" fillId="23" borderId="87"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5" fillId="23" borderId="89" applyNumberFormat="0" applyAlignment="0" applyProtection="0"/>
    <xf numFmtId="0" fontId="96" fillId="23" borderId="89" applyNumberFormat="0" applyAlignment="0" applyProtection="0"/>
    <xf numFmtId="0" fontId="95" fillId="23" borderId="89" applyNumberFormat="0" applyAlignment="0" applyProtection="0"/>
    <xf numFmtId="0" fontId="95" fillId="23" borderId="89" applyNumberFormat="0" applyAlignment="0" applyProtection="0"/>
    <xf numFmtId="0" fontId="5" fillId="0" borderId="0"/>
    <xf numFmtId="0" fontId="5" fillId="0" borderId="0"/>
    <xf numFmtId="0" fontId="5" fillId="0" borderId="0"/>
    <xf numFmtId="0" fontId="98" fillId="0" borderId="90" applyNumberFormat="0" applyFill="0" applyAlignment="0" applyProtection="0"/>
    <xf numFmtId="0" fontId="99" fillId="0" borderId="90" applyNumberFormat="0" applyFill="0" applyAlignment="0" applyProtection="0"/>
    <xf numFmtId="0" fontId="98" fillId="0" borderId="90" applyNumberFormat="0" applyFill="0" applyAlignment="0" applyProtection="0"/>
    <xf numFmtId="0" fontId="98" fillId="0" borderId="90" applyNumberFormat="0" applyFill="0" applyAlignment="0" applyProtection="0"/>
    <xf numFmtId="0" fontId="85" fillId="10" borderId="87" applyNumberFormat="0" applyAlignment="0" applyProtection="0"/>
    <xf numFmtId="0" fontId="86" fillId="10" borderId="87"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23" borderId="87" applyNumberFormat="0" applyAlignment="0" applyProtection="0"/>
    <xf numFmtId="0" fontId="86" fillId="10" borderId="121" applyNumberFormat="0" applyAlignment="0" applyProtection="0"/>
    <xf numFmtId="0" fontId="98" fillId="0" borderId="123" applyNumberFormat="0" applyFill="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0" fillId="23" borderId="87" applyNumberFormat="0" applyAlignment="0" applyProtection="0"/>
    <xf numFmtId="0" fontId="71" fillId="23" borderId="87" applyNumberFormat="0" applyAlignment="0" applyProtection="0"/>
    <xf numFmtId="0" fontId="70" fillId="23" borderId="87" applyNumberFormat="0" applyAlignment="0" applyProtection="0"/>
    <xf numFmtId="0" fontId="70" fillId="23" borderId="87"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5" fillId="10" borderId="87" applyNumberFormat="0" applyAlignment="0" applyProtection="0"/>
    <xf numFmtId="0" fontId="86" fillId="10" borderId="87" applyNumberFormat="0" applyAlignment="0" applyProtection="0"/>
    <xf numFmtId="0" fontId="85" fillId="10" borderId="87" applyNumberFormat="0" applyAlignment="0" applyProtection="0"/>
    <xf numFmtId="0" fontId="85" fillId="10" borderId="87"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6" fillId="23" borderId="122" applyNumberFormat="0" applyAlignment="0" applyProtection="0"/>
    <xf numFmtId="0" fontId="5" fillId="4" borderId="6" applyNumberFormat="0" applyFont="0" applyAlignment="0" applyProtection="0"/>
    <xf numFmtId="0" fontId="95" fillId="23" borderId="89" applyNumberFormat="0" applyAlignment="0" applyProtection="0"/>
    <xf numFmtId="0" fontId="96" fillId="23" borderId="89" applyNumberFormat="0" applyAlignment="0" applyProtection="0"/>
    <xf numFmtId="0" fontId="95" fillId="23" borderId="89" applyNumberFormat="0" applyAlignment="0" applyProtection="0"/>
    <xf numFmtId="0" fontId="95" fillId="23" borderId="89"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8" fillId="0" borderId="90" applyNumberFormat="0" applyFill="0" applyAlignment="0" applyProtection="0"/>
    <xf numFmtId="0" fontId="99" fillId="0" borderId="90" applyNumberFormat="0" applyFill="0" applyAlignment="0" applyProtection="0"/>
    <xf numFmtId="0" fontId="98" fillId="0" borderId="90" applyNumberFormat="0" applyFill="0" applyAlignment="0" applyProtection="0"/>
    <xf numFmtId="0" fontId="98" fillId="0" borderId="90"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1" fillId="23" borderId="121" applyNumberFormat="0" applyAlignment="0" applyProtection="0"/>
    <xf numFmtId="0" fontId="85" fillId="10" borderId="87" applyNumberFormat="0" applyAlignment="0" applyProtection="0"/>
    <xf numFmtId="0" fontId="85" fillId="10" borderId="87" applyNumberFormat="0" applyAlignment="0" applyProtection="0"/>
    <xf numFmtId="0" fontId="70" fillId="23" borderId="87" applyNumberFormat="0" applyAlignment="0" applyProtection="0"/>
    <xf numFmtId="0" fontId="71" fillId="23" borderId="87" applyNumberFormat="0" applyAlignment="0" applyProtection="0"/>
    <xf numFmtId="0" fontId="70" fillId="23" borderId="87"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5" fillId="23" borderId="89" applyNumberFormat="0" applyAlignment="0" applyProtection="0"/>
    <xf numFmtId="0" fontId="96" fillId="23" borderId="89" applyNumberFormat="0" applyAlignment="0" applyProtection="0"/>
    <xf numFmtId="0" fontId="95" fillId="23" borderId="89" applyNumberFormat="0" applyAlignment="0" applyProtection="0"/>
    <xf numFmtId="0" fontId="95" fillId="23" borderId="89" applyNumberFormat="0" applyAlignment="0" applyProtection="0"/>
    <xf numFmtId="0" fontId="5" fillId="0" borderId="0"/>
    <xf numFmtId="0" fontId="5" fillId="0" borderId="0"/>
    <xf numFmtId="0" fontId="5" fillId="0" borderId="0"/>
    <xf numFmtId="0" fontId="98" fillId="0" borderId="90" applyNumberFormat="0" applyFill="0" applyAlignment="0" applyProtection="0"/>
    <xf numFmtId="0" fontId="99" fillId="0" borderId="90" applyNumberFormat="0" applyFill="0" applyAlignment="0" applyProtection="0"/>
    <xf numFmtId="0" fontId="98" fillId="0" borderId="90" applyNumberFormat="0" applyFill="0" applyAlignment="0" applyProtection="0"/>
    <xf numFmtId="0" fontId="98" fillId="0" borderId="90" applyNumberFormat="0" applyFill="0" applyAlignment="0" applyProtection="0"/>
    <xf numFmtId="0" fontId="85" fillId="10" borderId="87" applyNumberFormat="0" applyAlignment="0" applyProtection="0"/>
    <xf numFmtId="0" fontId="86" fillId="10" borderId="87"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23" borderId="87" applyNumberFormat="0" applyAlignment="0" applyProtection="0"/>
    <xf numFmtId="0" fontId="85" fillId="10" borderId="121" applyNumberFormat="0" applyAlignment="0" applyProtection="0"/>
    <xf numFmtId="0" fontId="98" fillId="0" borderId="123" applyNumberFormat="0" applyFill="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0" fillId="23" borderId="87" applyNumberFormat="0" applyAlignment="0" applyProtection="0"/>
    <xf numFmtId="0" fontId="71" fillId="23" borderId="87" applyNumberFormat="0" applyAlignment="0" applyProtection="0"/>
    <xf numFmtId="0" fontId="70" fillId="23" borderId="87" applyNumberFormat="0" applyAlignment="0" applyProtection="0"/>
    <xf numFmtId="0" fontId="70" fillId="23" borderId="87"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5" fillId="10" borderId="87" applyNumberFormat="0" applyAlignment="0" applyProtection="0"/>
    <xf numFmtId="0" fontId="86" fillId="10" borderId="87" applyNumberFormat="0" applyAlignment="0" applyProtection="0"/>
    <xf numFmtId="0" fontId="85" fillId="10" borderId="87" applyNumberFormat="0" applyAlignment="0" applyProtection="0"/>
    <xf numFmtId="0" fontId="85" fillId="10" borderId="87"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0" fontId="95" fillId="23" borderId="89" applyNumberFormat="0" applyAlignment="0" applyProtection="0"/>
    <xf numFmtId="0" fontId="96" fillId="23" borderId="89" applyNumberFormat="0" applyAlignment="0" applyProtection="0"/>
    <xf numFmtId="0" fontId="95" fillId="23" borderId="89" applyNumberFormat="0" applyAlignment="0" applyProtection="0"/>
    <xf numFmtId="0" fontId="95" fillId="23" borderId="89"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8" fillId="0" borderId="90" applyNumberFormat="0" applyFill="0" applyAlignment="0" applyProtection="0"/>
    <xf numFmtId="0" fontId="99" fillId="0" borderId="90" applyNumberFormat="0" applyFill="0" applyAlignment="0" applyProtection="0"/>
    <xf numFmtId="0" fontId="98" fillId="0" borderId="90" applyNumberFormat="0" applyFill="0" applyAlignment="0" applyProtection="0"/>
    <xf numFmtId="0" fontId="98" fillId="0" borderId="90"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5" fillId="26" borderId="125" applyNumberFormat="0" applyFont="0" applyAlignment="0" applyProtection="0"/>
    <xf numFmtId="0" fontId="85" fillId="10" borderId="87" applyNumberFormat="0" applyAlignment="0" applyProtection="0"/>
    <xf numFmtId="0" fontId="85" fillId="10" borderId="87" applyNumberFormat="0" applyAlignment="0" applyProtection="0"/>
    <xf numFmtId="0" fontId="70" fillId="23" borderId="87" applyNumberFormat="0" applyAlignment="0" applyProtection="0"/>
    <xf numFmtId="0" fontId="71" fillId="23" borderId="87" applyNumberFormat="0" applyAlignment="0" applyProtection="0"/>
    <xf numFmtId="0" fontId="70" fillId="23" borderId="87"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5" fillId="23" borderId="89" applyNumberFormat="0" applyAlignment="0" applyProtection="0"/>
    <xf numFmtId="0" fontId="96" fillId="23" borderId="89" applyNumberFormat="0" applyAlignment="0" applyProtection="0"/>
    <xf numFmtId="0" fontId="95" fillId="23" borderId="89" applyNumberFormat="0" applyAlignment="0" applyProtection="0"/>
    <xf numFmtId="0" fontId="95" fillId="23" borderId="89" applyNumberFormat="0" applyAlignment="0" applyProtection="0"/>
    <xf numFmtId="0" fontId="5" fillId="0" borderId="0"/>
    <xf numFmtId="0" fontId="5" fillId="0" borderId="0"/>
    <xf numFmtId="0" fontId="5" fillId="0" borderId="0"/>
    <xf numFmtId="0" fontId="98" fillId="0" borderId="90" applyNumberFormat="0" applyFill="0" applyAlignment="0" applyProtection="0"/>
    <xf numFmtId="0" fontId="99" fillId="0" borderId="90" applyNumberFormat="0" applyFill="0" applyAlignment="0" applyProtection="0"/>
    <xf numFmtId="0" fontId="98" fillId="0" borderId="90" applyNumberFormat="0" applyFill="0" applyAlignment="0" applyProtection="0"/>
    <xf numFmtId="0" fontId="98" fillId="0" borderId="90" applyNumberFormat="0" applyFill="0" applyAlignment="0" applyProtection="0"/>
    <xf numFmtId="0" fontId="85" fillId="10" borderId="87" applyNumberFormat="0" applyAlignment="0" applyProtection="0"/>
    <xf numFmtId="0" fontId="86" fillId="10" borderId="87"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23" borderId="87" applyNumberFormat="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0" fillId="23" borderId="87" applyNumberFormat="0" applyAlignment="0" applyProtection="0"/>
    <xf numFmtId="0" fontId="71" fillId="23" borderId="87" applyNumberFormat="0" applyAlignment="0" applyProtection="0"/>
    <xf numFmtId="0" fontId="70" fillId="23" borderId="87" applyNumberFormat="0" applyAlignment="0" applyProtection="0"/>
    <xf numFmtId="0" fontId="70" fillId="23" borderId="87"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5" fillId="10" borderId="87" applyNumberFormat="0" applyAlignment="0" applyProtection="0"/>
    <xf numFmtId="0" fontId="86" fillId="10" borderId="87" applyNumberFormat="0" applyAlignment="0" applyProtection="0"/>
    <xf numFmtId="0" fontId="85" fillId="10" borderId="87" applyNumberFormat="0" applyAlignment="0" applyProtection="0"/>
    <xf numFmtId="0" fontId="85" fillId="10" borderId="87"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5" fillId="23" borderId="122" applyNumberFormat="0" applyAlignment="0" applyProtection="0"/>
    <xf numFmtId="0" fontId="5" fillId="4" borderId="6" applyNumberFormat="0" applyFont="0" applyAlignment="0" applyProtection="0"/>
    <xf numFmtId="0" fontId="95" fillId="23" borderId="89" applyNumberFormat="0" applyAlignment="0" applyProtection="0"/>
    <xf numFmtId="0" fontId="96" fillId="23" borderId="89" applyNumberFormat="0" applyAlignment="0" applyProtection="0"/>
    <xf numFmtId="0" fontId="95" fillId="23" borderId="89" applyNumberFormat="0" applyAlignment="0" applyProtection="0"/>
    <xf numFmtId="0" fontId="95" fillId="23" borderId="89"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8" fillId="0" borderId="90" applyNumberFormat="0" applyFill="0" applyAlignment="0" applyProtection="0"/>
    <xf numFmtId="0" fontId="99" fillId="0" borderId="90" applyNumberFormat="0" applyFill="0" applyAlignment="0" applyProtection="0"/>
    <xf numFmtId="0" fontId="98" fillId="0" borderId="90" applyNumberFormat="0" applyFill="0" applyAlignment="0" applyProtection="0"/>
    <xf numFmtId="0" fontId="98" fillId="0" borderId="90"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0" fillId="23" borderId="121" applyNumberFormat="0" applyAlignment="0" applyProtection="0"/>
    <xf numFmtId="0" fontId="85" fillId="10" borderId="87" applyNumberFormat="0" applyAlignment="0" applyProtection="0"/>
    <xf numFmtId="0" fontId="85" fillId="10" borderId="87" applyNumberFormat="0" applyAlignment="0" applyProtection="0"/>
    <xf numFmtId="0" fontId="70" fillId="23" borderId="87" applyNumberFormat="0" applyAlignment="0" applyProtection="0"/>
    <xf numFmtId="0" fontId="71" fillId="23" borderId="87" applyNumberFormat="0" applyAlignment="0" applyProtection="0"/>
    <xf numFmtId="0" fontId="70" fillId="23" borderId="87"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5" fillId="23" borderId="89" applyNumberFormat="0" applyAlignment="0" applyProtection="0"/>
    <xf numFmtId="0" fontId="96" fillId="23" borderId="89" applyNumberFormat="0" applyAlignment="0" applyProtection="0"/>
    <xf numFmtId="0" fontId="95" fillId="23" borderId="89" applyNumberFormat="0" applyAlignment="0" applyProtection="0"/>
    <xf numFmtId="0" fontId="95" fillId="23" borderId="89" applyNumberFormat="0" applyAlignment="0" applyProtection="0"/>
    <xf numFmtId="0" fontId="5" fillId="0" borderId="0"/>
    <xf numFmtId="0" fontId="5" fillId="0" borderId="0"/>
    <xf numFmtId="0" fontId="5" fillId="0" borderId="0"/>
    <xf numFmtId="0" fontId="98" fillId="0" borderId="90" applyNumberFormat="0" applyFill="0" applyAlignment="0" applyProtection="0"/>
    <xf numFmtId="0" fontId="99" fillId="0" borderId="90" applyNumberFormat="0" applyFill="0" applyAlignment="0" applyProtection="0"/>
    <xf numFmtId="0" fontId="98" fillId="0" borderId="90" applyNumberFormat="0" applyFill="0" applyAlignment="0" applyProtection="0"/>
    <xf numFmtId="0" fontId="98" fillId="0" borderId="90" applyNumberFormat="0" applyFill="0" applyAlignment="0" applyProtection="0"/>
    <xf numFmtId="0" fontId="85" fillId="10" borderId="87" applyNumberFormat="0" applyAlignment="0" applyProtection="0"/>
    <xf numFmtId="0" fontId="86" fillId="10" borderId="87"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23" borderId="87" applyNumberFormat="0" applyAlignment="0" applyProtection="0"/>
    <xf numFmtId="0" fontId="85" fillId="10" borderId="121" applyNumberFormat="0" applyAlignment="0" applyProtection="0"/>
    <xf numFmtId="0" fontId="5" fillId="0" borderId="0"/>
    <xf numFmtId="0" fontId="49" fillId="26" borderId="125" applyNumberFormat="0" applyFont="0" applyAlignment="0" applyProtection="0"/>
    <xf numFmtId="0" fontId="85" fillId="10" borderId="87" applyNumberFormat="0" applyAlignment="0" applyProtection="0"/>
    <xf numFmtId="0" fontId="85" fillId="10" borderId="87" applyNumberFormat="0" applyAlignment="0" applyProtection="0"/>
    <xf numFmtId="0" fontId="70" fillId="23" borderId="87" applyNumberFormat="0" applyAlignment="0" applyProtection="0"/>
    <xf numFmtId="0" fontId="71" fillId="23" borderId="87" applyNumberFormat="0" applyAlignment="0" applyProtection="0"/>
    <xf numFmtId="0" fontId="70" fillId="23" borderId="87" applyNumberFormat="0" applyAlignment="0" applyProtection="0"/>
    <xf numFmtId="0" fontId="95" fillId="23" borderId="89" applyNumberFormat="0" applyAlignment="0" applyProtection="0"/>
    <xf numFmtId="0" fontId="96" fillId="23" borderId="89" applyNumberFormat="0" applyAlignment="0" applyProtection="0"/>
    <xf numFmtId="0" fontId="95" fillId="23" borderId="89" applyNumberFormat="0" applyAlignment="0" applyProtection="0"/>
    <xf numFmtId="0" fontId="95" fillId="23" borderId="89" applyNumberFormat="0" applyAlignment="0" applyProtection="0"/>
    <xf numFmtId="0" fontId="98" fillId="0" borderId="90" applyNumberFormat="0" applyFill="0" applyAlignment="0" applyProtection="0"/>
    <xf numFmtId="0" fontId="99" fillId="0" borderId="90" applyNumberFormat="0" applyFill="0" applyAlignment="0" applyProtection="0"/>
    <xf numFmtId="0" fontId="98" fillId="0" borderId="90" applyNumberFormat="0" applyFill="0" applyAlignment="0" applyProtection="0"/>
    <xf numFmtId="0" fontId="98" fillId="0" borderId="90" applyNumberFormat="0" applyFill="0" applyAlignment="0" applyProtection="0"/>
    <xf numFmtId="0" fontId="85" fillId="10" borderId="87" applyNumberFormat="0" applyAlignment="0" applyProtection="0"/>
    <xf numFmtId="0" fontId="86" fillId="10" borderId="87" applyNumberFormat="0" applyAlignment="0" applyProtection="0"/>
    <xf numFmtId="0" fontId="70" fillId="23" borderId="87" applyNumberFormat="0" applyAlignment="0" applyProtection="0"/>
    <xf numFmtId="0" fontId="70" fillId="23" borderId="87" applyNumberFormat="0" applyAlignment="0" applyProtection="0"/>
    <xf numFmtId="0" fontId="71" fillId="23" borderId="87" applyNumberFormat="0" applyAlignment="0" applyProtection="0"/>
    <xf numFmtId="0" fontId="70" fillId="23" borderId="87" applyNumberFormat="0" applyAlignment="0" applyProtection="0"/>
    <xf numFmtId="0" fontId="70" fillId="23" borderId="87" applyNumberFormat="0" applyAlignment="0" applyProtection="0"/>
    <xf numFmtId="0" fontId="85" fillId="10" borderId="87" applyNumberFormat="0" applyAlignment="0" applyProtection="0"/>
    <xf numFmtId="0" fontId="86" fillId="10" borderId="87" applyNumberFormat="0" applyAlignment="0" applyProtection="0"/>
    <xf numFmtId="0" fontId="85" fillId="10" borderId="87" applyNumberFormat="0" applyAlignment="0" applyProtection="0"/>
    <xf numFmtId="0" fontId="85" fillId="10" borderId="87" applyNumberFormat="0" applyAlignment="0" applyProtection="0"/>
    <xf numFmtId="0" fontId="95" fillId="23" borderId="89" applyNumberFormat="0" applyAlignment="0" applyProtection="0"/>
    <xf numFmtId="0" fontId="96" fillId="23" borderId="89" applyNumberFormat="0" applyAlignment="0" applyProtection="0"/>
    <xf numFmtId="0" fontId="95" fillId="23" borderId="89" applyNumberFormat="0" applyAlignment="0" applyProtection="0"/>
    <xf numFmtId="0" fontId="95" fillId="23" borderId="89" applyNumberFormat="0" applyAlignment="0" applyProtection="0"/>
    <xf numFmtId="0" fontId="98" fillId="0" borderId="90" applyNumberFormat="0" applyFill="0" applyAlignment="0" applyProtection="0"/>
    <xf numFmtId="0" fontId="99" fillId="0" borderId="90" applyNumberFormat="0" applyFill="0" applyAlignment="0" applyProtection="0"/>
    <xf numFmtId="0" fontId="98" fillId="0" borderId="90" applyNumberFormat="0" applyFill="0" applyAlignment="0" applyProtection="0"/>
    <xf numFmtId="0" fontId="98" fillId="0" borderId="90" applyNumberFormat="0" applyFill="0" applyAlignment="0" applyProtection="0"/>
    <xf numFmtId="0" fontId="85" fillId="10" borderId="87" applyNumberFormat="0" applyAlignment="0" applyProtection="0"/>
    <xf numFmtId="0" fontId="85" fillId="10" borderId="87" applyNumberFormat="0" applyAlignment="0" applyProtection="0"/>
    <xf numFmtId="0" fontId="70" fillId="23" borderId="87" applyNumberFormat="0" applyAlignment="0" applyProtection="0"/>
    <xf numFmtId="0" fontId="71" fillId="23" borderId="87" applyNumberFormat="0" applyAlignment="0" applyProtection="0"/>
    <xf numFmtId="0" fontId="70" fillId="23" borderId="87" applyNumberFormat="0" applyAlignment="0" applyProtection="0"/>
    <xf numFmtId="0" fontId="95" fillId="23" borderId="89" applyNumberFormat="0" applyAlignment="0" applyProtection="0"/>
    <xf numFmtId="0" fontId="96" fillId="23" borderId="89" applyNumberFormat="0" applyAlignment="0" applyProtection="0"/>
    <xf numFmtId="0" fontId="95" fillId="23" borderId="89" applyNumberFormat="0" applyAlignment="0" applyProtection="0"/>
    <xf numFmtId="0" fontId="95" fillId="23" borderId="89" applyNumberFormat="0" applyAlignment="0" applyProtection="0"/>
    <xf numFmtId="0" fontId="98" fillId="0" borderId="90" applyNumberFormat="0" applyFill="0" applyAlignment="0" applyProtection="0"/>
    <xf numFmtId="0" fontId="99" fillId="0" borderId="90" applyNumberFormat="0" applyFill="0" applyAlignment="0" applyProtection="0"/>
    <xf numFmtId="0" fontId="98" fillId="0" borderId="90" applyNumberFormat="0" applyFill="0" applyAlignment="0" applyProtection="0"/>
    <xf numFmtId="0" fontId="98" fillId="0" borderId="90" applyNumberFormat="0" applyFill="0" applyAlignment="0" applyProtection="0"/>
    <xf numFmtId="0" fontId="85" fillId="10" borderId="87" applyNumberFormat="0" applyAlignment="0" applyProtection="0"/>
    <xf numFmtId="0" fontId="86" fillId="10" borderId="87" applyNumberFormat="0" applyAlignment="0" applyProtection="0"/>
    <xf numFmtId="0" fontId="70" fillId="23" borderId="87" applyNumberFormat="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85" fillId="10" borderId="121" applyNumberFormat="0" applyAlignment="0" applyProtection="0"/>
    <xf numFmtId="0" fontId="5" fillId="0" borderId="0"/>
    <xf numFmtId="0" fontId="5" fillId="0" borderId="0"/>
    <xf numFmtId="43" fontId="5" fillId="0" borderId="0" applyFont="0" applyFill="0" applyBorder="0" applyAlignment="0" applyProtection="0"/>
    <xf numFmtId="0" fontId="49" fillId="26" borderId="125" applyNumberFormat="0" applyFont="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65" fillId="26" borderId="125" applyNumberFormat="0" applyFont="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70" fillId="23" borderId="121" applyNumberFormat="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4" fillId="26" borderId="125" applyNumberFormat="0" applyFont="0" applyAlignment="0" applyProtection="0"/>
    <xf numFmtId="0" fontId="5" fillId="0" borderId="0"/>
    <xf numFmtId="0" fontId="5" fillId="0" borderId="0"/>
    <xf numFmtId="0" fontId="122" fillId="28" borderId="92" applyNumberFormat="0" applyProtection="0">
      <alignment horizontal="center"/>
    </xf>
    <xf numFmtId="0" fontId="63" fillId="26" borderId="125" applyNumberFormat="0" applyFont="0" applyAlignment="0" applyProtection="0"/>
    <xf numFmtId="0" fontId="70" fillId="23" borderId="121" applyNumberFormat="0" applyAlignment="0" applyProtection="0"/>
    <xf numFmtId="0" fontId="64" fillId="26" borderId="125" applyNumberFormat="0" applyFont="0" applyAlignment="0" applyProtection="0"/>
    <xf numFmtId="0" fontId="83" fillId="0" borderId="99" applyNumberFormat="0" applyFill="0" applyAlignment="0" applyProtection="0"/>
    <xf numFmtId="0" fontId="5" fillId="0" borderId="0"/>
    <xf numFmtId="0" fontId="122" fillId="28" borderId="51" applyNumberFormat="0" applyProtection="0">
      <alignment horizontal="center"/>
    </xf>
    <xf numFmtId="0" fontId="95" fillId="23" borderId="122" applyNumberFormat="0" applyAlignment="0" applyProtection="0"/>
    <xf numFmtId="0" fontId="5" fillId="0" borderId="0"/>
    <xf numFmtId="0" fontId="122" fillId="28" borderId="93" applyNumberFormat="0" applyProtection="0">
      <alignment horizontal="center"/>
    </xf>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8" fillId="0" borderId="123" applyNumberFormat="0" applyFill="0" applyAlignment="0" applyProtection="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95" fillId="23" borderId="122"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4" fillId="26" borderId="12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0" fillId="23" borderId="87" applyNumberFormat="0" applyAlignment="0" applyProtection="0"/>
    <xf numFmtId="0" fontId="71" fillId="23" borderId="87" applyNumberFormat="0" applyAlignment="0" applyProtection="0"/>
    <xf numFmtId="0" fontId="70" fillId="23" borderId="87" applyNumberFormat="0" applyAlignment="0" applyProtection="0"/>
    <xf numFmtId="0" fontId="70" fillId="23" borderId="87"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5" fillId="10" borderId="87" applyNumberFormat="0" applyAlignment="0" applyProtection="0"/>
    <xf numFmtId="0" fontId="86" fillId="10" borderId="87" applyNumberFormat="0" applyAlignment="0" applyProtection="0"/>
    <xf numFmtId="0" fontId="85" fillId="10" borderId="87" applyNumberFormat="0" applyAlignment="0" applyProtection="0"/>
    <xf numFmtId="0" fontId="85" fillId="10" borderId="87"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0" fontId="95" fillId="23" borderId="89" applyNumberFormat="0" applyAlignment="0" applyProtection="0"/>
    <xf numFmtId="0" fontId="96" fillId="23" borderId="89" applyNumberFormat="0" applyAlignment="0" applyProtection="0"/>
    <xf numFmtId="0" fontId="95" fillId="23" borderId="89" applyNumberFormat="0" applyAlignment="0" applyProtection="0"/>
    <xf numFmtId="0" fontId="95" fillId="23" borderId="89"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8" fillId="0" borderId="90" applyNumberFormat="0" applyFill="0" applyAlignment="0" applyProtection="0"/>
    <xf numFmtId="0" fontId="99" fillId="0" borderId="90" applyNumberFormat="0" applyFill="0" applyAlignment="0" applyProtection="0"/>
    <xf numFmtId="0" fontId="98" fillId="0" borderId="90" applyNumberFormat="0" applyFill="0" applyAlignment="0" applyProtection="0"/>
    <xf numFmtId="0" fontId="98" fillId="0" borderId="90"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3" fillId="26" borderId="125" applyNumberFormat="0" applyFont="0" applyAlignment="0" applyProtection="0"/>
    <xf numFmtId="0" fontId="85" fillId="10" borderId="87" applyNumberFormat="0" applyAlignment="0" applyProtection="0"/>
    <xf numFmtId="0" fontId="85" fillId="10" borderId="87" applyNumberFormat="0" applyAlignment="0" applyProtection="0"/>
    <xf numFmtId="0" fontId="70" fillId="23" borderId="87" applyNumberFormat="0" applyAlignment="0" applyProtection="0"/>
    <xf numFmtId="0" fontId="71" fillId="23" borderId="87" applyNumberFormat="0" applyAlignment="0" applyProtection="0"/>
    <xf numFmtId="0" fontId="70" fillId="23" borderId="87"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5" fillId="23" borderId="89" applyNumberFormat="0" applyAlignment="0" applyProtection="0"/>
    <xf numFmtId="0" fontId="96" fillId="23" borderId="89" applyNumberFormat="0" applyAlignment="0" applyProtection="0"/>
    <xf numFmtId="0" fontId="95" fillId="23" borderId="89" applyNumberFormat="0" applyAlignment="0" applyProtection="0"/>
    <xf numFmtId="0" fontId="95" fillId="23" borderId="89" applyNumberFormat="0" applyAlignment="0" applyProtection="0"/>
    <xf numFmtId="0" fontId="5" fillId="0" borderId="0"/>
    <xf numFmtId="0" fontId="5" fillId="0" borderId="0"/>
    <xf numFmtId="0" fontId="5" fillId="0" borderId="0"/>
    <xf numFmtId="0" fontId="98" fillId="0" borderId="90" applyNumberFormat="0" applyFill="0" applyAlignment="0" applyProtection="0"/>
    <xf numFmtId="0" fontId="99" fillId="0" borderId="90" applyNumberFormat="0" applyFill="0" applyAlignment="0" applyProtection="0"/>
    <xf numFmtId="0" fontId="98" fillId="0" borderId="90" applyNumberFormat="0" applyFill="0" applyAlignment="0" applyProtection="0"/>
    <xf numFmtId="0" fontId="98" fillId="0" borderId="90" applyNumberFormat="0" applyFill="0" applyAlignment="0" applyProtection="0"/>
    <xf numFmtId="0" fontId="85" fillId="10" borderId="87" applyNumberFormat="0" applyAlignment="0" applyProtection="0"/>
    <xf numFmtId="0" fontId="86" fillId="10" borderId="87"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23" borderId="87" applyNumberFormat="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0" fillId="23" borderId="87" applyNumberFormat="0" applyAlignment="0" applyProtection="0"/>
    <xf numFmtId="0" fontId="71" fillId="23" borderId="87" applyNumberFormat="0" applyAlignment="0" applyProtection="0"/>
    <xf numFmtId="0" fontId="70" fillId="23" borderId="87" applyNumberFormat="0" applyAlignment="0" applyProtection="0"/>
    <xf numFmtId="0" fontId="70" fillId="23" borderId="87"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5" fillId="10" borderId="87" applyNumberFormat="0" applyAlignment="0" applyProtection="0"/>
    <xf numFmtId="0" fontId="86" fillId="10" borderId="87" applyNumberFormat="0" applyAlignment="0" applyProtection="0"/>
    <xf numFmtId="0" fontId="85" fillId="10" borderId="87" applyNumberFormat="0" applyAlignment="0" applyProtection="0"/>
    <xf numFmtId="0" fontId="85" fillId="10" borderId="87"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5" fillId="23" borderId="122" applyNumberFormat="0" applyAlignment="0" applyProtection="0"/>
    <xf numFmtId="0" fontId="5" fillId="4" borderId="6" applyNumberFormat="0" applyFont="0" applyAlignment="0" applyProtection="0"/>
    <xf numFmtId="0" fontId="95" fillId="23" borderId="89" applyNumberFormat="0" applyAlignment="0" applyProtection="0"/>
    <xf numFmtId="0" fontId="96" fillId="23" borderId="89" applyNumberFormat="0" applyAlignment="0" applyProtection="0"/>
    <xf numFmtId="0" fontId="95" fillId="23" borderId="89" applyNumberFormat="0" applyAlignment="0" applyProtection="0"/>
    <xf numFmtId="0" fontId="95" fillId="23" borderId="89"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8" fillId="0" borderId="90" applyNumberFormat="0" applyFill="0" applyAlignment="0" applyProtection="0"/>
    <xf numFmtId="0" fontId="99" fillId="0" borderId="90" applyNumberFormat="0" applyFill="0" applyAlignment="0" applyProtection="0"/>
    <xf numFmtId="0" fontId="98" fillId="0" borderId="90" applyNumberFormat="0" applyFill="0" applyAlignment="0" applyProtection="0"/>
    <xf numFmtId="0" fontId="98" fillId="0" borderId="90"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0" fillId="23" borderId="121" applyNumberFormat="0" applyAlignment="0" applyProtection="0"/>
    <xf numFmtId="0" fontId="85" fillId="10" borderId="87" applyNumberFormat="0" applyAlignment="0" applyProtection="0"/>
    <xf numFmtId="0" fontId="85" fillId="10" borderId="87" applyNumberFormat="0" applyAlignment="0" applyProtection="0"/>
    <xf numFmtId="0" fontId="70" fillId="23" borderId="87" applyNumberFormat="0" applyAlignment="0" applyProtection="0"/>
    <xf numFmtId="0" fontId="71" fillId="23" borderId="87" applyNumberFormat="0" applyAlignment="0" applyProtection="0"/>
    <xf numFmtId="0" fontId="70" fillId="23" borderId="87"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5" fillId="23" borderId="89" applyNumberFormat="0" applyAlignment="0" applyProtection="0"/>
    <xf numFmtId="0" fontId="96" fillId="23" borderId="89" applyNumberFormat="0" applyAlignment="0" applyProtection="0"/>
    <xf numFmtId="0" fontId="95" fillId="23" borderId="89" applyNumberFormat="0" applyAlignment="0" applyProtection="0"/>
    <xf numFmtId="0" fontId="95" fillId="23" borderId="89" applyNumberFormat="0" applyAlignment="0" applyProtection="0"/>
    <xf numFmtId="0" fontId="5" fillId="0" borderId="0"/>
    <xf numFmtId="0" fontId="5" fillId="0" borderId="0"/>
    <xf numFmtId="0" fontId="5" fillId="0" borderId="0"/>
    <xf numFmtId="0" fontId="98" fillId="0" borderId="90" applyNumberFormat="0" applyFill="0" applyAlignment="0" applyProtection="0"/>
    <xf numFmtId="0" fontId="99" fillId="0" borderId="90" applyNumberFormat="0" applyFill="0" applyAlignment="0" applyProtection="0"/>
    <xf numFmtId="0" fontId="98" fillId="0" borderId="90" applyNumberFormat="0" applyFill="0" applyAlignment="0" applyProtection="0"/>
    <xf numFmtId="0" fontId="98" fillId="0" borderId="90" applyNumberFormat="0" applyFill="0" applyAlignment="0" applyProtection="0"/>
    <xf numFmtId="0" fontId="85" fillId="10" borderId="87" applyNumberFormat="0" applyAlignment="0" applyProtection="0"/>
    <xf numFmtId="0" fontId="86" fillId="10" borderId="87"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23" borderId="87" applyNumberFormat="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122" fillId="28" borderId="93" applyNumberFormat="0" applyProtection="0">
      <alignment horizontal="center"/>
    </xf>
    <xf numFmtId="0" fontId="5" fillId="0" borderId="0"/>
    <xf numFmtId="0" fontId="122" fillId="28" borderId="93" applyNumberFormat="0" applyProtection="0">
      <alignment horizontal="center"/>
    </xf>
    <xf numFmtId="0" fontId="5" fillId="0" borderId="0"/>
    <xf numFmtId="0" fontId="122" fillId="28" borderId="93" applyNumberFormat="0" applyProtection="0">
      <alignment horizontal="center"/>
    </xf>
    <xf numFmtId="0" fontId="5" fillId="0" borderId="0"/>
    <xf numFmtId="44" fontId="5" fillId="0" borderId="0" applyFont="0" applyFill="0" applyBorder="0" applyAlignment="0" applyProtection="0"/>
    <xf numFmtId="43" fontId="5" fillId="0" borderId="0" applyFont="0" applyFill="0" applyBorder="0" applyAlignment="0" applyProtection="0"/>
    <xf numFmtId="0" fontId="85" fillId="10"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70" fillId="23" borderId="94" applyNumberFormat="0" applyAlignment="0" applyProtection="0"/>
    <xf numFmtId="43" fontId="5" fillId="0" borderId="0" applyFont="0" applyFill="0" applyBorder="0" applyAlignment="0" applyProtection="0"/>
    <xf numFmtId="0" fontId="71"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26" borderId="43" applyNumberFormat="0" applyFont="0" applyAlignment="0" applyProtection="0"/>
    <xf numFmtId="0" fontId="65" fillId="26" borderId="43" applyNumberFormat="0" applyFont="0" applyAlignment="0" applyProtection="0"/>
    <xf numFmtId="0" fontId="63" fillId="26" borderId="43" applyNumberFormat="0" applyFont="0" applyAlignment="0" applyProtection="0"/>
    <xf numFmtId="0" fontId="49" fillId="26" borderId="43" applyNumberFormat="0" applyFont="0" applyAlignment="0" applyProtection="0"/>
    <xf numFmtId="0" fontId="5" fillId="4" borderId="6"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3" fillId="26" borderId="43" applyNumberFormat="0" applyFont="0" applyAlignment="0" applyProtection="0"/>
    <xf numFmtId="0" fontId="64" fillId="26" borderId="43"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5" fillId="0" borderId="0"/>
    <xf numFmtId="0" fontId="5" fillId="0" borderId="0"/>
    <xf numFmtId="0" fontId="5" fillId="0" borderId="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23" borderId="94" applyNumberFormat="0" applyAlignment="0" applyProtection="0"/>
    <xf numFmtId="0" fontId="65" fillId="26" borderId="43" applyNumberFormat="0" applyFont="0" applyAlignment="0" applyProtection="0"/>
    <xf numFmtId="0" fontId="49" fillId="26" borderId="43" applyNumberFormat="0" applyFont="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26" borderId="43" applyNumberFormat="0" applyFont="0" applyAlignment="0" applyProtection="0"/>
    <xf numFmtId="0" fontId="65" fillId="26" borderId="43" applyNumberFormat="0" applyFont="0" applyAlignment="0" applyProtection="0"/>
    <xf numFmtId="0" fontId="63" fillId="26" borderId="43" applyNumberFormat="0" applyFont="0" applyAlignment="0" applyProtection="0"/>
    <xf numFmtId="0" fontId="49" fillId="26" borderId="43" applyNumberFormat="0" applyFont="0" applyAlignment="0" applyProtection="0"/>
    <xf numFmtId="0" fontId="5" fillId="4" borderId="6"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3" fillId="26" borderId="43" applyNumberFormat="0" applyFont="0" applyAlignment="0" applyProtection="0"/>
    <xf numFmtId="0" fontId="64" fillId="26" borderId="43"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5" fillId="0" borderId="0"/>
    <xf numFmtId="0" fontId="5" fillId="0" borderId="0"/>
    <xf numFmtId="0" fontId="5" fillId="0" borderId="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23" borderId="94" applyNumberFormat="0" applyAlignment="0" applyProtection="0"/>
    <xf numFmtId="0" fontId="65" fillId="26" borderId="43" applyNumberFormat="0" applyFont="0" applyAlignment="0" applyProtection="0"/>
    <xf numFmtId="0" fontId="49" fillId="26" borderId="43" applyNumberFormat="0" applyFont="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26" borderId="43" applyNumberFormat="0" applyFont="0" applyAlignment="0" applyProtection="0"/>
    <xf numFmtId="0" fontId="65" fillId="26" borderId="43" applyNumberFormat="0" applyFont="0" applyAlignment="0" applyProtection="0"/>
    <xf numFmtId="0" fontId="63" fillId="26" borderId="43" applyNumberFormat="0" applyFont="0" applyAlignment="0" applyProtection="0"/>
    <xf numFmtId="0" fontId="49" fillId="26" borderId="43" applyNumberFormat="0" applyFont="0" applyAlignment="0" applyProtection="0"/>
    <xf numFmtId="0" fontId="5" fillId="4" borderId="6"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3" fillId="26" borderId="43" applyNumberFormat="0" applyFont="0" applyAlignment="0" applyProtection="0"/>
    <xf numFmtId="0" fontId="64" fillId="26" borderId="43"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5" fillId="0" borderId="0"/>
    <xf numFmtId="0" fontId="5" fillId="0" borderId="0"/>
    <xf numFmtId="0" fontId="5" fillId="0" borderId="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23" borderId="94" applyNumberFormat="0" applyAlignment="0" applyProtection="0"/>
    <xf numFmtId="0" fontId="65" fillId="26" borderId="43" applyNumberFormat="0" applyFont="0" applyAlignment="0" applyProtection="0"/>
    <xf numFmtId="0" fontId="49" fillId="26" borderId="43" applyNumberFormat="0" applyFont="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26" borderId="43" applyNumberFormat="0" applyFont="0" applyAlignment="0" applyProtection="0"/>
    <xf numFmtId="0" fontId="65" fillId="26" borderId="43" applyNumberFormat="0" applyFont="0" applyAlignment="0" applyProtection="0"/>
    <xf numFmtId="0" fontId="63" fillId="26" borderId="43" applyNumberFormat="0" applyFont="0" applyAlignment="0" applyProtection="0"/>
    <xf numFmtId="0" fontId="49" fillId="26" borderId="43" applyNumberFormat="0" applyFont="0" applyAlignment="0" applyProtection="0"/>
    <xf numFmtId="0" fontId="5" fillId="4" borderId="6"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3" fillId="26" borderId="43" applyNumberFormat="0" applyFont="0" applyAlignment="0" applyProtection="0"/>
    <xf numFmtId="0" fontId="64" fillId="26" borderId="43"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5" fillId="0" borderId="0"/>
    <xf numFmtId="0" fontId="5" fillId="0" borderId="0"/>
    <xf numFmtId="0" fontId="5" fillId="0" borderId="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23" borderId="94" applyNumberFormat="0" applyAlignment="0" applyProtection="0"/>
    <xf numFmtId="0" fontId="65" fillId="26" borderId="43" applyNumberFormat="0" applyFont="0" applyAlignment="0" applyProtection="0"/>
    <xf numFmtId="0" fontId="49" fillId="26" borderId="43" applyNumberFormat="0" applyFont="0" applyAlignment="0" applyProtection="0"/>
    <xf numFmtId="0" fontId="5" fillId="0" borderId="0"/>
    <xf numFmtId="0" fontId="63" fillId="26" borderId="43" applyNumberFormat="0" applyFont="0" applyAlignment="0" applyProtection="0"/>
    <xf numFmtId="0" fontId="64" fillId="26" borderId="43"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43" applyNumberFormat="0" applyFont="0" applyAlignment="0" applyProtection="0"/>
    <xf numFmtId="0" fontId="49" fillId="26" borderId="43"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43" applyNumberFormat="0" applyFont="0" applyAlignment="0" applyProtection="0"/>
    <xf numFmtId="0" fontId="65" fillId="26" borderId="43" applyNumberFormat="0" applyFont="0" applyAlignment="0" applyProtection="0"/>
    <xf numFmtId="0" fontId="63" fillId="26" borderId="43" applyNumberFormat="0" applyFont="0" applyAlignment="0" applyProtection="0"/>
    <xf numFmtId="0" fontId="49" fillId="26" borderId="43"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43" applyNumberFormat="0" applyFont="0" applyAlignment="0" applyProtection="0"/>
    <xf numFmtId="0" fontId="64" fillId="26" borderId="43"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43" applyNumberFormat="0" applyFont="0" applyAlignment="0" applyProtection="0"/>
    <xf numFmtId="0" fontId="49" fillId="26" borderId="43"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70" fillId="23" borderId="94" applyNumberFormat="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122" fillId="28" borderId="93" applyNumberFormat="0" applyProtection="0">
      <alignment horizontal="center"/>
    </xf>
    <xf numFmtId="0" fontId="5" fillId="0" borderId="0"/>
    <xf numFmtId="0" fontId="122" fillId="28" borderId="97" applyNumberFormat="0" applyProtection="0">
      <alignment horizontal="center"/>
    </xf>
    <xf numFmtId="0" fontId="5" fillId="0" borderId="0"/>
    <xf numFmtId="0" fontId="122" fillId="28" borderId="97" applyNumberFormat="0" applyProtection="0">
      <alignment horizontal="center"/>
    </xf>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26" borderId="85" applyNumberFormat="0" applyFont="0" applyAlignment="0" applyProtection="0"/>
    <xf numFmtId="0" fontId="65" fillId="26" borderId="85" applyNumberFormat="0" applyFont="0" applyAlignment="0" applyProtection="0"/>
    <xf numFmtId="0" fontId="63" fillId="26" borderId="85" applyNumberFormat="0" applyFont="0" applyAlignment="0" applyProtection="0"/>
    <xf numFmtId="0" fontId="49" fillId="26" borderId="85" applyNumberFormat="0" applyFont="0" applyAlignment="0" applyProtection="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3" fillId="26" borderId="85" applyNumberFormat="0" applyFont="0" applyAlignment="0" applyProtection="0"/>
    <xf numFmtId="0" fontId="64" fillId="26" borderId="8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26" borderId="85" applyNumberFormat="0" applyFont="0" applyAlignment="0" applyProtection="0"/>
    <xf numFmtId="0" fontId="49" fillId="26" borderId="85" applyNumberFormat="0" applyFont="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26" borderId="85" applyNumberFormat="0" applyFont="0" applyAlignment="0" applyProtection="0"/>
    <xf numFmtId="0" fontId="65" fillId="26" borderId="85" applyNumberFormat="0" applyFont="0" applyAlignment="0" applyProtection="0"/>
    <xf numFmtId="0" fontId="63" fillId="26" borderId="85" applyNumberFormat="0" applyFont="0" applyAlignment="0" applyProtection="0"/>
    <xf numFmtId="0" fontId="49" fillId="26" borderId="85" applyNumberFormat="0" applyFont="0" applyAlignment="0" applyProtection="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3" fillId="26" borderId="85" applyNumberFormat="0" applyFont="0" applyAlignment="0" applyProtection="0"/>
    <xf numFmtId="0" fontId="64" fillId="26" borderId="8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26" borderId="85" applyNumberFormat="0" applyFont="0" applyAlignment="0" applyProtection="0"/>
    <xf numFmtId="0" fontId="49" fillId="26" borderId="85" applyNumberFormat="0" applyFont="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26" borderId="85" applyNumberFormat="0" applyFont="0" applyAlignment="0" applyProtection="0"/>
    <xf numFmtId="0" fontId="65" fillId="26" borderId="85" applyNumberFormat="0" applyFont="0" applyAlignment="0" applyProtection="0"/>
    <xf numFmtId="0" fontId="63" fillId="26" borderId="85" applyNumberFormat="0" applyFont="0" applyAlignment="0" applyProtection="0"/>
    <xf numFmtId="0" fontId="49" fillId="26" borderId="85" applyNumberFormat="0" applyFont="0" applyAlignment="0" applyProtection="0"/>
    <xf numFmtId="0" fontId="5" fillId="4" borderId="6"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3" fillId="26" borderId="85" applyNumberFormat="0" applyFont="0" applyAlignment="0" applyProtection="0"/>
    <xf numFmtId="0" fontId="64" fillId="26" borderId="85"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5" fillId="0" borderId="0"/>
    <xf numFmtId="0" fontId="5" fillId="0" borderId="0"/>
    <xf numFmtId="0" fontId="5" fillId="0" borderId="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23" borderId="94" applyNumberFormat="0" applyAlignment="0" applyProtection="0"/>
    <xf numFmtId="0" fontId="65" fillId="26" borderId="85" applyNumberFormat="0" applyFont="0" applyAlignment="0" applyProtection="0"/>
    <xf numFmtId="0" fontId="49" fillId="26" borderId="85" applyNumberFormat="0" applyFont="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26" borderId="85" applyNumberFormat="0" applyFont="0" applyAlignment="0" applyProtection="0"/>
    <xf numFmtId="0" fontId="65" fillId="26" borderId="85" applyNumberFormat="0" applyFont="0" applyAlignment="0" applyProtection="0"/>
    <xf numFmtId="0" fontId="63" fillId="26" borderId="85" applyNumberFormat="0" applyFont="0" applyAlignment="0" applyProtection="0"/>
    <xf numFmtId="0" fontId="49" fillId="26" borderId="85" applyNumberFormat="0" applyFont="0" applyAlignment="0" applyProtection="0"/>
    <xf numFmtId="0" fontId="5" fillId="4" borderId="6"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3" fillId="26" borderId="85" applyNumberFormat="0" applyFont="0" applyAlignment="0" applyProtection="0"/>
    <xf numFmtId="0" fontId="64" fillId="26" borderId="85"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5" fillId="0" borderId="0"/>
    <xf numFmtId="0" fontId="5" fillId="0" borderId="0"/>
    <xf numFmtId="0" fontId="5" fillId="0" borderId="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23" borderId="94" applyNumberFormat="0" applyAlignment="0" applyProtection="0"/>
    <xf numFmtId="0" fontId="65" fillId="26" borderId="85" applyNumberFormat="0" applyFont="0" applyAlignment="0" applyProtection="0"/>
    <xf numFmtId="0" fontId="49" fillId="26" borderId="85" applyNumberFormat="0" applyFont="0" applyAlignment="0" applyProtection="0"/>
    <xf numFmtId="0" fontId="5" fillId="0" borderId="0"/>
    <xf numFmtId="0" fontId="63" fillId="26" borderId="85" applyNumberFormat="0" applyFont="0" applyAlignment="0" applyProtection="0"/>
    <xf numFmtId="0" fontId="64" fillId="26" borderId="85" applyNumberFormat="0" applyFont="0" applyAlignment="0" applyProtection="0"/>
    <xf numFmtId="0" fontId="65" fillId="26" borderId="85" applyNumberFormat="0" applyFont="0" applyAlignment="0" applyProtection="0"/>
    <xf numFmtId="0" fontId="49" fillId="26" borderId="85" applyNumberFormat="0" applyFont="0" applyAlignment="0" applyProtection="0"/>
    <xf numFmtId="0" fontId="64" fillId="26" borderId="85" applyNumberFormat="0" applyFont="0" applyAlignment="0" applyProtection="0"/>
    <xf numFmtId="0" fontId="65" fillId="26" borderId="85" applyNumberFormat="0" applyFont="0" applyAlignment="0" applyProtection="0"/>
    <xf numFmtId="0" fontId="63" fillId="26" borderId="85" applyNumberFormat="0" applyFont="0" applyAlignment="0" applyProtection="0"/>
    <xf numFmtId="0" fontId="49" fillId="26" borderId="85" applyNumberFormat="0" applyFont="0" applyAlignment="0" applyProtection="0"/>
    <xf numFmtId="0" fontId="63" fillId="26" borderId="85" applyNumberFormat="0" applyFont="0" applyAlignment="0" applyProtection="0"/>
    <xf numFmtId="0" fontId="64" fillId="26" borderId="85" applyNumberFormat="0" applyFont="0" applyAlignment="0" applyProtection="0"/>
    <xf numFmtId="0" fontId="65" fillId="26" borderId="85" applyNumberFormat="0" applyFont="0" applyAlignment="0" applyProtection="0"/>
    <xf numFmtId="0" fontId="49" fillId="26" borderId="85"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122" fillId="28" borderId="97" applyNumberFormat="0" applyProtection="0">
      <alignment horizontal="center"/>
    </xf>
    <xf numFmtId="0" fontId="5" fillId="0" borderId="0"/>
    <xf numFmtId="0" fontId="122" fillId="28" borderId="97" applyNumberFormat="0" applyProtection="0">
      <alignment horizontal="center"/>
    </xf>
    <xf numFmtId="0" fontId="5" fillId="0" borderId="0"/>
    <xf numFmtId="0" fontId="122" fillId="28" borderId="97" applyNumberFormat="0" applyProtection="0">
      <alignment horizontal="center"/>
    </xf>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122" fillId="28" borderId="97" applyNumberFormat="0" applyProtection="0">
      <alignment horizontal="center"/>
    </xf>
    <xf numFmtId="0" fontId="122" fillId="28" borderId="97" applyNumberFormat="0" applyProtection="0">
      <alignment horizontal="center"/>
    </xf>
    <xf numFmtId="0" fontId="122" fillId="28" borderId="97" applyNumberFormat="0" applyProtection="0">
      <alignment horizontal="center"/>
    </xf>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49"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49"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49" fillId="26" borderId="98" applyNumberFormat="0" applyFont="0" applyAlignment="0" applyProtection="0"/>
    <xf numFmtId="0" fontId="122" fillId="28" borderId="97" applyNumberFormat="0" applyProtection="0">
      <alignment horizontal="center"/>
    </xf>
    <xf numFmtId="0" fontId="122" fillId="28" borderId="97" applyNumberFormat="0" applyProtection="0">
      <alignment horizontal="center"/>
    </xf>
    <xf numFmtId="0" fontId="122" fillId="28" borderId="97" applyNumberFormat="0" applyProtection="0">
      <alignment horizontal="center"/>
    </xf>
    <xf numFmtId="0" fontId="122" fillId="28" borderId="97" applyNumberFormat="0" applyProtection="0">
      <alignment horizontal="center" wrapText="1"/>
    </xf>
    <xf numFmtId="0" fontId="5" fillId="0" borderId="0"/>
    <xf numFmtId="44" fontId="5" fillId="0" borderId="0" applyFont="0" applyFill="0" applyBorder="0" applyAlignment="0" applyProtection="0"/>
    <xf numFmtId="43" fontId="5" fillId="0" borderId="0" applyFont="0" applyFill="0" applyBorder="0" applyAlignment="0" applyProtection="0"/>
    <xf numFmtId="0" fontId="85" fillId="10"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70" fillId="23" borderId="94" applyNumberFormat="0" applyAlignment="0" applyProtection="0"/>
    <xf numFmtId="43" fontId="5" fillId="0" borderId="0" applyFont="0" applyFill="0" applyBorder="0" applyAlignment="0" applyProtection="0"/>
    <xf numFmtId="0" fontId="70"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5" fillId="4" borderId="6"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5" fillId="0" borderId="0"/>
    <xf numFmtId="0" fontId="5" fillId="0" borderId="0"/>
    <xf numFmtId="0" fontId="5" fillId="0" borderId="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5" fillId="4" borderId="6"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5" fillId="0" borderId="0"/>
    <xf numFmtId="0" fontId="5" fillId="0" borderId="0"/>
    <xf numFmtId="0" fontId="5" fillId="0" borderId="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5" fillId="4" borderId="6"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5" fillId="0" borderId="0"/>
    <xf numFmtId="0" fontId="5" fillId="0" borderId="0"/>
    <xf numFmtId="0" fontId="5" fillId="0" borderId="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5" fillId="4" borderId="6"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5" fillId="0" borderId="0"/>
    <xf numFmtId="0" fontId="5" fillId="0" borderId="0"/>
    <xf numFmtId="0" fontId="5" fillId="0" borderId="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5" fillId="0" borderId="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71" fillId="23" borderId="94" applyNumberFormat="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122" fillId="28" borderId="97" applyNumberFormat="0" applyProtection="0">
      <alignment horizontal="center"/>
    </xf>
    <xf numFmtId="0" fontId="5" fillId="0" borderId="0"/>
    <xf numFmtId="0" fontId="122" fillId="28" borderId="97" applyNumberFormat="0" applyProtection="0">
      <alignment horizontal="center"/>
    </xf>
    <xf numFmtId="0" fontId="5" fillId="0" borderId="0"/>
    <xf numFmtId="0" fontId="122" fillId="28" borderId="97" applyNumberFormat="0" applyProtection="0">
      <alignment horizontal="center"/>
    </xf>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3" fillId="26" borderId="98" applyNumberFormat="0" applyFont="0" applyAlignment="0" applyProtection="0"/>
    <xf numFmtId="0" fontId="64" fillId="26" borderId="98"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26" borderId="98" applyNumberFormat="0" applyFont="0" applyAlignment="0" applyProtection="0"/>
    <xf numFmtId="0" fontId="49" fillId="26" borderId="98" applyNumberFormat="0" applyFont="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3" fillId="26" borderId="98" applyNumberFormat="0" applyFont="0" applyAlignment="0" applyProtection="0"/>
    <xf numFmtId="0" fontId="64" fillId="26" borderId="98"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26" borderId="98" applyNumberFormat="0" applyFont="0" applyAlignment="0" applyProtection="0"/>
    <xf numFmtId="0" fontId="49" fillId="26" borderId="98" applyNumberFormat="0" applyFont="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5" fillId="4" borderId="6"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5" fillId="0" borderId="0"/>
    <xf numFmtId="0" fontId="5" fillId="0" borderId="0"/>
    <xf numFmtId="0" fontId="5" fillId="0" borderId="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5" fillId="4" borderId="6"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5" fillId="0" borderId="0"/>
    <xf numFmtId="0" fontId="5" fillId="0" borderId="0"/>
    <xf numFmtId="0" fontId="5" fillId="0" borderId="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5" fillId="0" borderId="0"/>
    <xf numFmtId="0" fontId="63"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49"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49" fillId="26" borderId="98"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122" fillId="28" borderId="97" applyNumberFormat="0" applyProtection="0">
      <alignment horizontal="center"/>
    </xf>
    <xf numFmtId="0" fontId="5" fillId="0" borderId="0"/>
    <xf numFmtId="0" fontId="122" fillId="28" borderId="97" applyNumberFormat="0" applyProtection="0">
      <alignment horizontal="center"/>
    </xf>
    <xf numFmtId="0" fontId="5" fillId="0" borderId="0"/>
    <xf numFmtId="0" fontId="122" fillId="28" borderId="97" applyNumberFormat="0" applyProtection="0">
      <alignment horizontal="center"/>
    </xf>
    <xf numFmtId="0" fontId="5" fillId="0" borderId="0"/>
    <xf numFmtId="44" fontId="5" fillId="0" borderId="0" applyFont="0" applyFill="0" applyBorder="0" applyAlignment="0" applyProtection="0"/>
    <xf numFmtId="43" fontId="5" fillId="0" borderId="0" applyFont="0" applyFill="0" applyBorder="0" applyAlignment="0" applyProtection="0"/>
    <xf numFmtId="0" fontId="85" fillId="10"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70" fillId="23" borderId="94" applyNumberFormat="0" applyAlignment="0" applyProtection="0"/>
    <xf numFmtId="43" fontId="5" fillId="0" borderId="0" applyFont="0" applyFill="0" applyBorder="0" applyAlignment="0" applyProtection="0"/>
    <xf numFmtId="0" fontId="71"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5" fillId="4" borderId="6"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5" fillId="0" borderId="0"/>
    <xf numFmtId="0" fontId="5" fillId="0" borderId="0"/>
    <xf numFmtId="0" fontId="5" fillId="0" borderId="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5" fillId="4" borderId="6"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5" fillId="0" borderId="0"/>
    <xf numFmtId="0" fontId="5" fillId="0" borderId="0"/>
    <xf numFmtId="0" fontId="5" fillId="0" borderId="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5" fillId="4" borderId="6"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5" fillId="0" borderId="0"/>
    <xf numFmtId="0" fontId="5" fillId="0" borderId="0"/>
    <xf numFmtId="0" fontId="5" fillId="0" borderId="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5" fillId="4" borderId="6"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5" fillId="0" borderId="0"/>
    <xf numFmtId="0" fontId="5" fillId="0" borderId="0"/>
    <xf numFmtId="0" fontId="5" fillId="0" borderId="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5" fillId="0" borderId="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70" fillId="23" borderId="94" applyNumberFormat="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122" fillId="28" borderId="97" applyNumberFormat="0" applyProtection="0">
      <alignment horizontal="center"/>
    </xf>
    <xf numFmtId="0" fontId="5" fillId="0" borderId="0"/>
    <xf numFmtId="0" fontId="122" fillId="28" borderId="97" applyNumberFormat="0" applyProtection="0">
      <alignment horizontal="center"/>
    </xf>
    <xf numFmtId="0" fontId="5" fillId="0" borderId="0"/>
    <xf numFmtId="0" fontId="122" fillId="28" borderId="97" applyNumberFormat="0" applyProtection="0">
      <alignment horizontal="center"/>
    </xf>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3" fillId="26" borderId="98" applyNumberFormat="0" applyFont="0" applyAlignment="0" applyProtection="0"/>
    <xf numFmtId="0" fontId="64" fillId="26" borderId="98"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26" borderId="98" applyNumberFormat="0" applyFont="0" applyAlignment="0" applyProtection="0"/>
    <xf numFmtId="0" fontId="49" fillId="26" borderId="98" applyNumberFormat="0" applyFont="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3" fillId="26" borderId="98" applyNumberFormat="0" applyFont="0" applyAlignment="0" applyProtection="0"/>
    <xf numFmtId="0" fontId="64" fillId="26" borderId="98"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26" borderId="98" applyNumberFormat="0" applyFont="0" applyAlignment="0" applyProtection="0"/>
    <xf numFmtId="0" fontId="49" fillId="26" borderId="98" applyNumberFormat="0" applyFont="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5" fillId="4" borderId="6"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5" fillId="0" borderId="0"/>
    <xf numFmtId="0" fontId="5" fillId="0" borderId="0"/>
    <xf numFmtId="0" fontId="5" fillId="0" borderId="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5" fillId="4" borderId="6"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5" fillId="0" borderId="0"/>
    <xf numFmtId="0" fontId="5" fillId="0" borderId="0"/>
    <xf numFmtId="0" fontId="5" fillId="0" borderId="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5" fillId="0" borderId="0"/>
    <xf numFmtId="0" fontId="63"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49"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49" fillId="26" borderId="98"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122" fillId="28" borderId="97" applyNumberFormat="0" applyProtection="0">
      <alignment horizontal="center"/>
    </xf>
    <xf numFmtId="0" fontId="5" fillId="0" borderId="0"/>
    <xf numFmtId="0" fontId="122" fillId="28" borderId="97" applyNumberFormat="0" applyProtection="0">
      <alignment horizontal="center"/>
    </xf>
    <xf numFmtId="0" fontId="5" fillId="0" borderId="0"/>
    <xf numFmtId="0" fontId="122" fillId="28" borderId="97" applyNumberFormat="0" applyProtection="0">
      <alignment horizontal="center"/>
    </xf>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122" fillId="28" borderId="97" applyNumberFormat="0" applyProtection="0">
      <alignment horizontal="center"/>
    </xf>
    <xf numFmtId="0" fontId="122" fillId="28" borderId="97" applyNumberFormat="0" applyProtection="0">
      <alignment horizontal="center"/>
    </xf>
    <xf numFmtId="0" fontId="122" fillId="28" borderId="97" applyNumberFormat="0" applyProtection="0">
      <alignment horizontal="center"/>
    </xf>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49"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49"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49" fillId="26" borderId="98" applyNumberFormat="0" applyFont="0" applyAlignment="0" applyProtection="0"/>
    <xf numFmtId="0" fontId="122" fillId="28" borderId="97" applyNumberFormat="0" applyProtection="0">
      <alignment horizontal="center"/>
    </xf>
    <xf numFmtId="0" fontId="122" fillId="28" borderId="97" applyNumberFormat="0" applyProtection="0">
      <alignment horizontal="center"/>
    </xf>
    <xf numFmtId="0" fontId="122" fillId="28" borderId="97" applyNumberFormat="0" applyProtection="0">
      <alignment horizontal="center"/>
    </xf>
    <xf numFmtId="0" fontId="122" fillId="28" borderId="97" applyNumberFormat="0" applyProtection="0">
      <alignment horizontal="center" wrapText="1"/>
    </xf>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122" fillId="28" borderId="97" applyNumberFormat="0" applyProtection="0">
      <alignment horizontal="center"/>
    </xf>
    <xf numFmtId="0" fontId="122" fillId="28" borderId="97" applyNumberFormat="0" applyProtection="0">
      <alignment horizontal="center"/>
    </xf>
    <xf numFmtId="0" fontId="122" fillId="28" borderId="97" applyNumberFormat="0" applyProtection="0">
      <alignment horizontal="center"/>
    </xf>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49"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49"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49" fillId="26" borderId="98" applyNumberFormat="0" applyFont="0" applyAlignment="0" applyProtection="0"/>
    <xf numFmtId="0" fontId="122" fillId="28" borderId="97" applyNumberFormat="0" applyProtection="0">
      <alignment horizontal="center"/>
    </xf>
    <xf numFmtId="0" fontId="122" fillId="28" borderId="97" applyNumberFormat="0" applyProtection="0">
      <alignment horizontal="center"/>
    </xf>
    <xf numFmtId="0" fontId="122" fillId="28" borderId="97" applyNumberFormat="0" applyProtection="0">
      <alignment horizontal="center"/>
    </xf>
    <xf numFmtId="0" fontId="85" fillId="10"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122" fillId="28" borderId="97" applyNumberFormat="0" applyProtection="0">
      <alignment horizontal="center"/>
    </xf>
    <xf numFmtId="0" fontId="122" fillId="28" borderId="97" applyNumberFormat="0" applyProtection="0">
      <alignment horizontal="center"/>
    </xf>
    <xf numFmtId="0" fontId="122" fillId="28" borderId="97" applyNumberFormat="0" applyProtection="0">
      <alignment horizontal="center"/>
    </xf>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49"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49"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49" fillId="26" borderId="98" applyNumberFormat="0" applyFont="0" applyAlignment="0" applyProtection="0"/>
    <xf numFmtId="0" fontId="122" fillId="28" borderId="97" applyNumberFormat="0" applyProtection="0">
      <alignment horizontal="center"/>
    </xf>
    <xf numFmtId="0" fontId="122" fillId="28" borderId="97" applyNumberFormat="0" applyProtection="0">
      <alignment horizontal="center"/>
    </xf>
    <xf numFmtId="0" fontId="122" fillId="28" borderId="97" applyNumberFormat="0" applyProtection="0">
      <alignment horizontal="center"/>
    </xf>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122" fillId="28" borderId="97" applyNumberFormat="0" applyProtection="0">
      <alignment horizontal="center"/>
    </xf>
    <xf numFmtId="0" fontId="122" fillId="28" borderId="97" applyNumberFormat="0" applyProtection="0">
      <alignment horizontal="center"/>
    </xf>
    <xf numFmtId="0" fontId="122" fillId="28" borderId="97" applyNumberFormat="0" applyProtection="0">
      <alignment horizontal="center"/>
    </xf>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49"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49"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49" fillId="26" borderId="98" applyNumberFormat="0" applyFont="0" applyAlignment="0" applyProtection="0"/>
    <xf numFmtId="0" fontId="122" fillId="28" borderId="97" applyNumberFormat="0" applyProtection="0">
      <alignment horizontal="center"/>
    </xf>
    <xf numFmtId="0" fontId="122" fillId="28" borderId="97" applyNumberFormat="0" applyProtection="0">
      <alignment horizontal="center"/>
    </xf>
    <xf numFmtId="0" fontId="122" fillId="28" borderId="97" applyNumberFormat="0" applyProtection="0">
      <alignment horizontal="center"/>
    </xf>
    <xf numFmtId="0" fontId="122" fillId="28" borderId="97" applyNumberFormat="0" applyProtection="0">
      <alignment horizontal="center" wrapText="1"/>
    </xf>
    <xf numFmtId="0" fontId="64" fillId="26" borderId="125" applyNumberFormat="0" applyFont="0" applyAlignment="0" applyProtection="0"/>
    <xf numFmtId="0" fontId="86" fillId="10" borderId="121" applyNumberFormat="0" applyAlignment="0" applyProtection="0"/>
    <xf numFmtId="0" fontId="95" fillId="23" borderId="122" applyNumberFormat="0" applyAlignment="0" applyProtection="0"/>
    <xf numFmtId="0" fontId="95" fillId="23" borderId="122" applyNumberFormat="0" applyAlignment="0" applyProtection="0"/>
    <xf numFmtId="0" fontId="99" fillId="0" borderId="123" applyNumberFormat="0" applyFill="0" applyAlignment="0" applyProtection="0"/>
    <xf numFmtId="0" fontId="98" fillId="0" borderId="119" applyNumberFormat="0" applyFill="0" applyAlignment="0" applyProtection="0"/>
    <xf numFmtId="0" fontId="98" fillId="0" borderId="123" applyNumberFormat="0" applyFill="0" applyAlignment="0" applyProtection="0"/>
    <xf numFmtId="0" fontId="70" fillId="23" borderId="121" applyNumberFormat="0" applyAlignment="0" applyProtection="0"/>
    <xf numFmtId="0" fontId="99" fillId="0" borderId="123" applyNumberFormat="0" applyFill="0" applyAlignment="0" applyProtection="0"/>
    <xf numFmtId="0" fontId="85" fillId="10" borderId="121" applyNumberFormat="0" applyAlignment="0" applyProtection="0"/>
    <xf numFmtId="0" fontId="70" fillId="23" borderId="116" applyNumberFormat="0" applyAlignment="0" applyProtection="0"/>
    <xf numFmtId="0" fontId="95" fillId="23" borderId="118" applyNumberFormat="0" applyAlignment="0" applyProtection="0"/>
    <xf numFmtId="0" fontId="70" fillId="23" borderId="116" applyNumberFormat="0" applyAlignment="0" applyProtection="0"/>
    <xf numFmtId="0" fontId="96" fillId="23" borderId="122" applyNumberFormat="0" applyAlignment="0" applyProtection="0"/>
    <xf numFmtId="0" fontId="85" fillId="10" borderId="121" applyNumberFormat="0" applyAlignment="0" applyProtection="0"/>
    <xf numFmtId="0" fontId="86" fillId="10" borderId="121" applyNumberFormat="0" applyAlignment="0" applyProtection="0"/>
    <xf numFmtId="0" fontId="71" fillId="23" borderId="121" applyNumberFormat="0" applyAlignment="0" applyProtection="0"/>
    <xf numFmtId="0" fontId="49" fillId="26" borderId="125" applyNumberFormat="0" applyFont="0" applyAlignment="0" applyProtection="0"/>
    <xf numFmtId="0" fontId="63" fillId="26" borderId="125" applyNumberFormat="0" applyFont="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64" fillId="26" borderId="117" applyNumberFormat="0" applyFont="0" applyAlignment="0" applyProtection="0"/>
    <xf numFmtId="0" fontId="64" fillId="26" borderId="117" applyNumberFormat="0" applyFont="0" applyAlignment="0" applyProtection="0"/>
    <xf numFmtId="0" fontId="85" fillId="10" borderId="116" applyNumberFormat="0" applyAlignment="0" applyProtection="0"/>
    <xf numFmtId="0" fontId="96" fillId="23" borderId="122" applyNumberFormat="0" applyAlignment="0" applyProtection="0"/>
    <xf numFmtId="0" fontId="96" fillId="23" borderId="122" applyNumberFormat="0" applyAlignment="0" applyProtection="0"/>
    <xf numFmtId="0" fontId="98" fillId="0" borderId="123" applyNumberFormat="0" applyFill="0" applyAlignment="0" applyProtection="0"/>
    <xf numFmtId="0" fontId="64" fillId="26" borderId="117" applyNumberFormat="0" applyFont="0" applyAlignment="0" applyProtection="0"/>
    <xf numFmtId="0" fontId="64" fillId="26" borderId="125" applyNumberFormat="0" applyFont="0" applyAlignment="0" applyProtection="0"/>
    <xf numFmtId="0" fontId="95" fillId="23" borderId="122" applyNumberFormat="0" applyAlignment="0" applyProtection="0"/>
    <xf numFmtId="0" fontId="98" fillId="0" borderId="123" applyNumberFormat="0" applyFill="0" applyAlignment="0" applyProtection="0"/>
    <xf numFmtId="0" fontId="95" fillId="23" borderId="122" applyNumberFormat="0" applyAlignment="0" applyProtection="0"/>
    <xf numFmtId="0" fontId="49" fillId="26" borderId="117" applyNumberFormat="0" applyFont="0" applyAlignment="0" applyProtection="0"/>
    <xf numFmtId="0" fontId="64" fillId="26" borderId="125" applyNumberFormat="0" applyFont="0" applyAlignment="0" applyProtection="0"/>
    <xf numFmtId="0" fontId="70" fillId="23" borderId="121" applyNumberFormat="0" applyAlignment="0" applyProtection="0"/>
    <xf numFmtId="0" fontId="96" fillId="23" borderId="122" applyNumberFormat="0" applyAlignment="0" applyProtection="0"/>
    <xf numFmtId="0" fontId="98" fillId="0" borderId="123" applyNumberFormat="0" applyFill="0" applyAlignment="0" applyProtection="0"/>
    <xf numFmtId="0" fontId="95" fillId="23" borderId="122" applyNumberFormat="0" applyAlignment="0" applyProtection="0"/>
    <xf numFmtId="0" fontId="86" fillId="10" borderId="116" applyNumberFormat="0" applyAlignment="0" applyProtection="0"/>
    <xf numFmtId="0" fontId="70" fillId="23" borderId="116" applyNumberFormat="0" applyAlignment="0" applyProtection="0"/>
    <xf numFmtId="0" fontId="65" fillId="26" borderId="125" applyNumberFormat="0" applyFont="0" applyAlignment="0" applyProtection="0"/>
    <xf numFmtId="0" fontId="98" fillId="0" borderId="123" applyNumberFormat="0" applyFill="0" applyAlignment="0" applyProtection="0"/>
    <xf numFmtId="0" fontId="49" fillId="26" borderId="117" applyNumberFormat="0" applyFont="0" applyAlignment="0" applyProtection="0"/>
    <xf numFmtId="0" fontId="85" fillId="10" borderId="121" applyNumberFormat="0" applyAlignment="0" applyProtection="0"/>
    <xf numFmtId="0" fontId="85" fillId="10" borderId="116" applyNumberFormat="0" applyAlignment="0" applyProtection="0"/>
    <xf numFmtId="0" fontId="64" fillId="26" borderId="125" applyNumberFormat="0" applyFont="0" applyAlignment="0" applyProtection="0"/>
    <xf numFmtId="0" fontId="49" fillId="26" borderId="125" applyNumberFormat="0" applyFont="0" applyAlignment="0" applyProtection="0"/>
    <xf numFmtId="0" fontId="98" fillId="0" borderId="119" applyNumberFormat="0" applyFill="0" applyAlignment="0" applyProtection="0"/>
    <xf numFmtId="0" fontId="86" fillId="10" borderId="121" applyNumberFormat="0" applyAlignment="0" applyProtection="0"/>
    <xf numFmtId="0" fontId="99" fillId="0" borderId="123" applyNumberFormat="0" applyFill="0" applyAlignment="0" applyProtection="0"/>
    <xf numFmtId="0" fontId="49" fillId="26" borderId="117" applyNumberFormat="0" applyFont="0" applyAlignment="0" applyProtection="0"/>
    <xf numFmtId="0" fontId="49" fillId="26" borderId="125" applyNumberFormat="0" applyFont="0" applyAlignment="0" applyProtection="0"/>
    <xf numFmtId="0" fontId="98" fillId="0" borderId="123" applyNumberFormat="0" applyFill="0" applyAlignment="0" applyProtection="0"/>
    <xf numFmtId="0" fontId="98" fillId="0" borderId="123" applyNumberFormat="0" applyFill="0" applyAlignment="0" applyProtection="0"/>
    <xf numFmtId="0" fontId="71" fillId="23" borderId="116" applyNumberFormat="0" applyAlignment="0" applyProtection="0"/>
    <xf numFmtId="0" fontId="95" fillId="23" borderId="118" applyNumberFormat="0" applyAlignment="0" applyProtection="0"/>
    <xf numFmtId="0" fontId="85" fillId="10" borderId="116" applyNumberFormat="0" applyAlignment="0" applyProtection="0"/>
    <xf numFmtId="0" fontId="95" fillId="23" borderId="122" applyNumberForma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70" fillId="23" borderId="121" applyNumberFormat="0" applyAlignment="0" applyProtection="0"/>
    <xf numFmtId="0" fontId="95" fillId="23" borderId="122" applyNumberFormat="0" applyAlignment="0" applyProtection="0"/>
    <xf numFmtId="0" fontId="85" fillId="10" borderId="121" applyNumberFormat="0" applyAlignment="0" applyProtection="0"/>
    <xf numFmtId="0" fontId="49" fillId="26" borderId="117" applyNumberFormat="0" applyFont="0" applyAlignment="0" applyProtection="0"/>
    <xf numFmtId="0" fontId="63" fillId="26" borderId="117" applyNumberFormat="0" applyFont="0" applyAlignment="0" applyProtection="0"/>
    <xf numFmtId="0" fontId="85" fillId="10" borderId="121" applyNumberFormat="0" applyAlignment="0" applyProtection="0"/>
    <xf numFmtId="0" fontId="63" fillId="26" borderId="117" applyNumberFormat="0" applyFont="0" applyAlignment="0" applyProtection="0"/>
    <xf numFmtId="0" fontId="85" fillId="10" borderId="116" applyNumberFormat="0" applyAlignment="0" applyProtection="0"/>
    <xf numFmtId="0" fontId="95"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63" fillId="26" borderId="117" applyNumberFormat="0" applyFont="0" applyAlignment="0" applyProtection="0"/>
    <xf numFmtId="0" fontId="98" fillId="0" borderId="119" applyNumberFormat="0" applyFill="0" applyAlignment="0" applyProtection="0"/>
    <xf numFmtId="0" fontId="96" fillId="23" borderId="122" applyNumberFormat="0" applyAlignment="0" applyProtection="0"/>
    <xf numFmtId="0" fontId="85" fillId="10" borderId="121" applyNumberFormat="0" applyAlignment="0" applyProtection="0"/>
    <xf numFmtId="0" fontId="71" fillId="23" borderId="121" applyNumberFormat="0" applyAlignment="0" applyProtection="0"/>
    <xf numFmtId="0" fontId="63" fillId="26" borderId="125" applyNumberFormat="0" applyFont="0" applyAlignment="0" applyProtection="0"/>
    <xf numFmtId="0" fontId="49" fillId="26" borderId="125" applyNumberFormat="0" applyFont="0" applyAlignment="0" applyProtection="0"/>
    <xf numFmtId="0" fontId="99" fillId="0" borderId="123" applyNumberFormat="0" applyFill="0" applyAlignment="0" applyProtection="0"/>
    <xf numFmtId="0" fontId="95" fillId="23" borderId="122" applyNumberFormat="0" applyAlignment="0" applyProtection="0"/>
    <xf numFmtId="0" fontId="86" fillId="10" borderId="121" applyNumberFormat="0" applyAlignment="0" applyProtection="0"/>
    <xf numFmtId="0" fontId="85" fillId="10" borderId="116" applyNumberFormat="0" applyAlignment="0" applyProtection="0"/>
    <xf numFmtId="0" fontId="96" fillId="23" borderId="118" applyNumberFormat="0" applyAlignment="0" applyProtection="0"/>
    <xf numFmtId="0" fontId="85" fillId="10" borderId="116" applyNumberFormat="0" applyAlignment="0" applyProtection="0"/>
    <xf numFmtId="0" fontId="95" fillId="23" borderId="118" applyNumberFormat="0" applyAlignment="0" applyProtection="0"/>
    <xf numFmtId="0" fontId="95" fillId="23" borderId="122" applyNumberFormat="0" applyAlignment="0" applyProtection="0"/>
    <xf numFmtId="0" fontId="86" fillId="10" borderId="116" applyNumberFormat="0" applyAlignment="0" applyProtection="0"/>
    <xf numFmtId="0" fontId="86" fillId="10" borderId="121" applyNumberFormat="0" applyAlignment="0" applyProtection="0"/>
    <xf numFmtId="0" fontId="122" fillId="28" borderId="124" applyNumberFormat="0" applyProtection="0">
      <alignment horizontal="center"/>
    </xf>
    <xf numFmtId="0" fontId="86" fillId="10" borderId="121" applyNumberFormat="0" applyAlignment="0" applyProtection="0"/>
    <xf numFmtId="0" fontId="85" fillId="10" borderId="121" applyNumberFormat="0" applyAlignment="0" applyProtection="0"/>
    <xf numFmtId="0" fontId="99" fillId="0" borderId="123" applyNumberFormat="0" applyFill="0" applyAlignment="0" applyProtection="0"/>
    <xf numFmtId="0" fontId="95" fillId="23" borderId="122" applyNumberFormat="0" applyAlignment="0" applyProtection="0"/>
    <xf numFmtId="0" fontId="99" fillId="0" borderId="123" applyNumberFormat="0" applyFill="0" applyAlignment="0" applyProtection="0"/>
    <xf numFmtId="0" fontId="63" fillId="26" borderId="125" applyNumberFormat="0" applyFont="0" applyAlignment="0" applyProtection="0"/>
    <xf numFmtId="0" fontId="85" fillId="10" borderId="121" applyNumberFormat="0" applyAlignment="0" applyProtection="0"/>
    <xf numFmtId="0" fontId="98" fillId="0" borderId="123" applyNumberFormat="0" applyFill="0" applyAlignment="0" applyProtection="0"/>
    <xf numFmtId="0" fontId="49" fillId="26" borderId="117" applyNumberFormat="0" applyFont="0" applyAlignment="0" applyProtection="0"/>
    <xf numFmtId="0" fontId="98" fillId="0" borderId="123" applyNumberFormat="0" applyFill="0" applyAlignment="0" applyProtection="0"/>
    <xf numFmtId="0" fontId="95" fillId="23" borderId="118"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70" fillId="23" borderId="121" applyNumberFormat="0" applyAlignment="0" applyProtection="0"/>
    <xf numFmtId="0" fontId="70" fillId="23" borderId="121" applyNumberFormat="0" applyAlignment="0" applyProtection="0"/>
    <xf numFmtId="0" fontId="49" fillId="26" borderId="117" applyNumberFormat="0" applyFont="0" applyAlignment="0" applyProtection="0"/>
    <xf numFmtId="0" fontId="85" fillId="10" borderId="116" applyNumberFormat="0" applyAlignment="0" applyProtection="0"/>
    <xf numFmtId="0" fontId="86" fillId="10" borderId="121" applyNumberFormat="0" applyAlignment="0" applyProtection="0"/>
    <xf numFmtId="0" fontId="95" fillId="23" borderId="122" applyNumberFormat="0" applyAlignment="0" applyProtection="0"/>
    <xf numFmtId="0" fontId="98" fillId="0" borderId="119" applyNumberFormat="0" applyFill="0" applyAlignment="0" applyProtection="0"/>
    <xf numFmtId="0" fontId="95" fillId="23" borderId="122" applyNumberFormat="0" applyAlignment="0" applyProtection="0"/>
    <xf numFmtId="0" fontId="99" fillId="0" borderId="123" applyNumberFormat="0" applyFill="0" applyAlignment="0" applyProtection="0"/>
    <xf numFmtId="0" fontId="64" fillId="26" borderId="125" applyNumberFormat="0" applyFont="0" applyAlignment="0" applyProtection="0"/>
    <xf numFmtId="0" fontId="98" fillId="0" borderId="123" applyNumberFormat="0" applyFill="0" applyAlignment="0" applyProtection="0"/>
    <xf numFmtId="0" fontId="86" fillId="10" borderId="121" applyNumberFormat="0" applyAlignment="0" applyProtection="0"/>
    <xf numFmtId="0" fontId="96" fillId="23" borderId="122" applyNumberFormat="0" applyAlignment="0" applyProtection="0"/>
    <xf numFmtId="0" fontId="65" fillId="26" borderId="117" applyNumberFormat="0" applyFont="0" applyAlignment="0" applyProtection="0"/>
    <xf numFmtId="0" fontId="85" fillId="10" borderId="121" applyNumberFormat="0" applyAlignment="0" applyProtection="0"/>
    <xf numFmtId="0" fontId="70" fillId="23" borderId="121" applyNumberFormat="0" applyAlignment="0" applyProtection="0"/>
    <xf numFmtId="0" fontId="95" fillId="23" borderId="122" applyNumberFormat="0" applyAlignment="0" applyProtection="0"/>
    <xf numFmtId="0" fontId="98" fillId="0" borderId="123" applyNumberFormat="0" applyFill="0" applyAlignment="0" applyProtection="0"/>
    <xf numFmtId="0" fontId="95" fillId="23" borderId="122" applyNumberFormat="0" applyAlignment="0" applyProtection="0"/>
    <xf numFmtId="0" fontId="85" fillId="10" borderId="116" applyNumberFormat="0" applyAlignment="0" applyProtection="0"/>
    <xf numFmtId="0" fontId="95" fillId="23" borderId="118" applyNumberFormat="0" applyAlignment="0" applyProtection="0"/>
    <xf numFmtId="0" fontId="71" fillId="23" borderId="116" applyNumberFormat="0" applyAlignment="0" applyProtection="0"/>
    <xf numFmtId="0" fontId="70" fillId="23" borderId="121" applyNumberFormat="0" applyAlignment="0" applyProtection="0"/>
    <xf numFmtId="0" fontId="122" fillId="28" borderId="124" applyNumberFormat="0" applyProtection="0">
      <alignment horizontal="center"/>
    </xf>
    <xf numFmtId="0" fontId="95" fillId="23" borderId="122" applyNumberFormat="0" applyAlignment="0" applyProtection="0"/>
    <xf numFmtId="0" fontId="65" fillId="26" borderId="117" applyNumberFormat="0" applyFont="0" applyAlignment="0" applyProtection="0"/>
    <xf numFmtId="0" fontId="86" fillId="10" borderId="116" applyNumberFormat="0" applyAlignment="0" applyProtection="0"/>
    <xf numFmtId="0" fontId="98" fillId="0" borderId="119" applyNumberFormat="0" applyFill="0" applyAlignment="0" applyProtection="0"/>
    <xf numFmtId="0" fontId="63" fillId="26" borderId="125" applyNumberFormat="0" applyFont="0" applyAlignment="0" applyProtection="0"/>
    <xf numFmtId="0" fontId="65" fillId="26" borderId="125" applyNumberFormat="0" applyFont="0" applyAlignment="0" applyProtection="0"/>
    <xf numFmtId="0" fontId="99" fillId="0" borderId="119" applyNumberFormat="0" applyFill="0" applyAlignment="0" applyProtection="0"/>
    <xf numFmtId="0" fontId="85" fillId="10" borderId="121" applyNumberFormat="0" applyAlignment="0" applyProtection="0"/>
    <xf numFmtId="0" fontId="95" fillId="23" borderId="122" applyNumberFormat="0" applyAlignment="0" applyProtection="0"/>
    <xf numFmtId="0" fontId="98" fillId="0" borderId="123" applyNumberFormat="0" applyFill="0" applyAlignment="0" applyProtection="0"/>
    <xf numFmtId="0" fontId="98" fillId="0" borderId="123" applyNumberFormat="0" applyFill="0" applyAlignment="0" applyProtection="0"/>
    <xf numFmtId="0" fontId="65" fillId="26" borderId="117" applyNumberFormat="0" applyFont="0" applyAlignment="0" applyProtection="0"/>
    <xf numFmtId="0" fontId="65" fillId="26" borderId="125" applyNumberFormat="0" applyFont="0" applyAlignment="0" applyProtection="0"/>
    <xf numFmtId="0" fontId="95" fillId="23" borderId="122" applyNumberFormat="0" applyAlignment="0" applyProtection="0"/>
    <xf numFmtId="0" fontId="98" fillId="0" borderId="123" applyNumberFormat="0" applyFill="0" applyAlignment="0" applyProtection="0"/>
    <xf numFmtId="0" fontId="70" fillId="23" borderId="116" applyNumberFormat="0" applyAlignment="0" applyProtection="0"/>
    <xf numFmtId="0" fontId="96" fillId="23" borderId="118" applyNumberFormat="0" applyAlignment="0" applyProtection="0"/>
    <xf numFmtId="0" fontId="85" fillId="10" borderId="116" applyNumberFormat="0" applyAlignment="0" applyProtection="0"/>
    <xf numFmtId="0" fontId="86"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64" fillId="26" borderId="125" applyNumberFormat="0" applyFont="0" applyAlignment="0" applyProtection="0"/>
    <xf numFmtId="0" fontId="65" fillId="26" borderId="117" applyNumberFormat="0" applyFont="0" applyAlignment="0" applyProtection="0"/>
    <xf numFmtId="0" fontId="70" fillId="23" borderId="121" applyNumberFormat="0" applyAlignment="0" applyProtection="0"/>
    <xf numFmtId="0" fontId="85" fillId="10" borderId="121" applyNumberFormat="0" applyAlignment="0" applyProtection="0"/>
    <xf numFmtId="0" fontId="64" fillId="26" borderId="117" applyNumberFormat="0" applyFont="0" applyAlignment="0" applyProtection="0"/>
    <xf numFmtId="0" fontId="64" fillId="26" borderId="117"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5" fillId="23" borderId="118" applyNumberFormat="0" applyAlignment="0" applyProtection="0"/>
    <xf numFmtId="0" fontId="70" fillId="23" borderId="116" applyNumberFormat="0" applyAlignment="0" applyProtection="0"/>
    <xf numFmtId="0" fontId="98" fillId="0" borderId="119" applyNumberFormat="0" applyFill="0" applyAlignment="0" applyProtection="0"/>
    <xf numFmtId="0" fontId="98" fillId="0" borderId="123" applyNumberFormat="0" applyFill="0" applyAlignment="0" applyProtection="0"/>
    <xf numFmtId="0" fontId="65" fillId="26" borderId="117" applyNumberFormat="0" applyFont="0" applyAlignment="0" applyProtection="0"/>
    <xf numFmtId="0" fontId="64" fillId="26" borderId="125" applyNumberFormat="0" applyFont="0" applyAlignment="0" applyProtection="0"/>
    <xf numFmtId="0" fontId="49" fillId="26" borderId="125" applyNumberFormat="0" applyFont="0" applyAlignment="0" applyProtection="0"/>
    <xf numFmtId="0" fontId="71" fillId="23" borderId="116" applyNumberFormat="0" applyAlignment="0" applyProtection="0"/>
    <xf numFmtId="0" fontId="96" fillId="23" borderId="122" applyNumberFormat="0" applyAlignment="0" applyProtection="0"/>
    <xf numFmtId="0" fontId="98" fillId="0" borderId="119" applyNumberFormat="0" applyFill="0" applyAlignment="0" applyProtection="0"/>
    <xf numFmtId="0" fontId="65" fillId="26" borderId="117" applyNumberFormat="0" applyFont="0" applyAlignment="0" applyProtection="0"/>
    <xf numFmtId="0" fontId="86" fillId="10" borderId="121" applyNumberFormat="0" applyAlignment="0" applyProtection="0"/>
    <xf numFmtId="0" fontId="99" fillId="0" borderId="119" applyNumberFormat="0" applyFill="0" applyAlignment="0" applyProtection="0"/>
    <xf numFmtId="0" fontId="70" fillId="23" borderId="121" applyNumberFormat="0" applyAlignment="0" applyProtection="0"/>
    <xf numFmtId="0" fontId="63" fillId="26" borderId="125" applyNumberFormat="0" applyFont="0" applyAlignment="0" applyProtection="0"/>
    <xf numFmtId="0" fontId="95" fillId="23" borderId="122" applyNumberFormat="0" applyAlignment="0" applyProtection="0"/>
    <xf numFmtId="0" fontId="64" fillId="26" borderId="125" applyNumberFormat="0" applyFont="0" applyAlignment="0" applyProtection="0"/>
    <xf numFmtId="0" fontId="86" fillId="10" borderId="116"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98" fillId="0" borderId="119" applyNumberFormat="0" applyFill="0" applyAlignment="0" applyProtection="0"/>
    <xf numFmtId="0" fontId="122" fillId="28" borderId="124" applyNumberFormat="0" applyProtection="0">
      <alignment horizontal="center"/>
    </xf>
    <xf numFmtId="0" fontId="99" fillId="0" borderId="123" applyNumberFormat="0" applyFill="0" applyAlignment="0" applyProtection="0"/>
    <xf numFmtId="0" fontId="85" fillId="10" borderId="116" applyNumberFormat="0" applyAlignment="0" applyProtection="0"/>
    <xf numFmtId="0" fontId="95" fillId="23" borderId="118" applyNumberFormat="0" applyAlignment="0" applyProtection="0"/>
    <xf numFmtId="0" fontId="70" fillId="23" borderId="116" applyNumberFormat="0" applyAlignment="0" applyProtection="0"/>
    <xf numFmtId="0" fontId="49" fillId="26" borderId="117" applyNumberFormat="0" applyFont="0" applyAlignment="0" applyProtection="0"/>
    <xf numFmtId="0" fontId="98" fillId="0" borderId="123" applyNumberFormat="0" applyFill="0" applyAlignment="0" applyProtection="0"/>
    <xf numFmtId="0" fontId="95" fillId="23" borderId="122" applyNumberFormat="0" applyAlignment="0" applyProtection="0"/>
    <xf numFmtId="0" fontId="98" fillId="0" borderId="123" applyNumberFormat="0" applyFill="0" applyAlignment="0" applyProtection="0"/>
    <xf numFmtId="0" fontId="85" fillId="10" borderId="121" applyNumberFormat="0" applyAlignment="0" applyProtection="0"/>
    <xf numFmtId="0" fontId="65" fillId="26" borderId="117" applyNumberFormat="0" applyFont="0" applyAlignment="0" applyProtection="0"/>
    <xf numFmtId="0" fontId="95" fillId="23" borderId="118" applyNumberFormat="0" applyAlignment="0" applyProtection="0"/>
    <xf numFmtId="0" fontId="122" fillId="28" borderId="101" applyNumberFormat="0" applyProtection="0">
      <alignment horizontal="center"/>
    </xf>
    <xf numFmtId="0" fontId="85" fillId="10" borderId="121" applyNumberFormat="0" applyAlignment="0" applyProtection="0"/>
    <xf numFmtId="0" fontId="122" fillId="28" borderId="103" applyNumberFormat="0" applyProtection="0">
      <alignment horizontal="center"/>
    </xf>
    <xf numFmtId="0" fontId="122" fillId="28" borderId="105" applyNumberFormat="0" applyProtection="0">
      <alignment horizontal="center"/>
    </xf>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98" fillId="0" borderId="123" applyNumberFormat="0" applyFill="0" applyAlignment="0" applyProtection="0"/>
    <xf numFmtId="0" fontId="70" fillId="23" borderId="121" applyNumberFormat="0" applyAlignment="0" applyProtection="0"/>
    <xf numFmtId="0" fontId="96" fillId="23" borderId="122" applyNumberFormat="0" applyAlignment="0" applyProtection="0"/>
    <xf numFmtId="0" fontId="64" fillId="26" borderId="117" applyNumberFormat="0" applyFont="0" applyAlignment="0" applyProtection="0"/>
    <xf numFmtId="0" fontId="85" fillId="10" borderId="116" applyNumberFormat="0" applyAlignment="0" applyProtection="0"/>
    <xf numFmtId="0" fontId="64" fillId="26" borderId="102" applyNumberFormat="0" applyFont="0" applyAlignment="0" applyProtection="0"/>
    <xf numFmtId="0" fontId="65" fillId="26" borderId="102" applyNumberFormat="0" applyFont="0" applyAlignment="0" applyProtection="0"/>
    <xf numFmtId="0" fontId="63" fillId="26" borderId="102" applyNumberFormat="0" applyFont="0" applyAlignment="0" applyProtection="0"/>
    <xf numFmtId="0" fontId="49" fillId="26" borderId="102" applyNumberFormat="0" applyFont="0" applyAlignment="0" applyProtection="0"/>
    <xf numFmtId="0" fontId="70" fillId="23" borderId="116" applyNumberFormat="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64" fillId="26" borderId="117" applyNumberFormat="0" applyFont="0" applyAlignment="0" applyProtection="0"/>
    <xf numFmtId="0" fontId="99" fillId="0" borderId="119" applyNumberFormat="0" applyFill="0" applyAlignment="0" applyProtection="0"/>
    <xf numFmtId="0" fontId="96" fillId="23" borderId="122" applyNumberFormat="0" applyAlignment="0" applyProtection="0"/>
    <xf numFmtId="0" fontId="65"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63" fillId="26" borderId="102" applyNumberFormat="0" applyFont="0" applyAlignment="0" applyProtection="0"/>
    <xf numFmtId="0" fontId="64" fillId="26" borderId="102" applyNumberFormat="0" applyFont="0" applyAlignment="0" applyProtection="0"/>
    <xf numFmtId="0" fontId="95" fillId="23" borderId="122" applyNumberFormat="0" applyAlignment="0" applyProtection="0"/>
    <xf numFmtId="0" fontId="98" fillId="0" borderId="123" applyNumberFormat="0" applyFill="0" applyAlignment="0" applyProtection="0"/>
    <xf numFmtId="0" fontId="98" fillId="0" borderId="123" applyNumberFormat="0" applyFill="0" applyAlignment="0" applyProtection="0"/>
    <xf numFmtId="0" fontId="122" fillId="28" borderId="124" applyNumberFormat="0" applyProtection="0">
      <alignment horizontal="center"/>
    </xf>
    <xf numFmtId="0" fontId="95" fillId="23" borderId="122" applyNumberFormat="0" applyAlignment="0" applyProtection="0"/>
    <xf numFmtId="0" fontId="70" fillId="23" borderId="121" applyNumberFormat="0" applyAlignment="0" applyProtection="0"/>
    <xf numFmtId="0" fontId="63" fillId="26" borderId="117" applyNumberFormat="0" applyFont="0" applyAlignment="0" applyProtection="0"/>
    <xf numFmtId="0" fontId="99" fillId="0" borderId="123" applyNumberFormat="0" applyFill="0" applyAlignment="0" applyProtection="0"/>
    <xf numFmtId="0" fontId="96" fillId="23" borderId="122" applyNumberFormat="0" applyAlignment="0" applyProtection="0"/>
    <xf numFmtId="0" fontId="99" fillId="0" borderId="123" applyNumberFormat="0" applyFill="0" applyAlignment="0" applyProtection="0"/>
    <xf numFmtId="0" fontId="63" fillId="26" borderId="117" applyNumberFormat="0" applyFont="0" applyAlignment="0" applyProtection="0"/>
    <xf numFmtId="0" fontId="70" fillId="23"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65" fillId="26" borderId="125" applyNumberFormat="0" applyFont="0" applyAlignment="0" applyProtection="0"/>
    <xf numFmtId="0" fontId="70" fillId="23" borderId="121" applyNumberFormat="0" applyAlignment="0" applyProtection="0"/>
    <xf numFmtId="0" fontId="70" fillId="23" borderId="121" applyNumberFormat="0" applyAlignment="0" applyProtection="0"/>
    <xf numFmtId="0" fontId="63" fillId="26" borderId="125" applyNumberFormat="0" applyFont="0" applyAlignment="0" applyProtection="0"/>
    <xf numFmtId="0" fontId="96" fillId="23" borderId="122" applyNumberFormat="0" applyAlignment="0" applyProtection="0"/>
    <xf numFmtId="0" fontId="85" fillId="10" borderId="121" applyNumberFormat="0" applyAlignment="0" applyProtection="0"/>
    <xf numFmtId="0" fontId="65" fillId="26" borderId="102" applyNumberFormat="0" applyFont="0" applyAlignment="0" applyProtection="0"/>
    <xf numFmtId="0" fontId="49" fillId="26" borderId="102" applyNumberFormat="0" applyFont="0" applyAlignment="0" applyProtection="0"/>
    <xf numFmtId="0" fontId="71" fillId="23" borderId="116" applyNumberFormat="0" applyAlignment="0" applyProtection="0"/>
    <xf numFmtId="0" fontId="49" fillId="26" borderId="117" applyNumberFormat="0" applyFont="0" applyAlignment="0" applyProtection="0"/>
    <xf numFmtId="0" fontId="64" fillId="26" borderId="125" applyNumberFormat="0" applyFont="0" applyAlignment="0" applyProtection="0"/>
    <xf numFmtId="0" fontId="95" fillId="23" borderId="122" applyNumberFormat="0" applyAlignment="0" applyProtection="0"/>
    <xf numFmtId="0" fontId="65" fillId="26" borderId="117" applyNumberFormat="0" applyFont="0" applyAlignment="0" applyProtection="0"/>
    <xf numFmtId="0" fontId="49" fillId="26" borderId="125" applyNumberFormat="0" applyFont="0" applyAlignment="0" applyProtection="0"/>
    <xf numFmtId="0" fontId="122" fillId="28" borderId="124" applyNumberFormat="0" applyProtection="0">
      <alignment horizontal="center"/>
    </xf>
    <xf numFmtId="0" fontId="98" fillId="0" borderId="123" applyNumberFormat="0" applyFill="0" applyAlignment="0" applyProtection="0"/>
    <xf numFmtId="0" fontId="96" fillId="23" borderId="122" applyNumberFormat="0" applyAlignment="0" applyProtection="0"/>
    <xf numFmtId="0" fontId="86" fillId="10" borderId="121" applyNumberFormat="0" applyAlignment="0" applyProtection="0"/>
    <xf numFmtId="0" fontId="95" fillId="23" borderId="118" applyNumberFormat="0" applyAlignment="0" applyProtection="0"/>
    <xf numFmtId="0" fontId="85" fillId="10" borderId="116" applyNumberFormat="0" applyAlignment="0" applyProtection="0"/>
    <xf numFmtId="0" fontId="64" fillId="26" borderId="102" applyNumberFormat="0" applyFont="0" applyAlignment="0" applyProtection="0"/>
    <xf numFmtId="0" fontId="65" fillId="26" borderId="102" applyNumberFormat="0" applyFont="0" applyAlignment="0" applyProtection="0"/>
    <xf numFmtId="0" fontId="63" fillId="26" borderId="102" applyNumberFormat="0" applyFont="0" applyAlignment="0" applyProtection="0"/>
    <xf numFmtId="0" fontId="49" fillId="26" borderId="102" applyNumberFormat="0" applyFont="0" applyAlignment="0" applyProtection="0"/>
    <xf numFmtId="0" fontId="85" fillId="10" borderId="121" applyNumberFormat="0" applyAlignment="0" applyProtection="0"/>
    <xf numFmtId="0" fontId="95" fillId="23" borderId="118" applyNumberFormat="0" applyAlignment="0" applyProtection="0"/>
    <xf numFmtId="0" fontId="86" fillId="10" borderId="121" applyNumberFormat="0" applyAlignment="0" applyProtection="0"/>
    <xf numFmtId="0" fontId="95" fillId="23" borderId="122" applyNumberFormat="0" applyAlignment="0" applyProtection="0"/>
    <xf numFmtId="0" fontId="95" fillId="23" borderId="122" applyNumberFormat="0" applyAlignment="0" applyProtection="0"/>
    <xf numFmtId="0" fontId="63" fillId="26" borderId="102" applyNumberFormat="0" applyFont="0" applyAlignment="0" applyProtection="0"/>
    <xf numFmtId="0" fontId="64" fillId="26" borderId="102" applyNumberFormat="0" applyFont="0" applyAlignment="0" applyProtection="0"/>
    <xf numFmtId="0" fontId="98" fillId="0" borderId="123" applyNumberFormat="0" applyFill="0" applyAlignment="0" applyProtection="0"/>
    <xf numFmtId="0" fontId="64" fillId="26" borderId="125" applyNumberFormat="0" applyFont="0" applyAlignment="0" applyProtection="0"/>
    <xf numFmtId="0" fontId="96" fillId="23" borderId="122" applyNumberFormat="0" applyAlignment="0" applyProtection="0"/>
    <xf numFmtId="0" fontId="95" fillId="23" borderId="122" applyNumberFormat="0" applyAlignment="0" applyProtection="0"/>
    <xf numFmtId="0" fontId="71" fillId="23" borderId="121" applyNumberFormat="0" applyAlignment="0" applyProtection="0"/>
    <xf numFmtId="0" fontId="65" fillId="26" borderId="117" applyNumberFormat="0" applyFont="0" applyAlignment="0" applyProtection="0"/>
    <xf numFmtId="0" fontId="85" fillId="10" borderId="121" applyNumberFormat="0" applyAlignment="0" applyProtection="0"/>
    <xf numFmtId="0" fontId="96" fillId="23" borderId="122" applyNumberFormat="0" applyAlignment="0" applyProtection="0"/>
    <xf numFmtId="0" fontId="85" fillId="10" borderId="121" applyNumberFormat="0" applyAlignment="0" applyProtection="0"/>
    <xf numFmtId="0" fontId="71" fillId="23" borderId="121" applyNumberFormat="0" applyAlignment="0" applyProtection="0"/>
    <xf numFmtId="0" fontId="63" fillId="26" borderId="117" applyNumberFormat="0" applyFont="0" applyAlignment="0" applyProtection="0"/>
    <xf numFmtId="0" fontId="70" fillId="23" borderId="121" applyNumberFormat="0" applyAlignment="0" applyProtection="0"/>
    <xf numFmtId="0" fontId="64" fillId="26" borderId="125" applyNumberFormat="0" applyFont="0" applyAlignment="0" applyProtection="0"/>
    <xf numFmtId="0" fontId="65" fillId="26" borderId="102" applyNumberFormat="0" applyFont="0" applyAlignment="0" applyProtection="0"/>
    <xf numFmtId="0" fontId="49" fillId="26" borderId="102" applyNumberFormat="0" applyFont="0" applyAlignment="0" applyProtection="0"/>
    <xf numFmtId="0" fontId="99" fillId="0" borderId="119" applyNumberFormat="0" applyFill="0" applyAlignment="0" applyProtection="0"/>
    <xf numFmtId="0" fontId="95" fillId="23" borderId="122" applyNumberFormat="0" applyAlignment="0" applyProtection="0"/>
    <xf numFmtId="0" fontId="65" fillId="26" borderId="125" applyNumberFormat="0" applyFont="0" applyAlignment="0" applyProtection="0"/>
    <xf numFmtId="0" fontId="98" fillId="0" borderId="123" applyNumberFormat="0" applyFill="0" applyAlignment="0" applyProtection="0"/>
    <xf numFmtId="0" fontId="63" fillId="26" borderId="125" applyNumberFormat="0" applyFont="0" applyAlignment="0" applyProtection="0"/>
    <xf numFmtId="0" fontId="98" fillId="0" borderId="123" applyNumberFormat="0" applyFill="0" applyAlignment="0" applyProtection="0"/>
    <xf numFmtId="0" fontId="70" fillId="23" borderId="121" applyNumberFormat="0" applyAlignment="0" applyProtection="0"/>
    <xf numFmtId="0" fontId="85" fillId="10" borderId="121" applyNumberFormat="0" applyAlignment="0" applyProtection="0"/>
    <xf numFmtId="0" fontId="85" fillId="10" borderId="116" applyNumberFormat="0" applyAlignment="0" applyProtection="0"/>
    <xf numFmtId="0" fontId="95" fillId="23" borderId="118" applyNumberFormat="0" applyAlignment="0" applyProtection="0"/>
    <xf numFmtId="0" fontId="64" fillId="26" borderId="102" applyNumberFormat="0" applyFont="0" applyAlignment="0" applyProtection="0"/>
    <xf numFmtId="0" fontId="65" fillId="26" borderId="102" applyNumberFormat="0" applyFont="0" applyAlignment="0" applyProtection="0"/>
    <xf numFmtId="0" fontId="63" fillId="26" borderId="102" applyNumberFormat="0" applyFont="0" applyAlignment="0" applyProtection="0"/>
    <xf numFmtId="0" fontId="49" fillId="26" borderId="102" applyNumberFormat="0" applyFont="0" applyAlignment="0" applyProtection="0"/>
    <xf numFmtId="0" fontId="96" fillId="23" borderId="118" applyNumberFormat="0" applyAlignment="0" applyProtection="0"/>
    <xf numFmtId="0" fontId="95" fillId="23" borderId="122" applyNumberFormat="0" applyAlignment="0" applyProtection="0"/>
    <xf numFmtId="0" fontId="85" fillId="10" borderId="116" applyNumberFormat="0" applyAlignment="0" applyProtection="0"/>
    <xf numFmtId="0" fontId="85" fillId="10" borderId="121" applyNumberFormat="0" applyAlignment="0" applyProtection="0"/>
    <xf numFmtId="0" fontId="122" fillId="28" borderId="124" applyNumberFormat="0" applyProtection="0">
      <alignment horizontal="center"/>
    </xf>
    <xf numFmtId="0" fontId="85" fillId="10" borderId="121" applyNumberFormat="0" applyAlignment="0" applyProtection="0"/>
    <xf numFmtId="0" fontId="85" fillId="10" borderId="121" applyNumberFormat="0" applyAlignment="0" applyProtection="0"/>
    <xf numFmtId="0" fontId="63" fillId="26" borderId="102" applyNumberFormat="0" applyFont="0" applyAlignment="0" applyProtection="0"/>
    <xf numFmtId="0" fontId="64" fillId="26" borderId="102" applyNumberFormat="0" applyFont="0" applyAlignment="0" applyProtection="0"/>
    <xf numFmtId="0" fontId="98" fillId="0" borderId="123" applyNumberFormat="0" applyFill="0" applyAlignment="0" applyProtection="0"/>
    <xf numFmtId="0" fontId="96" fillId="23" borderId="122" applyNumberFormat="0" applyAlignment="0" applyProtection="0"/>
    <xf numFmtId="0" fontId="98" fillId="0" borderId="123" applyNumberFormat="0" applyFill="0" applyAlignment="0" applyProtection="0"/>
    <xf numFmtId="0" fontId="65" fillId="26" borderId="125" applyNumberFormat="0" applyFont="0" applyAlignment="0" applyProtection="0"/>
    <xf numFmtId="0" fontId="85" fillId="10" borderId="121" applyNumberFormat="0" applyAlignment="0" applyProtection="0"/>
    <xf numFmtId="0" fontId="99" fillId="0" borderId="123" applyNumberFormat="0" applyFill="0" applyAlignment="0" applyProtection="0"/>
    <xf numFmtId="0" fontId="63" fillId="26" borderId="117" applyNumberFormat="0" applyFont="0" applyAlignment="0" applyProtection="0"/>
    <xf numFmtId="0" fontId="70" fillId="23" borderId="121" applyNumberFormat="0" applyAlignment="0" applyProtection="0"/>
    <xf numFmtId="0" fontId="71" fillId="23" borderId="121" applyNumberFormat="0" applyAlignment="0" applyProtection="0"/>
    <xf numFmtId="0" fontId="86" fillId="10" borderId="121" applyNumberFormat="0" applyAlignment="0" applyProtection="0"/>
    <xf numFmtId="0" fontId="71" fillId="23" borderId="121" applyNumberFormat="0" applyAlignment="0" applyProtection="0"/>
    <xf numFmtId="0" fontId="85" fillId="10" borderId="121" applyNumberFormat="0" applyAlignment="0" applyProtection="0"/>
    <xf numFmtId="0" fontId="63" fillId="26" borderId="117" applyNumberFormat="0" applyFont="0" applyAlignment="0" applyProtection="0"/>
    <xf numFmtId="0" fontId="85" fillId="10" borderId="116" applyNumberFormat="0" applyAlignment="0" applyProtection="0"/>
    <xf numFmtId="0" fontId="85" fillId="10" borderId="121" applyNumberFormat="0" applyAlignment="0" applyProtection="0"/>
    <xf numFmtId="0" fontId="96" fillId="23" borderId="122" applyNumberFormat="0" applyAlignment="0" applyProtection="0"/>
    <xf numFmtId="0" fontId="65" fillId="26" borderId="102" applyNumberFormat="0" applyFont="0" applyAlignment="0" applyProtection="0"/>
    <xf numFmtId="0" fontId="49" fillId="26" borderId="102" applyNumberFormat="0" applyFont="0" applyAlignment="0" applyProtection="0"/>
    <xf numFmtId="0" fontId="99" fillId="0" borderId="119" applyNumberFormat="0" applyFill="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63" fillId="26" borderId="125" applyNumberFormat="0" applyFont="0" applyAlignment="0" applyProtection="0"/>
    <xf numFmtId="0" fontId="98" fillId="0" borderId="123" applyNumberFormat="0" applyFill="0" applyAlignment="0" applyProtection="0"/>
    <xf numFmtId="0" fontId="85" fillId="10" borderId="121" applyNumberFormat="0" applyAlignment="0" applyProtection="0"/>
    <xf numFmtId="0" fontId="95" fillId="23" borderId="122" applyNumberFormat="0" applyAlignment="0" applyProtection="0"/>
    <xf numFmtId="0" fontId="64" fillId="26" borderId="117" applyNumberFormat="0" applyFont="0" applyAlignment="0" applyProtection="0"/>
    <xf numFmtId="0" fontId="85" fillId="10" borderId="121" applyNumberFormat="0" applyAlignment="0" applyProtection="0"/>
    <xf numFmtId="0" fontId="71" fillId="23" borderId="121" applyNumberFormat="0" applyAlignment="0" applyProtection="0"/>
    <xf numFmtId="0" fontId="99" fillId="0" borderId="123" applyNumberFormat="0" applyFill="0" applyAlignment="0" applyProtection="0"/>
    <xf numFmtId="0" fontId="96" fillId="23" borderId="122" applyNumberFormat="0" applyAlignment="0" applyProtection="0"/>
    <xf numFmtId="0" fontId="98" fillId="0" borderId="119" applyNumberFormat="0" applyFill="0" applyAlignment="0" applyProtection="0"/>
    <xf numFmtId="0" fontId="64" fillId="26" borderId="102" applyNumberFormat="0" applyFont="0" applyAlignment="0" applyProtection="0"/>
    <xf numFmtId="0" fontId="65" fillId="26" borderId="102" applyNumberFormat="0" applyFont="0" applyAlignment="0" applyProtection="0"/>
    <xf numFmtId="0" fontId="63" fillId="26" borderId="102" applyNumberFormat="0" applyFont="0" applyAlignment="0" applyProtection="0"/>
    <xf numFmtId="0" fontId="49" fillId="26" borderId="102" applyNumberFormat="0" applyFont="0" applyAlignment="0" applyProtection="0"/>
    <xf numFmtId="0" fontId="85" fillId="10" borderId="116" applyNumberFormat="0" applyAlignment="0" applyProtection="0"/>
    <xf numFmtId="0" fontId="95" fillId="23" borderId="122" applyNumberFormat="0" applyAlignment="0" applyProtection="0"/>
    <xf numFmtId="0" fontId="70" fillId="23" borderId="121" applyNumberFormat="0" applyAlignment="0" applyProtection="0"/>
    <xf numFmtId="0" fontId="85" fillId="10" borderId="116" applyNumberFormat="0" applyAlignment="0" applyProtection="0"/>
    <xf numFmtId="0" fontId="98" fillId="0" borderId="119" applyNumberFormat="0" applyFill="0" applyAlignment="0" applyProtection="0"/>
    <xf numFmtId="0" fontId="98" fillId="0" borderId="123" applyNumberFormat="0" applyFill="0" applyAlignment="0" applyProtection="0"/>
    <xf numFmtId="0" fontId="70" fillId="23" borderId="121" applyNumberFormat="0" applyAlignment="0" applyProtection="0"/>
    <xf numFmtId="0" fontId="63" fillId="26" borderId="102" applyNumberFormat="0" applyFont="0" applyAlignment="0" applyProtection="0"/>
    <xf numFmtId="0" fontId="64" fillId="26" borderId="102" applyNumberFormat="0" applyFont="0" applyAlignment="0" applyProtection="0"/>
    <xf numFmtId="0" fontId="98" fillId="0" borderId="123" applyNumberFormat="0" applyFill="0" applyAlignment="0" applyProtection="0"/>
    <xf numFmtId="0" fontId="95" fillId="23" borderId="122" applyNumberFormat="0" applyAlignment="0" applyProtection="0"/>
    <xf numFmtId="0" fontId="98" fillId="0" borderId="123" applyNumberFormat="0" applyFill="0" applyAlignment="0" applyProtection="0"/>
    <xf numFmtId="0" fontId="49" fillId="26" borderId="125" applyNumberFormat="0" applyFont="0" applyAlignment="0" applyProtection="0"/>
    <xf numFmtId="0" fontId="70" fillId="23" borderId="116" applyNumberFormat="0" applyAlignment="0" applyProtection="0"/>
    <xf numFmtId="0" fontId="70" fillId="23" borderId="121" applyNumberFormat="0" applyAlignment="0" applyProtection="0"/>
    <xf numFmtId="0" fontId="95" fillId="23" borderId="122" applyNumberFormat="0" applyAlignment="0" applyProtection="0"/>
    <xf numFmtId="0" fontId="99" fillId="0" borderId="123" applyNumberFormat="0" applyFill="0" applyAlignment="0" applyProtection="0"/>
    <xf numFmtId="0" fontId="95" fillId="23" borderId="122" applyNumberFormat="0" applyAlignment="0" applyProtection="0"/>
    <xf numFmtId="0" fontId="98" fillId="0" borderId="123" applyNumberFormat="0" applyFill="0" applyAlignment="0" applyProtection="0"/>
    <xf numFmtId="0" fontId="85" fillId="10" borderId="116" applyNumberFormat="0" applyAlignment="0" applyProtection="0"/>
    <xf numFmtId="0" fontId="95" fillId="23" borderId="118" applyNumberFormat="0" applyAlignment="0" applyProtection="0"/>
    <xf numFmtId="0" fontId="64" fillId="26" borderId="117"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96" fillId="23" borderId="122" applyNumberFormat="0" applyAlignment="0" applyProtection="0"/>
    <xf numFmtId="0" fontId="63" fillId="26" borderId="125" applyNumberFormat="0" applyFont="0" applyAlignment="0" applyProtection="0"/>
    <xf numFmtId="0" fontId="85" fillId="10" borderId="121" applyNumberFormat="0" applyAlignment="0" applyProtection="0"/>
    <xf numFmtId="0" fontId="70" fillId="23" borderId="121" applyNumberFormat="0" applyAlignment="0" applyProtection="0"/>
    <xf numFmtId="0" fontId="70" fillId="23" borderId="121" applyNumberFormat="0" applyAlignment="0" applyProtection="0"/>
    <xf numFmtId="0" fontId="86" fillId="10" borderId="121" applyNumberFormat="0" applyAlignment="0" applyProtection="0"/>
    <xf numFmtId="0" fontId="49" fillId="26" borderId="117" applyNumberFormat="0" applyFont="0" applyAlignment="0" applyProtection="0"/>
    <xf numFmtId="0" fontId="63" fillId="26" borderId="117" applyNumberFormat="0" applyFont="0" applyAlignment="0" applyProtection="0"/>
    <xf numFmtId="0" fontId="70" fillId="23" borderId="116" applyNumberFormat="0" applyAlignment="0" applyProtection="0"/>
    <xf numFmtId="0" fontId="63" fillId="26" borderId="117" applyNumberFormat="0" applyFont="0" applyAlignment="0" applyProtection="0"/>
    <xf numFmtId="0" fontId="98" fillId="0" borderId="119" applyNumberFormat="0" applyFill="0" applyAlignment="0" applyProtection="0"/>
    <xf numFmtId="0" fontId="63" fillId="26" borderId="125" applyNumberFormat="0" applyFont="0" applyAlignment="0" applyProtection="0"/>
    <xf numFmtId="0" fontId="96" fillId="23" borderId="122" applyNumberFormat="0" applyAlignment="0" applyProtection="0"/>
    <xf numFmtId="0" fontId="65" fillId="26" borderId="102" applyNumberFormat="0" applyFont="0" applyAlignment="0" applyProtection="0"/>
    <xf numFmtId="0" fontId="49" fillId="26" borderId="102" applyNumberFormat="0" applyFont="0" applyAlignment="0" applyProtection="0"/>
    <xf numFmtId="0" fontId="63" fillId="26" borderId="102" applyNumberFormat="0" applyFont="0" applyAlignment="0" applyProtection="0"/>
    <xf numFmtId="0" fontId="64" fillId="26" borderId="102" applyNumberFormat="0" applyFont="0" applyAlignment="0" applyProtection="0"/>
    <xf numFmtId="0" fontId="65" fillId="26" borderId="102" applyNumberFormat="0" applyFont="0" applyAlignment="0" applyProtection="0"/>
    <xf numFmtId="0" fontId="49" fillId="26" borderId="102" applyNumberFormat="0" applyFont="0" applyAlignment="0" applyProtection="0"/>
    <xf numFmtId="0" fontId="64" fillId="26" borderId="102" applyNumberFormat="0" applyFont="0" applyAlignment="0" applyProtection="0"/>
    <xf numFmtId="0" fontId="65" fillId="26" borderId="102" applyNumberFormat="0" applyFont="0" applyAlignment="0" applyProtection="0"/>
    <xf numFmtId="0" fontId="63" fillId="26" borderId="102" applyNumberFormat="0" applyFont="0" applyAlignment="0" applyProtection="0"/>
    <xf numFmtId="0" fontId="49" fillId="26" borderId="102" applyNumberFormat="0" applyFont="0" applyAlignment="0" applyProtection="0"/>
    <xf numFmtId="0" fontId="63" fillId="26" borderId="102" applyNumberFormat="0" applyFont="0" applyAlignment="0" applyProtection="0"/>
    <xf numFmtId="0" fontId="64" fillId="26" borderId="102" applyNumberFormat="0" applyFont="0" applyAlignment="0" applyProtection="0"/>
    <xf numFmtId="0" fontId="65" fillId="26" borderId="102" applyNumberFormat="0" applyFont="0" applyAlignment="0" applyProtection="0"/>
    <xf numFmtId="0" fontId="49" fillId="26" borderId="102" applyNumberFormat="0" applyFont="0" applyAlignment="0" applyProtection="0"/>
    <xf numFmtId="0" fontId="64" fillId="26" borderId="117" applyNumberFormat="0" applyFont="0" applyAlignment="0" applyProtection="0"/>
    <xf numFmtId="0" fontId="63" fillId="26" borderId="125" applyNumberFormat="0" applyFont="0" applyAlignment="0" applyProtection="0"/>
    <xf numFmtId="0" fontId="65" fillId="26" borderId="125" applyNumberFormat="0" applyFont="0" applyAlignment="0" applyProtection="0"/>
    <xf numFmtId="0" fontId="70" fillId="23" borderId="116" applyNumberFormat="0" applyAlignment="0" applyProtection="0"/>
    <xf numFmtId="0" fontId="95" fillId="23" borderId="122" applyNumberFormat="0" applyAlignment="0" applyProtection="0"/>
    <xf numFmtId="0" fontId="70" fillId="23" borderId="116" applyNumberFormat="0" applyAlignment="0" applyProtection="0"/>
    <xf numFmtId="0" fontId="70" fillId="23" borderId="116" applyNumberFormat="0" applyAlignment="0" applyProtection="0"/>
    <xf numFmtId="0" fontId="85" fillId="10" borderId="121" applyNumberFormat="0" applyAlignment="0" applyProtection="0"/>
    <xf numFmtId="0" fontId="98" fillId="0" borderId="119" applyNumberFormat="0" applyFill="0" applyAlignment="0" applyProtection="0"/>
    <xf numFmtId="0" fontId="86" fillId="10" borderId="121" applyNumberFormat="0" applyAlignment="0" applyProtection="0"/>
    <xf numFmtId="0" fontId="65" fillId="26" borderId="125" applyNumberFormat="0" applyFont="0" applyAlignment="0" applyProtection="0"/>
    <xf numFmtId="0" fontId="96" fillId="23" borderId="122" applyNumberFormat="0" applyAlignment="0" applyProtection="0"/>
    <xf numFmtId="0" fontId="63"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98" fillId="0" borderId="119" applyNumberFormat="0" applyFill="0" applyAlignment="0" applyProtection="0"/>
    <xf numFmtId="0" fontId="64" fillId="26" borderId="117" applyNumberFormat="0" applyFont="0" applyAlignment="0" applyProtection="0"/>
    <xf numFmtId="0" fontId="49" fillId="26" borderId="125" applyNumberFormat="0" applyFont="0" applyAlignment="0" applyProtection="0"/>
    <xf numFmtId="0" fontId="122" fillId="28" borderId="124" applyNumberFormat="0" applyProtection="0">
      <alignment horizontal="center"/>
    </xf>
    <xf numFmtId="0" fontId="98" fillId="0" borderId="119" applyNumberFormat="0" applyFill="0" applyAlignment="0" applyProtection="0"/>
    <xf numFmtId="0" fontId="70" fillId="23" borderId="116" applyNumberFormat="0" applyAlignment="0" applyProtection="0"/>
    <xf numFmtId="0" fontId="95" fillId="23" borderId="122" applyNumberFormat="0" applyAlignment="0" applyProtection="0"/>
    <xf numFmtId="0" fontId="95" fillId="23" borderId="122" applyNumberFormat="0" applyAlignment="0" applyProtection="0"/>
    <xf numFmtId="0" fontId="85" fillId="10" borderId="121" applyNumberFormat="0" applyAlignment="0" applyProtection="0"/>
    <xf numFmtId="0" fontId="70" fillId="23" borderId="116" applyNumberFormat="0" applyAlignment="0" applyProtection="0"/>
    <xf numFmtId="0" fontId="95" fillId="23" borderId="118" applyNumberFormat="0" applyAlignment="0" applyProtection="0"/>
    <xf numFmtId="0" fontId="122" fillId="28" borderId="105" applyNumberFormat="0" applyProtection="0">
      <alignment horizontal="center"/>
    </xf>
    <xf numFmtId="0" fontId="122" fillId="28" borderId="105" applyNumberFormat="0" applyProtection="0">
      <alignment horizontal="center"/>
    </xf>
    <xf numFmtId="0" fontId="122" fillId="28" borderId="105" applyNumberFormat="0" applyProtection="0">
      <alignment horizontal="center"/>
    </xf>
    <xf numFmtId="0" fontId="85" fillId="10" borderId="106" applyNumberFormat="0" applyAlignment="0" applyProtection="0"/>
    <xf numFmtId="0" fontId="85" fillId="10" borderId="106" applyNumberFormat="0" applyAlignment="0" applyProtection="0"/>
    <xf numFmtId="0" fontId="86" fillId="10" borderId="106" applyNumberFormat="0" applyAlignment="0" applyProtection="0"/>
    <xf numFmtId="0" fontId="85" fillId="10" borderId="106" applyNumberForma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70" fillId="23" borderId="106" applyNumberFormat="0" applyAlignment="0" applyProtection="0"/>
    <xf numFmtId="0" fontId="86" fillId="10" borderId="121" applyNumberFormat="0" applyAlignment="0" applyProtection="0"/>
    <xf numFmtId="0" fontId="95" fillId="23" borderId="122" applyNumberFormat="0" applyAlignment="0" applyProtection="0"/>
    <xf numFmtId="0" fontId="70" fillId="23" borderId="121" applyNumberFormat="0" applyAlignment="0" applyProtection="0"/>
    <xf numFmtId="0" fontId="71" fillId="23" borderId="121" applyNumberFormat="0" applyAlignment="0" applyProtection="0"/>
    <xf numFmtId="0" fontId="63" fillId="26" borderId="125" applyNumberFormat="0" applyFon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85" fillId="10" borderId="106" applyNumberFormat="0" applyAlignment="0" applyProtection="0"/>
    <xf numFmtId="0" fontId="86" fillId="10" borderId="106" applyNumberFormat="0" applyAlignment="0" applyProtection="0"/>
    <xf numFmtId="0" fontId="85" fillId="10" borderId="106" applyNumberFormat="0" applyAlignment="0" applyProtection="0"/>
    <xf numFmtId="0" fontId="85" fillId="10" borderId="106" applyNumberFormat="0" applyAlignment="0" applyProtection="0"/>
    <xf numFmtId="0" fontId="63" fillId="26" borderId="125" applyNumberFormat="0" applyFont="0" applyAlignment="0" applyProtection="0"/>
    <xf numFmtId="0" fontId="63" fillId="26" borderId="117" applyNumberFormat="0" applyFont="0" applyAlignment="0" applyProtection="0"/>
    <xf numFmtId="0" fontId="71"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95" fillId="23" borderId="122" applyNumberFormat="0" applyAlignment="0" applyProtection="0"/>
    <xf numFmtId="0" fontId="65" fillId="26" borderId="117" applyNumberFormat="0" applyFont="0" applyAlignment="0" applyProtection="0"/>
    <xf numFmtId="0" fontId="64" fillId="26" borderId="100" applyNumberFormat="0" applyFont="0" applyAlignment="0" applyProtection="0"/>
    <xf numFmtId="0" fontId="65" fillId="26" borderId="100" applyNumberFormat="0" applyFont="0" applyAlignment="0" applyProtection="0"/>
    <xf numFmtId="0" fontId="63" fillId="26" borderId="100" applyNumberFormat="0" applyFont="0" applyAlignment="0" applyProtection="0"/>
    <xf numFmtId="0" fontId="49" fillId="26" borderId="100" applyNumberFormat="0" applyFon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70" fillId="23" borderId="121" applyNumberFormat="0" applyAlignment="0" applyProtection="0"/>
    <xf numFmtId="0" fontId="99" fillId="0" borderId="123" applyNumberFormat="0" applyFill="0" applyAlignment="0" applyProtection="0"/>
    <xf numFmtId="0" fontId="65" fillId="26" borderId="117" applyNumberFormat="0" applyFont="0" applyAlignment="0" applyProtection="0"/>
    <xf numFmtId="0" fontId="98" fillId="0" borderId="123" applyNumberFormat="0" applyFill="0" applyAlignment="0" applyProtection="0"/>
    <xf numFmtId="0" fontId="70" fillId="23" borderId="121" applyNumberFormat="0" applyAlignment="0" applyProtection="0"/>
    <xf numFmtId="0" fontId="98" fillId="0" borderId="123" applyNumberFormat="0" applyFill="0" applyAlignment="0" applyProtection="0"/>
    <xf numFmtId="0" fontId="65" fillId="26" borderId="125" applyNumberFormat="0" applyFont="0" applyAlignment="0" applyProtection="0"/>
    <xf numFmtId="0" fontId="98" fillId="0" borderId="123" applyNumberFormat="0" applyFill="0" applyAlignment="0" applyProtection="0"/>
    <xf numFmtId="0" fontId="99" fillId="0" borderId="123" applyNumberFormat="0" applyFill="0" applyAlignment="0" applyProtection="0"/>
    <xf numFmtId="0" fontId="63" fillId="26" borderId="100" applyNumberFormat="0" applyFont="0" applyAlignment="0" applyProtection="0"/>
    <xf numFmtId="0" fontId="64" fillId="26" borderId="100" applyNumberFormat="0" applyFont="0" applyAlignment="0" applyProtection="0"/>
    <xf numFmtId="0" fontId="85" fillId="10" borderId="106" applyNumberFormat="0" applyAlignment="0" applyProtection="0"/>
    <xf numFmtId="0" fontId="85" fillId="10" borderId="106" applyNumberForma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49" fillId="26" borderId="125" applyNumberFormat="0" applyFont="0" applyAlignment="0" applyProtection="0"/>
    <xf numFmtId="0" fontId="95" fillId="23" borderId="122" applyNumberFormat="0" applyAlignment="0" applyProtection="0"/>
    <xf numFmtId="0" fontId="86" fillId="10" borderId="121" applyNumberForma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49" fillId="26" borderId="125" applyNumberFormat="0" applyFont="0" applyAlignment="0" applyProtection="0"/>
    <xf numFmtId="0" fontId="63" fillId="26" borderId="117" applyNumberFormat="0" applyFon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85" fillId="10" borderId="106" applyNumberFormat="0" applyAlignment="0" applyProtection="0"/>
    <xf numFmtId="0" fontId="86" fillId="10" borderId="106" applyNumberFormat="0" applyAlignment="0" applyProtection="0"/>
    <xf numFmtId="0" fontId="85" fillId="10" borderId="121" applyNumberFormat="0" applyAlignment="0" applyProtection="0"/>
    <xf numFmtId="0" fontId="63" fillId="26" borderId="117" applyNumberFormat="0" applyFont="0" applyAlignment="0" applyProtection="0"/>
    <xf numFmtId="0" fontId="64" fillId="26" borderId="117" applyNumberFormat="0" applyFont="0" applyAlignment="0" applyProtection="0"/>
    <xf numFmtId="0" fontId="99" fillId="0" borderId="119" applyNumberFormat="0" applyFill="0" applyAlignment="0" applyProtection="0"/>
    <xf numFmtId="0" fontId="85" fillId="10" borderId="116" applyNumberFormat="0" applyAlignment="0" applyProtection="0"/>
    <xf numFmtId="0" fontId="85" fillId="10" borderId="121" applyNumberFormat="0" applyAlignment="0" applyProtection="0"/>
    <xf numFmtId="0" fontId="85" fillId="10" borderId="121" applyNumberFormat="0" applyAlignment="0" applyProtection="0"/>
    <xf numFmtId="0" fontId="98" fillId="0" borderId="123" applyNumberFormat="0" applyFill="0" applyAlignment="0" applyProtection="0"/>
    <xf numFmtId="0" fontId="85" fillId="10" borderId="121" applyNumberFormat="0" applyAlignment="0" applyProtection="0"/>
    <xf numFmtId="0" fontId="70" fillId="23" borderId="121" applyNumberFormat="0" applyAlignment="0" applyProtection="0"/>
    <xf numFmtId="0" fontId="70" fillId="23" borderId="121" applyNumberFormat="0" applyAlignment="0" applyProtection="0"/>
    <xf numFmtId="0" fontId="70" fillId="23" borderId="106" applyNumberFormat="0" applyAlignment="0" applyProtection="0"/>
    <xf numFmtId="0" fontId="65" fillId="26" borderId="100" applyNumberFormat="0" applyFont="0" applyAlignment="0" applyProtection="0"/>
    <xf numFmtId="0" fontId="49" fillId="26" borderId="100" applyNumberFormat="0" applyFont="0" applyAlignment="0" applyProtection="0"/>
    <xf numFmtId="0" fontId="64" fillId="26" borderId="117" applyNumberFormat="0" applyFon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70" fillId="23" borderId="106" applyNumberFormat="0" applyAlignment="0" applyProtection="0"/>
    <xf numFmtId="0" fontId="98" fillId="0" borderId="123" applyNumberFormat="0" applyFill="0" applyAlignment="0" applyProtection="0"/>
    <xf numFmtId="0" fontId="85" fillId="10" borderId="121" applyNumberFormat="0" applyAlignment="0" applyProtection="0"/>
    <xf numFmtId="0" fontId="95" fillId="23" borderId="122" applyNumberFormat="0" applyAlignment="0" applyProtection="0"/>
    <xf numFmtId="0" fontId="85" fillId="10" borderId="121" applyNumberFormat="0" applyAlignment="0" applyProtection="0"/>
    <xf numFmtId="0" fontId="95" fillId="23" borderId="122" applyNumberFormat="0" applyAlignment="0" applyProtection="0"/>
    <xf numFmtId="0" fontId="85" fillId="10" borderId="106" applyNumberFormat="0" applyAlignment="0" applyProtection="0"/>
    <xf numFmtId="0" fontId="86" fillId="10" borderId="106" applyNumberFormat="0" applyAlignment="0" applyProtection="0"/>
    <xf numFmtId="0" fontId="85" fillId="10" borderId="106" applyNumberFormat="0" applyAlignment="0" applyProtection="0"/>
    <xf numFmtId="0" fontId="85" fillId="10" borderId="106" applyNumberFormat="0" applyAlignment="0" applyProtection="0"/>
    <xf numFmtId="0" fontId="49" fillId="26" borderId="117" applyNumberFormat="0" applyFont="0" applyAlignment="0" applyProtection="0"/>
    <xf numFmtId="0" fontId="85" fillId="10" borderId="121" applyNumberFormat="0" applyAlignment="0" applyProtection="0"/>
    <xf numFmtId="0" fontId="95" fillId="23" borderId="122" applyNumberFormat="0" applyAlignment="0" applyProtection="0"/>
    <xf numFmtId="0" fontId="99" fillId="0" borderId="123" applyNumberFormat="0" applyFill="0" applyAlignment="0" applyProtection="0"/>
    <xf numFmtId="0" fontId="98" fillId="0" borderId="119" applyNumberFormat="0" applyFill="0" applyAlignment="0" applyProtection="0"/>
    <xf numFmtId="0" fontId="64" fillId="26" borderId="100" applyNumberFormat="0" applyFont="0" applyAlignment="0" applyProtection="0"/>
    <xf numFmtId="0" fontId="65" fillId="26" borderId="100" applyNumberFormat="0" applyFont="0" applyAlignment="0" applyProtection="0"/>
    <xf numFmtId="0" fontId="63" fillId="26" borderId="100" applyNumberFormat="0" applyFont="0" applyAlignment="0" applyProtection="0"/>
    <xf numFmtId="0" fontId="49" fillId="26" borderId="100" applyNumberFormat="0" applyFon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98" fillId="0" borderId="123" applyNumberFormat="0" applyFill="0" applyAlignment="0" applyProtection="0"/>
    <xf numFmtId="0" fontId="95" fillId="23" borderId="118" applyNumberFormat="0" applyAlignment="0" applyProtection="0"/>
    <xf numFmtId="0" fontId="49" fillId="26" borderId="125" applyNumberFormat="0" applyFont="0" applyAlignment="0" applyProtection="0"/>
    <xf numFmtId="0" fontId="64" fillId="26" borderId="125" applyNumberFormat="0" applyFont="0" applyAlignment="0" applyProtection="0"/>
    <xf numFmtId="0" fontId="70" fillId="23" borderId="121" applyNumberFormat="0" applyAlignment="0" applyProtection="0"/>
    <xf numFmtId="0" fontId="63" fillId="26" borderId="100" applyNumberFormat="0" applyFont="0" applyAlignment="0" applyProtection="0"/>
    <xf numFmtId="0" fontId="64" fillId="26" borderId="100" applyNumberFormat="0" applyFont="0" applyAlignment="0" applyProtection="0"/>
    <xf numFmtId="0" fontId="85" fillId="10" borderId="106" applyNumberFormat="0" applyAlignment="0" applyProtection="0"/>
    <xf numFmtId="0" fontId="85" fillId="10" borderId="106" applyNumberForma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95" fillId="23" borderId="122" applyNumberFormat="0" applyAlignment="0" applyProtection="0"/>
    <xf numFmtId="0" fontId="63" fillId="26" borderId="125" applyNumberFormat="0" applyFon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70" fillId="23" borderId="121" applyNumberForma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85" fillId="10" borderId="106" applyNumberFormat="0" applyAlignment="0" applyProtection="0"/>
    <xf numFmtId="0" fontId="86" fillId="10" borderId="106" applyNumberFormat="0" applyAlignment="0" applyProtection="0"/>
    <xf numFmtId="0" fontId="63" fillId="26" borderId="117" applyNumberFormat="0" applyFont="0" applyAlignment="0" applyProtection="0"/>
    <xf numFmtId="0" fontId="64" fillId="26" borderId="117" applyNumberFormat="0" applyFont="0" applyAlignment="0" applyProtection="0"/>
    <xf numFmtId="0" fontId="96" fillId="23" borderId="122" applyNumberFormat="0" applyAlignment="0" applyProtection="0"/>
    <xf numFmtId="0" fontId="98" fillId="0" borderId="123" applyNumberFormat="0" applyFill="0" applyAlignment="0" applyProtection="0"/>
    <xf numFmtId="0" fontId="95" fillId="23" borderId="118" applyNumberFormat="0" applyAlignment="0" applyProtection="0"/>
    <xf numFmtId="0" fontId="99" fillId="0" borderId="119" applyNumberFormat="0" applyFill="0" applyAlignment="0" applyProtection="0"/>
    <xf numFmtId="0" fontId="64" fillId="26" borderId="117" applyNumberFormat="0" applyFont="0" applyAlignment="0" applyProtection="0"/>
    <xf numFmtId="0" fontId="70" fillId="23" borderId="116" applyNumberFormat="0" applyAlignment="0" applyProtection="0"/>
    <xf numFmtId="0" fontId="65" fillId="26" borderId="125" applyNumberFormat="0" applyFont="0" applyAlignment="0" applyProtection="0"/>
    <xf numFmtId="0" fontId="70" fillId="23" borderId="121" applyNumberFormat="0" applyAlignment="0" applyProtection="0"/>
    <xf numFmtId="0" fontId="65" fillId="26" borderId="125" applyNumberFormat="0" applyFont="0" applyAlignment="0" applyProtection="0"/>
    <xf numFmtId="0" fontId="70" fillId="23" borderId="121" applyNumberFormat="0" applyAlignment="0" applyProtection="0"/>
    <xf numFmtId="0" fontId="70" fillId="23" borderId="121" applyNumberFormat="0" applyAlignment="0" applyProtection="0"/>
    <xf numFmtId="0" fontId="70" fillId="23" borderId="116" applyNumberFormat="0" applyAlignment="0" applyProtection="0"/>
    <xf numFmtId="0" fontId="96" fillId="23" borderId="118" applyNumberFormat="0" applyAlignment="0" applyProtection="0"/>
    <xf numFmtId="0" fontId="70" fillId="23" borderId="116" applyNumberFormat="0" applyAlignment="0" applyProtection="0"/>
    <xf numFmtId="0" fontId="86" fillId="10" borderId="121" applyNumberFormat="0" applyAlignment="0" applyProtection="0"/>
    <xf numFmtId="0" fontId="49" fillId="26" borderId="125" applyNumberFormat="0" applyFont="0" applyAlignment="0" applyProtection="0"/>
    <xf numFmtId="0" fontId="99" fillId="0" borderId="123" applyNumberFormat="0" applyFill="0" applyAlignment="0" applyProtection="0"/>
    <xf numFmtId="0" fontId="70" fillId="23" borderId="106" applyNumberFormat="0" applyAlignment="0" applyProtection="0"/>
    <xf numFmtId="0" fontId="65" fillId="26" borderId="100" applyNumberFormat="0" applyFont="0" applyAlignment="0" applyProtection="0"/>
    <xf numFmtId="0" fontId="49" fillId="26" borderId="100" applyNumberFormat="0" applyFont="0" applyAlignment="0" applyProtection="0"/>
    <xf numFmtId="0" fontId="86" fillId="10" borderId="116" applyNumberFormat="0" applyAlignment="0" applyProtection="0"/>
    <xf numFmtId="0" fontId="96" fillId="23" borderId="118" applyNumberForma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70" fillId="23" borderId="106" applyNumberFormat="0" applyAlignment="0" applyProtection="0"/>
    <xf numFmtId="0" fontId="85" fillId="10" borderId="121" applyNumberFormat="0" applyAlignment="0" applyProtection="0"/>
    <xf numFmtId="0" fontId="96" fillId="23" borderId="122" applyNumberFormat="0" applyAlignment="0" applyProtection="0"/>
    <xf numFmtId="0" fontId="98" fillId="0" borderId="123" applyNumberFormat="0" applyFill="0" applyAlignment="0" applyProtection="0"/>
    <xf numFmtId="0" fontId="85" fillId="10" borderId="121" applyNumberFormat="0" applyAlignment="0" applyProtection="0"/>
    <xf numFmtId="0" fontId="49" fillId="26" borderId="125" applyNumberFormat="0" applyFont="0" applyAlignment="0" applyProtection="0"/>
    <xf numFmtId="0" fontId="86" fillId="10" borderId="121" applyNumberFormat="0" applyAlignment="0" applyProtection="0"/>
    <xf numFmtId="0" fontId="85" fillId="10" borderId="106" applyNumberFormat="0" applyAlignment="0" applyProtection="0"/>
    <xf numFmtId="0" fontId="86" fillId="10" borderId="106" applyNumberFormat="0" applyAlignment="0" applyProtection="0"/>
    <xf numFmtId="0" fontId="85" fillId="10" borderId="106" applyNumberFormat="0" applyAlignment="0" applyProtection="0"/>
    <xf numFmtId="0" fontId="85" fillId="10" borderId="106" applyNumberFormat="0" applyAlignment="0" applyProtection="0"/>
    <xf numFmtId="0" fontId="95" fillId="23" borderId="122" applyNumberFormat="0" applyAlignment="0" applyProtection="0"/>
    <xf numFmtId="0" fontId="85" fillId="10" borderId="121" applyNumberFormat="0" applyAlignment="0" applyProtection="0"/>
    <xf numFmtId="0" fontId="70" fillId="23" borderId="121" applyNumberFormat="0" applyAlignment="0" applyProtection="0"/>
    <xf numFmtId="0" fontId="95" fillId="23" borderId="122" applyNumberFormat="0" applyAlignment="0" applyProtection="0"/>
    <xf numFmtId="0" fontId="98" fillId="0" borderId="123" applyNumberFormat="0" applyFill="0" applyAlignment="0" applyProtection="0"/>
    <xf numFmtId="0" fontId="64" fillId="26" borderId="100" applyNumberFormat="0" applyFont="0" applyAlignment="0" applyProtection="0"/>
    <xf numFmtId="0" fontId="65" fillId="26" borderId="100" applyNumberFormat="0" applyFont="0" applyAlignment="0" applyProtection="0"/>
    <xf numFmtId="0" fontId="63" fillId="26" borderId="100" applyNumberFormat="0" applyFont="0" applyAlignment="0" applyProtection="0"/>
    <xf numFmtId="0" fontId="49" fillId="26" borderId="100" applyNumberFormat="0" applyFon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63" fillId="26" borderId="117" applyNumberFormat="0" applyFon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63" fillId="26" borderId="125" applyNumberFormat="0" applyFont="0" applyAlignment="0" applyProtection="0"/>
    <xf numFmtId="0" fontId="49" fillId="26" borderId="117" applyNumberFormat="0" applyFont="0" applyAlignment="0" applyProtection="0"/>
    <xf numFmtId="0" fontId="98" fillId="0" borderId="123" applyNumberFormat="0" applyFill="0" applyAlignment="0" applyProtection="0"/>
    <xf numFmtId="0" fontId="64" fillId="26" borderId="125" applyNumberFormat="0" applyFont="0" applyAlignment="0" applyProtection="0"/>
    <xf numFmtId="0" fontId="70" fillId="23" borderId="121" applyNumberFormat="0" applyAlignment="0" applyProtection="0"/>
    <xf numFmtId="0" fontId="65" fillId="26" borderId="125" applyNumberFormat="0" applyFont="0" applyAlignment="0" applyProtection="0"/>
    <xf numFmtId="0" fontId="64" fillId="26" borderId="117" applyNumberFormat="0" applyFont="0" applyAlignment="0" applyProtection="0"/>
    <xf numFmtId="0" fontId="63" fillId="26" borderId="100" applyNumberFormat="0" applyFont="0" applyAlignment="0" applyProtection="0"/>
    <xf numFmtId="0" fontId="64" fillId="26" borderId="100" applyNumberFormat="0" applyFont="0" applyAlignment="0" applyProtection="0"/>
    <xf numFmtId="0" fontId="85" fillId="10" borderId="106" applyNumberFormat="0" applyAlignment="0" applyProtection="0"/>
    <xf numFmtId="0" fontId="85" fillId="10" borderId="106" applyNumberForma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63" fillId="26" borderId="125" applyNumberFormat="0" applyFont="0" applyAlignment="0" applyProtection="0"/>
    <xf numFmtId="0" fontId="98" fillId="0" borderId="123" applyNumberFormat="0" applyFill="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98" fillId="0" borderId="123" applyNumberFormat="0" applyFill="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85" fillId="10" borderId="106" applyNumberFormat="0" applyAlignment="0" applyProtection="0"/>
    <xf numFmtId="0" fontId="86" fillId="10" borderId="106" applyNumberFormat="0" applyAlignment="0" applyProtection="0"/>
    <xf numFmtId="0" fontId="96" fillId="23" borderId="122" applyNumberFormat="0" applyAlignment="0" applyProtection="0"/>
    <xf numFmtId="0" fontId="85" fillId="10" borderId="121" applyNumberFormat="0" applyAlignment="0" applyProtection="0"/>
    <xf numFmtId="0" fontId="64" fillId="26" borderId="117" applyNumberFormat="0" applyFont="0" applyAlignment="0" applyProtection="0"/>
    <xf numFmtId="0" fontId="95" fillId="23" borderId="118" applyNumberFormat="0" applyAlignment="0" applyProtection="0"/>
    <xf numFmtId="0" fontId="85" fillId="10" borderId="121" applyNumberFormat="0" applyAlignment="0" applyProtection="0"/>
    <xf numFmtId="0" fontId="70" fillId="23" borderId="121" applyNumberFormat="0" applyAlignment="0" applyProtection="0"/>
    <xf numFmtId="0" fontId="70" fillId="23" borderId="121" applyNumberFormat="0" applyAlignment="0" applyProtection="0"/>
    <xf numFmtId="0" fontId="49" fillId="26" borderId="125" applyNumberFormat="0" applyFont="0" applyAlignment="0" applyProtection="0"/>
    <xf numFmtId="0" fontId="63" fillId="26" borderId="125" applyNumberFormat="0" applyFont="0" applyAlignment="0" applyProtection="0"/>
    <xf numFmtId="0" fontId="71" fillId="23" borderId="121" applyNumberFormat="0" applyAlignment="0" applyProtection="0"/>
    <xf numFmtId="0" fontId="65" fillId="26" borderId="117" applyNumberFormat="0" applyFont="0" applyAlignment="0" applyProtection="0"/>
    <xf numFmtId="0" fontId="65" fillId="26" borderId="117" applyNumberFormat="0" applyFont="0" applyAlignment="0" applyProtection="0"/>
    <xf numFmtId="0" fontId="85" fillId="10" borderId="121" applyNumberFormat="0" applyAlignment="0" applyProtection="0"/>
    <xf numFmtId="0" fontId="70" fillId="23" borderId="121" applyNumberFormat="0" applyAlignment="0" applyProtection="0"/>
    <xf numFmtId="0" fontId="98" fillId="0" borderId="123" applyNumberFormat="0" applyFill="0" applyAlignment="0" applyProtection="0"/>
    <xf numFmtId="0" fontId="65" fillId="26" borderId="125" applyNumberFormat="0" applyFont="0" applyAlignment="0" applyProtection="0"/>
    <xf numFmtId="0" fontId="70" fillId="23" borderId="106" applyNumberFormat="0" applyAlignment="0" applyProtection="0"/>
    <xf numFmtId="0" fontId="65" fillId="26" borderId="100" applyNumberFormat="0" applyFont="0" applyAlignment="0" applyProtection="0"/>
    <xf numFmtId="0" fontId="49" fillId="26" borderId="100" applyNumberFormat="0" applyFont="0" applyAlignment="0" applyProtection="0"/>
    <xf numFmtId="0" fontId="96" fillId="23" borderId="118" applyNumberFormat="0" applyAlignment="0" applyProtection="0"/>
    <xf numFmtId="0" fontId="96" fillId="23" borderId="122" applyNumberForma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70" fillId="23" borderId="106" applyNumberFormat="0" applyAlignment="0" applyProtection="0"/>
    <xf numFmtId="0" fontId="49" fillId="26" borderId="125" applyNumberFormat="0" applyFont="0" applyAlignment="0" applyProtection="0"/>
    <xf numFmtId="0" fontId="86" fillId="10" borderId="121" applyNumberFormat="0" applyAlignment="0" applyProtection="0"/>
    <xf numFmtId="0" fontId="95" fillId="23" borderId="122" applyNumberFormat="0" applyAlignment="0" applyProtection="0"/>
    <xf numFmtId="0" fontId="98" fillId="0" borderId="123" applyNumberFormat="0" applyFill="0" applyAlignment="0" applyProtection="0"/>
    <xf numFmtId="0" fontId="85" fillId="10" borderId="106" applyNumberFormat="0" applyAlignment="0" applyProtection="0"/>
    <xf numFmtId="0" fontId="86" fillId="10" borderId="106" applyNumberFormat="0" applyAlignment="0" applyProtection="0"/>
    <xf numFmtId="0" fontId="85" fillId="10" borderId="106" applyNumberFormat="0" applyAlignment="0" applyProtection="0"/>
    <xf numFmtId="0" fontId="85" fillId="10" borderId="106" applyNumberFormat="0" applyAlignment="0" applyProtection="0"/>
    <xf numFmtId="0" fontId="65" fillId="26" borderId="117" applyNumberFormat="0" applyFon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63" fillId="26" borderId="117" applyNumberFormat="0" applyFont="0" applyAlignment="0" applyProtection="0"/>
    <xf numFmtId="0" fontId="64" fillId="26" borderId="100" applyNumberFormat="0" applyFont="0" applyAlignment="0" applyProtection="0"/>
    <xf numFmtId="0" fontId="65" fillId="26" borderId="100" applyNumberFormat="0" applyFont="0" applyAlignment="0" applyProtection="0"/>
    <xf numFmtId="0" fontId="63" fillId="26" borderId="100" applyNumberFormat="0" applyFont="0" applyAlignment="0" applyProtection="0"/>
    <xf numFmtId="0" fontId="49" fillId="26" borderId="100" applyNumberFormat="0" applyFon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63" fillId="26" borderId="125" applyNumberFormat="0" applyFont="0" applyAlignment="0" applyProtection="0"/>
    <xf numFmtId="0" fontId="71" fillId="23" borderId="121" applyNumberFormat="0" applyAlignment="0" applyProtection="0"/>
    <xf numFmtId="0" fontId="122" fillId="28" borderId="91" applyNumberFormat="0" applyProtection="0">
      <alignment horizontal="center"/>
    </xf>
    <xf numFmtId="0" fontId="98" fillId="0" borderId="119" applyNumberFormat="0" applyFill="0" applyAlignment="0" applyProtection="0"/>
    <xf numFmtId="0" fontId="70" fillId="23" borderId="116" applyNumberFormat="0" applyAlignment="0" applyProtection="0"/>
    <xf numFmtId="0" fontId="122" fillId="28" borderId="91" applyNumberFormat="0" applyProtection="0">
      <alignment horizontal="center"/>
    </xf>
    <xf numFmtId="0" fontId="71" fillId="23" borderId="121" applyNumberFormat="0" applyAlignment="0" applyProtection="0"/>
    <xf numFmtId="0" fontId="95" fillId="23" borderId="122" applyNumberFormat="0" applyAlignment="0" applyProtection="0"/>
    <xf numFmtId="0" fontId="98" fillId="0" borderId="123" applyNumberFormat="0" applyFill="0" applyAlignment="0" applyProtection="0"/>
    <xf numFmtId="0" fontId="63" fillId="26" borderId="100" applyNumberFormat="0" applyFont="0" applyAlignment="0" applyProtection="0"/>
    <xf numFmtId="0" fontId="64" fillId="26" borderId="100" applyNumberFormat="0" applyFont="0" applyAlignment="0" applyProtection="0"/>
    <xf numFmtId="0" fontId="85" fillId="10" borderId="106" applyNumberFormat="0" applyAlignment="0" applyProtection="0"/>
    <xf numFmtId="0" fontId="85" fillId="10" borderId="106" applyNumberForma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98" fillId="0" borderId="123" applyNumberFormat="0" applyFill="0" applyAlignment="0" applyProtection="0"/>
    <xf numFmtId="0" fontId="49" fillId="26" borderId="125" applyNumberFormat="0" applyFon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98" fillId="0" borderId="123" applyNumberFormat="0" applyFill="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85" fillId="10" borderId="106" applyNumberFormat="0" applyAlignment="0" applyProtection="0"/>
    <xf numFmtId="0" fontId="86" fillId="10" borderId="106" applyNumberFormat="0" applyAlignment="0" applyProtection="0"/>
    <xf numFmtId="0" fontId="96" fillId="23" borderId="122" applyNumberFormat="0" applyAlignment="0" applyProtection="0"/>
    <xf numFmtId="0" fontId="99" fillId="0" borderId="119" applyNumberFormat="0" applyFill="0" applyAlignment="0" applyProtection="0"/>
    <xf numFmtId="0" fontId="65" fillId="26" borderId="117" applyNumberFormat="0" applyFont="0" applyAlignment="0" applyProtection="0"/>
    <xf numFmtId="0" fontId="70" fillId="23" borderId="116"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65" fillId="26" borderId="125" applyNumberFormat="0" applyFont="0" applyAlignment="0" applyProtection="0"/>
    <xf numFmtId="0" fontId="98" fillId="0" borderId="123" applyNumberFormat="0" applyFill="0" applyAlignment="0" applyProtection="0"/>
    <xf numFmtId="0" fontId="71" fillId="23" borderId="121" applyNumberFormat="0" applyAlignment="0" applyProtection="0"/>
    <xf numFmtId="0" fontId="85" fillId="10" borderId="116" applyNumberFormat="0" applyAlignment="0" applyProtection="0"/>
    <xf numFmtId="0" fontId="85" fillId="10" borderId="121" applyNumberFormat="0" applyAlignment="0" applyProtection="0"/>
    <xf numFmtId="0" fontId="70" fillId="23" borderId="121" applyNumberFormat="0" applyAlignment="0" applyProtection="0"/>
    <xf numFmtId="0" fontId="70" fillId="23" borderId="106" applyNumberFormat="0" applyAlignment="0" applyProtection="0"/>
    <xf numFmtId="0" fontId="65" fillId="26" borderId="100" applyNumberFormat="0" applyFont="0" applyAlignment="0" applyProtection="0"/>
    <xf numFmtId="0" fontId="49" fillId="26" borderId="100" applyNumberFormat="0" applyFont="0" applyAlignment="0" applyProtection="0"/>
    <xf numFmtId="0" fontId="63" fillId="26" borderId="100" applyNumberFormat="0" applyFont="0" applyAlignment="0" applyProtection="0"/>
    <xf numFmtId="0" fontId="64" fillId="26" borderId="100" applyNumberFormat="0" applyFont="0" applyAlignment="0" applyProtection="0"/>
    <xf numFmtId="0" fontId="85" fillId="10" borderId="106" applyNumberFormat="0" applyAlignment="0" applyProtection="0"/>
    <xf numFmtId="0" fontId="85" fillId="10" borderId="106" applyNumberForma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85" fillId="10" borderId="106" applyNumberFormat="0" applyAlignment="0" applyProtection="0"/>
    <xf numFmtId="0" fontId="86" fillId="10" borderId="106" applyNumberFormat="0" applyAlignment="0" applyProtection="0"/>
    <xf numFmtId="0" fontId="70" fillId="23" borderId="106" applyNumberFormat="0" applyAlignment="0" applyProtection="0"/>
    <xf numFmtId="0" fontId="65" fillId="26" borderId="100" applyNumberFormat="0" applyFont="0" applyAlignment="0" applyProtection="0"/>
    <xf numFmtId="0" fontId="49" fillId="26" borderId="100" applyNumberFormat="0" applyFon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70" fillId="23" borderId="106" applyNumberFormat="0" applyAlignment="0" applyProtection="0"/>
    <xf numFmtId="0" fontId="85" fillId="10" borderId="106" applyNumberFormat="0" applyAlignment="0" applyProtection="0"/>
    <xf numFmtId="0" fontId="86" fillId="10" borderId="106" applyNumberFormat="0" applyAlignment="0" applyProtection="0"/>
    <xf numFmtId="0" fontId="85" fillId="10" borderId="106" applyNumberFormat="0" applyAlignment="0" applyProtection="0"/>
    <xf numFmtId="0" fontId="85" fillId="10" borderId="106" applyNumberFormat="0" applyAlignment="0" applyProtection="0"/>
    <xf numFmtId="0" fontId="64" fillId="26" borderId="100" applyNumberFormat="0" applyFont="0" applyAlignment="0" applyProtection="0"/>
    <xf numFmtId="0" fontId="65" fillId="26" borderId="100" applyNumberFormat="0" applyFont="0" applyAlignment="0" applyProtection="0"/>
    <xf numFmtId="0" fontId="63" fillId="26" borderId="100" applyNumberFormat="0" applyFont="0" applyAlignment="0" applyProtection="0"/>
    <xf numFmtId="0" fontId="49" fillId="26" borderId="100" applyNumberFormat="0" applyFon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63" fillId="26" borderId="100" applyNumberFormat="0" applyFont="0" applyAlignment="0" applyProtection="0"/>
    <xf numFmtId="0" fontId="64" fillId="26" borderId="100" applyNumberFormat="0" applyFont="0" applyAlignment="0" applyProtection="0"/>
    <xf numFmtId="0" fontId="85" fillId="10" borderId="106" applyNumberFormat="0" applyAlignment="0" applyProtection="0"/>
    <xf numFmtId="0" fontId="85" fillId="10" borderId="106" applyNumberForma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85" fillId="10" borderId="106" applyNumberFormat="0" applyAlignment="0" applyProtection="0"/>
    <xf numFmtId="0" fontId="86" fillId="10" borderId="106" applyNumberFormat="0" applyAlignment="0" applyProtection="0"/>
    <xf numFmtId="0" fontId="70" fillId="23" borderId="106" applyNumberFormat="0" applyAlignment="0" applyProtection="0"/>
    <xf numFmtId="0" fontId="65" fillId="26" borderId="100" applyNumberFormat="0" applyFont="0" applyAlignment="0" applyProtection="0"/>
    <xf numFmtId="0" fontId="49" fillId="26" borderId="100" applyNumberFormat="0" applyFont="0" applyAlignment="0" applyProtection="0"/>
    <xf numFmtId="0" fontId="85" fillId="10" borderId="116" applyNumberFormat="0" applyAlignment="0" applyProtection="0"/>
    <xf numFmtId="0" fontId="98" fillId="0" borderId="123" applyNumberFormat="0" applyFill="0" applyAlignment="0" applyProtection="0"/>
    <xf numFmtId="0" fontId="63" fillId="26" borderId="125" applyNumberFormat="0" applyFont="0" applyAlignment="0" applyProtection="0"/>
    <xf numFmtId="0" fontId="85" fillId="10" borderId="121" applyNumberFormat="0" applyAlignment="0" applyProtection="0"/>
    <xf numFmtId="0" fontId="86" fillId="10" borderId="116" applyNumberFormat="0" applyAlignment="0" applyProtection="0"/>
    <xf numFmtId="0" fontId="64" fillId="26" borderId="125" applyNumberFormat="0" applyFont="0" applyAlignment="0" applyProtection="0"/>
    <xf numFmtId="0" fontId="63" fillId="26" borderId="117" applyNumberFormat="0" applyFont="0" applyAlignment="0" applyProtection="0"/>
    <xf numFmtId="0" fontId="70" fillId="23" borderId="121" applyNumberFormat="0" applyAlignment="0" applyProtection="0"/>
    <xf numFmtId="0" fontId="95" fillId="23" borderId="118" applyNumberFormat="0" applyAlignment="0" applyProtection="0"/>
    <xf numFmtId="0" fontId="99" fillId="0" borderId="123" applyNumberFormat="0" applyFill="0" applyAlignment="0" applyProtection="0"/>
    <xf numFmtId="0" fontId="64" fillId="26" borderId="125" applyNumberFormat="0" applyFont="0" applyAlignment="0" applyProtection="0"/>
    <xf numFmtId="0" fontId="70" fillId="23" borderId="121" applyNumberFormat="0" applyAlignment="0" applyProtection="0"/>
    <xf numFmtId="0" fontId="70" fillId="23" borderId="121" applyNumberFormat="0" applyAlignment="0" applyProtection="0"/>
    <xf numFmtId="0" fontId="99" fillId="0" borderId="123" applyNumberFormat="0" applyFill="0" applyAlignment="0" applyProtection="0"/>
    <xf numFmtId="0" fontId="95" fillId="23" borderId="122"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86" fillId="10" borderId="116" applyNumberFormat="0" applyAlignment="0" applyProtection="0"/>
    <xf numFmtId="0" fontId="86" fillId="10" borderId="121" applyNumberFormat="0" applyAlignment="0" applyProtection="0"/>
    <xf numFmtId="0" fontId="98" fillId="0" borderId="123" applyNumberFormat="0" applyFill="0" applyAlignment="0" applyProtection="0"/>
    <xf numFmtId="0" fontId="70" fillId="23" borderId="121" applyNumberFormat="0" applyAlignment="0" applyProtection="0"/>
    <xf numFmtId="0" fontId="70" fillId="23" borderId="106" applyNumberFormat="0" applyAlignment="0" applyProtection="0"/>
    <xf numFmtId="0" fontId="98" fillId="0" borderId="123" applyNumberFormat="0" applyFill="0" applyAlignment="0" applyProtection="0"/>
    <xf numFmtId="0" fontId="86" fillId="10" borderId="121" applyNumberFormat="0" applyAlignment="0" applyProtection="0"/>
    <xf numFmtId="0" fontId="70" fillId="23" borderId="121" applyNumberFormat="0" applyAlignment="0" applyProtection="0"/>
    <xf numFmtId="0" fontId="49" fillId="26" borderId="117" applyNumberFormat="0" applyFont="0" applyAlignment="0" applyProtection="0"/>
    <xf numFmtId="0" fontId="122" fillId="28" borderId="105" applyNumberFormat="0" applyProtection="0">
      <alignment horizontal="center"/>
    </xf>
    <xf numFmtId="0" fontId="122" fillId="28" borderId="109" applyNumberFormat="0" applyProtection="0">
      <alignment horizontal="center"/>
    </xf>
    <xf numFmtId="0" fontId="122" fillId="28" borderId="109" applyNumberFormat="0" applyProtection="0">
      <alignment horizontal="center"/>
    </xf>
    <xf numFmtId="0" fontId="70" fillId="23" borderId="121" applyNumberFormat="0" applyAlignment="0" applyProtection="0"/>
    <xf numFmtId="0" fontId="99" fillId="0" borderId="123" applyNumberFormat="0" applyFill="0" applyAlignment="0" applyProtection="0"/>
    <xf numFmtId="0" fontId="85" fillId="10" borderId="121" applyNumberFormat="0" applyAlignment="0" applyProtection="0"/>
    <xf numFmtId="0" fontId="95" fillId="23" borderId="122" applyNumberFormat="0" applyAlignment="0" applyProtection="0"/>
    <xf numFmtId="0" fontId="49" fillId="26" borderId="117" applyNumberFormat="0" applyFont="0" applyAlignment="0" applyProtection="0"/>
    <xf numFmtId="0" fontId="63" fillId="26" borderId="117" applyNumberFormat="0" applyFont="0" applyAlignment="0" applyProtection="0"/>
    <xf numFmtId="0" fontId="85" fillId="10" borderId="121" applyNumberFormat="0" applyAlignment="0" applyProtection="0"/>
    <xf numFmtId="0" fontId="86" fillId="10" borderId="116" applyNumberFormat="0" applyAlignment="0" applyProtection="0"/>
    <xf numFmtId="0" fontId="64" fillId="26" borderId="104" applyNumberFormat="0" applyFont="0" applyAlignment="0" applyProtection="0"/>
    <xf numFmtId="0" fontId="65" fillId="26" borderId="104" applyNumberFormat="0" applyFont="0" applyAlignment="0" applyProtection="0"/>
    <xf numFmtId="0" fontId="63" fillId="26" borderId="104" applyNumberFormat="0" applyFont="0" applyAlignment="0" applyProtection="0"/>
    <xf numFmtId="0" fontId="49" fillId="26" borderId="104" applyNumberFormat="0" applyFont="0" applyAlignment="0" applyProtection="0"/>
    <xf numFmtId="0" fontId="71" fillId="23" borderId="116" applyNumberFormat="0" applyAlignment="0" applyProtection="0"/>
    <xf numFmtId="0" fontId="98" fillId="0" borderId="123" applyNumberFormat="0" applyFill="0" applyAlignment="0" applyProtection="0"/>
    <xf numFmtId="0" fontId="85" fillId="10" borderId="121" applyNumberFormat="0" applyAlignment="0" applyProtection="0"/>
    <xf numFmtId="0" fontId="85" fillId="10" borderId="121" applyNumberFormat="0" applyAlignment="0" applyProtection="0"/>
    <xf numFmtId="0" fontId="98" fillId="0" borderId="123" applyNumberFormat="0" applyFill="0" applyAlignment="0" applyProtection="0"/>
    <xf numFmtId="0" fontId="98" fillId="0" borderId="119" applyNumberFormat="0" applyFill="0" applyAlignment="0" applyProtection="0"/>
    <xf numFmtId="0" fontId="95" fillId="23" borderId="122" applyNumberFormat="0" applyAlignment="0" applyProtection="0"/>
    <xf numFmtId="0" fontId="70" fillId="23" borderId="121" applyNumberFormat="0" applyAlignment="0" applyProtection="0"/>
    <xf numFmtId="0" fontId="63" fillId="26" borderId="125" applyNumberFormat="0" applyFont="0" applyAlignment="0" applyProtection="0"/>
    <xf numFmtId="0" fontId="98" fillId="0" borderId="123" applyNumberFormat="0" applyFill="0" applyAlignment="0" applyProtection="0"/>
    <xf numFmtId="0" fontId="63" fillId="26" borderId="104" applyNumberFormat="0" applyFont="0" applyAlignment="0" applyProtection="0"/>
    <xf numFmtId="0" fontId="64" fillId="26" borderId="104" applyNumberFormat="0" applyFont="0" applyAlignment="0" applyProtection="0"/>
    <xf numFmtId="0" fontId="96" fillId="23" borderId="122" applyNumberFormat="0" applyAlignment="0" applyProtection="0"/>
    <xf numFmtId="0" fontId="99" fillId="0" borderId="123" applyNumberFormat="0" applyFill="0" applyAlignment="0" applyProtection="0"/>
    <xf numFmtId="0" fontId="95" fillId="23" borderId="122" applyNumberFormat="0" applyAlignment="0" applyProtection="0"/>
    <xf numFmtId="0" fontId="85" fillId="10" borderId="121" applyNumberFormat="0" applyAlignment="0" applyProtection="0"/>
    <xf numFmtId="0" fontId="65" fillId="26" borderId="117" applyNumberFormat="0" applyFont="0" applyAlignment="0" applyProtection="0"/>
    <xf numFmtId="0" fontId="98" fillId="0" borderId="123" applyNumberFormat="0" applyFill="0" applyAlignment="0" applyProtection="0"/>
    <xf numFmtId="0" fontId="95" fillId="23" borderId="122" applyNumberFormat="0" applyAlignment="0" applyProtection="0"/>
    <xf numFmtId="0" fontId="98" fillId="0" borderId="123" applyNumberFormat="0" applyFill="0" applyAlignment="0" applyProtection="0"/>
    <xf numFmtId="0" fontId="49" fillId="26" borderId="117" applyNumberFormat="0" applyFont="0" applyAlignment="0" applyProtection="0"/>
    <xf numFmtId="0" fontId="85" fillId="10" borderId="116" applyNumberFormat="0" applyAlignment="0" applyProtection="0"/>
    <xf numFmtId="0" fontId="85" fillId="10"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71" fillId="23" borderId="121" applyNumberFormat="0" applyAlignment="0" applyProtection="0"/>
    <xf numFmtId="0" fontId="49" fillId="26" borderId="117" applyNumberFormat="0" applyFont="0" applyAlignment="0" applyProtection="0"/>
    <xf numFmtId="0" fontId="70" fillId="23" borderId="121" applyNumberFormat="0" applyAlignment="0" applyProtection="0"/>
    <xf numFmtId="0" fontId="95" fillId="23" borderId="122" applyNumberFormat="0" applyAlignment="0" applyProtection="0"/>
    <xf numFmtId="0" fontId="86" fillId="10" borderId="121" applyNumberFormat="0" applyAlignment="0" applyProtection="0"/>
    <xf numFmtId="0" fontId="65" fillId="26" borderId="104" applyNumberFormat="0" applyFont="0" applyAlignment="0" applyProtection="0"/>
    <xf numFmtId="0" fontId="49" fillId="26" borderId="104" applyNumberFormat="0" applyFont="0" applyAlignment="0" applyProtection="0"/>
    <xf numFmtId="0" fontId="70" fillId="23" borderId="116" applyNumberFormat="0" applyAlignment="0" applyProtection="0"/>
    <xf numFmtId="0" fontId="63" fillId="26" borderId="117" applyNumberFormat="0" applyFont="0" applyAlignment="0" applyProtection="0"/>
    <xf numFmtId="0" fontId="86" fillId="10" borderId="121" applyNumberFormat="0" applyAlignment="0" applyProtection="0"/>
    <xf numFmtId="0" fontId="95" fillId="23" borderId="122" applyNumberFormat="0" applyAlignment="0" applyProtection="0"/>
    <xf numFmtId="0" fontId="85" fillId="10" borderId="121" applyNumberFormat="0" applyAlignment="0" applyProtection="0"/>
    <xf numFmtId="0" fontId="95" fillId="23" borderId="122" applyNumberFormat="0" applyAlignment="0" applyProtection="0"/>
    <xf numFmtId="0" fontId="64" fillId="26" borderId="117" applyNumberFormat="0" applyFont="0" applyAlignment="0" applyProtection="0"/>
    <xf numFmtId="0" fontId="65" fillId="26" borderId="125" applyNumberFormat="0" applyFont="0" applyAlignment="0" applyProtection="0"/>
    <xf numFmtId="0" fontId="98" fillId="0" borderId="123" applyNumberFormat="0" applyFill="0" applyAlignment="0" applyProtection="0"/>
    <xf numFmtId="0" fontId="95" fillId="23" borderId="122" applyNumberFormat="0" applyAlignment="0" applyProtection="0"/>
    <xf numFmtId="0" fontId="85" fillId="10" borderId="121" applyNumberFormat="0" applyAlignment="0" applyProtection="0"/>
    <xf numFmtId="0" fontId="95" fillId="23" borderId="118" applyNumberFormat="0" applyAlignment="0" applyProtection="0"/>
    <xf numFmtId="0" fontId="98" fillId="0" borderId="119" applyNumberFormat="0" applyFill="0" applyAlignment="0" applyProtection="0"/>
    <xf numFmtId="0" fontId="64" fillId="26" borderId="104" applyNumberFormat="0" applyFont="0" applyAlignment="0" applyProtection="0"/>
    <xf numFmtId="0" fontId="65" fillId="26" borderId="104" applyNumberFormat="0" applyFont="0" applyAlignment="0" applyProtection="0"/>
    <xf numFmtId="0" fontId="63" fillId="26" borderId="104" applyNumberFormat="0" applyFont="0" applyAlignment="0" applyProtection="0"/>
    <xf numFmtId="0" fontId="49" fillId="26" borderId="104" applyNumberFormat="0" applyFont="0" applyAlignment="0" applyProtection="0"/>
    <xf numFmtId="0" fontId="64" fillId="26" borderId="125" applyNumberFormat="0" applyFont="0" applyAlignment="0" applyProtection="0"/>
    <xf numFmtId="0" fontId="95" fillId="23" borderId="118" applyNumberFormat="0" applyAlignment="0" applyProtection="0"/>
    <xf numFmtId="0" fontId="96" fillId="23" borderId="118" applyNumberFormat="0" applyAlignment="0" applyProtection="0"/>
    <xf numFmtId="0" fontId="85" fillId="10" borderId="121" applyNumberFormat="0" applyAlignment="0" applyProtection="0"/>
    <xf numFmtId="0" fontId="49" fillId="26" borderId="125" applyNumberFormat="0" applyFont="0" applyAlignment="0" applyProtection="0"/>
    <xf numFmtId="0" fontId="95" fillId="23" borderId="122" applyNumberFormat="0" applyAlignment="0" applyProtection="0"/>
    <xf numFmtId="0" fontId="64" fillId="26" borderId="117" applyNumberFormat="0" applyFont="0" applyAlignment="0" applyProtection="0"/>
    <xf numFmtId="0" fontId="63" fillId="26" borderId="104" applyNumberFormat="0" applyFont="0" applyAlignment="0" applyProtection="0"/>
    <xf numFmtId="0" fontId="64" fillId="26" borderId="104" applyNumberFormat="0" applyFont="0" applyAlignment="0" applyProtection="0"/>
    <xf numFmtId="0" fontId="95"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70" fillId="23" borderId="121" applyNumberFormat="0" applyAlignment="0" applyProtection="0"/>
    <xf numFmtId="0" fontId="64" fillId="26" borderId="117" applyNumberFormat="0" applyFont="0" applyAlignment="0" applyProtection="0"/>
    <xf numFmtId="0" fontId="49" fillId="26" borderId="117" applyNumberFormat="0" applyFont="0" applyAlignment="0" applyProtection="0"/>
    <xf numFmtId="0" fontId="85" fillId="10" borderId="121" applyNumberFormat="0" applyAlignment="0" applyProtection="0"/>
    <xf numFmtId="0" fontId="49" fillId="26" borderId="125" applyNumberFormat="0" applyFont="0" applyAlignment="0" applyProtection="0"/>
    <xf numFmtId="0" fontId="122" fillId="28" borderId="124" applyNumberFormat="0" applyProtection="0">
      <alignment horizontal="center"/>
    </xf>
    <xf numFmtId="0" fontId="95" fillId="23" borderId="122" applyNumberFormat="0" applyAlignment="0" applyProtection="0"/>
    <xf numFmtId="0" fontId="64" fillId="26" borderId="117" applyNumberFormat="0" applyFont="0" applyAlignment="0" applyProtection="0"/>
    <xf numFmtId="0" fontId="49" fillId="26" borderId="117" applyNumberFormat="0" applyFont="0" applyAlignment="0" applyProtection="0"/>
    <xf numFmtId="0" fontId="70" fillId="23" borderId="116" applyNumberFormat="0" applyAlignment="0" applyProtection="0"/>
    <xf numFmtId="0" fontId="70" fillId="23" borderId="121" applyNumberFormat="0" applyAlignment="0" applyProtection="0"/>
    <xf numFmtId="0" fontId="63" fillId="26" borderId="125" applyNumberFormat="0" applyFont="0" applyAlignment="0" applyProtection="0"/>
    <xf numFmtId="0" fontId="65" fillId="26" borderId="104" applyNumberFormat="0" applyFont="0" applyAlignment="0" applyProtection="0"/>
    <xf numFmtId="0" fontId="49" fillId="26" borderId="104" applyNumberFormat="0" applyFont="0" applyAlignment="0" applyProtection="0"/>
    <xf numFmtId="0" fontId="49" fillId="26" borderId="117" applyNumberFormat="0" applyFont="0" applyAlignment="0" applyProtection="0"/>
    <xf numFmtId="0" fontId="98" fillId="0" borderId="119" applyNumberFormat="0" applyFill="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70" fillId="23" borderId="106" applyNumberFormat="0" applyAlignment="0" applyProtection="0"/>
    <xf numFmtId="0" fontId="85" fillId="10" borderId="121" applyNumberFormat="0" applyAlignment="0" applyProtection="0"/>
    <xf numFmtId="0" fontId="70" fillId="23" borderId="121" applyNumberFormat="0" applyAlignment="0" applyProtection="0"/>
    <xf numFmtId="0" fontId="64" fillId="26" borderId="125" applyNumberFormat="0" applyFont="0" applyAlignment="0" applyProtection="0"/>
    <xf numFmtId="0" fontId="85" fillId="10" borderId="106" applyNumberFormat="0" applyAlignment="0" applyProtection="0"/>
    <xf numFmtId="0" fontId="86" fillId="10" borderId="106" applyNumberFormat="0" applyAlignment="0" applyProtection="0"/>
    <xf numFmtId="0" fontId="85" fillId="10" borderId="106" applyNumberFormat="0" applyAlignment="0" applyProtection="0"/>
    <xf numFmtId="0" fontId="85" fillId="10" borderId="106" applyNumberFormat="0" applyAlignment="0" applyProtection="0"/>
    <xf numFmtId="0" fontId="95" fillId="23" borderId="122" applyNumberFormat="0" applyAlignment="0" applyProtection="0"/>
    <xf numFmtId="0" fontId="71" fillId="23" borderId="121" applyNumberFormat="0" applyAlignment="0" applyProtection="0"/>
    <xf numFmtId="0" fontId="95" fillId="23" borderId="122" applyNumberFormat="0" applyAlignment="0" applyProtection="0"/>
    <xf numFmtId="0" fontId="86" fillId="10" borderId="121" applyNumberFormat="0" applyAlignment="0" applyProtection="0"/>
    <xf numFmtId="0" fontId="86" fillId="10" borderId="116" applyNumberFormat="0" applyAlignment="0" applyProtection="0"/>
    <xf numFmtId="0" fontId="95" fillId="23" borderId="118" applyNumberFormat="0" applyAlignment="0" applyProtection="0"/>
    <xf numFmtId="0" fontId="64" fillId="26" borderId="104" applyNumberFormat="0" applyFont="0" applyAlignment="0" applyProtection="0"/>
    <xf numFmtId="0" fontId="65" fillId="26" borderId="104" applyNumberFormat="0" applyFont="0" applyAlignment="0" applyProtection="0"/>
    <xf numFmtId="0" fontId="63" fillId="26" borderId="104" applyNumberFormat="0" applyFont="0" applyAlignment="0" applyProtection="0"/>
    <xf numFmtId="0" fontId="49" fillId="26" borderId="104" applyNumberFormat="0" applyFon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95" fillId="23" borderId="118" applyNumberForma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96" fillId="23" borderId="122" applyNumberFormat="0" applyAlignment="0" applyProtection="0"/>
    <xf numFmtId="0" fontId="98" fillId="0" borderId="123" applyNumberFormat="0" applyFill="0" applyAlignment="0" applyProtection="0"/>
    <xf numFmtId="0" fontId="122" fillId="28" borderId="124" applyNumberFormat="0" applyProtection="0">
      <alignment horizontal="center"/>
    </xf>
    <xf numFmtId="0" fontId="70" fillId="23" borderId="121" applyNumberFormat="0" applyAlignment="0" applyProtection="0"/>
    <xf numFmtId="0" fontId="64" fillId="26" borderId="125" applyNumberFormat="0" applyFont="0" applyAlignment="0" applyProtection="0"/>
    <xf numFmtId="0" fontId="49" fillId="26" borderId="117" applyNumberFormat="0" applyFont="0" applyAlignment="0" applyProtection="0"/>
    <xf numFmtId="0" fontId="63" fillId="26" borderId="104" applyNumberFormat="0" applyFont="0" applyAlignment="0" applyProtection="0"/>
    <xf numFmtId="0" fontId="64" fillId="26" borderId="104" applyNumberFormat="0" applyFont="0" applyAlignment="0" applyProtection="0"/>
    <xf numFmtId="0" fontId="85" fillId="10" borderId="106" applyNumberFormat="0" applyAlignment="0" applyProtection="0"/>
    <xf numFmtId="0" fontId="85" fillId="10" borderId="106" applyNumberForma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95" fillId="23" borderId="122" applyNumberFormat="0" applyAlignment="0" applyProtection="0"/>
    <xf numFmtId="0" fontId="64" fillId="26" borderId="125" applyNumberFormat="0" applyFon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64" fillId="26" borderId="125" applyNumberFormat="0" applyFon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85" fillId="10" borderId="106" applyNumberFormat="0" applyAlignment="0" applyProtection="0"/>
    <xf numFmtId="0" fontId="86" fillId="10" borderId="106" applyNumberFormat="0" applyAlignment="0" applyProtection="0"/>
    <xf numFmtId="0" fontId="98" fillId="0" borderId="123" applyNumberFormat="0" applyFill="0" applyAlignment="0" applyProtection="0"/>
    <xf numFmtId="0" fontId="65" fillId="26" borderId="117" applyNumberFormat="0" applyFont="0" applyAlignment="0" applyProtection="0"/>
    <xf numFmtId="0" fontId="49" fillId="26" borderId="117" applyNumberFormat="0" applyFont="0" applyAlignment="0" applyProtection="0"/>
    <xf numFmtId="0" fontId="70" fillId="23" borderId="121" applyNumberFormat="0" applyAlignment="0" applyProtection="0"/>
    <xf numFmtId="0" fontId="85" fillId="10" borderId="121" applyNumberFormat="0" applyAlignment="0" applyProtection="0"/>
    <xf numFmtId="0" fontId="70" fillId="23" borderId="121" applyNumberFormat="0" applyAlignment="0" applyProtection="0"/>
    <xf numFmtId="0" fontId="85" fillId="10" borderId="121" applyNumberFormat="0" applyAlignment="0" applyProtection="0"/>
    <xf numFmtId="0" fontId="70" fillId="23" borderId="121" applyNumberFormat="0" applyAlignment="0" applyProtection="0"/>
    <xf numFmtId="0" fontId="85" fillId="10" borderId="121" applyNumberFormat="0" applyAlignment="0" applyProtection="0"/>
    <xf numFmtId="0" fontId="65" fillId="26" borderId="117" applyNumberFormat="0" applyFont="0" applyAlignment="0" applyProtection="0"/>
    <xf numFmtId="0" fontId="64" fillId="26" borderId="117" applyNumberFormat="0" applyFont="0" applyAlignment="0" applyProtection="0"/>
    <xf numFmtId="0" fontId="70" fillId="23" borderId="121" applyNumberFormat="0" applyAlignment="0" applyProtection="0"/>
    <xf numFmtId="0" fontId="98" fillId="0" borderId="123" applyNumberFormat="0" applyFill="0" applyAlignment="0" applyProtection="0"/>
    <xf numFmtId="0" fontId="95" fillId="23" borderId="122" applyNumberFormat="0" applyAlignment="0" applyProtection="0"/>
    <xf numFmtId="0" fontId="70" fillId="23" borderId="106" applyNumberFormat="0" applyAlignment="0" applyProtection="0"/>
    <xf numFmtId="0" fontId="65" fillId="26" borderId="104" applyNumberFormat="0" applyFont="0" applyAlignment="0" applyProtection="0"/>
    <xf numFmtId="0" fontId="49" fillId="26" borderId="104" applyNumberFormat="0" applyFont="0" applyAlignment="0" applyProtection="0"/>
    <xf numFmtId="0" fontId="98" fillId="0" borderId="119" applyNumberFormat="0" applyFill="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70" fillId="23" borderId="106" applyNumberFormat="0" applyAlignment="0" applyProtection="0"/>
    <xf numFmtId="0" fontId="96" fillId="23" borderId="122" applyNumberFormat="0" applyAlignment="0" applyProtection="0"/>
    <xf numFmtId="0" fontId="99" fillId="0" borderId="123" applyNumberFormat="0" applyFill="0" applyAlignment="0" applyProtection="0"/>
    <xf numFmtId="0" fontId="98" fillId="0" borderId="123" applyNumberFormat="0" applyFill="0" applyAlignment="0" applyProtection="0"/>
    <xf numFmtId="0" fontId="85" fillId="10" borderId="106" applyNumberFormat="0" applyAlignment="0" applyProtection="0"/>
    <xf numFmtId="0" fontId="86" fillId="10" borderId="106" applyNumberFormat="0" applyAlignment="0" applyProtection="0"/>
    <xf numFmtId="0" fontId="85" fillId="10" borderId="106" applyNumberFormat="0" applyAlignment="0" applyProtection="0"/>
    <xf numFmtId="0" fontId="85" fillId="10" borderId="106" applyNumberFormat="0" applyAlignment="0" applyProtection="0"/>
    <xf numFmtId="0" fontId="63" fillId="26" borderId="117" applyNumberFormat="0" applyFont="0" applyAlignment="0" applyProtection="0"/>
    <xf numFmtId="0" fontId="86" fillId="10" borderId="121" applyNumberFormat="0" applyAlignment="0" applyProtection="0"/>
    <xf numFmtId="0" fontId="70" fillId="23" borderId="121" applyNumberFormat="0" applyAlignment="0" applyProtection="0"/>
    <xf numFmtId="0" fontId="98" fillId="0" borderId="123" applyNumberFormat="0" applyFill="0" applyAlignment="0" applyProtection="0"/>
    <xf numFmtId="0" fontId="95" fillId="23" borderId="122" applyNumberFormat="0" applyAlignment="0" applyProtection="0"/>
    <xf numFmtId="0" fontId="98" fillId="0" borderId="119" applyNumberFormat="0" applyFill="0" applyAlignment="0" applyProtection="0"/>
    <xf numFmtId="0" fontId="64" fillId="26" borderId="104" applyNumberFormat="0" applyFont="0" applyAlignment="0" applyProtection="0"/>
    <xf numFmtId="0" fontId="65" fillId="26" borderId="104" applyNumberFormat="0" applyFont="0" applyAlignment="0" applyProtection="0"/>
    <xf numFmtId="0" fontId="63" fillId="26" borderId="104" applyNumberFormat="0" applyFont="0" applyAlignment="0" applyProtection="0"/>
    <xf numFmtId="0" fontId="49" fillId="26" borderId="104" applyNumberFormat="0" applyFont="0" applyAlignment="0" applyProtection="0"/>
    <xf numFmtId="0" fontId="85" fillId="10" borderId="116" applyNumberForma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122" fillId="28" borderId="124" applyNumberFormat="0" applyProtection="0">
      <alignment horizontal="center"/>
    </xf>
    <xf numFmtId="0" fontId="96" fillId="23" borderId="122" applyNumberFormat="0" applyAlignment="0" applyProtection="0"/>
    <xf numFmtId="0" fontId="98" fillId="0" borderId="119" applyNumberFormat="0" applyFill="0" applyAlignment="0" applyProtection="0"/>
    <xf numFmtId="0" fontId="99" fillId="0" borderId="119" applyNumberFormat="0" applyFill="0" applyAlignment="0" applyProtection="0"/>
    <xf numFmtId="0" fontId="122" fillId="28" borderId="91" applyNumberFormat="0" applyProtection="0">
      <alignment horizontal="center"/>
    </xf>
    <xf numFmtId="0" fontId="98" fillId="0" borderId="123" applyNumberFormat="0" applyFill="0" applyAlignment="0" applyProtection="0"/>
    <xf numFmtId="0" fontId="86" fillId="10" borderId="121" applyNumberFormat="0" applyAlignment="0" applyProtection="0"/>
    <xf numFmtId="0" fontId="63" fillId="26" borderId="104" applyNumberFormat="0" applyFont="0" applyAlignment="0" applyProtection="0"/>
    <xf numFmtId="0" fontId="64" fillId="26" borderId="104" applyNumberFormat="0" applyFont="0" applyAlignment="0" applyProtection="0"/>
    <xf numFmtId="0" fontId="85" fillId="10" borderId="106" applyNumberFormat="0" applyAlignment="0" applyProtection="0"/>
    <xf numFmtId="0" fontId="85" fillId="10" borderId="106" applyNumberForma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96" fillId="23" borderId="122" applyNumberFormat="0" applyAlignment="0" applyProtection="0"/>
    <xf numFmtId="0" fontId="99" fillId="0" borderId="123" applyNumberFormat="0" applyFill="0" applyAlignment="0" applyProtection="0"/>
    <xf numFmtId="0" fontId="63" fillId="26" borderId="125" applyNumberFormat="0" applyFon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86" fillId="10" borderId="121" applyNumberFormat="0" applyAlignment="0" applyProtection="0"/>
    <xf numFmtId="0" fontId="96" fillId="23" borderId="122" applyNumberForma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85" fillId="10" borderId="106" applyNumberFormat="0" applyAlignment="0" applyProtection="0"/>
    <xf numFmtId="0" fontId="86" fillId="10" borderId="106" applyNumberFormat="0" applyAlignment="0" applyProtection="0"/>
    <xf numFmtId="0" fontId="98" fillId="0" borderId="123" applyNumberFormat="0" applyFill="0" applyAlignment="0" applyProtection="0"/>
    <xf numFmtId="0" fontId="95" fillId="23" borderId="122" applyNumberFormat="0" applyAlignment="0" applyProtection="0"/>
    <xf numFmtId="0" fontId="98" fillId="0" borderId="123" applyNumberFormat="0" applyFill="0" applyAlignment="0" applyProtection="0"/>
    <xf numFmtId="0" fontId="85" fillId="10" borderId="116" applyNumberFormat="0" applyAlignment="0" applyProtection="0"/>
    <xf numFmtId="0" fontId="63" fillId="26" borderId="117" applyNumberFormat="0" applyFont="0" applyAlignment="0" applyProtection="0"/>
    <xf numFmtId="0" fontId="70" fillId="23" borderId="116" applyNumberFormat="0" applyAlignment="0" applyProtection="0"/>
    <xf numFmtId="0" fontId="64" fillId="26" borderId="125" applyNumberFormat="0" applyFont="0" applyAlignment="0" applyProtection="0"/>
    <xf numFmtId="0" fontId="70"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49" fillId="26" borderId="125" applyNumberFormat="0" applyFont="0" applyAlignment="0" applyProtection="0"/>
    <xf numFmtId="0" fontId="95" fillId="23" borderId="122" applyNumberFormat="0" applyAlignment="0" applyProtection="0"/>
    <xf numFmtId="0" fontId="98" fillId="0" borderId="123" applyNumberFormat="0" applyFill="0" applyAlignment="0" applyProtection="0"/>
    <xf numFmtId="0" fontId="85" fillId="10" borderId="121" applyNumberFormat="0" applyAlignment="0" applyProtection="0"/>
    <xf numFmtId="0" fontId="64" fillId="26" borderId="117" applyNumberFormat="0" applyFont="0" applyAlignment="0" applyProtection="0"/>
    <xf numFmtId="0" fontId="71" fillId="23" borderId="121" applyNumberFormat="0" applyAlignment="0" applyProtection="0"/>
    <xf numFmtId="0" fontId="85" fillId="10" borderId="121" applyNumberFormat="0" applyAlignment="0" applyProtection="0"/>
    <xf numFmtId="0" fontId="65" fillId="26" borderId="117" applyNumberFormat="0" applyFont="0" applyAlignment="0" applyProtection="0"/>
    <xf numFmtId="0" fontId="70" fillId="23" borderId="116" applyNumberFormat="0" applyAlignment="0" applyProtection="0"/>
    <xf numFmtId="0" fontId="70" fillId="23" borderId="116" applyNumberFormat="0" applyAlignment="0" applyProtection="0"/>
    <xf numFmtId="0" fontId="98" fillId="0" borderId="119" applyNumberFormat="0" applyFill="0" applyAlignment="0" applyProtection="0"/>
    <xf numFmtId="0" fontId="65" fillId="26" borderId="125" applyNumberFormat="0" applyFont="0" applyAlignment="0" applyProtection="0"/>
    <xf numFmtId="0" fontId="95" fillId="23" borderId="122" applyNumberFormat="0" applyAlignment="0" applyProtection="0"/>
    <xf numFmtId="0" fontId="70" fillId="23" borderId="106" applyNumberFormat="0" applyAlignment="0" applyProtection="0"/>
    <xf numFmtId="0" fontId="65" fillId="26" borderId="104" applyNumberFormat="0" applyFont="0" applyAlignment="0" applyProtection="0"/>
    <xf numFmtId="0" fontId="49" fillId="26" borderId="104" applyNumberFormat="0" applyFont="0" applyAlignment="0" applyProtection="0"/>
    <xf numFmtId="0" fontId="63" fillId="26" borderId="104" applyNumberFormat="0" applyFont="0" applyAlignment="0" applyProtection="0"/>
    <xf numFmtId="0" fontId="64" fillId="26" borderId="104" applyNumberFormat="0" applyFont="0" applyAlignment="0" applyProtection="0"/>
    <xf numFmtId="0" fontId="65" fillId="26" borderId="104" applyNumberFormat="0" applyFont="0" applyAlignment="0" applyProtection="0"/>
    <xf numFmtId="0" fontId="49" fillId="26" borderId="104" applyNumberFormat="0" applyFont="0" applyAlignment="0" applyProtection="0"/>
    <xf numFmtId="0" fontId="64" fillId="26" borderId="104" applyNumberFormat="0" applyFont="0" applyAlignment="0" applyProtection="0"/>
    <xf numFmtId="0" fontId="65" fillId="26" borderId="104" applyNumberFormat="0" applyFont="0" applyAlignment="0" applyProtection="0"/>
    <xf numFmtId="0" fontId="63" fillId="26" borderId="104" applyNumberFormat="0" applyFont="0" applyAlignment="0" applyProtection="0"/>
    <xf numFmtId="0" fontId="49" fillId="26" borderId="104" applyNumberFormat="0" applyFont="0" applyAlignment="0" applyProtection="0"/>
    <xf numFmtId="0" fontId="63" fillId="26" borderId="104" applyNumberFormat="0" applyFont="0" applyAlignment="0" applyProtection="0"/>
    <xf numFmtId="0" fontId="64" fillId="26" borderId="104" applyNumberFormat="0" applyFont="0" applyAlignment="0" applyProtection="0"/>
    <xf numFmtId="0" fontId="65" fillId="26" borderId="104" applyNumberFormat="0" applyFont="0" applyAlignment="0" applyProtection="0"/>
    <xf numFmtId="0" fontId="49" fillId="26" borderId="104" applyNumberFormat="0" applyFont="0" applyAlignment="0" applyProtection="0"/>
    <xf numFmtId="0" fontId="85" fillId="10" borderId="116" applyNumberFormat="0" applyAlignment="0" applyProtection="0"/>
    <xf numFmtId="0" fontId="98" fillId="0" borderId="123" applyNumberFormat="0" applyFill="0" applyAlignment="0" applyProtection="0"/>
    <xf numFmtId="0" fontId="64" fillId="26" borderId="125" applyNumberFormat="0" applyFont="0" applyAlignment="0" applyProtection="0"/>
    <xf numFmtId="0" fontId="49" fillId="26" borderId="117" applyNumberFormat="0" applyFont="0" applyAlignment="0" applyProtection="0"/>
    <xf numFmtId="0" fontId="49" fillId="26" borderId="125" applyNumberFormat="0" applyFont="0" applyAlignment="0" applyProtection="0"/>
    <xf numFmtId="0" fontId="85" fillId="10" borderId="116" applyNumberFormat="0" applyAlignment="0" applyProtection="0"/>
    <xf numFmtId="0" fontId="70" fillId="23" borderId="121" applyNumberFormat="0" applyAlignment="0" applyProtection="0"/>
    <xf numFmtId="0" fontId="95" fillId="23" borderId="118" applyNumberFormat="0" applyAlignment="0" applyProtection="0"/>
    <xf numFmtId="0" fontId="85" fillId="10" borderId="121" applyNumberFormat="0" applyAlignment="0" applyProtection="0"/>
    <xf numFmtId="0" fontId="64" fillId="26" borderId="125" applyNumberFormat="0" applyFont="0" applyAlignment="0" applyProtection="0"/>
    <xf numFmtId="0" fontId="95" fillId="23" borderId="122" applyNumberFormat="0" applyAlignment="0" applyProtection="0"/>
    <xf numFmtId="0" fontId="63" fillId="26" borderId="125" applyNumberFormat="0" applyFont="0" applyAlignment="0" applyProtection="0"/>
    <xf numFmtId="0" fontId="64" fillId="26" borderId="125" applyNumberFormat="0" applyFont="0" applyAlignment="0" applyProtection="0"/>
    <xf numFmtId="0" fontId="99" fillId="0" borderId="119" applyNumberFormat="0" applyFill="0" applyAlignment="0" applyProtection="0"/>
    <xf numFmtId="0" fontId="63" fillId="26" borderId="125" applyNumberFormat="0" applyFont="0" applyAlignment="0" applyProtection="0"/>
    <xf numFmtId="0" fontId="49" fillId="26" borderId="125" applyNumberFormat="0" applyFont="0" applyAlignment="0" applyProtection="0"/>
    <xf numFmtId="0" fontId="98" fillId="0" borderId="119" applyNumberFormat="0" applyFill="0" applyAlignment="0" applyProtection="0"/>
    <xf numFmtId="0" fontId="71" fillId="23" borderId="116" applyNumberFormat="0" applyAlignment="0" applyProtection="0"/>
    <xf numFmtId="0" fontId="95" fillId="23" borderId="122" applyNumberFormat="0" applyAlignment="0" applyProtection="0"/>
    <xf numFmtId="0" fontId="96" fillId="23" borderId="122" applyNumberFormat="0" applyAlignment="0" applyProtection="0"/>
    <xf numFmtId="0" fontId="64" fillId="26" borderId="125" applyNumberFormat="0" applyFont="0" applyAlignment="0" applyProtection="0"/>
    <xf numFmtId="0" fontId="96" fillId="23" borderId="118" applyNumberFormat="0" applyAlignment="0" applyProtection="0"/>
    <xf numFmtId="0" fontId="122" fillId="28" borderId="109" applyNumberFormat="0" applyProtection="0">
      <alignment horizontal="center"/>
    </xf>
    <xf numFmtId="0" fontId="122" fillId="28" borderId="109" applyNumberFormat="0" applyProtection="0">
      <alignment horizontal="center"/>
    </xf>
    <xf numFmtId="0" fontId="122" fillId="28" borderId="109" applyNumberFormat="0" applyProtection="0">
      <alignment horizontal="center"/>
    </xf>
    <xf numFmtId="0" fontId="64" fillId="26" borderId="110" applyNumberFormat="0" applyFont="0" applyAlignment="0" applyProtection="0"/>
    <xf numFmtId="0" fontId="65" fillId="26" borderId="110" applyNumberFormat="0" applyFont="0" applyAlignment="0" applyProtection="0"/>
    <xf numFmtId="0" fontId="63" fillId="26" borderId="110" applyNumberFormat="0" applyFont="0" applyAlignment="0" applyProtection="0"/>
    <xf numFmtId="0" fontId="49" fillId="26" borderId="110" applyNumberFormat="0" applyFon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63" fillId="26" borderId="110" applyNumberFormat="0" applyFont="0" applyAlignment="0" applyProtection="0"/>
    <xf numFmtId="0" fontId="64" fillId="26" borderId="110" applyNumberFormat="0" applyFont="0" applyAlignment="0" applyProtection="0"/>
    <xf numFmtId="0" fontId="85" fillId="10" borderId="106" applyNumberFormat="0" applyAlignment="0" applyProtection="0"/>
    <xf numFmtId="0" fontId="85" fillId="10" borderId="106" applyNumberForma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85" fillId="10" borderId="106" applyNumberFormat="0" applyAlignment="0" applyProtection="0"/>
    <xf numFmtId="0" fontId="86" fillId="10" borderId="106" applyNumberFormat="0" applyAlignment="0" applyProtection="0"/>
    <xf numFmtId="0" fontId="70" fillId="23" borderId="106" applyNumberFormat="0" applyAlignment="0" applyProtection="0"/>
    <xf numFmtId="0" fontId="65" fillId="26" borderId="110" applyNumberFormat="0" applyFont="0" applyAlignment="0" applyProtection="0"/>
    <xf numFmtId="0" fontId="49" fillId="26" borderId="110" applyNumberFormat="0" applyFon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70" fillId="23" borderId="106" applyNumberFormat="0" applyAlignment="0" applyProtection="0"/>
    <xf numFmtId="0" fontId="85" fillId="10" borderId="106" applyNumberFormat="0" applyAlignment="0" applyProtection="0"/>
    <xf numFmtId="0" fontId="86" fillId="10" borderId="106" applyNumberFormat="0" applyAlignment="0" applyProtection="0"/>
    <xf numFmtId="0" fontId="85" fillId="10" borderId="106" applyNumberFormat="0" applyAlignment="0" applyProtection="0"/>
    <xf numFmtId="0" fontId="85" fillId="10" borderId="106" applyNumberFormat="0" applyAlignment="0" applyProtection="0"/>
    <xf numFmtId="0" fontId="64" fillId="26" borderId="110" applyNumberFormat="0" applyFont="0" applyAlignment="0" applyProtection="0"/>
    <xf numFmtId="0" fontId="65" fillId="26" borderId="110" applyNumberFormat="0" applyFont="0" applyAlignment="0" applyProtection="0"/>
    <xf numFmtId="0" fontId="63" fillId="26" borderId="110" applyNumberFormat="0" applyFont="0" applyAlignment="0" applyProtection="0"/>
    <xf numFmtId="0" fontId="49" fillId="26" borderId="110" applyNumberFormat="0" applyFon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63" fillId="26" borderId="110" applyNumberFormat="0" applyFont="0" applyAlignment="0" applyProtection="0"/>
    <xf numFmtId="0" fontId="64" fillId="26" borderId="110" applyNumberFormat="0" applyFont="0" applyAlignment="0" applyProtection="0"/>
    <xf numFmtId="0" fontId="85" fillId="10" borderId="106" applyNumberFormat="0" applyAlignment="0" applyProtection="0"/>
    <xf numFmtId="0" fontId="85" fillId="10" borderId="106" applyNumberForma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85" fillId="10" borderId="106" applyNumberFormat="0" applyAlignment="0" applyProtection="0"/>
    <xf numFmtId="0" fontId="86" fillId="10" borderId="106" applyNumberFormat="0" applyAlignment="0" applyProtection="0"/>
    <xf numFmtId="0" fontId="70" fillId="23" borderId="106" applyNumberFormat="0" applyAlignment="0" applyProtection="0"/>
    <xf numFmtId="0" fontId="65" fillId="26" borderId="110" applyNumberFormat="0" applyFont="0" applyAlignment="0" applyProtection="0"/>
    <xf numFmtId="0" fontId="49" fillId="26" borderId="110" applyNumberFormat="0" applyFon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70" fillId="23" borderId="106" applyNumberFormat="0" applyAlignment="0" applyProtection="0"/>
    <xf numFmtId="0" fontId="85" fillId="10" borderId="106" applyNumberFormat="0" applyAlignment="0" applyProtection="0"/>
    <xf numFmtId="0" fontId="86" fillId="10" borderId="106" applyNumberFormat="0" applyAlignment="0" applyProtection="0"/>
    <xf numFmtId="0" fontId="85" fillId="10" borderId="106" applyNumberFormat="0" applyAlignment="0" applyProtection="0"/>
    <xf numFmtId="0" fontId="85" fillId="10" borderId="106" applyNumberFormat="0" applyAlignment="0" applyProtection="0"/>
    <xf numFmtId="0" fontId="64" fillId="26" borderId="110" applyNumberFormat="0" applyFont="0" applyAlignment="0" applyProtection="0"/>
    <xf numFmtId="0" fontId="65" fillId="26" borderId="110" applyNumberFormat="0" applyFont="0" applyAlignment="0" applyProtection="0"/>
    <xf numFmtId="0" fontId="63" fillId="26" borderId="110" applyNumberFormat="0" applyFont="0" applyAlignment="0" applyProtection="0"/>
    <xf numFmtId="0" fontId="49" fillId="26" borderId="110" applyNumberFormat="0" applyFon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63" fillId="26" borderId="110" applyNumberFormat="0" applyFont="0" applyAlignment="0" applyProtection="0"/>
    <xf numFmtId="0" fontId="64" fillId="26" borderId="110" applyNumberFormat="0" applyFont="0" applyAlignment="0" applyProtection="0"/>
    <xf numFmtId="0" fontId="85" fillId="10" borderId="106" applyNumberFormat="0" applyAlignment="0" applyProtection="0"/>
    <xf numFmtId="0" fontId="85" fillId="10" borderId="106" applyNumberForma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85" fillId="10" borderId="106" applyNumberFormat="0" applyAlignment="0" applyProtection="0"/>
    <xf numFmtId="0" fontId="86" fillId="10" borderId="106" applyNumberFormat="0" applyAlignment="0" applyProtection="0"/>
    <xf numFmtId="0" fontId="70" fillId="23" borderId="106" applyNumberFormat="0" applyAlignment="0" applyProtection="0"/>
    <xf numFmtId="0" fontId="65" fillId="26" borderId="110" applyNumberFormat="0" applyFont="0" applyAlignment="0" applyProtection="0"/>
    <xf numFmtId="0" fontId="49" fillId="26" borderId="110" applyNumberFormat="0" applyFon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70" fillId="23" borderId="106" applyNumberFormat="0" applyAlignment="0" applyProtection="0"/>
    <xf numFmtId="0" fontId="85" fillId="10" borderId="106" applyNumberFormat="0" applyAlignment="0" applyProtection="0"/>
    <xf numFmtId="0" fontId="86" fillId="10" borderId="106" applyNumberFormat="0" applyAlignment="0" applyProtection="0"/>
    <xf numFmtId="0" fontId="85" fillId="10" borderId="106" applyNumberFormat="0" applyAlignment="0" applyProtection="0"/>
    <xf numFmtId="0" fontId="85" fillId="10" borderId="106" applyNumberFormat="0" applyAlignment="0" applyProtection="0"/>
    <xf numFmtId="0" fontId="64" fillId="26" borderId="110" applyNumberFormat="0" applyFont="0" applyAlignment="0" applyProtection="0"/>
    <xf numFmtId="0" fontId="65" fillId="26" borderId="110" applyNumberFormat="0" applyFont="0" applyAlignment="0" applyProtection="0"/>
    <xf numFmtId="0" fontId="63" fillId="26" borderId="110" applyNumberFormat="0" applyFont="0" applyAlignment="0" applyProtection="0"/>
    <xf numFmtId="0" fontId="49" fillId="26" borderId="110" applyNumberFormat="0" applyFon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63" fillId="26" borderId="110" applyNumberFormat="0" applyFont="0" applyAlignment="0" applyProtection="0"/>
    <xf numFmtId="0" fontId="64" fillId="26" borderId="110" applyNumberFormat="0" applyFont="0" applyAlignment="0" applyProtection="0"/>
    <xf numFmtId="0" fontId="85" fillId="10" borderId="106" applyNumberFormat="0" applyAlignment="0" applyProtection="0"/>
    <xf numFmtId="0" fontId="85" fillId="10" borderId="106" applyNumberForma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85" fillId="10" borderId="106" applyNumberFormat="0" applyAlignment="0" applyProtection="0"/>
    <xf numFmtId="0" fontId="86" fillId="10" borderId="106" applyNumberFormat="0" applyAlignment="0" applyProtection="0"/>
    <xf numFmtId="0" fontId="70" fillId="23" borderId="106" applyNumberFormat="0" applyAlignment="0" applyProtection="0"/>
    <xf numFmtId="0" fontId="65" fillId="26" borderId="110" applyNumberFormat="0" applyFont="0" applyAlignment="0" applyProtection="0"/>
    <xf numFmtId="0" fontId="49" fillId="26" borderId="110" applyNumberFormat="0" applyFont="0" applyAlignment="0" applyProtection="0"/>
    <xf numFmtId="0" fontId="63" fillId="26" borderId="110" applyNumberFormat="0" applyFont="0" applyAlignment="0" applyProtection="0"/>
    <xf numFmtId="0" fontId="64" fillId="26" borderId="110" applyNumberFormat="0" applyFont="0" applyAlignment="0" applyProtection="0"/>
    <xf numFmtId="0" fontId="85" fillId="10" borderId="106" applyNumberFormat="0" applyAlignment="0" applyProtection="0"/>
    <xf numFmtId="0" fontId="85" fillId="10" borderId="106" applyNumberForma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85" fillId="10" borderId="106" applyNumberFormat="0" applyAlignment="0" applyProtection="0"/>
    <xf numFmtId="0" fontId="86" fillId="10" borderId="106" applyNumberFormat="0" applyAlignment="0" applyProtection="0"/>
    <xf numFmtId="0" fontId="70" fillId="23" borderId="106" applyNumberFormat="0" applyAlignment="0" applyProtection="0"/>
    <xf numFmtId="0" fontId="65" fillId="26" borderId="110" applyNumberFormat="0" applyFont="0" applyAlignment="0" applyProtection="0"/>
    <xf numFmtId="0" fontId="49" fillId="26" borderId="110" applyNumberFormat="0" applyFon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70" fillId="23" borderId="106" applyNumberFormat="0" applyAlignment="0" applyProtection="0"/>
    <xf numFmtId="0" fontId="85" fillId="10" borderId="106" applyNumberFormat="0" applyAlignment="0" applyProtection="0"/>
    <xf numFmtId="0" fontId="86" fillId="10" borderId="106" applyNumberFormat="0" applyAlignment="0" applyProtection="0"/>
    <xf numFmtId="0" fontId="85" fillId="10" borderId="106" applyNumberFormat="0" applyAlignment="0" applyProtection="0"/>
    <xf numFmtId="0" fontId="85" fillId="10" borderId="106" applyNumberFormat="0" applyAlignment="0" applyProtection="0"/>
    <xf numFmtId="0" fontId="64" fillId="26" borderId="110" applyNumberFormat="0" applyFont="0" applyAlignment="0" applyProtection="0"/>
    <xf numFmtId="0" fontId="65" fillId="26" borderId="110" applyNumberFormat="0" applyFont="0" applyAlignment="0" applyProtection="0"/>
    <xf numFmtId="0" fontId="63" fillId="26" borderId="110" applyNumberFormat="0" applyFont="0" applyAlignment="0" applyProtection="0"/>
    <xf numFmtId="0" fontId="49" fillId="26" borderId="110" applyNumberFormat="0" applyFon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63" fillId="26" borderId="110" applyNumberFormat="0" applyFont="0" applyAlignment="0" applyProtection="0"/>
    <xf numFmtId="0" fontId="64" fillId="26" borderId="110" applyNumberFormat="0" applyFont="0" applyAlignment="0" applyProtection="0"/>
    <xf numFmtId="0" fontId="85" fillId="10" borderId="106" applyNumberFormat="0" applyAlignment="0" applyProtection="0"/>
    <xf numFmtId="0" fontId="85" fillId="10" borderId="106" applyNumberForma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85" fillId="10" borderId="106" applyNumberFormat="0" applyAlignment="0" applyProtection="0"/>
    <xf numFmtId="0" fontId="86" fillId="10" borderId="106" applyNumberFormat="0" applyAlignment="0" applyProtection="0"/>
    <xf numFmtId="0" fontId="70" fillId="23" borderId="106" applyNumberFormat="0" applyAlignment="0" applyProtection="0"/>
    <xf numFmtId="0" fontId="65" fillId="26" borderId="110" applyNumberFormat="0" applyFont="0" applyAlignment="0" applyProtection="0"/>
    <xf numFmtId="0" fontId="49" fillId="26" borderId="110" applyNumberFormat="0" applyFont="0" applyAlignment="0" applyProtection="0"/>
    <xf numFmtId="0" fontId="122" fillId="28" borderId="109" applyNumberFormat="0" applyProtection="0">
      <alignment horizontal="center"/>
    </xf>
    <xf numFmtId="0" fontId="122" fillId="28" borderId="109" applyNumberFormat="0" applyProtection="0">
      <alignment horizontal="center"/>
    </xf>
    <xf numFmtId="0" fontId="122" fillId="28" borderId="109" applyNumberFormat="0" applyProtection="0">
      <alignment horizontal="center"/>
    </xf>
    <xf numFmtId="0" fontId="64" fillId="26" borderId="110" applyNumberFormat="0" applyFont="0" applyAlignment="0" applyProtection="0"/>
    <xf numFmtId="0" fontId="65" fillId="26" borderId="110" applyNumberFormat="0" applyFont="0" applyAlignment="0" applyProtection="0"/>
    <xf numFmtId="0" fontId="63" fillId="26" borderId="110" applyNumberFormat="0" applyFont="0" applyAlignment="0" applyProtection="0"/>
    <xf numFmtId="0" fontId="49" fillId="26" borderId="110" applyNumberFormat="0" applyFont="0" applyAlignment="0" applyProtection="0"/>
    <xf numFmtId="0" fontId="63" fillId="26" borderId="110" applyNumberFormat="0" applyFont="0" applyAlignment="0" applyProtection="0"/>
    <xf numFmtId="0" fontId="64" fillId="26" borderId="110" applyNumberFormat="0" applyFont="0" applyAlignment="0" applyProtection="0"/>
    <xf numFmtId="0" fontId="65" fillId="26" borderId="110" applyNumberFormat="0" applyFont="0" applyAlignment="0" applyProtection="0"/>
    <xf numFmtId="0" fontId="49" fillId="26" borderId="110" applyNumberFormat="0" applyFont="0" applyAlignment="0" applyProtection="0"/>
    <xf numFmtId="0" fontId="64" fillId="26" borderId="110" applyNumberFormat="0" applyFont="0" applyAlignment="0" applyProtection="0"/>
    <xf numFmtId="0" fontId="65" fillId="26" borderId="110" applyNumberFormat="0" applyFont="0" applyAlignment="0" applyProtection="0"/>
    <xf numFmtId="0" fontId="63" fillId="26" borderId="110" applyNumberFormat="0" applyFont="0" applyAlignment="0" applyProtection="0"/>
    <xf numFmtId="0" fontId="49" fillId="26" borderId="110" applyNumberFormat="0" applyFont="0" applyAlignment="0" applyProtection="0"/>
    <xf numFmtId="0" fontId="63" fillId="26" borderId="110" applyNumberFormat="0" applyFont="0" applyAlignment="0" applyProtection="0"/>
    <xf numFmtId="0" fontId="64" fillId="26" borderId="110" applyNumberFormat="0" applyFont="0" applyAlignment="0" applyProtection="0"/>
    <xf numFmtId="0" fontId="65" fillId="26" borderId="110" applyNumberFormat="0" applyFont="0" applyAlignment="0" applyProtection="0"/>
    <xf numFmtId="0" fontId="49" fillId="26" borderId="110" applyNumberFormat="0" applyFon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70" fillId="23" borderId="106" applyNumberFormat="0" applyAlignment="0" applyProtection="0"/>
    <xf numFmtId="0" fontId="85" fillId="10" borderId="106" applyNumberFormat="0" applyAlignment="0" applyProtection="0"/>
    <xf numFmtId="0" fontId="86" fillId="10" borderId="106" applyNumberFormat="0" applyAlignment="0" applyProtection="0"/>
    <xf numFmtId="0" fontId="85" fillId="10" borderId="106" applyNumberFormat="0" applyAlignment="0" applyProtection="0"/>
    <xf numFmtId="0" fontId="85" fillId="10" borderId="106" applyNumberFormat="0" applyAlignment="0" applyProtection="0"/>
    <xf numFmtId="0" fontId="64" fillId="26" borderId="110" applyNumberFormat="0" applyFont="0" applyAlignment="0" applyProtection="0"/>
    <xf numFmtId="0" fontId="65" fillId="26" borderId="110" applyNumberFormat="0" applyFont="0" applyAlignment="0" applyProtection="0"/>
    <xf numFmtId="0" fontId="63" fillId="26" borderId="110" applyNumberFormat="0" applyFont="0" applyAlignment="0" applyProtection="0"/>
    <xf numFmtId="0" fontId="49" fillId="26" borderId="110" applyNumberFormat="0" applyFon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63" fillId="26" borderId="110" applyNumberFormat="0" applyFont="0" applyAlignment="0" applyProtection="0"/>
    <xf numFmtId="0" fontId="64" fillId="26" borderId="110" applyNumberFormat="0" applyFont="0" applyAlignment="0" applyProtection="0"/>
    <xf numFmtId="0" fontId="85" fillId="10" borderId="106" applyNumberFormat="0" applyAlignment="0" applyProtection="0"/>
    <xf numFmtId="0" fontId="85" fillId="10" borderId="106" applyNumberForma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85" fillId="10" borderId="106" applyNumberFormat="0" applyAlignment="0" applyProtection="0"/>
    <xf numFmtId="0" fontId="86" fillId="10" borderId="106" applyNumberFormat="0" applyAlignment="0" applyProtection="0"/>
    <xf numFmtId="0" fontId="70" fillId="23" borderId="106" applyNumberFormat="0" applyAlignment="0" applyProtection="0"/>
    <xf numFmtId="0" fontId="65" fillId="26" borderId="110" applyNumberFormat="0" applyFont="0" applyAlignment="0" applyProtection="0"/>
    <xf numFmtId="0" fontId="49" fillId="26" borderId="110" applyNumberFormat="0" applyFon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70" fillId="23" borderId="106" applyNumberFormat="0" applyAlignment="0" applyProtection="0"/>
    <xf numFmtId="0" fontId="85" fillId="10" borderId="106" applyNumberFormat="0" applyAlignment="0" applyProtection="0"/>
    <xf numFmtId="0" fontId="86" fillId="10" borderId="106" applyNumberFormat="0" applyAlignment="0" applyProtection="0"/>
    <xf numFmtId="0" fontId="85" fillId="10" borderId="106" applyNumberFormat="0" applyAlignment="0" applyProtection="0"/>
    <xf numFmtId="0" fontId="85" fillId="10" borderId="106" applyNumberFormat="0" applyAlignment="0" applyProtection="0"/>
    <xf numFmtId="0" fontId="64" fillId="26" borderId="110" applyNumberFormat="0" applyFont="0" applyAlignment="0" applyProtection="0"/>
    <xf numFmtId="0" fontId="65" fillId="26" borderId="110" applyNumberFormat="0" applyFont="0" applyAlignment="0" applyProtection="0"/>
    <xf numFmtId="0" fontId="63" fillId="26" borderId="110" applyNumberFormat="0" applyFont="0" applyAlignment="0" applyProtection="0"/>
    <xf numFmtId="0" fontId="49" fillId="26" borderId="110" applyNumberFormat="0" applyFon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63" fillId="26" borderId="110" applyNumberFormat="0" applyFont="0" applyAlignment="0" applyProtection="0"/>
    <xf numFmtId="0" fontId="64" fillId="26" borderId="110" applyNumberFormat="0" applyFont="0" applyAlignment="0" applyProtection="0"/>
    <xf numFmtId="0" fontId="85" fillId="10" borderId="106" applyNumberFormat="0" applyAlignment="0" applyProtection="0"/>
    <xf numFmtId="0" fontId="85" fillId="10" borderId="106" applyNumberForma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85" fillId="10" borderId="106" applyNumberFormat="0" applyAlignment="0" applyProtection="0"/>
    <xf numFmtId="0" fontId="86" fillId="10" borderId="106" applyNumberFormat="0" applyAlignment="0" applyProtection="0"/>
    <xf numFmtId="0" fontId="70" fillId="23" borderId="106" applyNumberFormat="0" applyAlignment="0" applyProtection="0"/>
    <xf numFmtId="0" fontId="65" fillId="26" borderId="110" applyNumberFormat="0" applyFont="0" applyAlignment="0" applyProtection="0"/>
    <xf numFmtId="0" fontId="49" fillId="26" borderId="110" applyNumberFormat="0" applyFont="0" applyAlignment="0" applyProtection="0"/>
    <xf numFmtId="0" fontId="63" fillId="26" borderId="110" applyNumberFormat="0" applyFont="0" applyAlignment="0" applyProtection="0"/>
    <xf numFmtId="0" fontId="64" fillId="26" borderId="110" applyNumberFormat="0" applyFont="0" applyAlignment="0" applyProtection="0"/>
    <xf numFmtId="0" fontId="65" fillId="26" borderId="110" applyNumberFormat="0" applyFont="0" applyAlignment="0" applyProtection="0"/>
    <xf numFmtId="0" fontId="49" fillId="26" borderId="110" applyNumberFormat="0" applyFont="0" applyAlignment="0" applyProtection="0"/>
    <xf numFmtId="0" fontId="64" fillId="26" borderId="110" applyNumberFormat="0" applyFont="0" applyAlignment="0" applyProtection="0"/>
    <xf numFmtId="0" fontId="65" fillId="26" borderId="110" applyNumberFormat="0" applyFont="0" applyAlignment="0" applyProtection="0"/>
    <xf numFmtId="0" fontId="63" fillId="26" borderId="110" applyNumberFormat="0" applyFont="0" applyAlignment="0" applyProtection="0"/>
    <xf numFmtId="0" fontId="49" fillId="26" borderId="110" applyNumberFormat="0" applyFont="0" applyAlignment="0" applyProtection="0"/>
    <xf numFmtId="0" fontId="63" fillId="26" borderId="110" applyNumberFormat="0" applyFont="0" applyAlignment="0" applyProtection="0"/>
    <xf numFmtId="0" fontId="64" fillId="26" borderId="110" applyNumberFormat="0" applyFont="0" applyAlignment="0" applyProtection="0"/>
    <xf numFmtId="0" fontId="65" fillId="26" borderId="110" applyNumberFormat="0" applyFont="0" applyAlignment="0" applyProtection="0"/>
    <xf numFmtId="0" fontId="49" fillId="26" borderId="110" applyNumberFormat="0" applyFont="0" applyAlignment="0" applyProtection="0"/>
    <xf numFmtId="0" fontId="122" fillId="28" borderId="109" applyNumberFormat="0" applyProtection="0">
      <alignment horizontal="center"/>
    </xf>
    <xf numFmtId="0" fontId="122" fillId="28" borderId="109" applyNumberFormat="0" applyProtection="0">
      <alignment horizontal="center"/>
    </xf>
    <xf numFmtId="0" fontId="122" fillId="28" borderId="109" applyNumberFormat="0" applyProtection="0">
      <alignment horizontal="center"/>
    </xf>
    <xf numFmtId="0" fontId="122" fillId="28" borderId="109" applyNumberFormat="0" applyProtection="0">
      <alignment horizontal="center" wrapText="1"/>
    </xf>
    <xf numFmtId="0" fontId="85" fillId="10" borderId="121" applyNumberFormat="0" applyAlignment="0" applyProtection="0"/>
    <xf numFmtId="0" fontId="85" fillId="10"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96" fillId="23" borderId="122" applyNumberFormat="0" applyAlignment="0" applyProtection="0"/>
    <xf numFmtId="0" fontId="85" fillId="10" borderId="121" applyNumberFormat="0" applyAlignment="0" applyProtection="0"/>
    <xf numFmtId="0" fontId="70"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95" fillId="23" borderId="122"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98" fillId="0" borderId="123" applyNumberFormat="0" applyFill="0" applyAlignment="0" applyProtection="0"/>
    <xf numFmtId="0" fontId="64" fillId="26" borderId="117" applyNumberFormat="0" applyFont="0" applyAlignment="0" applyProtection="0"/>
    <xf numFmtId="0" fontId="85" fillId="10" borderId="121" applyNumberFormat="0" applyAlignment="0" applyProtection="0"/>
    <xf numFmtId="0" fontId="70" fillId="23" borderId="121" applyNumberFormat="0" applyAlignment="0" applyProtection="0"/>
    <xf numFmtId="0" fontId="95" fillId="23" borderId="122" applyNumberFormat="0" applyAlignment="0" applyProtection="0"/>
    <xf numFmtId="0" fontId="63" fillId="26" borderId="117" applyNumberFormat="0" applyFont="0" applyAlignment="0" applyProtection="0"/>
    <xf numFmtId="0" fontId="70" fillId="23" borderId="116" applyNumberFormat="0" applyAlignment="0" applyProtection="0"/>
    <xf numFmtId="0" fontId="65" fillId="26" borderId="117"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98" fillId="0" borderId="123" applyNumberFormat="0" applyFill="0" applyAlignment="0" applyProtection="0"/>
    <xf numFmtId="0" fontId="71" fillId="23" borderId="121" applyNumberFormat="0" applyAlignment="0" applyProtection="0"/>
    <xf numFmtId="0" fontId="86" fillId="10" borderId="121" applyNumberFormat="0" applyAlignment="0" applyProtection="0"/>
    <xf numFmtId="0" fontId="71" fillId="23" borderId="116" applyNumberFormat="0" applyAlignment="0" applyProtection="0"/>
    <xf numFmtId="0" fontId="85" fillId="10" borderId="121" applyNumberFormat="0" applyAlignment="0" applyProtection="0"/>
    <xf numFmtId="0" fontId="99" fillId="0" borderId="123" applyNumberFormat="0" applyFill="0" applyAlignment="0" applyProtection="0"/>
    <xf numFmtId="0" fontId="49" fillId="26" borderId="125" applyNumberFormat="0" applyFont="0" applyAlignment="0" applyProtection="0"/>
    <xf numFmtId="0" fontId="95" fillId="23" borderId="122" applyNumberFormat="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65" fillId="26" borderId="125" applyNumberFormat="0" applyFont="0" applyAlignment="0" applyProtection="0"/>
    <xf numFmtId="0" fontId="96" fillId="23" borderId="122" applyNumberFormat="0" applyAlignment="0" applyProtection="0"/>
    <xf numFmtId="0" fontId="98" fillId="0" borderId="123" applyNumberFormat="0" applyFill="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65" fillId="26" borderId="125" applyNumberFormat="0" applyFon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85" fillId="10" borderId="121" applyNumberFormat="0" applyAlignment="0" applyProtection="0"/>
    <xf numFmtId="0" fontId="95" fillId="23" borderId="122" applyNumberFormat="0" applyAlignment="0" applyProtection="0"/>
    <xf numFmtId="0" fontId="85" fillId="10" borderId="121" applyNumberFormat="0" applyAlignment="0" applyProtection="0"/>
    <xf numFmtId="0" fontId="64" fillId="26" borderId="117"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99" fillId="0" borderId="123" applyNumberFormat="0" applyFill="0" applyAlignment="0" applyProtection="0"/>
    <xf numFmtId="0" fontId="85" fillId="10" borderId="121" applyNumberFormat="0" applyAlignment="0" applyProtection="0"/>
    <xf numFmtId="0" fontId="86" fillId="10" borderId="116" applyNumberFormat="0" applyAlignment="0" applyProtection="0"/>
    <xf numFmtId="0" fontId="85" fillId="10" borderId="121" applyNumberFormat="0" applyAlignment="0" applyProtection="0"/>
    <xf numFmtId="0" fontId="70" fillId="23" borderId="12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98" fillId="0" borderId="119" applyNumberFormat="0" applyFill="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98" fillId="0" borderId="123" applyNumberFormat="0" applyFill="0" applyAlignment="0" applyProtection="0"/>
    <xf numFmtId="0" fontId="86" fillId="10" borderId="121" applyNumberFormat="0" applyAlignment="0" applyProtection="0"/>
    <xf numFmtId="0" fontId="49" fillId="26" borderId="125" applyNumberFormat="0" applyFon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70" fillId="23" borderId="121" applyNumberFormat="0" applyAlignment="0" applyProtection="0"/>
    <xf numFmtId="0" fontId="98" fillId="0" borderId="123" applyNumberFormat="0" applyFill="0" applyAlignment="0" applyProtection="0"/>
    <xf numFmtId="0" fontId="63" fillId="26" borderId="117" applyNumberFormat="0" applyFont="0" applyAlignment="0" applyProtection="0"/>
    <xf numFmtId="0" fontId="96" fillId="23" borderId="122" applyNumberFormat="0" applyAlignment="0" applyProtection="0"/>
    <xf numFmtId="0" fontId="85" fillId="10" borderId="12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5" fillId="23" borderId="118"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98" fillId="0" borderId="123" applyNumberFormat="0" applyFill="0" applyAlignment="0" applyProtection="0"/>
    <xf numFmtId="0" fontId="85" fillId="10" borderId="116" applyNumberFormat="0" applyAlignment="0" applyProtection="0"/>
    <xf numFmtId="0" fontId="70" fillId="23" borderId="121" applyNumberFormat="0" applyAlignment="0" applyProtection="0"/>
    <xf numFmtId="0" fontId="122" fillId="28" borderId="124" applyNumberFormat="0" applyProtection="0">
      <alignment horizontal="center" wrapText="1"/>
    </xf>
    <xf numFmtId="0" fontId="85" fillId="10" borderId="121" applyNumberFormat="0" applyAlignment="0" applyProtection="0"/>
    <xf numFmtId="0" fontId="70" fillId="23" borderId="121" applyNumberFormat="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22" applyNumberFormat="0" applyAlignment="0" applyProtection="0"/>
    <xf numFmtId="0" fontId="98" fillId="0" borderId="123" applyNumberFormat="0" applyFill="0" applyAlignment="0" applyProtection="0"/>
    <xf numFmtId="0" fontId="49" fillId="26" borderId="125" applyNumberFormat="0" applyFont="0" applyAlignment="0" applyProtection="0"/>
    <xf numFmtId="0" fontId="64" fillId="26" borderId="125"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70" fillId="23" borderId="121"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64" fillId="26" borderId="117" applyNumberFormat="0" applyFont="0" applyAlignment="0" applyProtection="0"/>
    <xf numFmtId="0" fontId="98" fillId="0" borderId="123" applyNumberFormat="0" applyFill="0" applyAlignment="0" applyProtection="0"/>
    <xf numFmtId="0" fontId="99" fillId="0" borderId="123" applyNumberFormat="0" applyFill="0" applyAlignment="0" applyProtection="0"/>
    <xf numFmtId="0" fontId="96" fillId="23" borderId="118"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70" fillId="23"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16" applyNumberFormat="0" applyAlignment="0" applyProtection="0"/>
    <xf numFmtId="0" fontId="70" fillId="23" borderId="121" applyNumberFormat="0" applyAlignment="0" applyProtection="0"/>
    <xf numFmtId="0" fontId="95" fillId="23" borderId="122"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98" fillId="0" borderId="119" applyNumberFormat="0" applyFill="0" applyAlignment="0" applyProtection="0"/>
    <xf numFmtId="0" fontId="49" fillId="26" borderId="117"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99" fillId="0" borderId="123" applyNumberFormat="0" applyFill="0" applyAlignment="0" applyProtection="0"/>
    <xf numFmtId="0" fontId="64" fillId="26" borderId="125" applyNumberFormat="0" applyFont="0" applyAlignment="0" applyProtection="0"/>
    <xf numFmtId="0" fontId="98" fillId="0" borderId="123" applyNumberFormat="0" applyFill="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71" fillId="23" borderId="121" applyNumberFormat="0" applyAlignment="0" applyProtection="0"/>
    <xf numFmtId="0" fontId="63" fillId="26" borderId="117" applyNumberFormat="0" applyFont="0" applyAlignment="0" applyProtection="0"/>
    <xf numFmtId="0" fontId="85" fillId="10" borderId="121" applyNumberFormat="0" applyAlignment="0" applyProtection="0"/>
    <xf numFmtId="0" fontId="98" fillId="0" borderId="123" applyNumberFormat="0" applyFill="0" applyAlignment="0" applyProtection="0"/>
    <xf numFmtId="0" fontId="85" fillId="10" borderId="116"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70" fillId="23" borderId="116"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64" fillId="26" borderId="117" applyNumberFormat="0" applyFon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4" fillId="26" borderId="125" applyNumberFormat="0" applyFont="0" applyAlignment="0" applyProtection="0"/>
    <xf numFmtId="0" fontId="65" fillId="26" borderId="117" applyNumberFormat="0" applyFont="0" applyAlignment="0" applyProtection="0"/>
    <xf numFmtId="0" fontId="98" fillId="0" borderId="119" applyNumberFormat="0" applyFill="0" applyAlignment="0" applyProtection="0"/>
    <xf numFmtId="0" fontId="95" fillId="23" borderId="122" applyNumberFormat="0" applyAlignment="0" applyProtection="0"/>
    <xf numFmtId="0" fontId="49" fillId="26" borderId="125" applyNumberFormat="0" applyFont="0" applyAlignment="0" applyProtection="0"/>
    <xf numFmtId="0" fontId="65" fillId="26" borderId="125" applyNumberFormat="0" applyFont="0" applyAlignment="0" applyProtection="0"/>
    <xf numFmtId="0" fontId="86" fillId="10" borderId="121" applyNumberFormat="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64" fillId="26" borderId="125" applyNumberFormat="0" applyFon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23" applyNumberFormat="0" applyFill="0" applyAlignment="0" applyProtection="0"/>
    <xf numFmtId="0" fontId="71" fillId="23" borderId="121"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49" fillId="26" borderId="117" applyNumberFormat="0" applyFont="0" applyAlignment="0" applyProtection="0"/>
    <xf numFmtId="0" fontId="98" fillId="0" borderId="123" applyNumberFormat="0" applyFill="0" applyAlignment="0" applyProtection="0"/>
    <xf numFmtId="0" fontId="95" fillId="23" borderId="122" applyNumberFormat="0" applyAlignment="0" applyProtection="0"/>
    <xf numFmtId="0" fontId="98" fillId="0" borderId="123" applyNumberFormat="0" applyFill="0" applyAlignment="0" applyProtection="0"/>
    <xf numFmtId="0" fontId="95" fillId="23" borderId="118" applyNumberFormat="0" applyAlignment="0" applyProtection="0"/>
    <xf numFmtId="0" fontId="64" fillId="26" borderId="117"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49"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64" fillId="26" borderId="125" applyNumberFormat="0" applyFont="0" applyAlignment="0" applyProtection="0"/>
    <xf numFmtId="0" fontId="70" fillId="23" borderId="121" applyNumberFormat="0" applyAlignment="0" applyProtection="0"/>
    <xf numFmtId="0" fontId="95" fillId="23" borderId="122" applyNumberFormat="0" applyAlignment="0" applyProtection="0"/>
    <xf numFmtId="0" fontId="85" fillId="10" borderId="12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6"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65" fillId="26" borderId="125" applyNumberFormat="0" applyFont="0" applyAlignment="0" applyProtection="0"/>
    <xf numFmtId="0" fontId="96" fillId="23" borderId="122"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49" fillId="26" borderId="117" applyNumberFormat="0" applyFont="0" applyAlignment="0" applyProtection="0"/>
    <xf numFmtId="0" fontId="70" fillId="23" borderId="121" applyNumberFormat="0" applyAlignment="0" applyProtection="0"/>
    <xf numFmtId="0" fontId="85" fillId="10" borderId="121" applyNumberFormat="0" applyAlignment="0" applyProtection="0"/>
    <xf numFmtId="0" fontId="85" fillId="10" borderId="121" applyNumberFormat="0" applyAlignment="0" applyProtection="0"/>
    <xf numFmtId="0" fontId="95" fillId="23" borderId="122" applyNumberFormat="0" applyAlignment="0" applyProtection="0"/>
    <xf numFmtId="0" fontId="64" fillId="26" borderId="117" applyNumberFormat="0" applyFont="0" applyAlignment="0" applyProtection="0"/>
    <xf numFmtId="0" fontId="86" fillId="10" borderId="116"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4" fillId="26" borderId="125" applyNumberFormat="0" applyFont="0" applyAlignment="0" applyProtection="0"/>
    <xf numFmtId="0" fontId="85" fillId="10" borderId="121" applyNumberFormat="0" applyAlignment="0" applyProtection="0"/>
    <xf numFmtId="0" fontId="122" fillId="28" borderId="91" applyNumberFormat="0" applyProtection="0">
      <alignment horizontal="center"/>
    </xf>
    <xf numFmtId="0" fontId="95" fillId="23" borderId="118" applyNumberFormat="0" applyAlignment="0" applyProtection="0"/>
    <xf numFmtId="0" fontId="70" fillId="23" borderId="116" applyNumberFormat="0" applyAlignment="0" applyProtection="0"/>
    <xf numFmtId="0" fontId="85" fillId="10" borderId="121" applyNumberFormat="0" applyAlignment="0" applyProtection="0"/>
    <xf numFmtId="0" fontId="96" fillId="23" borderId="122" applyNumberFormat="0" applyAlignment="0" applyProtection="0"/>
    <xf numFmtId="0" fontId="98" fillId="0" borderId="123"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9" fillId="0" borderId="123" applyNumberFormat="0" applyFill="0" applyAlignment="0" applyProtection="0"/>
    <xf numFmtId="0" fontId="65" fillId="26" borderId="125" applyNumberFormat="0" applyFont="0" applyAlignment="0" applyProtection="0"/>
    <xf numFmtId="0" fontId="95" fillId="23" borderId="122"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23" applyNumberFormat="0" applyFill="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21" applyNumberFormat="0" applyAlignment="0" applyProtection="0"/>
    <xf numFmtId="0" fontId="63" fillId="26" borderId="117" applyNumberFormat="0" applyFont="0" applyAlignment="0" applyProtection="0"/>
    <xf numFmtId="0" fontId="70" fillId="23" borderId="121" applyNumberFormat="0" applyAlignment="0" applyProtection="0"/>
    <xf numFmtId="0" fontId="70" fillId="23" borderId="121" applyNumberFormat="0" applyAlignment="0" applyProtection="0"/>
    <xf numFmtId="0" fontId="122" fillId="28" borderId="124" applyNumberFormat="0" applyProtection="0">
      <alignment horizontal="center"/>
    </xf>
    <xf numFmtId="0" fontId="95" fillId="23" borderId="122" applyNumberFormat="0" applyAlignment="0" applyProtection="0"/>
    <xf numFmtId="0" fontId="85" fillId="10" borderId="121" applyNumberFormat="0" applyAlignment="0" applyProtection="0"/>
    <xf numFmtId="0" fontId="70" fillId="23" borderId="121" applyNumberFormat="0" applyAlignment="0" applyProtection="0"/>
    <xf numFmtId="0" fontId="64" fillId="26" borderId="117"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6" applyNumberFormat="0" applyAlignment="0" applyProtection="0"/>
    <xf numFmtId="0" fontId="95" fillId="23" borderId="122" applyNumberFormat="0" applyAlignment="0" applyProtection="0"/>
    <xf numFmtId="0" fontId="64" fillId="26" borderId="125" applyNumberFormat="0" applyFont="0" applyAlignment="0" applyProtection="0"/>
    <xf numFmtId="0" fontId="98" fillId="0" borderId="123" applyNumberFormat="0" applyFill="0" applyAlignment="0" applyProtection="0"/>
    <xf numFmtId="0" fontId="98" fillId="0" borderId="119" applyNumberFormat="0" applyFill="0" applyAlignment="0" applyProtection="0"/>
    <xf numFmtId="0" fontId="85" fillId="10" borderId="121" applyNumberFormat="0" applyAlignment="0" applyProtection="0"/>
    <xf numFmtId="0" fontId="49" fillId="26" borderId="117" applyNumberFormat="0" applyFont="0" applyAlignment="0" applyProtection="0"/>
    <xf numFmtId="0" fontId="65" fillId="26" borderId="125" applyNumberFormat="0" applyFont="0" applyAlignment="0" applyProtection="0"/>
    <xf numFmtId="0" fontId="71" fillId="23" borderId="116" applyNumberFormat="0" applyAlignment="0" applyProtection="0"/>
    <xf numFmtId="0" fontId="95" fillId="23" borderId="122" applyNumberFormat="0" applyAlignment="0" applyProtection="0"/>
    <xf numFmtId="0" fontId="49" fillId="26" borderId="125" applyNumberFormat="0" applyFont="0" applyAlignment="0" applyProtection="0"/>
    <xf numFmtId="0" fontId="85" fillId="10" borderId="121" applyNumberFormat="0" applyAlignment="0" applyProtection="0"/>
    <xf numFmtId="0" fontId="95" fillId="23" borderId="122" applyNumberFormat="0" applyAlignment="0" applyProtection="0"/>
    <xf numFmtId="0" fontId="122" fillId="28" borderId="124" applyNumberFormat="0" applyProtection="0">
      <alignment horizontal="center"/>
    </xf>
    <xf numFmtId="0" fontId="86" fillId="10" borderId="116" applyNumberFormat="0" applyAlignment="0" applyProtection="0"/>
    <xf numFmtId="0" fontId="70" fillId="23" borderId="121"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70" fillId="23" borderId="121" applyNumberFormat="0" applyAlignment="0" applyProtection="0"/>
    <xf numFmtId="0" fontId="71" fillId="23" borderId="111" applyNumberFormat="0" applyAlignment="0" applyProtection="0"/>
    <xf numFmtId="0" fontId="95" fillId="23" borderId="122" applyNumberFormat="0" applyAlignment="0" applyProtection="0"/>
    <xf numFmtId="0" fontId="98" fillId="0" borderId="123" applyNumberFormat="0" applyFill="0" applyAlignment="0" applyProtection="0"/>
    <xf numFmtId="0" fontId="98" fillId="0" borderId="123" applyNumberFormat="0" applyFill="0" applyAlignment="0" applyProtection="0"/>
    <xf numFmtId="0" fontId="70" fillId="23" borderId="121" applyNumberFormat="0" applyAlignment="0" applyProtection="0"/>
    <xf numFmtId="0" fontId="65" fillId="26" borderId="117" applyNumberFormat="0" applyFont="0" applyAlignment="0" applyProtection="0"/>
    <xf numFmtId="0" fontId="122" fillId="28" borderId="115" applyNumberFormat="0" applyProtection="0">
      <alignment horizontal="center"/>
    </xf>
    <xf numFmtId="0" fontId="122" fillId="28" borderId="115" applyNumberFormat="0" applyProtection="0">
      <alignment horizontal="center"/>
    </xf>
    <xf numFmtId="0" fontId="122" fillId="28" borderId="115" applyNumberFormat="0" applyProtection="0">
      <alignment horizontal="center"/>
    </xf>
    <xf numFmtId="0" fontId="85" fillId="10" borderId="121" applyNumberFormat="0" applyAlignment="0" applyProtection="0"/>
    <xf numFmtId="0" fontId="71" fillId="23" borderId="121" applyNumberFormat="0" applyAlignment="0" applyProtection="0"/>
    <xf numFmtId="0" fontId="70" fillId="23" borderId="121" applyNumberFormat="0" applyAlignment="0" applyProtection="0"/>
    <xf numFmtId="0" fontId="64" fillId="26" borderId="125" applyNumberFormat="0" applyFont="0" applyAlignment="0" applyProtection="0"/>
    <xf numFmtId="0" fontId="64" fillId="26" borderId="125" applyNumberFormat="0" applyFont="0" applyAlignment="0" applyProtection="0"/>
    <xf numFmtId="0" fontId="49" fillId="26" borderId="117" applyNumberFormat="0" applyFont="0" applyAlignment="0" applyProtection="0"/>
    <xf numFmtId="0" fontId="70" fillId="23" borderId="121" applyNumberFormat="0" applyAlignment="0" applyProtection="0"/>
    <xf numFmtId="0" fontId="70" fillId="23" borderId="121" applyNumberFormat="0" applyAlignment="0" applyProtection="0"/>
    <xf numFmtId="0" fontId="86" fillId="10" borderId="121" applyNumberFormat="0" applyAlignment="0" applyProtection="0"/>
    <xf numFmtId="0" fontId="95" fillId="23" borderId="122" applyNumberFormat="0" applyAlignment="0" applyProtection="0"/>
    <xf numFmtId="0" fontId="49" fillId="26" borderId="117"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8" fillId="0" borderId="123" applyNumberFormat="0" applyFill="0" applyAlignment="0" applyProtection="0"/>
    <xf numFmtId="0" fontId="85" fillId="10" borderId="121" applyNumberFormat="0" applyAlignment="0" applyProtection="0"/>
    <xf numFmtId="0" fontId="98" fillId="0" borderId="123" applyNumberFormat="0" applyFill="0" applyAlignment="0" applyProtection="0"/>
    <xf numFmtId="0" fontId="49" fillId="26" borderId="117" applyNumberFormat="0" applyFont="0" applyAlignment="0" applyProtection="0"/>
    <xf numFmtId="0" fontId="99" fillId="0" borderId="123" applyNumberFormat="0" applyFill="0" applyAlignment="0" applyProtection="0"/>
    <xf numFmtId="0" fontId="71" fillId="23" borderId="121" applyNumberFormat="0" applyAlignment="0" applyProtection="0"/>
    <xf numFmtId="0" fontId="85" fillId="10" borderId="121" applyNumberFormat="0" applyAlignment="0" applyProtection="0"/>
    <xf numFmtId="0" fontId="63" fillId="26" borderId="125" applyNumberFormat="0" applyFont="0" applyAlignment="0" applyProtection="0"/>
    <xf numFmtId="0" fontId="99" fillId="0" borderId="123" applyNumberFormat="0" applyFill="0" applyAlignment="0" applyProtection="0"/>
    <xf numFmtId="0" fontId="98" fillId="0" borderId="123"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95" fillId="23" borderId="122" applyNumberFormat="0" applyAlignment="0" applyProtection="0"/>
    <xf numFmtId="0" fontId="64" fillId="26" borderId="117" applyNumberFormat="0" applyFont="0" applyAlignment="0" applyProtection="0"/>
    <xf numFmtId="0" fontId="85" fillId="10" borderId="121" applyNumberFormat="0" applyAlignment="0" applyProtection="0"/>
    <xf numFmtId="0" fontId="49" fillId="26" borderId="117" applyNumberFormat="0" applyFont="0" applyAlignment="0" applyProtection="0"/>
    <xf numFmtId="0" fontId="65" fillId="26" borderId="117" applyNumberFormat="0" applyFont="0" applyAlignment="0" applyProtection="0"/>
    <xf numFmtId="0" fontId="98" fillId="0" borderId="119" applyNumberFormat="0" applyFill="0" applyAlignment="0" applyProtection="0"/>
    <xf numFmtId="0" fontId="86" fillId="10" borderId="116" applyNumberFormat="0" applyAlignment="0" applyProtection="0"/>
    <xf numFmtId="0" fontId="85"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85" fillId="10" borderId="116" applyNumberFormat="0" applyAlignment="0" applyProtection="0"/>
    <xf numFmtId="0" fontId="64" fillId="26" borderId="117" applyNumberFormat="0" applyFont="0" applyAlignment="0" applyProtection="0"/>
    <xf numFmtId="0" fontId="98" fillId="0" borderId="123" applyNumberFormat="0" applyFill="0" applyAlignment="0" applyProtection="0"/>
    <xf numFmtId="0" fontId="96" fillId="23" borderId="122" applyNumberFormat="0" applyAlignment="0" applyProtection="0"/>
    <xf numFmtId="0" fontId="86" fillId="10" borderId="121" applyNumberFormat="0" applyAlignment="0" applyProtection="0"/>
    <xf numFmtId="0" fontId="96" fillId="23" borderId="122" applyNumberFormat="0" applyAlignment="0" applyProtection="0"/>
    <xf numFmtId="0" fontId="86" fillId="10" borderId="121" applyNumberFormat="0" applyAlignment="0" applyProtection="0"/>
    <xf numFmtId="0" fontId="98" fillId="0" borderId="123" applyNumberFormat="0" applyFill="0" applyAlignment="0" applyProtection="0"/>
    <xf numFmtId="0" fontId="98" fillId="0" borderId="123" applyNumberFormat="0" applyFill="0" applyAlignment="0" applyProtection="0"/>
    <xf numFmtId="0" fontId="95" fillId="23" borderId="118" applyNumberFormat="0" applyAlignment="0" applyProtection="0"/>
    <xf numFmtId="0" fontId="99" fillId="0" borderId="119" applyNumberFormat="0" applyFill="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8" fillId="0" borderId="123" applyNumberFormat="0" applyFill="0" applyAlignment="0" applyProtection="0"/>
    <xf numFmtId="0" fontId="96" fillId="23" borderId="118" applyNumberFormat="0" applyAlignment="0" applyProtection="0"/>
    <xf numFmtId="0" fontId="122" fillId="28" borderId="120" applyNumberFormat="0" applyProtection="0">
      <alignment horizontal="center"/>
    </xf>
    <xf numFmtId="0" fontId="65" fillId="26" borderId="125" applyNumberFormat="0" applyFont="0" applyAlignment="0" applyProtection="0"/>
    <xf numFmtId="0" fontId="95" fillId="23" borderId="122" applyNumberFormat="0" applyAlignment="0" applyProtection="0"/>
    <xf numFmtId="0" fontId="63" fillId="26" borderId="112" applyNumberFormat="0" applyFont="0" applyAlignment="0" applyProtection="0"/>
    <xf numFmtId="0" fontId="64" fillId="26" borderId="112" applyNumberFormat="0" applyFont="0" applyAlignment="0" applyProtection="0"/>
    <xf numFmtId="0" fontId="96" fillId="23" borderId="122" applyNumberFormat="0" applyAlignment="0" applyProtection="0"/>
    <xf numFmtId="0" fontId="49" fillId="26" borderId="125" applyNumberFormat="0" applyFont="0" applyAlignment="0" applyProtection="0"/>
    <xf numFmtId="0" fontId="95" fillId="23" borderId="122" applyNumberFormat="0" applyAlignment="0" applyProtection="0"/>
    <xf numFmtId="0" fontId="49" fillId="26" borderId="117" applyNumberFormat="0" applyFont="0" applyAlignment="0" applyProtection="0"/>
    <xf numFmtId="0" fontId="85" fillId="10" borderId="121" applyNumberFormat="0" applyAlignment="0" applyProtection="0"/>
    <xf numFmtId="0" fontId="95" fillId="23" borderId="122" applyNumberFormat="0" applyAlignment="0" applyProtection="0"/>
    <xf numFmtId="0" fontId="98" fillId="0" borderId="119" applyNumberFormat="0" applyFill="0" applyAlignment="0" applyProtection="0"/>
    <xf numFmtId="0" fontId="65" fillId="26" borderId="117" applyNumberFormat="0" applyFont="0" applyAlignment="0" applyProtection="0"/>
    <xf numFmtId="0" fontId="65" fillId="26" borderId="117"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122" fillId="28" borderId="124" applyNumberFormat="0" applyProtection="0">
      <alignment horizontal="center"/>
    </xf>
    <xf numFmtId="0" fontId="63" fillId="26" borderId="125" applyNumberFormat="0" applyFont="0" applyAlignment="0" applyProtection="0"/>
    <xf numFmtId="0" fontId="65" fillId="26" borderId="117" applyNumberFormat="0" applyFont="0" applyAlignment="0" applyProtection="0"/>
    <xf numFmtId="0" fontId="70" fillId="23" borderId="121" applyNumberFormat="0" applyAlignment="0" applyProtection="0"/>
    <xf numFmtId="0" fontId="70" fillId="23" borderId="116" applyNumberFormat="0" applyAlignment="0" applyProtection="0"/>
    <xf numFmtId="0" fontId="71" fillId="23" borderId="116" applyNumberFormat="0" applyAlignment="0" applyProtection="0"/>
    <xf numFmtId="0" fontId="95" fillId="23" borderId="118" applyNumberFormat="0" applyAlignment="0" applyProtection="0"/>
    <xf numFmtId="0" fontId="85" fillId="10" borderId="121" applyNumberFormat="0" applyAlignment="0" applyProtection="0"/>
    <xf numFmtId="0" fontId="70" fillId="23" borderId="121" applyNumberFormat="0" applyAlignment="0" applyProtection="0"/>
    <xf numFmtId="0" fontId="98" fillId="0" borderId="123" applyNumberFormat="0" applyFill="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6" applyNumberFormat="0" applyAlignment="0" applyProtection="0"/>
    <xf numFmtId="0" fontId="95" fillId="23" borderId="118"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6" fillId="10" borderId="121" applyNumberFormat="0" applyAlignment="0" applyProtection="0"/>
    <xf numFmtId="0" fontId="95" fillId="23" borderId="122" applyNumberFormat="0" applyAlignment="0" applyProtection="0"/>
    <xf numFmtId="0" fontId="85" fillId="10" borderId="121" applyNumberFormat="0" applyAlignment="0" applyProtection="0"/>
    <xf numFmtId="0" fontId="70" fillId="23" borderId="12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96" fillId="23" borderId="122" applyNumberFormat="0" applyAlignment="0" applyProtection="0"/>
    <xf numFmtId="0" fontId="85" fillId="10" borderId="121" applyNumberFormat="0" applyAlignment="0" applyProtection="0"/>
    <xf numFmtId="0" fontId="71" fillId="23" borderId="121" applyNumberFormat="0" applyAlignment="0" applyProtection="0"/>
    <xf numFmtId="0" fontId="96" fillId="23" borderId="122" applyNumberFormat="0" applyAlignment="0" applyProtection="0"/>
    <xf numFmtId="0" fontId="98" fillId="0" borderId="123" applyNumberFormat="0" applyFill="0" applyAlignment="0" applyProtection="0"/>
    <xf numFmtId="0" fontId="95" fillId="23" borderId="118"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49" fillId="26" borderId="117" applyNumberFormat="0" applyFon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49" fillId="26" borderId="125" applyNumberFormat="0" applyFont="0" applyAlignment="0" applyProtection="0"/>
    <xf numFmtId="0" fontId="99" fillId="0" borderId="123" applyNumberFormat="0" applyFill="0" applyAlignment="0" applyProtection="0"/>
    <xf numFmtId="0" fontId="65" fillId="26" borderId="125" applyNumberFormat="0" applyFont="0" applyAlignment="0" applyProtection="0"/>
    <xf numFmtId="0" fontId="71" fillId="23" borderId="121" applyNumberFormat="0" applyAlignment="0" applyProtection="0"/>
    <xf numFmtId="0" fontId="49" fillId="26" borderId="125" applyNumberFormat="0" applyFont="0" applyAlignment="0" applyProtection="0"/>
    <xf numFmtId="0" fontId="65" fillId="26" borderId="117"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49" fillId="26" borderId="125" applyNumberFormat="0" applyFont="0" applyAlignment="0" applyProtection="0"/>
    <xf numFmtId="0" fontId="85" fillId="10" borderId="12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23" applyNumberFormat="0" applyFill="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95" fillId="23" borderId="122" applyNumberFormat="0" applyAlignment="0" applyProtection="0"/>
    <xf numFmtId="0" fontId="86" fillId="10" borderId="121" applyNumberFormat="0" applyAlignment="0" applyProtection="0"/>
    <xf numFmtId="0" fontId="65" fillId="26" borderId="117" applyNumberFormat="0" applyFont="0" applyAlignment="0" applyProtection="0"/>
    <xf numFmtId="0" fontId="95" fillId="23" borderId="118" applyNumberFormat="0" applyAlignment="0" applyProtection="0"/>
    <xf numFmtId="0" fontId="70" fillId="23" borderId="121" applyNumberFormat="0" applyAlignment="0" applyProtection="0"/>
    <xf numFmtId="0" fontId="70" fillId="23" borderId="121" applyNumberFormat="0" applyAlignment="0" applyProtection="0"/>
    <xf numFmtId="0" fontId="64" fillId="26" borderId="125" applyNumberFormat="0" applyFont="0" applyAlignment="0" applyProtection="0"/>
    <xf numFmtId="0" fontId="70" fillId="23" borderId="121" applyNumberFormat="0" applyAlignment="0" applyProtection="0"/>
    <xf numFmtId="0" fontId="49" fillId="26" borderId="117" applyNumberFormat="0" applyFont="0" applyAlignment="0" applyProtection="0"/>
    <xf numFmtId="0" fontId="63" fillId="26" borderId="117" applyNumberFormat="0" applyFont="0" applyAlignment="0" applyProtection="0"/>
    <xf numFmtId="0" fontId="49" fillId="26" borderId="117" applyNumberFormat="0" applyFont="0" applyAlignment="0" applyProtection="0"/>
    <xf numFmtId="0" fontId="70" fillId="23" borderId="121" applyNumberFormat="0" applyAlignment="0" applyProtection="0"/>
    <xf numFmtId="0" fontId="70" fillId="23" borderId="121" applyNumberFormat="0" applyAlignment="0" applyProtection="0"/>
    <xf numFmtId="0" fontId="99" fillId="0" borderId="123" applyNumberFormat="0" applyFill="0" applyAlignment="0" applyProtection="0"/>
    <xf numFmtId="0" fontId="63" fillId="26" borderId="125" applyNumberFormat="0" applyFon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95" fillId="23" borderId="118" applyNumberFormat="0" applyAlignment="0" applyProtection="0"/>
    <xf numFmtId="0" fontId="95" fillId="23" borderId="122"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21" applyNumberFormat="0" applyAlignment="0" applyProtection="0"/>
    <xf numFmtId="0" fontId="99" fillId="0" borderId="123" applyNumberFormat="0" applyFill="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3" fillId="26" borderId="117" applyNumberFormat="0" applyFont="0" applyAlignment="0" applyProtection="0"/>
    <xf numFmtId="0" fontId="70" fillId="23" borderId="121" applyNumberFormat="0" applyAlignment="0" applyProtection="0"/>
    <xf numFmtId="0" fontId="65" fillId="26" borderId="117" applyNumberFormat="0" applyFont="0" applyAlignment="0" applyProtection="0"/>
    <xf numFmtId="0" fontId="85" fillId="10" borderId="121" applyNumberFormat="0" applyAlignment="0" applyProtection="0"/>
    <xf numFmtId="0" fontId="49" fillId="26" borderId="117" applyNumberFormat="0" applyFont="0" applyAlignment="0" applyProtection="0"/>
    <xf numFmtId="0" fontId="98" fillId="0" borderId="119" applyNumberFormat="0" applyFill="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85" fillId="10" borderId="116"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122" fillId="28" borderId="124" applyNumberFormat="0" applyProtection="0">
      <alignment horizontal="center"/>
    </xf>
    <xf numFmtId="0" fontId="49" fillId="26" borderId="125" applyNumberFormat="0" applyFont="0" applyAlignment="0" applyProtection="0"/>
    <xf numFmtId="0" fontId="70" fillId="23" borderId="121" applyNumberFormat="0" applyAlignment="0" applyProtection="0"/>
    <xf numFmtId="0" fontId="99" fillId="0" borderId="119" applyNumberFormat="0" applyFill="0" applyAlignment="0" applyProtection="0"/>
    <xf numFmtId="0" fontId="70" fillId="23" borderId="116" applyNumberFormat="0" applyAlignment="0" applyProtection="0"/>
    <xf numFmtId="0" fontId="70" fillId="23" borderId="121" applyNumberFormat="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64" fillId="26" borderId="125"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23" applyNumberFormat="0" applyFill="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8" fillId="0" borderId="119" applyNumberFormat="0" applyFill="0" applyAlignment="0" applyProtection="0"/>
    <xf numFmtId="0" fontId="63" fillId="26" borderId="117" applyNumberFormat="0" applyFont="0" applyAlignment="0" applyProtection="0"/>
    <xf numFmtId="0" fontId="63" fillId="26" borderId="117" applyNumberFormat="0" applyFont="0" applyAlignment="0" applyProtection="0"/>
    <xf numFmtId="0" fontId="71" fillId="23" borderId="116" applyNumberFormat="0" applyAlignment="0" applyProtection="0"/>
    <xf numFmtId="0" fontId="70" fillId="23" borderId="121" applyNumberFormat="0" applyAlignment="0" applyProtection="0"/>
    <xf numFmtId="0" fontId="70" fillId="23" borderId="121" applyNumberFormat="0" applyAlignment="0" applyProtection="0"/>
    <xf numFmtId="0" fontId="96" fillId="23" borderId="122" applyNumberFormat="0" applyAlignment="0" applyProtection="0"/>
    <xf numFmtId="0" fontId="70" fillId="23" borderId="121" applyNumberFormat="0" applyAlignment="0" applyProtection="0"/>
    <xf numFmtId="0" fontId="63" fillId="26" borderId="125" applyNumberFormat="0" applyFont="0" applyAlignment="0" applyProtection="0"/>
    <xf numFmtId="0" fontId="99" fillId="0" borderId="123" applyNumberFormat="0" applyFill="0" applyAlignment="0" applyProtection="0"/>
    <xf numFmtId="0" fontId="85" fillId="10" borderId="121" applyNumberFormat="0" applyAlignment="0" applyProtection="0"/>
    <xf numFmtId="0" fontId="70" fillId="23" borderId="121" applyNumberFormat="0" applyAlignment="0" applyProtection="0"/>
    <xf numFmtId="0" fontId="70" fillId="23" borderId="116" applyNumberFormat="0" applyAlignment="0" applyProtection="0"/>
    <xf numFmtId="0" fontId="70" fillId="23" borderId="116" applyNumberFormat="0" applyAlignment="0" applyProtection="0"/>
    <xf numFmtId="0" fontId="98" fillId="0" borderId="119" applyNumberFormat="0" applyFill="0" applyAlignment="0" applyProtection="0"/>
    <xf numFmtId="0" fontId="85" fillId="10" borderId="121" applyNumberFormat="0" applyAlignment="0" applyProtection="0"/>
    <xf numFmtId="0" fontId="71" fillId="23" borderId="12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49"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49" fillId="26" borderId="112" applyNumberFormat="0" applyFont="0" applyAlignment="0" applyProtection="0"/>
    <xf numFmtId="0" fontId="86" fillId="10" borderId="116" applyNumberFormat="0" applyAlignment="0" applyProtection="0"/>
    <xf numFmtId="0" fontId="99" fillId="0" borderId="123" applyNumberFormat="0" applyFill="0" applyAlignment="0" applyProtection="0"/>
    <xf numFmtId="0" fontId="49" fillId="26" borderId="125" applyNumberFormat="0" applyFont="0" applyAlignment="0" applyProtection="0"/>
    <xf numFmtId="0" fontId="86" fillId="10" borderId="121" applyNumberFormat="0" applyAlignment="0" applyProtection="0"/>
    <xf numFmtId="0" fontId="70" fillId="23" borderId="116" applyNumberFormat="0" applyAlignment="0" applyProtection="0"/>
    <xf numFmtId="0" fontId="65" fillId="26" borderId="125" applyNumberFormat="0" applyFont="0" applyAlignment="0" applyProtection="0"/>
    <xf numFmtId="0" fontId="64" fillId="26" borderId="117" applyNumberFormat="0" applyFont="0" applyAlignment="0" applyProtection="0"/>
    <xf numFmtId="0" fontId="71" fillId="23" borderId="121" applyNumberFormat="0" applyAlignment="0" applyProtection="0"/>
    <xf numFmtId="0" fontId="96" fillId="23" borderId="118" applyNumberFormat="0" applyAlignment="0" applyProtection="0"/>
    <xf numFmtId="0" fontId="98" fillId="0" borderId="123" applyNumberFormat="0" applyFill="0" applyAlignment="0" applyProtection="0"/>
    <xf numFmtId="0" fontId="65" fillId="26" borderId="125" applyNumberFormat="0" applyFont="0" applyAlignment="0" applyProtection="0"/>
    <xf numFmtId="0" fontId="71" fillId="23" borderId="121" applyNumberFormat="0" applyAlignment="0" applyProtection="0"/>
    <xf numFmtId="0" fontId="65" fillId="26" borderId="125" applyNumberFormat="0" applyFont="0" applyAlignment="0" applyProtection="0"/>
    <xf numFmtId="0" fontId="98" fillId="0" borderId="123" applyNumberFormat="0" applyFill="0" applyAlignment="0" applyProtection="0"/>
    <xf numFmtId="0" fontId="95" fillId="23" borderId="122" applyNumberFormat="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16" applyNumberFormat="0" applyAlignment="0" applyProtection="0"/>
    <xf numFmtId="0" fontId="70" fillId="23" borderId="121" applyNumberFormat="0" applyAlignment="0" applyProtection="0"/>
    <xf numFmtId="0" fontId="98" fillId="0" borderId="119" applyNumberFormat="0" applyFill="0" applyAlignment="0" applyProtection="0"/>
    <xf numFmtId="0" fontId="95" fillId="23" borderId="122" applyNumberFormat="0" applyAlignment="0" applyProtection="0"/>
    <xf numFmtId="0" fontId="98" fillId="0" borderId="123" applyNumberFormat="0" applyFill="0" applyAlignment="0" applyProtection="0"/>
    <xf numFmtId="0" fontId="122" fillId="28" borderId="115" applyNumberFormat="0" applyProtection="0">
      <alignment horizontal="center"/>
    </xf>
    <xf numFmtId="0" fontId="122" fillId="28" borderId="115" applyNumberFormat="0" applyProtection="0">
      <alignment horizontal="center"/>
    </xf>
    <xf numFmtId="0" fontId="122" fillId="28" borderId="115" applyNumberFormat="0" applyProtection="0">
      <alignment horizontal="center"/>
    </xf>
    <xf numFmtId="0" fontId="85" fillId="10"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21" applyNumberFormat="0" applyAlignment="0" applyProtection="0"/>
    <xf numFmtId="0" fontId="95" fillId="23" borderId="122" applyNumberFormat="0" applyAlignment="0" applyProtection="0"/>
    <xf numFmtId="0" fontId="70" fillId="23" borderId="12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98" fillId="0" borderId="123" applyNumberFormat="0" applyFill="0" applyAlignment="0" applyProtection="0"/>
    <xf numFmtId="0" fontId="65" fillId="26" borderId="117" applyNumberFormat="0" applyFont="0" applyAlignment="0" applyProtection="0"/>
    <xf numFmtId="0" fontId="86"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96" fillId="23" borderId="122" applyNumberFormat="0" applyAlignment="0" applyProtection="0"/>
    <xf numFmtId="0" fontId="64" fillId="26" borderId="117" applyNumberFormat="0" applyFont="0" applyAlignment="0" applyProtection="0"/>
    <xf numFmtId="0" fontId="49" fillId="26" borderId="117"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70" fillId="23" borderId="121" applyNumberFormat="0" applyAlignment="0" applyProtection="0"/>
    <xf numFmtId="0" fontId="98" fillId="0" borderId="123" applyNumberFormat="0" applyFill="0" applyAlignment="0" applyProtection="0"/>
    <xf numFmtId="0" fontId="70" fillId="23" borderId="121" applyNumberFormat="0" applyAlignment="0" applyProtection="0"/>
    <xf numFmtId="0" fontId="70" fillId="23" borderId="116" applyNumberFormat="0" applyAlignment="0" applyProtection="0"/>
    <xf numFmtId="0" fontId="85" fillId="10" borderId="121" applyNumberFormat="0" applyAlignment="0" applyProtection="0"/>
    <xf numFmtId="0" fontId="98" fillId="0" borderId="123" applyNumberFormat="0" applyFill="0" applyAlignment="0" applyProtection="0"/>
    <xf numFmtId="0" fontId="64" fillId="26" borderId="125" applyNumberFormat="0" applyFont="0" applyAlignment="0" applyProtection="0"/>
    <xf numFmtId="0" fontId="95" fillId="23" borderId="122" applyNumberFormat="0" applyAlignment="0" applyProtection="0"/>
    <xf numFmtId="0" fontId="98" fillId="0" borderId="123"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63" fillId="26" borderId="125" applyNumberFormat="0" applyFont="0" applyAlignment="0" applyProtection="0"/>
    <xf numFmtId="0" fontId="95" fillId="23" borderId="122" applyNumberFormat="0" applyAlignment="0" applyProtection="0"/>
    <xf numFmtId="0" fontId="85" fillId="10" borderId="12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63" fillId="26" borderId="125" applyNumberFormat="0" applyFon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86" fillId="10" borderId="121" applyNumberFormat="0" applyAlignment="0" applyProtection="0"/>
    <xf numFmtId="0" fontId="95" fillId="23" borderId="122" applyNumberFormat="0" applyAlignment="0" applyProtection="0"/>
    <xf numFmtId="0" fontId="86" fillId="10" borderId="121" applyNumberFormat="0" applyAlignment="0" applyProtection="0"/>
    <xf numFmtId="0" fontId="65" fillId="26" borderId="117" applyNumberFormat="0" applyFont="0" applyAlignment="0" applyProtection="0"/>
    <xf numFmtId="0" fontId="98" fillId="0" borderId="119" applyNumberFormat="0" applyFill="0" applyAlignment="0" applyProtection="0"/>
    <xf numFmtId="0" fontId="64" fillId="26" borderId="125" applyNumberFormat="0" applyFont="0" applyAlignment="0" applyProtection="0"/>
    <xf numFmtId="0" fontId="98" fillId="0" borderId="123" applyNumberFormat="0" applyFill="0" applyAlignment="0" applyProtection="0"/>
    <xf numFmtId="0" fontId="86" fillId="10" borderId="121" applyNumberFormat="0" applyAlignment="0" applyProtection="0"/>
    <xf numFmtId="0" fontId="85" fillId="10" borderId="121" applyNumberFormat="0" applyAlignment="0" applyProtection="0"/>
    <xf numFmtId="0" fontId="71" fillId="23" borderId="12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63" fillId="26" borderId="117"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99" fillId="0" borderId="123" applyNumberFormat="0" applyFill="0" applyAlignment="0" applyProtection="0"/>
    <xf numFmtId="0" fontId="85" fillId="10" borderId="12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5" fillId="26" borderId="117" applyNumberFormat="0" applyFont="0" applyAlignment="0" applyProtection="0"/>
    <xf numFmtId="0" fontId="98" fillId="0" borderId="123" applyNumberFormat="0" applyFill="0" applyAlignment="0" applyProtection="0"/>
    <xf numFmtId="0" fontId="64" fillId="26" borderId="117" applyNumberFormat="0" applyFont="0" applyAlignment="0" applyProtection="0"/>
    <xf numFmtId="0" fontId="95" fillId="23" borderId="122" applyNumberFormat="0" applyAlignment="0" applyProtection="0"/>
    <xf numFmtId="0" fontId="85" fillId="10" borderId="121" applyNumberFormat="0" applyAlignment="0" applyProtection="0"/>
    <xf numFmtId="0" fontId="98" fillId="0" borderId="123" applyNumberFormat="0" applyFill="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99" fillId="0" borderId="123" applyNumberFormat="0" applyFill="0" applyAlignment="0" applyProtection="0"/>
    <xf numFmtId="0" fontId="85" fillId="10" borderId="116" applyNumberFormat="0" applyAlignment="0" applyProtection="0"/>
    <xf numFmtId="0" fontId="65" fillId="26" borderId="125" applyNumberFormat="0" applyFont="0" applyAlignment="0" applyProtection="0"/>
    <xf numFmtId="0" fontId="85" fillId="10" borderId="121" applyNumberFormat="0" applyAlignment="0" applyProtection="0"/>
    <xf numFmtId="0" fontId="71" fillId="23" borderId="121" applyNumberFormat="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8" fillId="0" borderId="123" applyNumberFormat="0" applyFill="0" applyAlignment="0" applyProtection="0"/>
    <xf numFmtId="0" fontId="65" fillId="26" borderId="125"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71" fillId="23" borderId="121"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65" fillId="26" borderId="117" applyNumberFormat="0" applyFont="0" applyAlignment="0" applyProtection="0"/>
    <xf numFmtId="0" fontId="63" fillId="26" borderId="117" applyNumberFormat="0" applyFont="0" applyAlignment="0" applyProtection="0"/>
    <xf numFmtId="0" fontId="95" fillId="23" borderId="122" applyNumberFormat="0" applyAlignment="0" applyProtection="0"/>
    <xf numFmtId="0" fontId="98" fillId="0" borderId="123" applyNumberFormat="0" applyFill="0" applyAlignment="0" applyProtection="0"/>
    <xf numFmtId="0" fontId="95" fillId="23" borderId="118" applyNumberFormat="0" applyAlignment="0" applyProtection="0"/>
    <xf numFmtId="0" fontId="98" fillId="0" borderId="119" applyNumberFormat="0" applyFill="0" applyAlignment="0" applyProtection="0"/>
    <xf numFmtId="0" fontId="70" fillId="23" borderId="121" applyNumberFormat="0" applyAlignment="0" applyProtection="0"/>
    <xf numFmtId="0" fontId="70" fillId="23" borderId="121" applyNumberFormat="0" applyAlignment="0" applyProtection="0"/>
    <xf numFmtId="0" fontId="64" fillId="26" borderId="125" applyNumberFormat="0" applyFont="0" applyAlignment="0" applyProtection="0"/>
    <xf numFmtId="0" fontId="71" fillId="23" borderId="121" applyNumberFormat="0" applyAlignment="0" applyProtection="0"/>
    <xf numFmtId="0" fontId="70" fillId="23" borderId="121" applyNumberFormat="0" applyAlignment="0" applyProtection="0"/>
    <xf numFmtId="0" fontId="95" fillId="23" borderId="118" applyNumberFormat="0" applyAlignment="0" applyProtection="0"/>
    <xf numFmtId="0" fontId="71" fillId="23" borderId="116" applyNumberFormat="0" applyAlignment="0" applyProtection="0"/>
    <xf numFmtId="0" fontId="85" fillId="10" borderId="121" applyNumberFormat="0" applyAlignment="0" applyProtection="0"/>
    <xf numFmtId="0" fontId="65" fillId="26" borderId="125" applyNumberFormat="0" applyFont="0" applyAlignment="0" applyProtection="0"/>
    <xf numFmtId="0" fontId="98" fillId="0" borderId="123" applyNumberFormat="0" applyFill="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85" fillId="10" borderId="116" applyNumberFormat="0" applyAlignment="0" applyProtection="0"/>
    <xf numFmtId="0" fontId="95" fillId="23" borderId="118"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95" fillId="23" borderId="122" applyNumberFormat="0" applyAlignment="0" applyProtection="0"/>
    <xf numFmtId="0" fontId="98" fillId="0" borderId="123" applyNumberFormat="0" applyFill="0" applyAlignment="0" applyProtection="0"/>
    <xf numFmtId="0" fontId="85" fillId="10" borderId="121" applyNumberFormat="0" applyAlignment="0" applyProtection="0"/>
    <xf numFmtId="0" fontId="65" fillId="26" borderId="125" applyNumberFormat="0" applyFont="0" applyAlignment="0" applyProtection="0"/>
    <xf numFmtId="0" fontId="85" fillId="10" borderId="12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70" fillId="23" borderId="121" applyNumberFormat="0" applyAlignment="0" applyProtection="0"/>
    <xf numFmtId="0" fontId="64" fillId="26" borderId="117" applyNumberFormat="0" applyFont="0" applyAlignment="0" applyProtection="0"/>
    <xf numFmtId="0" fontId="85" fillId="10" borderId="121" applyNumberFormat="0" applyAlignment="0" applyProtection="0"/>
    <xf numFmtId="0" fontId="99" fillId="0" borderId="123" applyNumberFormat="0" applyFill="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65" fillId="26" borderId="117" applyNumberFormat="0" applyFon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5" fillId="26" borderId="125" applyNumberFormat="0" applyFont="0" applyAlignment="0" applyProtection="0"/>
    <xf numFmtId="0" fontId="63" fillId="26" borderId="117" applyNumberFormat="0" applyFont="0" applyAlignment="0" applyProtection="0"/>
    <xf numFmtId="0" fontId="98" fillId="0" borderId="119" applyNumberFormat="0" applyFill="0" applyAlignment="0" applyProtection="0"/>
    <xf numFmtId="0" fontId="95" fillId="23" borderId="122" applyNumberFormat="0" applyAlignment="0" applyProtection="0"/>
    <xf numFmtId="0" fontId="63"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65" fillId="26" borderId="125" applyNumberFormat="0" applyFont="0" applyAlignment="0" applyProtection="0"/>
    <xf numFmtId="0" fontId="98" fillId="0" borderId="123" applyNumberFormat="0" applyFill="0" applyAlignment="0" applyProtection="0"/>
    <xf numFmtId="0" fontId="122" fillId="28" borderId="124" applyNumberFormat="0" applyProtection="0">
      <alignment horizontal="center"/>
    </xf>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9" fillId="0" borderId="123" applyNumberFormat="0" applyFill="0" applyAlignment="0" applyProtection="0"/>
    <xf numFmtId="0" fontId="70" fillId="23" borderId="121"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95" fillId="23" borderId="122" applyNumberFormat="0" applyAlignment="0" applyProtection="0"/>
    <xf numFmtId="0" fontId="98" fillId="0" borderId="123" applyNumberFormat="0" applyFill="0" applyAlignment="0" applyProtection="0"/>
    <xf numFmtId="0" fontId="95" fillId="23" borderId="122" applyNumberFormat="0" applyAlignment="0" applyProtection="0"/>
    <xf numFmtId="0" fontId="98" fillId="0" borderId="123" applyNumberFormat="0" applyFill="0" applyAlignment="0" applyProtection="0"/>
    <xf numFmtId="0" fontId="96" fillId="23" borderId="118" applyNumberFormat="0" applyAlignment="0" applyProtection="0"/>
    <xf numFmtId="0" fontId="85" fillId="10" borderId="121" applyNumberFormat="0" applyAlignment="0" applyProtection="0"/>
    <xf numFmtId="0" fontId="71" fillId="23"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95" fillId="23" borderId="122" applyNumberFormat="0" applyAlignment="0" applyProtection="0"/>
    <xf numFmtId="0" fontId="64" fillId="26" borderId="125" applyNumberFormat="0" applyFon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95" fillId="23" borderId="118" applyNumberFormat="0" applyAlignment="0" applyProtection="0"/>
    <xf numFmtId="0" fontId="95" fillId="23" borderId="122"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63" fillId="26" borderId="125" applyNumberFormat="0" applyFont="0" applyAlignment="0" applyProtection="0"/>
    <xf numFmtId="0" fontId="85" fillId="10" borderId="121" applyNumberFormat="0" applyAlignment="0" applyProtection="0"/>
    <xf numFmtId="0" fontId="95" fillId="23" borderId="122"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7" applyNumberFormat="0" applyFont="0" applyAlignment="0" applyProtection="0"/>
    <xf numFmtId="0" fontId="71" fillId="23" borderId="121" applyNumberFormat="0" applyAlignment="0" applyProtection="0"/>
    <xf numFmtId="0" fontId="122" fillId="28" borderId="124" applyNumberFormat="0" applyProtection="0">
      <alignment horizontal="center"/>
    </xf>
    <xf numFmtId="0" fontId="86" fillId="10" borderId="121" applyNumberFormat="0" applyAlignment="0" applyProtection="0"/>
    <xf numFmtId="0" fontId="86" fillId="10" borderId="121" applyNumberFormat="0" applyAlignment="0" applyProtection="0"/>
    <xf numFmtId="0" fontId="95" fillId="23" borderId="122" applyNumberFormat="0" applyAlignment="0" applyProtection="0"/>
    <xf numFmtId="0" fontId="65" fillId="26" borderId="117"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5" fillId="26" borderId="125" applyNumberFormat="0" applyFont="0" applyAlignment="0" applyProtection="0"/>
    <xf numFmtId="0" fontId="70" fillId="23" borderId="121" applyNumberFormat="0" applyAlignment="0" applyProtection="0"/>
    <xf numFmtId="0" fontId="71" fillId="23" borderId="116" applyNumberFormat="0" applyAlignment="0" applyProtection="0"/>
    <xf numFmtId="0" fontId="70" fillId="23" borderId="121" applyNumberFormat="0" applyAlignment="0" applyProtection="0"/>
    <xf numFmtId="0" fontId="95" fillId="23" borderId="122" applyNumberFormat="0" applyAlignment="0" applyProtection="0"/>
    <xf numFmtId="0" fontId="99" fillId="0" borderId="123"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8" fillId="0" borderId="123" applyNumberFormat="0" applyFill="0" applyAlignment="0" applyProtection="0"/>
    <xf numFmtId="0" fontId="63" fillId="26" borderId="125" applyNumberFormat="0" applyFont="0" applyAlignment="0" applyProtection="0"/>
    <xf numFmtId="0" fontId="95" fillId="23" borderId="122"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9" fillId="0" borderId="123" applyNumberFormat="0" applyFill="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95" fillId="23" borderId="122" applyNumberFormat="0" applyAlignment="0" applyProtection="0"/>
    <xf numFmtId="0" fontId="49" fillId="26" borderId="117" applyNumberFormat="0" applyFont="0" applyAlignment="0" applyProtection="0"/>
    <xf numFmtId="0" fontId="98" fillId="0" borderId="119" applyNumberFormat="0" applyFill="0" applyAlignment="0" applyProtection="0"/>
    <xf numFmtId="0" fontId="64" fillId="26" borderId="117" applyNumberFormat="0" applyFont="0" applyAlignment="0" applyProtection="0"/>
    <xf numFmtId="0" fontId="71" fillId="23" borderId="121" applyNumberFormat="0" applyAlignment="0" applyProtection="0"/>
    <xf numFmtId="0" fontId="64" fillId="26" borderId="125" applyNumberFormat="0" applyFont="0" applyAlignment="0" applyProtection="0"/>
    <xf numFmtId="0" fontId="95" fillId="23" borderId="122" applyNumberFormat="0" applyAlignment="0" applyProtection="0"/>
    <xf numFmtId="0" fontId="70" fillId="23" borderId="121" applyNumberFormat="0" applyAlignment="0" applyProtection="0"/>
    <xf numFmtId="0" fontId="85" fillId="10" borderId="116" applyNumberFormat="0" applyAlignment="0" applyProtection="0"/>
    <xf numFmtId="0" fontId="86" fillId="10" borderId="121" applyNumberFormat="0" applyAlignment="0" applyProtection="0"/>
    <xf numFmtId="0" fontId="85" fillId="10" borderId="12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6" applyNumberFormat="0" applyAlignment="0" applyProtection="0"/>
    <xf numFmtId="0" fontId="95" fillId="23" borderId="122" applyNumberFormat="0" applyAlignment="0" applyProtection="0"/>
    <xf numFmtId="0" fontId="65" fillId="26" borderId="125" applyNumberFormat="0" applyFont="0" applyAlignment="0" applyProtection="0"/>
    <xf numFmtId="0" fontId="98" fillId="0" borderId="123" applyNumberFormat="0" applyFill="0" applyAlignment="0" applyProtection="0"/>
    <xf numFmtId="0" fontId="85" fillId="10" borderId="116" applyNumberFormat="0" applyAlignment="0" applyProtection="0"/>
    <xf numFmtId="0" fontId="85" fillId="10" borderId="121" applyNumberFormat="0" applyAlignment="0" applyProtection="0"/>
    <xf numFmtId="0" fontId="49" fillId="26" borderId="125" applyNumberFormat="0" applyFont="0" applyAlignment="0" applyProtection="0"/>
    <xf numFmtId="0" fontId="70" fillId="23" borderId="116" applyNumberFormat="0" applyAlignment="0" applyProtection="0"/>
    <xf numFmtId="0" fontId="98" fillId="0" borderId="123" applyNumberFormat="0" applyFill="0" applyAlignment="0" applyProtection="0"/>
    <xf numFmtId="0" fontId="63" fillId="26" borderId="125" applyNumberFormat="0" applyFont="0" applyAlignment="0" applyProtection="0"/>
    <xf numFmtId="0" fontId="85" fillId="10" borderId="121" applyNumberFormat="0" applyAlignment="0" applyProtection="0"/>
    <xf numFmtId="0" fontId="98" fillId="0" borderId="123" applyNumberFormat="0" applyFill="0" applyAlignment="0" applyProtection="0"/>
    <xf numFmtId="0" fontId="96" fillId="23" borderId="122"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85" fillId="10" borderId="116" applyNumberFormat="0" applyAlignment="0" applyProtection="0"/>
    <xf numFmtId="0" fontId="85" fillId="10" borderId="121" applyNumberFormat="0" applyAlignment="0" applyProtection="0"/>
    <xf numFmtId="0" fontId="98" fillId="0" borderId="123" applyNumberFormat="0" applyFill="0" applyAlignment="0" applyProtection="0"/>
    <xf numFmtId="0" fontId="71" fillId="23" borderId="121" applyNumberFormat="0" applyAlignment="0" applyProtection="0"/>
    <xf numFmtId="0" fontId="70" fillId="23" borderId="111" applyNumberFormat="0" applyAlignment="0" applyProtection="0"/>
    <xf numFmtId="0" fontId="95" fillId="23" borderId="122" applyNumberFormat="0" applyAlignment="0" applyProtection="0"/>
    <xf numFmtId="0" fontId="99" fillId="0" borderId="123" applyNumberFormat="0" applyFill="0" applyAlignment="0" applyProtection="0"/>
    <xf numFmtId="0" fontId="85" fillId="10" borderId="121" applyNumberFormat="0" applyAlignment="0" applyProtection="0"/>
    <xf numFmtId="0" fontId="71" fillId="23" borderId="121" applyNumberFormat="0" applyAlignment="0" applyProtection="0"/>
    <xf numFmtId="0" fontId="63" fillId="26" borderId="117" applyNumberFormat="0" applyFont="0" applyAlignment="0" applyProtection="0"/>
    <xf numFmtId="0" fontId="122" fillId="28" borderId="115" applyNumberFormat="0" applyProtection="0">
      <alignment horizontal="center"/>
    </xf>
    <xf numFmtId="0" fontId="122" fillId="28" borderId="115" applyNumberFormat="0" applyProtection="0">
      <alignment horizontal="center"/>
    </xf>
    <xf numFmtId="0" fontId="122" fillId="28" borderId="115" applyNumberFormat="0" applyProtection="0">
      <alignment horizontal="center"/>
    </xf>
    <xf numFmtId="0" fontId="85" fillId="10" borderId="121" applyNumberFormat="0" applyAlignment="0" applyProtection="0"/>
    <xf numFmtId="0" fontId="70" fillId="23" borderId="121" applyNumberFormat="0" applyAlignment="0" applyProtection="0"/>
    <xf numFmtId="0" fontId="98" fillId="0" borderId="123" applyNumberFormat="0" applyFill="0" applyAlignment="0" applyProtection="0"/>
    <xf numFmtId="0" fontId="85" fillId="10" borderId="121" applyNumberFormat="0" applyAlignment="0" applyProtection="0"/>
    <xf numFmtId="0" fontId="65" fillId="26" borderId="117" applyNumberFormat="0" applyFont="0" applyAlignment="0" applyProtection="0"/>
    <xf numFmtId="0" fontId="70" fillId="23" borderId="121" applyNumberFormat="0" applyAlignment="0" applyProtection="0"/>
    <xf numFmtId="0" fontId="85" fillId="10" borderId="121" applyNumberFormat="0" applyAlignment="0" applyProtection="0"/>
    <xf numFmtId="0" fontId="85" fillId="10" borderId="116"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70" fillId="23" borderId="116" applyNumberFormat="0" applyAlignment="0" applyProtection="0"/>
    <xf numFmtId="0" fontId="99" fillId="0" borderId="123" applyNumberFormat="0" applyFill="0" applyAlignment="0" applyProtection="0"/>
    <xf numFmtId="0" fontId="86" fillId="10" borderId="121" applyNumberFormat="0" applyAlignment="0" applyProtection="0"/>
    <xf numFmtId="0" fontId="98" fillId="0" borderId="123" applyNumberFormat="0" applyFill="0" applyAlignment="0" applyProtection="0"/>
    <xf numFmtId="0" fontId="98" fillId="0" borderId="123" applyNumberFormat="0" applyFill="0" applyAlignment="0" applyProtection="0"/>
    <xf numFmtId="0" fontId="70" fillId="23" borderId="121" applyNumberFormat="0" applyAlignment="0" applyProtection="0"/>
    <xf numFmtId="0" fontId="86" fillId="10" borderId="121" applyNumberFormat="0" applyAlignment="0" applyProtection="0"/>
    <xf numFmtId="0" fontId="49" fillId="26" borderId="125" applyNumberFormat="0" applyFont="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95" fillId="23" borderId="122" applyNumberFormat="0" applyAlignment="0" applyProtection="0"/>
    <xf numFmtId="0" fontId="98" fillId="0" borderId="123" applyNumberFormat="0" applyFill="0" applyAlignment="0" applyProtection="0"/>
    <xf numFmtId="0" fontId="122" fillId="28" borderId="124" applyNumberFormat="0" applyProtection="0">
      <alignment horizontal="center"/>
    </xf>
    <xf numFmtId="0" fontId="96" fillId="23" borderId="122" applyNumberFormat="0" applyAlignment="0" applyProtection="0"/>
    <xf numFmtId="0" fontId="85" fillId="10" borderId="121" applyNumberFormat="0" applyAlignment="0" applyProtection="0"/>
    <xf numFmtId="0" fontId="64" fillId="26" borderId="117" applyNumberFormat="0" applyFont="0" applyAlignment="0" applyProtection="0"/>
    <xf numFmtId="0" fontId="63" fillId="26" borderId="117" applyNumberFormat="0" applyFont="0" applyAlignment="0" applyProtection="0"/>
    <xf numFmtId="0" fontId="98" fillId="0" borderId="119" applyNumberFormat="0" applyFill="0" applyAlignment="0" applyProtection="0"/>
    <xf numFmtId="0" fontId="85" fillId="10" borderId="116" applyNumberFormat="0" applyAlignment="0" applyProtection="0"/>
    <xf numFmtId="0" fontId="86" fillId="10" borderId="121" applyNumberFormat="0" applyAlignment="0" applyProtection="0"/>
    <xf numFmtId="0" fontId="70" fillId="23"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17" applyNumberFormat="0" applyFont="0" applyAlignment="0" applyProtection="0"/>
    <xf numFmtId="0" fontId="71"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85" fillId="10" borderId="116" applyNumberFormat="0" applyAlignment="0" applyProtection="0"/>
    <xf numFmtId="0" fontId="65" fillId="26" borderId="117" applyNumberFormat="0" applyFont="0" applyAlignment="0" applyProtection="0"/>
    <xf numFmtId="0" fontId="85" fillId="10" borderId="121" applyNumberFormat="0" applyAlignment="0" applyProtection="0"/>
    <xf numFmtId="0" fontId="95" fillId="23" borderId="122" applyNumberFormat="0" applyAlignment="0" applyProtection="0"/>
    <xf numFmtId="0" fontId="85" fillId="10" borderId="121" applyNumberFormat="0" applyAlignment="0" applyProtection="0"/>
    <xf numFmtId="0" fontId="95" fillId="23" borderId="122" applyNumberFormat="0" applyAlignment="0" applyProtection="0"/>
    <xf numFmtId="0" fontId="63" fillId="26" borderId="117" applyNumberFormat="0" applyFont="0" applyAlignment="0" applyProtection="0"/>
    <xf numFmtId="0" fontId="70" fillId="23" borderId="121" applyNumberFormat="0" applyAlignment="0" applyProtection="0"/>
    <xf numFmtId="0" fontId="122" fillId="28" borderId="91" applyNumberFormat="0" applyProtection="0">
      <alignment horizontal="center"/>
    </xf>
    <xf numFmtId="0" fontId="99" fillId="0" borderId="123" applyNumberFormat="0" applyFill="0" applyAlignment="0" applyProtection="0"/>
    <xf numFmtId="0" fontId="98" fillId="0" borderId="123" applyNumberFormat="0" applyFill="0" applyAlignment="0" applyProtection="0"/>
    <xf numFmtId="0" fontId="96" fillId="23" borderId="118" applyNumberFormat="0" applyAlignment="0" applyProtection="0"/>
    <xf numFmtId="0" fontId="98" fillId="0" borderId="119" applyNumberFormat="0" applyFill="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63" fillId="26" borderId="125" applyNumberFormat="0" applyFont="0" applyAlignment="0" applyProtection="0"/>
    <xf numFmtId="0" fontId="95" fillId="23" borderId="118" applyNumberFormat="0" applyAlignment="0" applyProtection="0"/>
    <xf numFmtId="0" fontId="95" fillId="23" borderId="118" applyNumberFormat="0" applyAlignment="0" applyProtection="0"/>
    <xf numFmtId="0" fontId="85" fillId="10" borderId="121" applyNumberFormat="0" applyAlignment="0" applyProtection="0"/>
    <xf numFmtId="0" fontId="63" fillId="26" borderId="125" applyNumberFormat="0" applyFont="0" applyAlignment="0" applyProtection="0"/>
    <xf numFmtId="0" fontId="96" fillId="23" borderId="122" applyNumberFormat="0" applyAlignment="0" applyProtection="0"/>
    <xf numFmtId="0" fontId="63" fillId="26" borderId="117"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95" fillId="23" borderId="122" applyNumberFormat="0" applyAlignment="0" applyProtection="0"/>
    <xf numFmtId="0" fontId="96" fillId="23" borderId="122" applyNumberFormat="0" applyAlignment="0" applyProtection="0"/>
    <xf numFmtId="0" fontId="85" fillId="10" borderId="121" applyNumberFormat="0" applyAlignment="0" applyProtection="0"/>
    <xf numFmtId="0" fontId="95" fillId="23" borderId="122" applyNumberFormat="0" applyAlignment="0" applyProtection="0"/>
    <xf numFmtId="0" fontId="98" fillId="0" borderId="119" applyNumberFormat="0" applyFill="0" applyAlignment="0" applyProtection="0"/>
    <xf numFmtId="0" fontId="63" fillId="26" borderId="117" applyNumberFormat="0" applyFont="0" applyAlignment="0" applyProtection="0"/>
    <xf numFmtId="0" fontId="49" fillId="26" borderId="117"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49" fillId="26" borderId="125" applyNumberFormat="0" applyFont="0" applyAlignment="0" applyProtection="0"/>
    <xf numFmtId="0" fontId="49" fillId="26" borderId="117" applyNumberFormat="0" applyFont="0" applyAlignment="0" applyProtection="0"/>
    <xf numFmtId="0" fontId="63" fillId="26" borderId="117" applyNumberFormat="0" applyFont="0" applyAlignment="0" applyProtection="0"/>
    <xf numFmtId="0" fontId="70" fillId="23" borderId="121" applyNumberFormat="0" applyAlignment="0" applyProtection="0"/>
    <xf numFmtId="0" fontId="65" fillId="26" borderId="117" applyNumberFormat="0" applyFont="0" applyAlignment="0" applyProtection="0"/>
    <xf numFmtId="0" fontId="70" fillId="23" borderId="116" applyNumberFormat="0" applyAlignment="0" applyProtection="0"/>
    <xf numFmtId="0" fontId="95" fillId="23" borderId="118" applyNumberFormat="0" applyAlignment="0" applyProtection="0"/>
    <xf numFmtId="0" fontId="85" fillId="10" borderId="121" applyNumberFormat="0" applyAlignment="0" applyProtection="0"/>
    <xf numFmtId="0" fontId="71" fillId="23" borderId="121" applyNumberFormat="0" applyAlignment="0" applyProtection="0"/>
    <xf numFmtId="0" fontId="98" fillId="0" borderId="123" applyNumberFormat="0" applyFill="0" applyAlignment="0" applyProtection="0"/>
    <xf numFmtId="0" fontId="65" fillId="26" borderId="112" applyNumberFormat="0" applyFont="0" applyAlignment="0" applyProtection="0"/>
    <xf numFmtId="0" fontId="49" fillId="26" borderId="112" applyNumberFormat="0" applyFont="0" applyAlignment="0" applyProtection="0"/>
    <xf numFmtId="0" fontId="65" fillId="26" borderId="117" applyNumberFormat="0" applyFont="0" applyAlignment="0" applyProtection="0"/>
    <xf numFmtId="0" fontId="95" fillId="23" borderId="118"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21" applyNumberFormat="0" applyAlignment="0" applyProtection="0"/>
    <xf numFmtId="0" fontId="95" fillId="23" borderId="122" applyNumberFormat="0" applyAlignment="0" applyProtection="0"/>
    <xf numFmtId="0" fontId="86" fillId="10" borderId="121" applyNumberFormat="0" applyAlignment="0" applyProtection="0"/>
    <xf numFmtId="0" fontId="71" fillId="23" borderId="12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95" fillId="23" borderId="122" applyNumberFormat="0" applyAlignment="0" applyProtection="0"/>
    <xf numFmtId="0" fontId="70"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85" fillId="10" borderId="121" applyNumberFormat="0" applyAlignment="0" applyProtection="0"/>
    <xf numFmtId="0" fontId="85" fillId="10" borderId="116" applyNumberFormat="0" applyAlignment="0" applyProtection="0"/>
    <xf numFmtId="0" fontId="96" fillId="23" borderId="118"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95" fillId="23" borderId="122" applyNumberFormat="0" applyAlignment="0" applyProtection="0"/>
    <xf numFmtId="0" fontId="98" fillId="0" borderId="123" applyNumberFormat="0" applyFill="0" applyAlignment="0" applyProtection="0"/>
    <xf numFmtId="0" fontId="49" fillId="26" borderId="125" applyNumberFormat="0" applyFont="0" applyAlignment="0" applyProtection="0"/>
    <xf numFmtId="0" fontId="70" fillId="23" borderId="121" applyNumberFormat="0" applyAlignment="0" applyProtection="0"/>
    <xf numFmtId="0" fontId="63" fillId="26" borderId="125" applyNumberFormat="0" applyFont="0" applyAlignment="0" applyProtection="0"/>
    <xf numFmtId="0" fontId="63" fillId="26" borderId="117"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86" fillId="10" borderId="12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63" fillId="26" borderId="125" applyNumberFormat="0" applyFon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95" fillId="23" borderId="122" applyNumberFormat="0" applyAlignment="0" applyProtection="0"/>
    <xf numFmtId="0" fontId="64" fillId="26" borderId="117" applyNumberFormat="0" applyFont="0" applyAlignment="0" applyProtection="0"/>
    <xf numFmtId="0" fontId="63" fillId="26" borderId="117" applyNumberFormat="0" applyFont="0" applyAlignment="0" applyProtection="0"/>
    <xf numFmtId="0" fontId="71" fillId="23" borderId="121" applyNumberFormat="0" applyAlignment="0" applyProtection="0"/>
    <xf numFmtId="0" fontId="85" fillId="10" borderId="121" applyNumberFormat="0" applyAlignment="0" applyProtection="0"/>
    <xf numFmtId="0" fontId="70" fillId="23" borderId="121" applyNumberFormat="0" applyAlignment="0" applyProtection="0"/>
    <xf numFmtId="0" fontId="64" fillId="26" borderId="117" applyNumberFormat="0" applyFont="0" applyAlignment="0" applyProtection="0"/>
    <xf numFmtId="0" fontId="64" fillId="26" borderId="117" applyNumberFormat="0" applyFont="0" applyAlignment="0" applyProtection="0"/>
    <xf numFmtId="0" fontId="63" fillId="26" borderId="117" applyNumberFormat="0" applyFont="0" applyAlignment="0" applyProtection="0"/>
    <xf numFmtId="0" fontId="71" fillId="23" borderId="121" applyNumberFormat="0" applyAlignment="0" applyProtection="0"/>
    <xf numFmtId="0" fontId="98" fillId="0" borderId="123" applyNumberFormat="0" applyFill="0" applyAlignment="0" applyProtection="0"/>
    <xf numFmtId="0" fontId="49" fillId="26" borderId="125" applyNumberFormat="0" applyFon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95" fillId="23" borderId="118" applyNumberFormat="0" applyAlignment="0" applyProtection="0"/>
    <xf numFmtId="0" fontId="95" fillId="23" borderId="122"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95" fillId="23" borderId="122" applyNumberFormat="0" applyAlignment="0" applyProtection="0"/>
    <xf numFmtId="0" fontId="85" fillId="10" borderId="121" applyNumberFormat="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49" fillId="26" borderId="117" applyNumberFormat="0" applyFont="0" applyAlignment="0" applyProtection="0"/>
    <xf numFmtId="0" fontId="85" fillId="10" borderId="121" applyNumberFormat="0" applyAlignment="0" applyProtection="0"/>
    <xf numFmtId="0" fontId="49" fillId="26" borderId="117" applyNumberFormat="0" applyFont="0" applyAlignment="0" applyProtection="0"/>
    <xf numFmtId="0" fontId="99" fillId="0" borderId="119" applyNumberFormat="0" applyFill="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86" fillId="10" borderId="116"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95" fillId="23" borderId="122" applyNumberFormat="0" applyAlignment="0" applyProtection="0"/>
    <xf numFmtId="0" fontId="122" fillId="28" borderId="91" applyNumberFormat="0" applyProtection="0">
      <alignment horizontal="center"/>
    </xf>
    <xf numFmtId="0" fontId="98" fillId="0" borderId="119" applyNumberFormat="0" applyFill="0" applyAlignment="0" applyProtection="0"/>
    <xf numFmtId="0" fontId="98" fillId="0" borderId="119" applyNumberFormat="0" applyFill="0" applyAlignment="0" applyProtection="0"/>
    <xf numFmtId="0" fontId="70" fillId="23" borderId="121" applyNumberFormat="0" applyAlignment="0" applyProtection="0"/>
    <xf numFmtId="0" fontId="99" fillId="0" borderId="123" applyNumberFormat="0" applyFill="0" applyAlignment="0" applyProtection="0"/>
    <xf numFmtId="0" fontId="85" fillId="10" borderId="121" applyNumberFormat="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22" applyNumberFormat="0" applyAlignment="0" applyProtection="0"/>
    <xf numFmtId="0" fontId="98" fillId="0" borderId="123" applyNumberFormat="0" applyFill="0" applyAlignment="0" applyProtection="0"/>
    <xf numFmtId="0" fontId="65" fillId="26" borderId="125"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85" fillId="10" borderId="121" applyNumberFormat="0" applyAlignment="0" applyProtection="0"/>
    <xf numFmtId="0" fontId="95" fillId="23" borderId="122"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95" fillId="23" borderId="122" applyNumberFormat="0" applyAlignment="0" applyProtection="0"/>
    <xf numFmtId="0" fontId="96" fillId="23" borderId="122" applyNumberFormat="0" applyAlignment="0" applyProtection="0"/>
    <xf numFmtId="0" fontId="99" fillId="0" borderId="123" applyNumberFormat="0" applyFill="0" applyAlignment="0" applyProtection="0"/>
    <xf numFmtId="0" fontId="98" fillId="0" borderId="119" applyNumberFormat="0" applyFill="0" applyAlignment="0" applyProtection="0"/>
    <xf numFmtId="0" fontId="64" fillId="26" borderId="117" applyNumberFormat="0" applyFont="0" applyAlignment="0" applyProtection="0"/>
    <xf numFmtId="0" fontId="49" fillId="26" borderId="117" applyNumberFormat="0" applyFont="0" applyAlignment="0" applyProtection="0"/>
    <xf numFmtId="0" fontId="70" fillId="23" borderId="116" applyNumberFormat="0" applyAlignment="0" applyProtection="0"/>
    <xf numFmtId="0" fontId="63" fillId="26" borderId="125" applyNumberFormat="0" applyFont="0" applyAlignment="0" applyProtection="0"/>
    <xf numFmtId="0" fontId="71" fillId="23" borderId="121" applyNumberFormat="0" applyAlignment="0" applyProtection="0"/>
    <xf numFmtId="0" fontId="95" fillId="23" borderId="122"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98" fillId="0" borderId="123" applyNumberFormat="0" applyFill="0" applyAlignment="0" applyProtection="0"/>
    <xf numFmtId="0" fontId="86" fillId="10" borderId="121" applyNumberFormat="0" applyAlignment="0" applyProtection="0"/>
    <xf numFmtId="0" fontId="63" fillId="26" borderId="117" applyNumberFormat="0" applyFont="0" applyAlignment="0" applyProtection="0"/>
    <xf numFmtId="0" fontId="70" fillId="23" borderId="121" applyNumberFormat="0" applyAlignment="0" applyProtection="0"/>
    <xf numFmtId="0" fontId="70" fillId="23" borderId="116" applyNumberFormat="0" applyAlignment="0" applyProtection="0"/>
    <xf numFmtId="0" fontId="71" fillId="23" borderId="116" applyNumberFormat="0" applyAlignment="0" applyProtection="0"/>
    <xf numFmtId="0" fontId="71" fillId="23" borderId="116" applyNumberFormat="0" applyAlignment="0" applyProtection="0"/>
    <xf numFmtId="0" fontId="99" fillId="0" borderId="119" applyNumberFormat="0" applyFill="0" applyAlignment="0" applyProtection="0"/>
    <xf numFmtId="0" fontId="64" fillId="26" borderId="125" applyNumberFormat="0" applyFont="0" applyAlignment="0" applyProtection="0"/>
    <xf numFmtId="0" fontId="70" fillId="23" borderId="12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49"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49" fillId="26" borderId="112" applyNumberFormat="0" applyFont="0" applyAlignment="0" applyProtection="0"/>
    <xf numFmtId="0" fontId="85" fillId="10" borderId="116" applyNumberFormat="0" applyAlignment="0" applyProtection="0"/>
    <xf numFmtId="0" fontId="98" fillId="0" borderId="123" applyNumberFormat="0" applyFill="0" applyAlignment="0" applyProtection="0"/>
    <xf numFmtId="0" fontId="63" fillId="26" borderId="125" applyNumberFormat="0" applyFont="0" applyAlignment="0" applyProtection="0"/>
    <xf numFmtId="0" fontId="65" fillId="26" borderId="117" applyNumberFormat="0" applyFont="0" applyAlignment="0" applyProtection="0"/>
    <xf numFmtId="0" fontId="63" fillId="26" borderId="125" applyNumberFormat="0" applyFont="0" applyAlignment="0" applyProtection="0"/>
    <xf numFmtId="0" fontId="85" fillId="10" borderId="116" applyNumberFormat="0" applyAlignment="0" applyProtection="0"/>
    <xf numFmtId="0" fontId="70" fillId="23" borderId="121" applyNumberFormat="0" applyAlignment="0" applyProtection="0"/>
    <xf numFmtId="0" fontId="95" fillId="23" borderId="118" applyNumberFormat="0" applyAlignment="0" applyProtection="0"/>
    <xf numFmtId="0" fontId="98" fillId="0" borderId="123" applyNumberFormat="0" applyFill="0" applyAlignment="0" applyProtection="0"/>
    <xf numFmtId="0" fontId="49" fillId="26" borderId="125" applyNumberFormat="0" applyFont="0" applyAlignment="0" applyProtection="0"/>
    <xf numFmtId="0" fontId="70" fillId="23" borderId="121" applyNumberFormat="0" applyAlignment="0" applyProtection="0"/>
    <xf numFmtId="0" fontId="49" fillId="26" borderId="125" applyNumberFormat="0" applyFont="0" applyAlignment="0" applyProtection="0"/>
    <xf numFmtId="0" fontId="98" fillId="0" borderId="123" applyNumberFormat="0" applyFill="0" applyAlignment="0" applyProtection="0"/>
    <xf numFmtId="0" fontId="49" fillId="26" borderId="125" applyNumberFormat="0" applyFont="0" applyAlignment="0" applyProtection="0"/>
    <xf numFmtId="0" fontId="63" fillId="26" borderId="125" applyNumberFormat="0" applyFont="0" applyAlignment="0" applyProtection="0"/>
    <xf numFmtId="0" fontId="98" fillId="0" borderId="119" applyNumberFormat="0" applyFill="0" applyAlignment="0" applyProtection="0"/>
    <xf numFmtId="0" fontId="65" fillId="26" borderId="125" applyNumberFormat="0" applyFont="0" applyAlignment="0" applyProtection="0"/>
    <xf numFmtId="0" fontId="85" fillId="10" borderId="116" applyNumberFormat="0" applyAlignment="0" applyProtection="0"/>
    <xf numFmtId="0" fontId="65" fillId="26" borderId="125" applyNumberFormat="0" applyFont="0" applyAlignment="0" applyProtection="0"/>
    <xf numFmtId="0" fontId="99" fillId="0" borderId="119" applyNumberFormat="0" applyFill="0" applyAlignment="0" applyProtection="0"/>
    <xf numFmtId="0" fontId="70" fillId="23" borderId="116" applyNumberFormat="0" applyAlignment="0" applyProtection="0"/>
    <xf numFmtId="0" fontId="96" fillId="23" borderId="122" applyNumberFormat="0" applyAlignment="0" applyProtection="0"/>
    <xf numFmtId="0" fontId="95" fillId="23" borderId="122" applyNumberFormat="0" applyAlignment="0" applyProtection="0"/>
    <xf numFmtId="0" fontId="63" fillId="26" borderId="125" applyNumberFormat="0" applyFont="0" applyAlignment="0" applyProtection="0"/>
    <xf numFmtId="0" fontId="95" fillId="23" borderId="118" applyNumberFormat="0" applyAlignment="0" applyProtection="0"/>
    <xf numFmtId="0" fontId="122" fillId="28" borderId="115" applyNumberFormat="0" applyProtection="0">
      <alignment horizontal="center"/>
    </xf>
    <xf numFmtId="0" fontId="122" fillId="28" borderId="115" applyNumberFormat="0" applyProtection="0">
      <alignment horizontal="center"/>
    </xf>
    <xf numFmtId="0" fontId="122" fillId="28" borderId="115" applyNumberFormat="0" applyProtection="0">
      <alignment horizontal="center"/>
    </xf>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122" fillId="28" borderId="115" applyNumberFormat="0" applyProtection="0">
      <alignment horizontal="center"/>
    </xf>
    <xf numFmtId="0" fontId="122" fillId="28" borderId="115" applyNumberFormat="0" applyProtection="0">
      <alignment horizontal="center"/>
    </xf>
    <xf numFmtId="0" fontId="122" fillId="28" borderId="115" applyNumberFormat="0" applyProtection="0">
      <alignment horizontal="center"/>
    </xf>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49"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49"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49" fillId="26" borderId="112" applyNumberFormat="0" applyFont="0" applyAlignment="0" applyProtection="0"/>
    <xf numFmtId="0" fontId="122" fillId="28" borderId="115" applyNumberFormat="0" applyProtection="0">
      <alignment horizontal="center"/>
    </xf>
    <xf numFmtId="0" fontId="122" fillId="28" borderId="115" applyNumberFormat="0" applyProtection="0">
      <alignment horizontal="center"/>
    </xf>
    <xf numFmtId="0" fontId="122" fillId="28" borderId="115" applyNumberFormat="0" applyProtection="0">
      <alignment horizontal="center"/>
    </xf>
    <xf numFmtId="0" fontId="122" fillId="28" borderId="115" applyNumberFormat="0" applyProtection="0">
      <alignment horizontal="center" wrapText="1"/>
    </xf>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122" fillId="28" borderId="115" applyNumberFormat="0" applyProtection="0">
      <alignment horizontal="center"/>
    </xf>
    <xf numFmtId="0" fontId="122" fillId="28" borderId="115" applyNumberFormat="0" applyProtection="0">
      <alignment horizontal="center"/>
    </xf>
    <xf numFmtId="0" fontId="122" fillId="28" borderId="115" applyNumberFormat="0" applyProtection="0">
      <alignment horizontal="center"/>
    </xf>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49"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49"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49" fillId="26" borderId="112" applyNumberFormat="0" applyFont="0" applyAlignment="0" applyProtection="0"/>
    <xf numFmtId="0" fontId="122" fillId="28" borderId="115" applyNumberFormat="0" applyProtection="0">
      <alignment horizontal="center"/>
    </xf>
    <xf numFmtId="0" fontId="122" fillId="28" borderId="115" applyNumberFormat="0" applyProtection="0">
      <alignment horizontal="center"/>
    </xf>
    <xf numFmtId="0" fontId="122" fillId="28" borderId="115" applyNumberFormat="0" applyProtection="0">
      <alignment horizontal="center"/>
    </xf>
    <xf numFmtId="0" fontId="85" fillId="10"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122" fillId="28" borderId="115" applyNumberFormat="0" applyProtection="0">
      <alignment horizontal="center"/>
    </xf>
    <xf numFmtId="0" fontId="122" fillId="28" borderId="115" applyNumberFormat="0" applyProtection="0">
      <alignment horizontal="center"/>
    </xf>
    <xf numFmtId="0" fontId="122" fillId="28" borderId="115" applyNumberFormat="0" applyProtection="0">
      <alignment horizontal="center"/>
    </xf>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49"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49"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49" fillId="26" borderId="112" applyNumberFormat="0" applyFont="0" applyAlignment="0" applyProtection="0"/>
    <xf numFmtId="0" fontId="122" fillId="28" borderId="115" applyNumberFormat="0" applyProtection="0">
      <alignment horizontal="center"/>
    </xf>
    <xf numFmtId="0" fontId="122" fillId="28" borderId="115" applyNumberFormat="0" applyProtection="0">
      <alignment horizontal="center"/>
    </xf>
    <xf numFmtId="0" fontId="122" fillId="28" borderId="115" applyNumberFormat="0" applyProtection="0">
      <alignment horizontal="center"/>
    </xf>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122" fillId="28" borderId="115" applyNumberFormat="0" applyProtection="0">
      <alignment horizontal="center"/>
    </xf>
    <xf numFmtId="0" fontId="122" fillId="28" borderId="115" applyNumberFormat="0" applyProtection="0">
      <alignment horizontal="center"/>
    </xf>
    <xf numFmtId="0" fontId="122" fillId="28" borderId="115" applyNumberFormat="0" applyProtection="0">
      <alignment horizontal="center"/>
    </xf>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49"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49"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49" fillId="26" borderId="112" applyNumberFormat="0" applyFont="0" applyAlignment="0" applyProtection="0"/>
    <xf numFmtId="0" fontId="122" fillId="28" borderId="115" applyNumberFormat="0" applyProtection="0">
      <alignment horizontal="center"/>
    </xf>
    <xf numFmtId="0" fontId="122" fillId="28" borderId="115" applyNumberFormat="0" applyProtection="0">
      <alignment horizontal="center"/>
    </xf>
    <xf numFmtId="0" fontId="122" fillId="28" borderId="115" applyNumberFormat="0" applyProtection="0">
      <alignment horizontal="center"/>
    </xf>
    <xf numFmtId="0" fontId="122" fillId="28" borderId="115" applyNumberFormat="0" applyProtection="0">
      <alignment horizontal="center" wrapText="1"/>
    </xf>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122" fillId="28" borderId="124" applyNumberFormat="0" applyProtection="0">
      <alignment horizontal="center"/>
    </xf>
    <xf numFmtId="0" fontId="122" fillId="28" borderId="124" applyNumberFormat="0" applyProtection="0">
      <alignment horizontal="center"/>
    </xf>
    <xf numFmtId="0" fontId="122" fillId="28" borderId="124" applyNumberFormat="0" applyProtection="0">
      <alignment horizontal="center"/>
    </xf>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49"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49"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49" fillId="26" borderId="125" applyNumberFormat="0" applyFont="0" applyAlignment="0" applyProtection="0"/>
    <xf numFmtId="0" fontId="122" fillId="28" borderId="124" applyNumberFormat="0" applyProtection="0">
      <alignment horizontal="center"/>
    </xf>
    <xf numFmtId="0" fontId="122" fillId="28" borderId="124" applyNumberFormat="0" applyProtection="0">
      <alignment horizontal="center"/>
    </xf>
    <xf numFmtId="0" fontId="122" fillId="28" borderId="124" applyNumberFormat="0" applyProtection="0">
      <alignment horizontal="center"/>
    </xf>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122" fillId="28" borderId="124" applyNumberFormat="0" applyProtection="0">
      <alignment horizontal="center"/>
    </xf>
    <xf numFmtId="0" fontId="122" fillId="28" borderId="124" applyNumberFormat="0" applyProtection="0">
      <alignment horizontal="center"/>
    </xf>
    <xf numFmtId="0" fontId="122" fillId="28" borderId="124" applyNumberFormat="0" applyProtection="0">
      <alignment horizontal="center"/>
    </xf>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49"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49"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49" fillId="26" borderId="125" applyNumberFormat="0" applyFont="0" applyAlignment="0" applyProtection="0"/>
    <xf numFmtId="0" fontId="122" fillId="28" borderId="124" applyNumberFormat="0" applyProtection="0">
      <alignment horizontal="center"/>
    </xf>
    <xf numFmtId="0" fontId="122" fillId="28" borderId="124" applyNumberFormat="0" applyProtection="0">
      <alignment horizontal="center"/>
    </xf>
    <xf numFmtId="0" fontId="122" fillId="28" borderId="124" applyNumberFormat="0" applyProtection="0">
      <alignment horizontal="center"/>
    </xf>
    <xf numFmtId="0" fontId="122" fillId="28" borderId="124" applyNumberFormat="0" applyProtection="0">
      <alignment horizontal="center" wrapText="1"/>
    </xf>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122" fillId="28" borderId="124" applyNumberFormat="0" applyProtection="0">
      <alignment horizontal="center"/>
    </xf>
    <xf numFmtId="0" fontId="122" fillId="28" borderId="124" applyNumberFormat="0" applyProtection="0">
      <alignment horizontal="center"/>
    </xf>
    <xf numFmtId="0" fontId="122" fillId="28" borderId="124" applyNumberFormat="0" applyProtection="0">
      <alignment horizontal="center"/>
    </xf>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49"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49"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49" fillId="26" borderId="125" applyNumberFormat="0" applyFont="0" applyAlignment="0" applyProtection="0"/>
    <xf numFmtId="0" fontId="122" fillId="28" borderId="124" applyNumberFormat="0" applyProtection="0">
      <alignment horizontal="center"/>
    </xf>
    <xf numFmtId="0" fontId="122" fillId="28" borderId="124" applyNumberFormat="0" applyProtection="0">
      <alignment horizontal="center"/>
    </xf>
    <xf numFmtId="0" fontId="122" fillId="28" borderId="124" applyNumberFormat="0" applyProtection="0">
      <alignment horizontal="center"/>
    </xf>
    <xf numFmtId="0" fontId="85" fillId="10"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122" fillId="28" borderId="124" applyNumberFormat="0" applyProtection="0">
      <alignment horizontal="center"/>
    </xf>
    <xf numFmtId="0" fontId="122" fillId="28" borderId="124" applyNumberFormat="0" applyProtection="0">
      <alignment horizontal="center"/>
    </xf>
    <xf numFmtId="0" fontId="122" fillId="28" borderId="124" applyNumberFormat="0" applyProtection="0">
      <alignment horizontal="center"/>
    </xf>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49"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49"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49" fillId="26" borderId="125" applyNumberFormat="0" applyFont="0" applyAlignment="0" applyProtection="0"/>
    <xf numFmtId="0" fontId="122" fillId="28" borderId="124" applyNumberFormat="0" applyProtection="0">
      <alignment horizontal="center"/>
    </xf>
    <xf numFmtId="0" fontId="122" fillId="28" borderId="124" applyNumberFormat="0" applyProtection="0">
      <alignment horizontal="center"/>
    </xf>
    <xf numFmtId="0" fontId="122" fillId="28" borderId="124" applyNumberFormat="0" applyProtection="0">
      <alignment horizontal="center"/>
    </xf>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122" fillId="28" borderId="124" applyNumberFormat="0" applyProtection="0">
      <alignment horizontal="center"/>
    </xf>
    <xf numFmtId="0" fontId="122" fillId="28" borderId="124" applyNumberFormat="0" applyProtection="0">
      <alignment horizontal="center"/>
    </xf>
    <xf numFmtId="0" fontId="122" fillId="28" borderId="124" applyNumberFormat="0" applyProtection="0">
      <alignment horizontal="center"/>
    </xf>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49"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49"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49" fillId="26" borderId="125" applyNumberFormat="0" applyFont="0" applyAlignment="0" applyProtection="0"/>
    <xf numFmtId="0" fontId="122" fillId="28" borderId="124" applyNumberFormat="0" applyProtection="0">
      <alignment horizontal="center"/>
    </xf>
    <xf numFmtId="0" fontId="122" fillId="28" borderId="124" applyNumberFormat="0" applyProtection="0">
      <alignment horizontal="center"/>
    </xf>
    <xf numFmtId="0" fontId="122" fillId="28" borderId="124" applyNumberFormat="0" applyProtection="0">
      <alignment horizontal="center"/>
    </xf>
    <xf numFmtId="0" fontId="122" fillId="28" borderId="124" applyNumberFormat="0" applyProtection="0">
      <alignment horizontal="center" wrapText="1"/>
    </xf>
    <xf numFmtId="0" fontId="3" fillId="0" borderId="0"/>
    <xf numFmtId="0" fontId="94" fillId="0" borderId="0"/>
  </cellStyleXfs>
  <cellXfs count="1299">
    <xf numFmtId="0" fontId="0" fillId="0" borderId="0" xfId="0"/>
    <xf numFmtId="0" fontId="52" fillId="0" borderId="0" xfId="0" applyFont="1" applyFill="1" applyBorder="1"/>
    <xf numFmtId="0" fontId="52" fillId="0" borderId="0" xfId="0" applyFont="1" applyBorder="1" applyProtection="1"/>
    <xf numFmtId="0" fontId="52" fillId="0" borderId="0" xfId="243" applyFont="1"/>
    <xf numFmtId="0" fontId="52" fillId="0" borderId="0" xfId="0" applyFont="1" applyProtection="1">
      <protection locked="0"/>
    </xf>
    <xf numFmtId="0" fontId="0" fillId="0" borderId="0" xfId="0"/>
    <xf numFmtId="0" fontId="52" fillId="0" borderId="0" xfId="0" applyFont="1" applyFill="1" applyProtection="1">
      <protection locked="0"/>
    </xf>
    <xf numFmtId="0" fontId="52" fillId="0" borderId="0" xfId="0" applyFont="1" applyFill="1" applyBorder="1" applyProtection="1"/>
    <xf numFmtId="0" fontId="52" fillId="0" borderId="0" xfId="0" applyFont="1" applyProtection="1"/>
    <xf numFmtId="0" fontId="48" fillId="0" borderId="0" xfId="0" applyFont="1" applyFill="1" applyBorder="1" applyProtection="1"/>
    <xf numFmtId="0" fontId="47" fillId="0" borderId="0" xfId="0" applyFont="1" applyBorder="1" applyProtection="1"/>
    <xf numFmtId="0" fontId="47" fillId="0" borderId="0" xfId="0" applyFont="1" applyFill="1" applyBorder="1" applyAlignment="1" applyProtection="1">
      <alignment horizontal="center"/>
    </xf>
    <xf numFmtId="0" fontId="47" fillId="0" borderId="0" xfId="0" applyFont="1" applyProtection="1"/>
    <xf numFmtId="0" fontId="47" fillId="0" borderId="0" xfId="0" applyFont="1" applyFill="1" applyProtection="1"/>
    <xf numFmtId="0" fontId="0" fillId="0" borderId="0" xfId="0" applyProtection="1"/>
    <xf numFmtId="0" fontId="0" fillId="0" borderId="0" xfId="0" applyBorder="1" applyProtection="1"/>
    <xf numFmtId="0" fontId="52" fillId="0" borderId="0" xfId="0" applyFont="1" applyBorder="1" applyAlignment="1" applyProtection="1">
      <alignment horizontal="right"/>
    </xf>
    <xf numFmtId="0" fontId="54" fillId="0" borderId="0" xfId="0" applyFont="1" applyProtection="1"/>
    <xf numFmtId="164" fontId="47" fillId="0" borderId="0" xfId="1" applyNumberFormat="1" applyFont="1" applyBorder="1" applyAlignment="1" applyProtection="1">
      <alignment shrinkToFit="1"/>
    </xf>
    <xf numFmtId="0" fontId="0" fillId="0" borderId="0" xfId="0" applyFill="1"/>
    <xf numFmtId="0" fontId="52" fillId="0" borderId="36" xfId="0" applyFont="1" applyFill="1" applyBorder="1" applyProtection="1"/>
    <xf numFmtId="0" fontId="47" fillId="0" borderId="0" xfId="0" applyNumberFormat="1" applyFont="1" applyBorder="1" applyProtection="1"/>
    <xf numFmtId="0" fontId="47" fillId="0" borderId="0" xfId="0" applyNumberFormat="1" applyFont="1" applyBorder="1" applyAlignment="1" applyProtection="1">
      <alignment wrapText="1"/>
    </xf>
    <xf numFmtId="0" fontId="49" fillId="0" borderId="0" xfId="0" applyFont="1"/>
    <xf numFmtId="0" fontId="0" fillId="0" borderId="0" xfId="0" applyAlignment="1">
      <alignment horizontal="center"/>
    </xf>
    <xf numFmtId="0" fontId="50" fillId="0" borderId="0" xfId="0" applyFont="1" applyFill="1" applyProtection="1"/>
    <xf numFmtId="0" fontId="50" fillId="0" borderId="0" xfId="0" applyFont="1" applyProtection="1"/>
    <xf numFmtId="42" fontId="0" fillId="0" borderId="0" xfId="0" applyNumberFormat="1"/>
    <xf numFmtId="41" fontId="0" fillId="0" borderId="0" xfId="0" applyNumberFormat="1"/>
    <xf numFmtId="165" fontId="52" fillId="0" borderId="0" xfId="243" applyNumberFormat="1" applyFont="1"/>
    <xf numFmtId="0" fontId="14" fillId="0" borderId="0" xfId="1479"/>
    <xf numFmtId="43" fontId="104" fillId="0" borderId="0" xfId="1479" applyNumberFormat="1" applyFont="1"/>
    <xf numFmtId="0" fontId="49" fillId="0" borderId="0" xfId="0" applyFont="1" applyBorder="1" applyAlignment="1">
      <alignment horizontal="center"/>
    </xf>
    <xf numFmtId="0" fontId="9" fillId="0" borderId="0" xfId="1504"/>
    <xf numFmtId="0" fontId="121" fillId="0" borderId="0" xfId="1504" applyFont="1"/>
    <xf numFmtId="0" fontId="121" fillId="0" borderId="0" xfId="1505"/>
    <xf numFmtId="0" fontId="121" fillId="0" borderId="0" xfId="1505" quotePrefix="1" applyFont="1" applyFill="1"/>
    <xf numFmtId="0" fontId="121" fillId="0" borderId="0" xfId="1505" applyFont="1" applyFill="1"/>
    <xf numFmtId="0" fontId="111" fillId="0" borderId="0" xfId="1505" applyFont="1" applyFill="1"/>
    <xf numFmtId="0" fontId="105" fillId="0" borderId="0" xfId="1504" applyFont="1" applyAlignment="1">
      <alignment wrapText="1"/>
    </xf>
    <xf numFmtId="0" fontId="126" fillId="0" borderId="0" xfId="1509"/>
    <xf numFmtId="0" fontId="121" fillId="0" borderId="0" xfId="1505" applyAlignment="1">
      <alignment wrapText="1"/>
    </xf>
    <xf numFmtId="0" fontId="122" fillId="28" borderId="48" xfId="1516" applyBorder="1" applyAlignment="1">
      <alignment horizontal="center" wrapText="1"/>
    </xf>
    <xf numFmtId="0" fontId="121" fillId="0" borderId="38" xfId="1505" applyBorder="1"/>
    <xf numFmtId="0" fontId="122" fillId="28" borderId="47" xfId="1516" applyBorder="1" applyAlignment="1">
      <alignment horizontal="center" wrapText="1"/>
    </xf>
    <xf numFmtId="0" fontId="122" fillId="28" borderId="42" xfId="1516" applyBorder="1" applyAlignment="1">
      <alignment horizontal="center" wrapText="1"/>
    </xf>
    <xf numFmtId="0" fontId="9" fillId="0" borderId="0" xfId="1504" applyFill="1"/>
    <xf numFmtId="0" fontId="52" fillId="0" borderId="0" xfId="0" applyFont="1" applyFill="1" applyBorder="1" applyAlignment="1" applyProtection="1">
      <alignment horizontal="center"/>
    </xf>
    <xf numFmtId="0" fontId="54" fillId="0" borderId="0" xfId="0" applyFont="1" applyFill="1" applyBorder="1" applyAlignment="1" applyProtection="1">
      <alignment horizontal="left" indent="1"/>
    </xf>
    <xf numFmtId="14" fontId="52" fillId="0" borderId="0" xfId="243" applyNumberFormat="1" applyFont="1"/>
    <xf numFmtId="0" fontId="52" fillId="0" borderId="0" xfId="0" applyFont="1" applyFill="1" applyProtection="1"/>
    <xf numFmtId="167" fontId="123" fillId="0" borderId="0" xfId="3" applyNumberFormat="1" applyFont="1" applyFill="1" applyBorder="1"/>
    <xf numFmtId="0" fontId="52" fillId="0" borderId="0" xfId="243" applyFont="1"/>
    <xf numFmtId="0" fontId="52" fillId="0" borderId="0" xfId="243" applyFont="1" applyFill="1"/>
    <xf numFmtId="43" fontId="14" fillId="0" borderId="0" xfId="1479" applyNumberFormat="1"/>
    <xf numFmtId="43" fontId="121" fillId="0" borderId="0" xfId="1" applyFont="1"/>
    <xf numFmtId="0" fontId="129" fillId="0" borderId="0" xfId="0" applyFont="1" applyAlignment="1">
      <alignment vertical="center"/>
    </xf>
    <xf numFmtId="0" fontId="129" fillId="0" borderId="0" xfId="0" applyFont="1" applyAlignment="1">
      <alignment vertical="top" wrapText="1"/>
    </xf>
    <xf numFmtId="0" fontId="125" fillId="0" borderId="0" xfId="0" applyFont="1" applyAlignment="1">
      <alignment vertical="top" wrapText="1"/>
    </xf>
    <xf numFmtId="0" fontId="131" fillId="0" borderId="81" xfId="0" applyFont="1" applyFill="1" applyBorder="1" applyAlignment="1">
      <alignment vertical="top" wrapText="1"/>
    </xf>
    <xf numFmtId="0" fontId="0" fillId="0" borderId="0" xfId="0" applyAlignment="1">
      <alignment vertical="top" wrapText="1"/>
    </xf>
    <xf numFmtId="0" fontId="121" fillId="0" borderId="0" xfId="0" applyFont="1"/>
    <xf numFmtId="0" fontId="135" fillId="0" borderId="0" xfId="0" applyFont="1" applyAlignment="1">
      <alignment horizontal="center"/>
    </xf>
    <xf numFmtId="0" fontId="121" fillId="0" borderId="0" xfId="1505" applyAlignment="1">
      <alignment horizontal="center"/>
    </xf>
    <xf numFmtId="0" fontId="135" fillId="0" borderId="0" xfId="0" applyFont="1" applyAlignment="1">
      <alignment horizontal="right" wrapText="1"/>
    </xf>
    <xf numFmtId="0" fontId="0" fillId="0" borderId="0" xfId="0" applyAlignment="1">
      <alignment vertical="center"/>
    </xf>
    <xf numFmtId="0" fontId="137" fillId="0" borderId="0" xfId="0" applyFont="1" applyAlignment="1">
      <alignment horizontal="left" vertical="center" indent="1"/>
    </xf>
    <xf numFmtId="0" fontId="137" fillId="0" borderId="0" xfId="0" applyFont="1" applyAlignment="1">
      <alignment horizontal="left" vertical="center" indent="2"/>
    </xf>
    <xf numFmtId="0" fontId="52" fillId="0" borderId="0" xfId="243" applyFont="1" applyAlignment="1">
      <alignment vertical="center"/>
    </xf>
    <xf numFmtId="0" fontId="137" fillId="0" borderId="0" xfId="0" applyFont="1" applyAlignment="1">
      <alignment horizontal="left" vertical="center"/>
    </xf>
    <xf numFmtId="41" fontId="0" fillId="0" borderId="0" xfId="0" applyNumberFormat="1" applyAlignment="1">
      <alignment horizontal="right" wrapText="1"/>
    </xf>
    <xf numFmtId="0" fontId="52" fillId="0" borderId="0" xfId="243" applyNumberFormat="1" applyFont="1" applyAlignment="1">
      <alignment horizontal="center"/>
    </xf>
    <xf numFmtId="0" fontId="0" fillId="0" borderId="0" xfId="0" applyAlignment="1">
      <alignment horizontal="center" wrapText="1"/>
    </xf>
    <xf numFmtId="0" fontId="52" fillId="0" borderId="0" xfId="243" applyFont="1" applyFill="1" applyAlignment="1">
      <alignment vertical="center"/>
    </xf>
    <xf numFmtId="0" fontId="9" fillId="0" borderId="0" xfId="1504" applyAlignment="1">
      <alignment horizontal="center"/>
    </xf>
    <xf numFmtId="0" fontId="121" fillId="0" borderId="0" xfId="1504" applyFont="1" applyAlignment="1">
      <alignment horizontal="center"/>
    </xf>
    <xf numFmtId="0" fontId="52" fillId="0" borderId="0" xfId="243" applyNumberFormat="1" applyFont="1" applyAlignment="1">
      <alignment horizontal="center" vertical="center" wrapText="1"/>
    </xf>
    <xf numFmtId="0" fontId="138" fillId="0" borderId="0" xfId="1505" applyFont="1" applyAlignment="1">
      <alignment horizontal="center"/>
    </xf>
    <xf numFmtId="0" fontId="49" fillId="0" borderId="0" xfId="0" applyFont="1" applyAlignment="1">
      <alignment vertical="center"/>
    </xf>
    <xf numFmtId="0" fontId="0" fillId="0" borderId="0" xfId="0" applyAlignment="1">
      <alignment horizontal="center" vertical="center"/>
    </xf>
    <xf numFmtId="0" fontId="122" fillId="28" borderId="64" xfId="5251">
      <alignment horizontal="center" wrapText="1"/>
    </xf>
    <xf numFmtId="0" fontId="0" fillId="0" borderId="46" xfId="0" applyBorder="1" applyAlignment="1">
      <alignment horizontal="left" wrapText="1"/>
    </xf>
    <xf numFmtId="0" fontId="52" fillId="0" borderId="0" xfId="0" applyFont="1" applyAlignment="1" applyProtection="1">
      <alignment vertical="center"/>
    </xf>
    <xf numFmtId="0" fontId="52" fillId="0" borderId="0" xfId="0" applyFont="1" applyAlignment="1" applyProtection="1">
      <alignment vertical="center"/>
      <protection locked="0"/>
    </xf>
    <xf numFmtId="43" fontId="0" fillId="0" borderId="46" xfId="0" applyNumberFormat="1" applyBorder="1" applyAlignment="1">
      <alignment horizontal="right" wrapText="1"/>
    </xf>
    <xf numFmtId="170" fontId="0" fillId="0" borderId="46" xfId="0" applyNumberFormat="1" applyBorder="1" applyAlignment="1">
      <alignment horizontal="right" wrapText="1"/>
    </xf>
    <xf numFmtId="41" fontId="0" fillId="0" borderId="0" xfId="0" applyNumberFormat="1" applyAlignment="1">
      <alignment wrapText="1"/>
    </xf>
    <xf numFmtId="0" fontId="123" fillId="0" borderId="0" xfId="0" applyFont="1" applyFill="1" applyBorder="1" applyProtection="1"/>
    <xf numFmtId="0" fontId="123" fillId="0" borderId="0" xfId="0" applyFont="1" applyFill="1" applyProtection="1"/>
    <xf numFmtId="0" fontId="123" fillId="0" borderId="0" xfId="0" applyFont="1" applyFill="1" applyAlignment="1" applyProtection="1">
      <alignment horizontal="left" indent="1"/>
    </xf>
    <xf numFmtId="0" fontId="52" fillId="0" borderId="37" xfId="0" applyFont="1" applyBorder="1" applyProtection="1"/>
    <xf numFmtId="164" fontId="53" fillId="0" borderId="0" xfId="1" applyNumberFormat="1" applyFont="1" applyFill="1" applyBorder="1" applyProtection="1"/>
    <xf numFmtId="0" fontId="52" fillId="0" borderId="0" xfId="0" applyFont="1" applyFill="1" applyAlignment="1" applyProtection="1">
      <alignment vertical="center"/>
      <protection locked="0"/>
    </xf>
    <xf numFmtId="0" fontId="0" fillId="0" borderId="0" xfId="0" applyFill="1" applyProtection="1"/>
    <xf numFmtId="0" fontId="0" fillId="32" borderId="0" xfId="0" applyFill="1"/>
    <xf numFmtId="0" fontId="52" fillId="27" borderId="36" xfId="0" applyFont="1" applyFill="1" applyBorder="1" applyProtection="1"/>
    <xf numFmtId="164" fontId="121" fillId="0" borderId="0" xfId="1" applyNumberFormat="1" applyFont="1"/>
    <xf numFmtId="0" fontId="48" fillId="0" borderId="37" xfId="0" applyFont="1" applyBorder="1" applyProtection="1"/>
    <xf numFmtId="0" fontId="47" fillId="0" borderId="37" xfId="0" applyFont="1" applyBorder="1" applyProtection="1"/>
    <xf numFmtId="0" fontId="47" fillId="0" borderId="37" xfId="0" applyFont="1" applyFill="1" applyBorder="1" applyAlignment="1" applyProtection="1">
      <alignment horizontal="center"/>
    </xf>
    <xf numFmtId="0" fontId="47" fillId="0" borderId="126" xfId="0" applyFont="1" applyBorder="1" applyProtection="1"/>
    <xf numFmtId="0" fontId="50" fillId="0" borderId="128" xfId="0" applyNumberFormat="1" applyFont="1" applyBorder="1" applyProtection="1"/>
    <xf numFmtId="164" fontId="50" fillId="0" borderId="128" xfId="1" applyNumberFormat="1" applyFont="1" applyBorder="1" applyAlignment="1" applyProtection="1">
      <alignment shrinkToFit="1"/>
    </xf>
    <xf numFmtId="41" fontId="50" fillId="32" borderId="137" xfId="0" applyNumberFormat="1" applyFont="1" applyFill="1" applyBorder="1" applyAlignment="1" applyProtection="1">
      <alignment horizontal="right" shrinkToFit="1"/>
    </xf>
    <xf numFmtId="0" fontId="53" fillId="0" borderId="37" xfId="0" applyFont="1" applyBorder="1"/>
    <xf numFmtId="0" fontId="142" fillId="0" borderId="0" xfId="0" applyFont="1"/>
    <xf numFmtId="0" fontId="106" fillId="0" borderId="0" xfId="0" applyFont="1" applyBorder="1" applyAlignment="1">
      <alignment horizontal="center"/>
    </xf>
    <xf numFmtId="0" fontId="62" fillId="0" borderId="0" xfId="0" applyFont="1" applyAlignment="1">
      <alignment horizontal="center"/>
    </xf>
    <xf numFmtId="0" fontId="62" fillId="0" borderId="0" xfId="0" applyFont="1" applyAlignment="1"/>
    <xf numFmtId="0" fontId="57" fillId="0" borderId="0" xfId="0" applyFont="1" applyProtection="1">
      <protection locked="0"/>
    </xf>
    <xf numFmtId="0" fontId="49" fillId="0" borderId="124" xfId="0" applyFont="1" applyBorder="1" applyAlignment="1">
      <alignment horizontal="center" vertical="center"/>
    </xf>
    <xf numFmtId="0" fontId="49" fillId="0" borderId="124" xfId="0" applyFont="1" applyBorder="1" applyAlignment="1">
      <alignment horizontal="center" vertical="center" wrapText="1"/>
    </xf>
    <xf numFmtId="0" fontId="62" fillId="32" borderId="124" xfId="0" applyFont="1" applyFill="1" applyBorder="1" applyAlignment="1">
      <alignment horizontal="center" vertical="center"/>
    </xf>
    <xf numFmtId="0" fontId="49" fillId="0" borderId="48" xfId="0" applyFont="1" applyBorder="1" applyAlignment="1">
      <alignment horizontal="center" vertical="center"/>
    </xf>
    <xf numFmtId="0" fontId="0" fillId="0" borderId="124" xfId="0" applyBorder="1" applyAlignment="1">
      <alignment horizontal="center" vertical="center"/>
    </xf>
    <xf numFmtId="0" fontId="49" fillId="0" borderId="124" xfId="0" applyFont="1" applyFill="1" applyBorder="1" applyAlignment="1">
      <alignment horizontal="center" vertical="center"/>
    </xf>
    <xf numFmtId="0" fontId="49" fillId="0" borderId="48" xfId="0" applyFont="1" applyFill="1" applyBorder="1" applyAlignment="1">
      <alignment horizontal="center" vertical="center"/>
    </xf>
    <xf numFmtId="0" fontId="49" fillId="0" borderId="124" xfId="0" applyFont="1" applyBorder="1" applyAlignment="1">
      <alignment horizontal="left" vertical="center" wrapText="1"/>
    </xf>
    <xf numFmtId="0" fontId="0" fillId="0" borderId="124" xfId="0" applyBorder="1" applyAlignment="1">
      <alignment horizontal="left" vertical="center" wrapText="1"/>
    </xf>
    <xf numFmtId="0" fontId="49" fillId="0" borderId="124" xfId="0" applyFont="1" applyBorder="1" applyAlignment="1">
      <alignment horizontal="left" vertical="center" wrapText="1"/>
    </xf>
    <xf numFmtId="0" fontId="0" fillId="0" borderId="0" xfId="0" applyAlignment="1">
      <alignment horizontal="left" vertical="center" wrapText="1"/>
    </xf>
    <xf numFmtId="41" fontId="49" fillId="0" borderId="124" xfId="0" applyNumberFormat="1" applyFont="1" applyBorder="1" applyAlignment="1">
      <alignment horizontal="left" vertical="center" wrapText="1"/>
    </xf>
    <xf numFmtId="0" fontId="49" fillId="0" borderId="139" xfId="0" applyFont="1" applyBorder="1" applyAlignment="1">
      <alignment horizontal="center" vertical="center"/>
    </xf>
    <xf numFmtId="0" fontId="49" fillId="0" borderId="130" xfId="0" applyFont="1" applyBorder="1" applyAlignment="1">
      <alignment horizontal="left" vertical="center" wrapText="1"/>
    </xf>
    <xf numFmtId="0" fontId="49" fillId="0" borderId="124" xfId="0" applyFont="1" applyBorder="1" applyAlignment="1">
      <alignment horizontal="center" vertical="center"/>
    </xf>
    <xf numFmtId="0" fontId="49" fillId="0" borderId="139" xfId="0" applyFont="1" applyBorder="1" applyAlignment="1">
      <alignment vertical="center" wrapText="1"/>
    </xf>
    <xf numFmtId="0" fontId="49" fillId="0" borderId="48" xfId="0" applyFont="1" applyBorder="1" applyAlignment="1">
      <alignment vertical="center" wrapText="1"/>
    </xf>
    <xf numFmtId="0" fontId="49" fillId="0" borderId="42" xfId="0" applyFont="1" applyBorder="1" applyAlignment="1">
      <alignment vertical="center" wrapText="1"/>
    </xf>
    <xf numFmtId="0" fontId="49" fillId="0" borderId="124" xfId="0" applyFont="1" applyBorder="1" applyAlignment="1">
      <alignment horizontal="center" vertical="center"/>
    </xf>
    <xf numFmtId="0" fontId="52" fillId="0" borderId="0" xfId="243" applyFont="1" applyFill="1" applyAlignment="1">
      <alignment horizontal="left" vertical="center" wrapText="1"/>
    </xf>
    <xf numFmtId="0" fontId="134" fillId="0" borderId="124" xfId="0" applyFont="1" applyBorder="1" applyAlignment="1">
      <alignment horizontal="left" vertical="center" wrapText="1"/>
    </xf>
    <xf numFmtId="0" fontId="49" fillId="32" borderId="143" xfId="0" applyFont="1" applyFill="1" applyBorder="1" applyAlignment="1">
      <alignment horizontal="center" vertical="center"/>
    </xf>
    <xf numFmtId="0" fontId="62" fillId="32" borderId="143" xfId="0" applyFont="1" applyFill="1" applyBorder="1" applyAlignment="1">
      <alignment horizontal="center" vertical="center"/>
    </xf>
    <xf numFmtId="0" fontId="62" fillId="32" borderId="143" xfId="0" applyFont="1" applyFill="1" applyBorder="1" applyAlignment="1">
      <alignment horizontal="center" vertical="center" wrapText="1"/>
    </xf>
    <xf numFmtId="0" fontId="144" fillId="32" borderId="124" xfId="0" applyFont="1" applyFill="1" applyBorder="1" applyAlignment="1">
      <alignment horizontal="center" vertical="center" wrapText="1"/>
    </xf>
    <xf numFmtId="0" fontId="121" fillId="0" borderId="0" xfId="1505" applyAlignment="1">
      <alignment vertical="center"/>
    </xf>
    <xf numFmtId="0" fontId="9" fillId="0" borderId="0" xfId="1504" applyAlignment="1">
      <alignment vertical="center"/>
    </xf>
    <xf numFmtId="0" fontId="4" fillId="0" borderId="0" xfId="1504" applyFont="1" applyFill="1"/>
    <xf numFmtId="0" fontId="49" fillId="32" borderId="124" xfId="0" applyFont="1" applyFill="1" applyBorder="1" applyAlignment="1">
      <alignment horizontal="left" vertical="center"/>
    </xf>
    <xf numFmtId="0" fontId="49" fillId="32" borderId="139" xfId="0" applyFont="1" applyFill="1" applyBorder="1" applyAlignment="1">
      <alignment horizontal="left" vertical="center"/>
    </xf>
    <xf numFmtId="0" fontId="137" fillId="0" borderId="0" xfId="0" applyFont="1" applyFill="1" applyAlignment="1">
      <alignment horizontal="left" vertical="center" indent="1"/>
    </xf>
    <xf numFmtId="0" fontId="102" fillId="29" borderId="0" xfId="243" applyFont="1" applyFill="1" applyAlignment="1">
      <alignment vertical="center"/>
    </xf>
    <xf numFmtId="14" fontId="102" fillId="29" borderId="0" xfId="243" applyNumberFormat="1" applyFont="1" applyFill="1" applyAlignment="1">
      <alignment vertical="center"/>
    </xf>
    <xf numFmtId="165" fontId="53" fillId="0" borderId="0" xfId="243" applyNumberFormat="1" applyFont="1" applyFill="1"/>
    <xf numFmtId="0" fontId="53" fillId="0" borderId="0" xfId="243" applyFont="1" applyFill="1" applyBorder="1"/>
    <xf numFmtId="0" fontId="137" fillId="0" borderId="0" xfId="0" applyFont="1" applyFill="1" applyAlignment="1">
      <alignment horizontal="left" vertical="center" indent="2"/>
    </xf>
    <xf numFmtId="0" fontId="52" fillId="0" borderId="0" xfId="243" applyNumberFormat="1" applyFont="1" applyFill="1" applyAlignment="1">
      <alignment horizontal="center" vertical="center"/>
    </xf>
    <xf numFmtId="0" fontId="57" fillId="0" borderId="0" xfId="243" applyFont="1" applyFill="1" applyAlignment="1">
      <alignment vertical="center" wrapText="1"/>
    </xf>
    <xf numFmtId="165" fontId="52" fillId="0" borderId="0" xfId="243" applyNumberFormat="1" applyFont="1" applyFill="1" applyAlignment="1">
      <alignment horizontal="center" vertical="center"/>
    </xf>
    <xf numFmtId="0" fontId="57" fillId="0" borderId="0" xfId="243" applyFont="1" applyFill="1" applyBorder="1" applyAlignment="1">
      <alignment vertical="center" wrapText="1"/>
    </xf>
    <xf numFmtId="0" fontId="52" fillId="0" borderId="0" xfId="243" applyFont="1" applyFill="1" applyBorder="1" applyAlignment="1">
      <alignment vertical="center" wrapText="1"/>
    </xf>
    <xf numFmtId="0" fontId="137" fillId="0" borderId="0" xfId="0" applyFont="1" applyFill="1" applyAlignment="1">
      <alignment horizontal="left" vertical="center"/>
    </xf>
    <xf numFmtId="0" fontId="52" fillId="0" borderId="0" xfId="243" applyNumberFormat="1" applyFont="1" applyFill="1" applyAlignment="1">
      <alignment horizontal="center" vertical="center" wrapText="1"/>
    </xf>
    <xf numFmtId="0" fontId="52" fillId="0" borderId="0" xfId="243" applyFont="1" applyFill="1" applyAlignment="1">
      <alignment vertical="center" wrapText="1"/>
    </xf>
    <xf numFmtId="0" fontId="52" fillId="32" borderId="143" xfId="243" applyFont="1" applyFill="1" applyBorder="1" applyAlignment="1">
      <alignment vertical="center"/>
    </xf>
    <xf numFmtId="0" fontId="52" fillId="3" borderId="143" xfId="243" applyFont="1" applyFill="1" applyBorder="1" applyAlignment="1">
      <alignment vertical="center" wrapText="1"/>
    </xf>
    <xf numFmtId="14" fontId="57" fillId="0" borderId="0" xfId="243" quotePrefix="1" applyNumberFormat="1" applyFont="1" applyFill="1" applyAlignment="1">
      <alignment horizontal="center" vertical="center"/>
    </xf>
    <xf numFmtId="0" fontId="53" fillId="0" borderId="0" xfId="243" applyFont="1" applyFill="1" applyBorder="1" applyAlignment="1">
      <alignment vertical="center"/>
    </xf>
    <xf numFmtId="165" fontId="136" fillId="0" borderId="0" xfId="243" applyNumberFormat="1" applyFont="1" applyFill="1" applyAlignment="1">
      <alignment vertical="center"/>
    </xf>
    <xf numFmtId="0" fontId="136" fillId="0" borderId="0" xfId="243" applyFont="1" applyFill="1" applyBorder="1" applyAlignment="1">
      <alignment vertical="center"/>
    </xf>
    <xf numFmtId="0" fontId="52" fillId="0" borderId="0" xfId="243" applyFont="1" applyFill="1" applyAlignment="1">
      <alignment horizontal="left" vertical="center"/>
    </xf>
    <xf numFmtId="165" fontId="52" fillId="0" borderId="0" xfId="243" applyNumberFormat="1" applyFont="1" applyFill="1" applyAlignment="1">
      <alignment horizontal="center" vertical="center" wrapText="1"/>
    </xf>
    <xf numFmtId="0" fontId="52" fillId="0" borderId="0" xfId="243" applyNumberFormat="1" applyFont="1" applyFill="1" applyAlignment="1">
      <alignment horizontal="center"/>
    </xf>
    <xf numFmtId="0" fontId="52" fillId="0" borderId="0" xfId="243" applyFont="1" applyFill="1" applyBorder="1" applyAlignment="1">
      <alignment horizontal="left" vertical="center"/>
    </xf>
    <xf numFmtId="0" fontId="53" fillId="0" borderId="0" xfId="243" applyFont="1" applyFill="1" applyBorder="1" applyAlignment="1">
      <alignment horizontal="center"/>
    </xf>
    <xf numFmtId="0" fontId="59" fillId="0" borderId="0" xfId="0" applyFont="1" applyBorder="1" applyProtection="1"/>
    <xf numFmtId="0" fontId="59" fillId="0" borderId="0" xfId="0" applyFont="1" applyAlignment="1" applyProtection="1"/>
    <xf numFmtId="0" fontId="59" fillId="0" borderId="0" xfId="0" applyFont="1" applyFill="1" applyBorder="1" applyProtection="1"/>
    <xf numFmtId="0" fontId="59" fillId="0" borderId="0" xfId="0" applyFont="1" applyProtection="1"/>
    <xf numFmtId="0" fontId="56" fillId="0" borderId="0" xfId="0" applyFont="1" applyBorder="1" applyProtection="1"/>
    <xf numFmtId="43" fontId="59" fillId="31" borderId="124" xfId="1" applyFont="1" applyFill="1" applyBorder="1" applyProtection="1">
      <protection locked="0"/>
    </xf>
    <xf numFmtId="43" fontId="59" fillId="0" borderId="0" xfId="1" applyFont="1" applyFill="1" applyBorder="1" applyProtection="1"/>
    <xf numFmtId="0" fontId="59" fillId="0" borderId="36" xfId="0" applyFont="1" applyBorder="1" applyProtection="1"/>
    <xf numFmtId="0" fontId="59" fillId="0" borderId="36" xfId="0" applyFont="1" applyBorder="1" applyAlignment="1" applyProtection="1">
      <alignment vertical="center"/>
    </xf>
    <xf numFmtId="0" fontId="59" fillId="0" borderId="0" xfId="0" applyFont="1" applyBorder="1" applyAlignment="1" applyProtection="1">
      <alignment horizontal="center" wrapText="1"/>
    </xf>
    <xf numFmtId="10" fontId="59" fillId="0" borderId="0" xfId="2" applyNumberFormat="1" applyFont="1" applyFill="1" applyBorder="1" applyProtection="1"/>
    <xf numFmtId="0" fontId="56" fillId="0" borderId="0" xfId="0" applyFont="1" applyProtection="1"/>
    <xf numFmtId="0" fontId="59" fillId="0" borderId="0" xfId="0" applyFont="1" applyBorder="1" applyAlignment="1" applyProtection="1"/>
    <xf numFmtId="43" fontId="59" fillId="0" borderId="36" xfId="1" applyFont="1" applyFill="1" applyBorder="1" applyProtection="1"/>
    <xf numFmtId="0" fontId="59" fillId="0" borderId="0" xfId="0" applyFont="1" applyFill="1" applyBorder="1" applyAlignment="1" applyProtection="1">
      <alignment horizontal="right"/>
    </xf>
    <xf numFmtId="0" fontId="59" fillId="0" borderId="0" xfId="0" applyFont="1" applyFill="1" applyBorder="1" applyAlignment="1" applyProtection="1">
      <alignment vertical="center"/>
    </xf>
    <xf numFmtId="0" fontId="47" fillId="0" borderId="0" xfId="0" quotePrefix="1" applyFont="1" applyBorder="1" applyAlignment="1" applyProtection="1">
      <alignment horizontal="left"/>
    </xf>
    <xf numFmtId="43" fontId="52" fillId="0" borderId="0" xfId="1" applyNumberFormat="1" applyFont="1" applyFill="1" applyBorder="1" applyAlignment="1" applyProtection="1">
      <alignment shrinkToFit="1"/>
    </xf>
    <xf numFmtId="0" fontId="53" fillId="0" borderId="0" xfId="0" applyFont="1" applyFill="1" applyBorder="1"/>
    <xf numFmtId="164" fontId="52" fillId="0" borderId="0" xfId="1" applyNumberFormat="1" applyFont="1" applyBorder="1" applyAlignment="1">
      <alignment shrinkToFit="1"/>
    </xf>
    <xf numFmtId="164" fontId="52" fillId="0" borderId="36" xfId="1" applyNumberFormat="1" applyFont="1" applyBorder="1" applyAlignment="1">
      <alignment shrinkToFit="1"/>
    </xf>
    <xf numFmtId="0" fontId="52" fillId="0" borderId="0" xfId="0" applyFont="1" applyAlignment="1" applyProtection="1"/>
    <xf numFmtId="0" fontId="54" fillId="0" borderId="0" xfId="0" applyFont="1" applyAlignment="1" applyProtection="1">
      <alignment vertical="center"/>
    </xf>
    <xf numFmtId="0" fontId="52" fillId="0" borderId="0" xfId="0" applyFont="1" applyFill="1" applyBorder="1" applyAlignment="1" applyProtection="1">
      <alignment vertical="center"/>
    </xf>
    <xf numFmtId="0" fontId="53" fillId="0" borderId="0" xfId="0" applyFont="1" applyFill="1" applyBorder="1" applyAlignment="1" applyProtection="1">
      <alignment horizontal="left" vertical="center"/>
    </xf>
    <xf numFmtId="0" fontId="52" fillId="0" borderId="0" xfId="0" applyFont="1" applyBorder="1" applyAlignment="1" applyProtection="1">
      <alignment vertical="center"/>
    </xf>
    <xf numFmtId="0" fontId="109" fillId="0" borderId="0" xfId="0" applyFont="1" applyAlignment="1" applyProtection="1">
      <alignment vertical="center"/>
    </xf>
    <xf numFmtId="0" fontId="131" fillId="0" borderId="0" xfId="0" applyFont="1" applyFill="1" applyAlignment="1">
      <alignment vertical="center"/>
    </xf>
    <xf numFmtId="14" fontId="131" fillId="0" borderId="0" xfId="0" applyNumberFormat="1" applyFont="1" applyFill="1" applyAlignment="1">
      <alignment horizontal="left" vertical="center"/>
    </xf>
    <xf numFmtId="0" fontId="130" fillId="0" borderId="0" xfId="0" applyFont="1" applyFill="1" applyAlignment="1">
      <alignment vertical="top" wrapText="1"/>
    </xf>
    <xf numFmtId="2" fontId="59" fillId="0" borderId="36" xfId="0" applyNumberFormat="1" applyFont="1" applyFill="1" applyBorder="1" applyProtection="1"/>
    <xf numFmtId="167" fontId="52" fillId="0" borderId="0" xfId="417" applyNumberFormat="1" applyFont="1" applyBorder="1" applyAlignment="1">
      <alignment shrinkToFit="1"/>
    </xf>
    <xf numFmtId="167" fontId="52" fillId="0" borderId="36" xfId="417" applyNumberFormat="1" applyFont="1" applyBorder="1" applyAlignment="1">
      <alignment shrinkToFit="1"/>
    </xf>
    <xf numFmtId="167" fontId="52" fillId="0" borderId="0" xfId="417" applyNumberFormat="1" applyFont="1" applyFill="1" applyProtection="1"/>
    <xf numFmtId="167" fontId="50" fillId="0" borderId="128" xfId="417" applyNumberFormat="1" applyFont="1" applyFill="1" applyBorder="1" applyAlignment="1" applyProtection="1">
      <alignment shrinkToFit="1"/>
    </xf>
    <xf numFmtId="0" fontId="108" fillId="0" borderId="0" xfId="0" applyFont="1" applyProtection="1"/>
    <xf numFmtId="167" fontId="123" fillId="0" borderId="128" xfId="3" applyNumberFormat="1" applyFont="1" applyFill="1" applyBorder="1"/>
    <xf numFmtId="167" fontId="123" fillId="0" borderId="127" xfId="3" applyNumberFormat="1" applyFont="1" applyFill="1" applyBorder="1"/>
    <xf numFmtId="0" fontId="52" fillId="0" borderId="0" xfId="0" applyFont="1" applyFill="1" applyBorder="1" applyAlignment="1">
      <alignment vertical="center"/>
    </xf>
    <xf numFmtId="0" fontId="52" fillId="0" borderId="0" xfId="0" applyFont="1" applyBorder="1" applyAlignment="1">
      <alignment horizontal="right" shrinkToFit="1"/>
    </xf>
    <xf numFmtId="0" fontId="52" fillId="0" borderId="36" xfId="0" applyFont="1" applyFill="1" applyBorder="1" applyAlignment="1">
      <alignment horizontal="right" shrinkToFit="1"/>
    </xf>
    <xf numFmtId="0" fontId="52" fillId="0" borderId="37" xfId="0" applyFont="1" applyBorder="1" applyAlignment="1">
      <alignment horizontal="left" indent="1"/>
    </xf>
    <xf numFmtId="167" fontId="52" fillId="0" borderId="0" xfId="417" applyNumberFormat="1" applyFont="1" applyBorder="1" applyAlignment="1">
      <alignment horizontal="right" shrinkToFit="1"/>
    </xf>
    <xf numFmtId="167" fontId="52" fillId="0" borderId="36" xfId="417" applyNumberFormat="1" applyFont="1" applyFill="1" applyBorder="1" applyAlignment="1">
      <alignment horizontal="right" shrinkToFit="1"/>
    </xf>
    <xf numFmtId="41" fontId="52" fillId="0" borderId="0" xfId="0" applyNumberFormat="1" applyFont="1" applyBorder="1" applyAlignment="1">
      <alignment horizontal="right" shrinkToFit="1"/>
    </xf>
    <xf numFmtId="41" fontId="52" fillId="0" borderId="36" xfId="0" applyNumberFormat="1" applyFont="1" applyFill="1" applyBorder="1" applyAlignment="1">
      <alignment horizontal="right" shrinkToFit="1"/>
    </xf>
    <xf numFmtId="167" fontId="53" fillId="0" borderId="0" xfId="417" applyNumberFormat="1" applyFont="1" applyBorder="1" applyAlignment="1">
      <alignment horizontal="right" shrinkToFit="1"/>
    </xf>
    <xf numFmtId="167" fontId="53" fillId="0" borderId="36" xfId="417" applyNumberFormat="1" applyFont="1" applyBorder="1" applyAlignment="1">
      <alignment horizontal="right" shrinkToFit="1"/>
    </xf>
    <xf numFmtId="0" fontId="53" fillId="0" borderId="126" xfId="3" applyFont="1" applyFill="1" applyBorder="1" applyAlignment="1">
      <alignment wrapText="1"/>
    </xf>
    <xf numFmtId="0" fontId="116" fillId="0" borderId="0" xfId="0" applyFont="1" applyFill="1" applyBorder="1"/>
    <xf numFmtId="0" fontId="54" fillId="0" borderId="0" xfId="0" applyFont="1" applyFill="1" applyBorder="1"/>
    <xf numFmtId="0" fontId="54" fillId="0" borderId="0" xfId="0" applyFont="1" applyFill="1" applyBorder="1" applyAlignment="1">
      <alignment vertical="center"/>
    </xf>
    <xf numFmtId="0" fontId="52" fillId="0" borderId="37" xfId="0" applyFont="1" applyBorder="1" applyAlignment="1">
      <alignment horizontal="left" vertical="center" wrapText="1"/>
    </xf>
    <xf numFmtId="0" fontId="109" fillId="0" borderId="37" xfId="0" applyFont="1" applyBorder="1" applyAlignment="1" applyProtection="1">
      <alignment horizontal="left" vertical="top" indent="1"/>
    </xf>
    <xf numFmtId="164" fontId="54" fillId="0" borderId="0" xfId="1" applyNumberFormat="1" applyFont="1" applyBorder="1" applyAlignment="1" applyProtection="1">
      <alignment shrinkToFit="1"/>
    </xf>
    <xf numFmtId="164" fontId="54" fillId="0" borderId="36" xfId="1" applyNumberFormat="1" applyFont="1" applyBorder="1" applyAlignment="1" applyProtection="1">
      <alignment shrinkToFit="1"/>
    </xf>
    <xf numFmtId="169" fontId="116" fillId="0" borderId="0" xfId="2" applyNumberFormat="1" applyFont="1" applyBorder="1" applyAlignment="1">
      <alignment shrinkToFit="1"/>
    </xf>
    <xf numFmtId="169" fontId="116" fillId="0" borderId="36" xfId="2" applyNumberFormat="1" applyFont="1" applyBorder="1" applyAlignment="1">
      <alignment shrinkToFit="1"/>
    </xf>
    <xf numFmtId="0" fontId="53" fillId="0" borderId="0" xfId="3" applyFont="1" applyFill="1" applyBorder="1" applyAlignment="1">
      <alignment wrapText="1"/>
    </xf>
    <xf numFmtId="0" fontId="52" fillId="0" borderId="136" xfId="0" applyFont="1" applyBorder="1" applyAlignment="1">
      <alignment horizontal="left" vertical="center" wrapText="1"/>
    </xf>
    <xf numFmtId="169" fontId="116" fillId="0" borderId="17" xfId="2" applyNumberFormat="1" applyFont="1" applyBorder="1" applyAlignment="1">
      <alignment shrinkToFit="1"/>
    </xf>
    <xf numFmtId="169" fontId="116" fillId="0" borderId="129" xfId="2" applyNumberFormat="1" applyFont="1" applyBorder="1" applyAlignment="1">
      <alignment shrinkToFit="1"/>
    </xf>
    <xf numFmtId="0" fontId="52" fillId="0" borderId="0" xfId="0" applyFont="1" applyFill="1" applyBorder="1" applyAlignment="1" applyProtection="1">
      <alignment vertical="center"/>
      <protection locked="0"/>
    </xf>
    <xf numFmtId="0" fontId="154" fillId="29" borderId="0" xfId="0" applyFont="1" applyFill="1" applyAlignment="1" applyProtection="1"/>
    <xf numFmtId="0" fontId="155" fillId="29" borderId="0" xfId="0" applyFont="1" applyFill="1" applyAlignment="1" applyProtection="1">
      <alignment horizontal="left"/>
    </xf>
    <xf numFmtId="14" fontId="154" fillId="29" borderId="0" xfId="0" applyNumberFormat="1" applyFont="1" applyFill="1" applyAlignment="1" applyProtection="1">
      <alignment horizontal="center"/>
    </xf>
    <xf numFmtId="0" fontId="154" fillId="29" borderId="0" xfId="0" applyFont="1" applyFill="1" applyAlignment="1" applyProtection="1">
      <alignment horizontal="right"/>
    </xf>
    <xf numFmtId="0" fontId="113" fillId="0" borderId="0" xfId="0" applyFont="1" applyProtection="1"/>
    <xf numFmtId="0" fontId="156" fillId="0" borderId="0" xfId="1429" applyFont="1" applyProtection="1"/>
    <xf numFmtId="0" fontId="156" fillId="0" borderId="0" xfId="1429" applyFont="1" applyAlignment="1" applyProtection="1">
      <alignment vertical="center"/>
    </xf>
    <xf numFmtId="0" fontId="147" fillId="0" borderId="0" xfId="0" applyFont="1" applyFill="1" applyBorder="1" applyAlignment="1" applyProtection="1">
      <alignment horizontal="center" vertical="center"/>
    </xf>
    <xf numFmtId="0" fontId="59" fillId="0" borderId="0" xfId="0" applyFont="1" applyAlignment="1" applyProtection="1">
      <alignment horizontal="center" vertical="top"/>
    </xf>
    <xf numFmtId="0" fontId="147" fillId="0" borderId="0" xfId="0" applyFont="1" applyBorder="1" applyAlignment="1" applyProtection="1">
      <alignment vertical="center" wrapText="1"/>
    </xf>
    <xf numFmtId="0" fontId="147" fillId="0" borderId="0" xfId="0" applyFont="1" applyBorder="1" applyAlignment="1" applyProtection="1">
      <alignment vertical="center"/>
    </xf>
    <xf numFmtId="0" fontId="147" fillId="0" borderId="0" xfId="0" applyFont="1" applyFill="1" applyBorder="1" applyAlignment="1" applyProtection="1">
      <alignment vertical="center"/>
    </xf>
    <xf numFmtId="0" fontId="49" fillId="0" borderId="0" xfId="0" applyFont="1" applyFill="1" applyProtection="1"/>
    <xf numFmtId="0" fontId="49" fillId="0" borderId="0" xfId="0" applyFont="1" applyFill="1" applyBorder="1" applyProtection="1"/>
    <xf numFmtId="0" fontId="106" fillId="2" borderId="0" xfId="3" quotePrefix="1" applyFont="1" applyFill="1" applyAlignment="1">
      <alignment horizontal="center" vertical="center"/>
    </xf>
    <xf numFmtId="0" fontId="138" fillId="2" borderId="0" xfId="1505" quotePrefix="1" applyFont="1" applyFill="1" applyAlignment="1">
      <alignment horizontal="center"/>
    </xf>
    <xf numFmtId="0" fontId="161" fillId="0" borderId="0" xfId="1505" applyFont="1"/>
    <xf numFmtId="42" fontId="0" fillId="0" borderId="0" xfId="0" applyNumberFormat="1" applyAlignment="1">
      <alignment horizontal="right" wrapText="1"/>
    </xf>
    <xf numFmtId="0" fontId="49" fillId="0" borderId="0" xfId="0" applyFont="1" applyAlignment="1" applyProtection="1">
      <alignment horizontal="center"/>
    </xf>
    <xf numFmtId="0" fontId="162" fillId="0" borderId="0" xfId="0" applyFont="1" applyFill="1" applyProtection="1"/>
    <xf numFmtId="0" fontId="163" fillId="0" borderId="0" xfId="0" applyFont="1" applyFill="1" applyProtection="1"/>
    <xf numFmtId="0" fontId="164" fillId="0" borderId="0" xfId="0" applyFont="1" applyFill="1" applyProtection="1"/>
    <xf numFmtId="167" fontId="52" fillId="0" borderId="0" xfId="417" applyNumberFormat="1" applyFont="1" applyFill="1" applyBorder="1" applyAlignment="1">
      <alignment vertical="center" shrinkToFit="1"/>
    </xf>
    <xf numFmtId="167" fontId="52" fillId="0" borderId="36" xfId="417" applyNumberFormat="1" applyFont="1" applyFill="1" applyBorder="1" applyAlignment="1">
      <alignment vertical="center" shrinkToFit="1"/>
    </xf>
    <xf numFmtId="0" fontId="154" fillId="29" borderId="0" xfId="0" quotePrefix="1" applyFont="1" applyFill="1" applyAlignment="1" applyProtection="1">
      <alignment horizontal="center"/>
    </xf>
    <xf numFmtId="0" fontId="52" fillId="32" borderId="143" xfId="243" quotePrefix="1" applyFont="1" applyFill="1" applyBorder="1" applyAlignment="1">
      <alignment horizontal="left" vertical="center"/>
    </xf>
    <xf numFmtId="0" fontId="125" fillId="0" borderId="81" xfId="0" quotePrefix="1" applyFont="1" applyBorder="1" applyAlignment="1">
      <alignment horizontal="left" vertical="top" wrapText="1"/>
    </xf>
    <xf numFmtId="0" fontId="56" fillId="0" borderId="0" xfId="0" quotePrefix="1" applyFont="1" applyAlignment="1" applyProtection="1">
      <alignment horizontal="left"/>
    </xf>
    <xf numFmtId="0" fontId="160" fillId="27" borderId="37" xfId="0" applyFont="1" applyFill="1" applyBorder="1" applyAlignment="1" applyProtection="1">
      <alignment horizontal="center"/>
    </xf>
    <xf numFmtId="0" fontId="115" fillId="0" borderId="0" xfId="0" applyFont="1" applyAlignment="1" applyProtection="1">
      <alignment horizontal="center"/>
    </xf>
    <xf numFmtId="0" fontId="0" fillId="35" borderId="0" xfId="0" applyFill="1"/>
    <xf numFmtId="0" fontId="0" fillId="35" borderId="0" xfId="0" applyFill="1" applyAlignment="1">
      <alignment horizontal="center"/>
    </xf>
    <xf numFmtId="0" fontId="104" fillId="32" borderId="0" xfId="0" applyFont="1" applyFill="1"/>
    <xf numFmtId="0" fontId="0" fillId="32" borderId="0" xfId="0" applyFill="1" applyAlignment="1">
      <alignment horizontal="center" vertical="center"/>
    </xf>
    <xf numFmtId="0" fontId="104" fillId="0" borderId="0" xfId="0" applyFont="1" applyAlignment="1">
      <alignment vertical="center"/>
    </xf>
    <xf numFmtId="0" fontId="62" fillId="0" borderId="0" xfId="0" quotePrefix="1" applyFont="1" applyAlignment="1">
      <alignment horizontal="right" vertical="center"/>
    </xf>
    <xf numFmtId="0" fontId="143" fillId="0" borderId="0" xfId="0" applyFont="1" applyAlignment="1">
      <alignment horizontal="left" vertical="center"/>
    </xf>
    <xf numFmtId="0" fontId="106" fillId="0" borderId="0" xfId="0" quotePrefix="1" applyFont="1" applyAlignment="1">
      <alignment horizontal="left" vertical="center"/>
    </xf>
    <xf numFmtId="0" fontId="62" fillId="2" borderId="151" xfId="0" applyFont="1" applyFill="1" applyBorder="1" applyAlignment="1">
      <alignment horizontal="center" vertical="center"/>
    </xf>
    <xf numFmtId="0" fontId="52" fillId="35" borderId="0" xfId="243" applyFont="1" applyFill="1" applyAlignment="1">
      <alignment vertical="center"/>
    </xf>
    <xf numFmtId="0" fontId="113" fillId="35" borderId="0" xfId="243" quotePrefix="1" applyFont="1" applyFill="1" applyAlignment="1">
      <alignment horizontal="left" vertical="center"/>
    </xf>
    <xf numFmtId="14" fontId="57" fillId="0" borderId="0" xfId="243" quotePrefix="1" applyNumberFormat="1" applyFont="1" applyFill="1" applyAlignment="1">
      <alignment horizontal="left" vertical="center"/>
    </xf>
    <xf numFmtId="0" fontId="49" fillId="35" borderId="0" xfId="0" applyFont="1" applyFill="1" applyBorder="1" applyAlignment="1">
      <alignment horizontal="center"/>
    </xf>
    <xf numFmtId="0" fontId="125" fillId="0" borderId="82" xfId="0" quotePrefix="1" applyFont="1" applyBorder="1" applyAlignment="1">
      <alignment horizontal="left" vertical="top" wrapText="1"/>
    </xf>
    <xf numFmtId="0" fontId="47" fillId="0" borderId="0" xfId="0" quotePrefix="1" applyFont="1" applyFill="1" applyBorder="1" applyAlignment="1" applyProtection="1">
      <alignment horizontal="left"/>
    </xf>
    <xf numFmtId="0" fontId="125" fillId="0" borderId="0" xfId="0" quotePrefix="1" applyFont="1" applyFill="1" applyAlignment="1">
      <alignment horizontal="left" vertical="top" wrapText="1"/>
    </xf>
    <xf numFmtId="0" fontId="59" fillId="0" borderId="0" xfId="0" applyFont="1" applyAlignment="1" applyProtection="1">
      <alignment vertical="top"/>
    </xf>
    <xf numFmtId="0" fontId="151" fillId="0" borderId="0" xfId="1429" applyFont="1" applyProtection="1">
      <protection locked="0"/>
    </xf>
    <xf numFmtId="0" fontId="53" fillId="0" borderId="0" xfId="0" applyFont="1" applyFill="1" applyBorder="1" applyAlignment="1" applyProtection="1">
      <alignment horizontal="left" vertical="center"/>
      <protection locked="0"/>
    </xf>
    <xf numFmtId="0" fontId="152" fillId="0" borderId="0" xfId="1429" applyFont="1" applyAlignment="1" applyProtection="1">
      <alignment vertical="center"/>
      <protection locked="0"/>
    </xf>
    <xf numFmtId="0" fontId="153" fillId="0" borderId="0" xfId="1429" applyFont="1" applyAlignment="1" applyProtection="1">
      <alignment vertical="center" wrapText="1"/>
      <protection locked="0"/>
    </xf>
    <xf numFmtId="0" fontId="102" fillId="29" borderId="0" xfId="243" quotePrefix="1" applyFont="1" applyFill="1" applyAlignment="1">
      <alignment horizontal="left" vertical="center"/>
    </xf>
    <xf numFmtId="0" fontId="109" fillId="0" borderId="0" xfId="0" applyFont="1" applyAlignment="1" applyProtection="1">
      <alignment vertical="center"/>
      <protection locked="0"/>
    </xf>
    <xf numFmtId="0" fontId="59" fillId="0" borderId="0" xfId="0" quotePrefix="1" applyFont="1" applyAlignment="1" applyProtection="1">
      <alignment horizontal="left" vertical="top"/>
    </xf>
    <xf numFmtId="0" fontId="59" fillId="0" borderId="0" xfId="0" quotePrefix="1" applyFont="1" applyBorder="1" applyAlignment="1" applyProtection="1">
      <alignment horizontal="left" indent="2"/>
    </xf>
    <xf numFmtId="0" fontId="52" fillId="0" borderId="0" xfId="0" quotePrefix="1" applyFont="1" applyAlignment="1" applyProtection="1">
      <alignment horizontal="left" vertical="center"/>
      <protection locked="0"/>
    </xf>
    <xf numFmtId="0" fontId="52" fillId="0" borderId="0" xfId="0" quotePrefix="1" applyFont="1" applyBorder="1" applyAlignment="1" applyProtection="1">
      <alignment horizontal="center" vertical="center"/>
      <protection locked="0"/>
    </xf>
    <xf numFmtId="0" fontId="117" fillId="36" borderId="136" xfId="0" applyFont="1" applyFill="1" applyBorder="1" applyAlignment="1" applyProtection="1">
      <alignment horizontal="left" vertical="center"/>
    </xf>
    <xf numFmtId="0" fontId="117" fillId="36" borderId="0" xfId="0" applyFont="1" applyFill="1" applyBorder="1" applyAlignment="1" applyProtection="1">
      <alignment horizontal="left" vertical="center"/>
    </xf>
    <xf numFmtId="0" fontId="117" fillId="36" borderId="0" xfId="0" applyFont="1" applyFill="1" applyBorder="1" applyAlignment="1" applyProtection="1">
      <alignment horizontal="center" vertical="center"/>
    </xf>
    <xf numFmtId="0" fontId="117" fillId="36" borderId="129" xfId="0" applyFont="1" applyFill="1" applyBorder="1" applyAlignment="1" applyProtection="1">
      <alignment horizontal="center" vertical="center"/>
    </xf>
    <xf numFmtId="0" fontId="117" fillId="36" borderId="37" xfId="0" applyFont="1" applyFill="1" applyBorder="1" applyAlignment="1" applyProtection="1">
      <alignment horizontal="left" vertical="center"/>
    </xf>
    <xf numFmtId="0" fontId="56" fillId="36" borderId="126" xfId="0" applyFont="1" applyFill="1" applyBorder="1" applyAlignment="1" applyProtection="1">
      <alignment vertical="center"/>
    </xf>
    <xf numFmtId="0" fontId="56" fillId="36" borderId="0" xfId="0" quotePrefix="1" applyFont="1" applyFill="1" applyBorder="1" applyAlignment="1" applyProtection="1">
      <alignment horizontal="left" vertical="center"/>
    </xf>
    <xf numFmtId="0" fontId="113" fillId="36" borderId="0" xfId="0" applyFont="1" applyFill="1" applyBorder="1" applyAlignment="1" applyProtection="1">
      <alignment vertical="center"/>
    </xf>
    <xf numFmtId="0" fontId="56" fillId="36" borderId="0" xfId="0" applyFont="1" applyFill="1" applyBorder="1" applyAlignment="1" applyProtection="1">
      <alignment horizontal="right" vertical="center"/>
    </xf>
    <xf numFmtId="0" fontId="56" fillId="36" borderId="0" xfId="0" applyFont="1" applyFill="1" applyBorder="1" applyAlignment="1" applyProtection="1">
      <alignment vertical="center"/>
    </xf>
    <xf numFmtId="0" fontId="56" fillId="36" borderId="0" xfId="0" quotePrefix="1" applyFont="1" applyFill="1" applyBorder="1" applyAlignment="1" applyProtection="1">
      <alignment horizontal="left" vertical="center" indent="1"/>
    </xf>
    <xf numFmtId="0" fontId="56" fillId="36" borderId="128" xfId="0" applyFont="1" applyFill="1" applyBorder="1" applyAlignment="1" applyProtection="1">
      <alignment vertical="center"/>
    </xf>
    <xf numFmtId="0" fontId="56" fillId="36" borderId="127" xfId="0" applyFont="1" applyFill="1" applyBorder="1" applyAlignment="1" applyProtection="1">
      <alignment vertical="center"/>
    </xf>
    <xf numFmtId="0" fontId="56" fillId="36" borderId="36" xfId="0" applyFont="1" applyFill="1" applyBorder="1" applyAlignment="1" applyProtection="1">
      <alignment vertical="center"/>
    </xf>
    <xf numFmtId="0" fontId="117" fillId="36" borderId="4" xfId="0" applyFont="1" applyFill="1" applyBorder="1" applyAlignment="1" applyProtection="1">
      <alignment vertical="center"/>
    </xf>
    <xf numFmtId="0" fontId="117" fillId="36" borderId="5" xfId="0" applyFont="1" applyFill="1" applyBorder="1" applyAlignment="1" applyProtection="1">
      <alignment vertical="center"/>
    </xf>
    <xf numFmtId="0" fontId="113" fillId="34" borderId="152" xfId="0" quotePrefix="1" applyFont="1" applyFill="1" applyBorder="1" applyAlignment="1" applyProtection="1">
      <alignment horizontal="left" vertical="center"/>
    </xf>
    <xf numFmtId="0" fontId="56" fillId="34" borderId="4" xfId="0" applyFont="1" applyFill="1" applyBorder="1" applyAlignment="1" applyProtection="1">
      <alignment horizontal="left" vertical="center"/>
    </xf>
    <xf numFmtId="0" fontId="56" fillId="34" borderId="150" xfId="0" applyFont="1" applyFill="1" applyBorder="1" applyAlignment="1" applyProtection="1">
      <alignment horizontal="left" vertical="center"/>
    </xf>
    <xf numFmtId="0" fontId="59" fillId="34" borderId="150" xfId="0" applyFont="1" applyFill="1" applyBorder="1" applyAlignment="1" applyProtection="1">
      <alignment vertical="center"/>
    </xf>
    <xf numFmtId="0" fontId="56" fillId="34" borderId="150" xfId="0" applyFont="1" applyFill="1" applyBorder="1" applyAlignment="1" applyProtection="1">
      <alignment vertical="center"/>
    </xf>
    <xf numFmtId="0" fontId="56" fillId="34" borderId="150" xfId="0" applyFont="1" applyFill="1" applyBorder="1" applyAlignment="1" applyProtection="1">
      <alignment horizontal="center" vertical="center"/>
    </xf>
    <xf numFmtId="0" fontId="59" fillId="34" borderId="5" xfId="0" applyFont="1" applyFill="1" applyBorder="1" applyAlignment="1" applyProtection="1">
      <alignment vertical="center"/>
    </xf>
    <xf numFmtId="0" fontId="126" fillId="0" borderId="0" xfId="1509" quotePrefix="1" applyAlignment="1">
      <alignment horizontal="left"/>
    </xf>
    <xf numFmtId="0" fontId="117" fillId="36" borderId="150" xfId="0" applyFont="1" applyFill="1" applyBorder="1" applyAlignment="1" applyProtection="1">
      <alignment vertical="center"/>
    </xf>
    <xf numFmtId="0" fontId="56" fillId="0" borderId="0" xfId="0" applyFont="1" applyFill="1" applyBorder="1" applyAlignment="1" applyProtection="1">
      <alignment vertical="center"/>
    </xf>
    <xf numFmtId="0" fontId="56" fillId="0" borderId="36" xfId="0" applyFont="1" applyFill="1" applyBorder="1" applyAlignment="1" applyProtection="1">
      <alignment vertical="center"/>
    </xf>
    <xf numFmtId="0" fontId="56" fillId="0" borderId="156" xfId="0" applyFont="1" applyFill="1" applyBorder="1" applyAlignment="1" applyProtection="1">
      <alignment vertical="center"/>
    </xf>
    <xf numFmtId="0" fontId="49" fillId="0" borderId="0" xfId="3"/>
    <xf numFmtId="0" fontId="0" fillId="0" borderId="0" xfId="0" applyAlignment="1">
      <alignment horizontal="left"/>
    </xf>
    <xf numFmtId="0" fontId="122" fillId="30" borderId="154" xfId="5251" applyFill="1" applyBorder="1">
      <alignment horizontal="center" wrapText="1"/>
    </xf>
    <xf numFmtId="0" fontId="122" fillId="30" borderId="154" xfId="0" applyFont="1" applyFill="1" applyBorder="1" applyAlignment="1">
      <alignment horizontal="center" vertical="center" wrapText="1"/>
    </xf>
    <xf numFmtId="172" fontId="122" fillId="30" borderId="154" xfId="0" applyNumberFormat="1" applyFont="1" applyFill="1" applyBorder="1" applyAlignment="1">
      <alignment horizontal="center" vertical="center" wrapText="1"/>
    </xf>
    <xf numFmtId="41" fontId="122" fillId="30" borderId="154" xfId="0" quotePrefix="1" applyNumberFormat="1" applyFont="1" applyFill="1" applyBorder="1" applyAlignment="1">
      <alignment horizontal="center" vertical="center" wrapText="1"/>
    </xf>
    <xf numFmtId="41" fontId="122" fillId="30" borderId="154" xfId="0" applyNumberFormat="1" applyFont="1" applyFill="1" applyBorder="1" applyAlignment="1">
      <alignment horizontal="center" vertical="center" wrapText="1"/>
    </xf>
    <xf numFmtId="0" fontId="122" fillId="3" borderId="0" xfId="0" applyFont="1" applyFill="1" applyAlignment="1">
      <alignment horizontal="center" vertical="center"/>
    </xf>
    <xf numFmtId="0" fontId="135" fillId="0" borderId="0" xfId="3" applyFont="1" applyAlignment="1">
      <alignment horizontal="center"/>
    </xf>
    <xf numFmtId="0" fontId="104" fillId="0" borderId="157" xfId="1503" applyFill="1" applyBorder="1" applyAlignment="1">
      <alignment horizontal="center"/>
    </xf>
    <xf numFmtId="49" fontId="104" fillId="0" borderId="157" xfId="1503" applyNumberFormat="1" applyFill="1" applyBorder="1" applyAlignment="1">
      <alignment horizontal="center" wrapText="1"/>
    </xf>
    <xf numFmtId="43" fontId="104" fillId="0" borderId="157" xfId="1503" applyNumberFormat="1" applyFill="1" applyBorder="1"/>
    <xf numFmtId="0" fontId="122" fillId="30" borderId="158" xfId="5251" applyFont="1" applyFill="1" applyBorder="1" applyAlignment="1">
      <alignment horizontal="center" wrapText="1"/>
    </xf>
    <xf numFmtId="39" fontId="122" fillId="30" borderId="71" xfId="10202" applyNumberFormat="1" applyFill="1">
      <alignment horizontal="center" wrapText="1"/>
    </xf>
    <xf numFmtId="37" fontId="122" fillId="30" borderId="71" xfId="10202" applyNumberFormat="1" applyFill="1">
      <alignment horizontal="center" wrapText="1"/>
    </xf>
    <xf numFmtId="39" fontId="122" fillId="30" borderId="71" xfId="10202" applyNumberFormat="1" applyFill="1" applyAlignment="1">
      <alignment horizontal="center" vertical="center" wrapText="1"/>
    </xf>
    <xf numFmtId="37" fontId="122" fillId="30" borderId="71" xfId="10202" applyNumberFormat="1" applyFill="1" applyAlignment="1">
      <alignment horizontal="center" vertical="center" wrapText="1"/>
    </xf>
    <xf numFmtId="39" fontId="122" fillId="30" borderId="154" xfId="10202" applyNumberFormat="1" applyFill="1" applyBorder="1">
      <alignment horizontal="center" wrapText="1"/>
    </xf>
    <xf numFmtId="43" fontId="0" fillId="0" borderId="0" xfId="0" applyNumberFormat="1"/>
    <xf numFmtId="171" fontId="0" fillId="0" borderId="0" xfId="0" applyNumberFormat="1"/>
    <xf numFmtId="0" fontId="0" fillId="2" borderId="0" xfId="0" applyFill="1" applyAlignment="1">
      <alignment horizontal="center"/>
    </xf>
    <xf numFmtId="43" fontId="121" fillId="0" borderId="133" xfId="1" applyFont="1" applyBorder="1"/>
    <xf numFmtId="0" fontId="4" fillId="0" borderId="0" xfId="1504" applyFont="1" applyFill="1" applyAlignment="1">
      <alignment vertical="center"/>
    </xf>
    <xf numFmtId="0" fontId="9" fillId="0" borderId="0" xfId="1504" applyFill="1" applyAlignment="1">
      <alignment vertical="center"/>
    </xf>
    <xf numFmtId="0" fontId="135" fillId="0" borderId="0" xfId="0" applyFont="1" applyAlignment="1">
      <alignment horizontal="center" vertical="center"/>
    </xf>
    <xf numFmtId="0" fontId="121" fillId="0" borderId="0" xfId="0" applyFont="1" applyAlignment="1">
      <alignment vertical="center"/>
    </xf>
    <xf numFmtId="164" fontId="121" fillId="0" borderId="0" xfId="1" applyNumberFormat="1" applyFont="1" applyAlignment="1">
      <alignment vertical="center"/>
    </xf>
    <xf numFmtId="0" fontId="122" fillId="30" borderId="71" xfId="10202" applyNumberFormat="1" applyFill="1">
      <alignment horizontal="center" wrapText="1"/>
    </xf>
    <xf numFmtId="0" fontId="0" fillId="0" borderId="149" xfId="0" quotePrefix="1" applyBorder="1" applyAlignment="1">
      <alignment horizontal="center"/>
    </xf>
    <xf numFmtId="0" fontId="122" fillId="38" borderId="154" xfId="5251" applyFill="1" applyBorder="1">
      <alignment horizontal="center" wrapText="1"/>
    </xf>
    <xf numFmtId="0" fontId="122" fillId="38" borderId="154" xfId="5251" applyFill="1" applyBorder="1" applyAlignment="1">
      <alignment horizontal="center" vertical="center" wrapText="1"/>
    </xf>
    <xf numFmtId="0" fontId="119" fillId="0" borderId="0" xfId="1479" applyFont="1" applyAlignment="1">
      <alignment horizontal="center"/>
    </xf>
    <xf numFmtId="0" fontId="133" fillId="2" borderId="0" xfId="1479" quotePrefix="1" applyFont="1" applyFill="1" applyAlignment="1">
      <alignment horizontal="center"/>
    </xf>
    <xf numFmtId="41" fontId="0" fillId="0" borderId="66" xfId="0" applyNumberFormat="1" applyBorder="1"/>
    <xf numFmtId="0" fontId="14" fillId="0" borderId="0" xfId="1479" applyAlignment="1">
      <alignment horizontal="center"/>
    </xf>
    <xf numFmtId="0" fontId="122" fillId="38" borderId="154" xfId="5251" applyFill="1" applyBorder="1" applyAlignment="1">
      <alignment horizontal="center" wrapText="1"/>
    </xf>
    <xf numFmtId="43" fontId="14" fillId="0" borderId="0" xfId="1479" applyNumberFormat="1" applyAlignment="1">
      <alignment horizontal="center"/>
    </xf>
    <xf numFmtId="41" fontId="122" fillId="30" borderId="154" xfId="0" applyNumberFormat="1" applyFont="1" applyFill="1" applyBorder="1" applyAlignment="1">
      <alignment horizontal="center" wrapText="1"/>
    </xf>
    <xf numFmtId="0" fontId="104" fillId="0" borderId="0" xfId="1506" applyFont="1" applyAlignment="1">
      <alignment horizontal="center"/>
    </xf>
    <xf numFmtId="0" fontId="138" fillId="2" borderId="0" xfId="1505" quotePrefix="1" applyFont="1" applyFill="1" applyAlignment="1">
      <alignment horizontal="center" vertical="center"/>
    </xf>
    <xf numFmtId="167" fontId="52" fillId="0" borderId="155" xfId="417" applyNumberFormat="1" applyFont="1" applyFill="1" applyBorder="1" applyAlignment="1" applyProtection="1">
      <alignment shrinkToFit="1"/>
    </xf>
    <xf numFmtId="0" fontId="121" fillId="0" borderId="0" xfId="1505" applyAlignment="1">
      <alignment vertical="center" wrapText="1"/>
    </xf>
    <xf numFmtId="0" fontId="133" fillId="0" borderId="0" xfId="1504" quotePrefix="1" applyFont="1" applyFill="1" applyAlignment="1">
      <alignment horizontal="left" vertical="center"/>
    </xf>
    <xf numFmtId="0" fontId="49" fillId="0" borderId="0" xfId="0" quotePrefix="1" applyFont="1" applyAlignment="1" applyProtection="1">
      <alignment horizontal="left"/>
    </xf>
    <xf numFmtId="0" fontId="52" fillId="32" borderId="154" xfId="243" quotePrefix="1" applyFont="1" applyFill="1" applyBorder="1" applyAlignment="1">
      <alignment horizontal="left" vertical="center"/>
    </xf>
    <xf numFmtId="0" fontId="49" fillId="32" borderId="124" xfId="0" quotePrefix="1" applyFont="1" applyFill="1" applyBorder="1" applyAlignment="1">
      <alignment horizontal="left" vertical="center"/>
    </xf>
    <xf numFmtId="0" fontId="49" fillId="32" borderId="48" xfId="0" quotePrefix="1" applyFont="1" applyFill="1" applyBorder="1" applyAlignment="1">
      <alignment horizontal="left" vertical="center"/>
    </xf>
    <xf numFmtId="0" fontId="49" fillId="32" borderId="139" xfId="0" quotePrefix="1" applyFont="1" applyFill="1" applyBorder="1" applyAlignment="1">
      <alignment horizontal="left" vertical="center"/>
    </xf>
    <xf numFmtId="0" fontId="122" fillId="28" borderId="64" xfId="5251" applyNumberFormat="1">
      <alignment horizontal="center" wrapText="1"/>
    </xf>
    <xf numFmtId="0" fontId="135" fillId="2" borderId="0" xfId="1505" quotePrefix="1" applyFont="1" applyFill="1" applyAlignment="1">
      <alignment horizontal="center"/>
    </xf>
    <xf numFmtId="0" fontId="132" fillId="0" borderId="84" xfId="11198" applyAlignment="1">
      <alignment horizontal="left"/>
    </xf>
    <xf numFmtId="0" fontId="0" fillId="0" borderId="46" xfId="0" applyBorder="1" applyAlignment="1">
      <alignment horizontal="right" wrapText="1"/>
    </xf>
    <xf numFmtId="0" fontId="0" fillId="0" borderId="161" xfId="0" applyBorder="1" applyAlignment="1">
      <alignment horizontal="right" wrapText="1"/>
    </xf>
    <xf numFmtId="0" fontId="0" fillId="0" borderId="0" xfId="0" applyAlignment="1">
      <alignment horizontal="right"/>
    </xf>
    <xf numFmtId="43" fontId="121" fillId="0" borderId="0" xfId="1505" applyNumberFormat="1"/>
    <xf numFmtId="0" fontId="47" fillId="0" borderId="162" xfId="0" applyFont="1" applyFill="1" applyBorder="1" applyAlignment="1" applyProtection="1">
      <alignment horizontal="center" shrinkToFit="1"/>
    </xf>
    <xf numFmtId="0" fontId="50" fillId="0" borderId="162" xfId="0" quotePrefix="1" applyFont="1" applyFill="1" applyBorder="1" applyAlignment="1" applyProtection="1">
      <alignment horizontal="center"/>
    </xf>
    <xf numFmtId="0" fontId="50" fillId="0" borderId="162" xfId="0" applyFont="1" applyFill="1" applyBorder="1" applyAlignment="1" applyProtection="1">
      <alignment horizontal="center"/>
    </xf>
    <xf numFmtId="0" fontId="58" fillId="0" borderId="162" xfId="0" applyFont="1" applyFill="1" applyBorder="1" applyAlignment="1" applyProtection="1">
      <alignment horizontal="center" shrinkToFit="1"/>
    </xf>
    <xf numFmtId="0" fontId="47" fillId="0" borderId="163" xfId="0" applyFont="1" applyFill="1" applyBorder="1" applyAlignment="1" applyProtection="1">
      <alignment horizontal="center" shrinkToFit="1"/>
    </xf>
    <xf numFmtId="0" fontId="47" fillId="0" borderId="162" xfId="0" applyFont="1" applyFill="1" applyBorder="1" applyAlignment="1" applyProtection="1">
      <alignment horizontal="right" shrinkToFit="1"/>
    </xf>
    <xf numFmtId="166" fontId="47" fillId="0" borderId="162" xfId="0" applyNumberFormat="1" applyFont="1" applyFill="1" applyBorder="1" applyAlignment="1" applyProtection="1">
      <alignment shrinkToFit="1"/>
    </xf>
    <xf numFmtId="44" fontId="47" fillId="0" borderId="162" xfId="417" applyNumberFormat="1" applyFont="1" applyFill="1" applyBorder="1" applyAlignment="1" applyProtection="1">
      <alignment shrinkToFit="1"/>
    </xf>
    <xf numFmtId="167" fontId="47" fillId="0" borderId="162" xfId="417" applyNumberFormat="1" applyFont="1" applyFill="1" applyBorder="1" applyAlignment="1" applyProtection="1">
      <alignment shrinkToFit="1"/>
    </xf>
    <xf numFmtId="167" fontId="50" fillId="0" borderId="162" xfId="417" applyNumberFormat="1" applyFont="1" applyFill="1" applyBorder="1" applyAlignment="1" applyProtection="1">
      <alignment shrinkToFit="1"/>
    </xf>
    <xf numFmtId="41" fontId="50" fillId="0" borderId="162" xfId="0" applyNumberFormat="1" applyFont="1" applyFill="1" applyBorder="1" applyAlignment="1" applyProtection="1">
      <alignment shrinkToFit="1"/>
    </xf>
    <xf numFmtId="0" fontId="50" fillId="0" borderId="162" xfId="0" applyFont="1" applyFill="1" applyBorder="1" applyAlignment="1" applyProtection="1">
      <alignment horizontal="right" shrinkToFit="1"/>
    </xf>
    <xf numFmtId="167" fontId="50" fillId="0" borderId="162" xfId="417" applyNumberFormat="1" applyFont="1" applyFill="1" applyBorder="1" applyAlignment="1" applyProtection="1">
      <alignment horizontal="right" shrinkToFit="1"/>
    </xf>
    <xf numFmtId="169" fontId="47" fillId="0" borderId="162" xfId="2" applyNumberFormat="1" applyFont="1" applyFill="1" applyBorder="1" applyProtection="1"/>
    <xf numFmtId="169" fontId="50" fillId="32" borderId="162" xfId="2" applyNumberFormat="1" applyFont="1" applyFill="1" applyBorder="1" applyAlignment="1" applyProtection="1">
      <alignment horizontal="right"/>
    </xf>
    <xf numFmtId="42" fontId="47" fillId="0" borderId="162" xfId="417" applyNumberFormat="1" applyFont="1" applyFill="1" applyBorder="1" applyAlignment="1" applyProtection="1">
      <alignment horizontal="right" shrinkToFit="1"/>
    </xf>
    <xf numFmtId="41" fontId="47" fillId="0" borderId="162" xfId="0" applyNumberFormat="1" applyFont="1" applyFill="1" applyBorder="1" applyAlignment="1" applyProtection="1">
      <alignment shrinkToFit="1"/>
    </xf>
    <xf numFmtId="0" fontId="52" fillId="0" borderId="37" xfId="0" quotePrefix="1" applyFont="1" applyBorder="1" applyAlignment="1">
      <alignment horizontal="left" indent="1"/>
    </xf>
    <xf numFmtId="167" fontId="53" fillId="0" borderId="36" xfId="417" applyNumberFormat="1" applyFont="1" applyFill="1" applyBorder="1" applyAlignment="1">
      <alignment horizontal="right" shrinkToFit="1"/>
    </xf>
    <xf numFmtId="44" fontId="53" fillId="0" borderId="0" xfId="417" applyFont="1" applyBorder="1" applyAlignment="1">
      <alignment horizontal="right" shrinkToFit="1"/>
    </xf>
    <xf numFmtId="0" fontId="53" fillId="0" borderId="37" xfId="0" quotePrefix="1" applyFont="1" applyBorder="1" applyAlignment="1">
      <alignment horizontal="left" indent="1"/>
    </xf>
    <xf numFmtId="0" fontId="122" fillId="28" borderId="124" xfId="0" applyFont="1" applyFill="1" applyBorder="1" applyAlignment="1">
      <alignment horizontal="center" wrapText="1"/>
    </xf>
    <xf numFmtId="164" fontId="122" fillId="28" borderId="124" xfId="0" applyNumberFormat="1" applyFont="1" applyFill="1" applyBorder="1" applyAlignment="1">
      <alignment horizontal="center" wrapText="1"/>
    </xf>
    <xf numFmtId="0" fontId="0" fillId="0" borderId="0" xfId="0" applyAlignment="1">
      <alignment wrapText="1"/>
    </xf>
    <xf numFmtId="0" fontId="121" fillId="0" borderId="0" xfId="0" applyFont="1" applyAlignment="1">
      <alignment horizontal="left" wrapText="1"/>
    </xf>
    <xf numFmtId="0" fontId="62" fillId="0" borderId="0" xfId="0" applyFont="1" applyAlignment="1">
      <alignment horizontal="center" vertical="center"/>
    </xf>
    <xf numFmtId="0" fontId="128" fillId="0" borderId="0" xfId="0" applyFont="1" applyAlignment="1">
      <alignment horizontal="center"/>
    </xf>
    <xf numFmtId="167" fontId="128" fillId="0" borderId="0" xfId="0" applyNumberFormat="1" applyFont="1" applyAlignment="1">
      <alignment wrapText="1"/>
    </xf>
    <xf numFmtId="164" fontId="122" fillId="28" borderId="124" xfId="0" applyNumberFormat="1" applyFont="1" applyFill="1" applyBorder="1" applyAlignment="1">
      <alignment horizontal="center" vertical="center" wrapText="1"/>
    </xf>
    <xf numFmtId="44" fontId="0" fillId="0" borderId="0" xfId="417" applyFont="1"/>
    <xf numFmtId="0" fontId="132" fillId="0" borderId="84" xfId="11198"/>
    <xf numFmtId="0" fontId="122" fillId="28" borderId="124" xfId="26746">
      <alignment horizontal="center" wrapText="1"/>
    </xf>
    <xf numFmtId="164" fontId="122" fillId="28" borderId="124" xfId="26746" applyNumberFormat="1">
      <alignment horizontal="center" wrapText="1"/>
    </xf>
    <xf numFmtId="0" fontId="62" fillId="2" borderId="0" xfId="0" quotePrefix="1" applyFont="1" applyFill="1" applyAlignment="1">
      <alignment horizontal="left" vertical="center"/>
    </xf>
    <xf numFmtId="0" fontId="0" fillId="2" borderId="0" xfId="0" applyFill="1"/>
    <xf numFmtId="0" fontId="135" fillId="0" borderId="0" xfId="0" applyFont="1" applyAlignment="1">
      <alignment horizontal="right"/>
    </xf>
    <xf numFmtId="44" fontId="62" fillId="0" borderId="0" xfId="417" applyFont="1"/>
    <xf numFmtId="0" fontId="52" fillId="0" borderId="37" xfId="0" quotePrefix="1" applyFont="1" applyBorder="1" applyAlignment="1">
      <alignment horizontal="left" vertical="center" wrapText="1"/>
    </xf>
    <xf numFmtId="10" fontId="59" fillId="31" borderId="124" xfId="2" applyNumberFormat="1" applyFont="1" applyFill="1" applyBorder="1" applyAlignment="1" applyProtection="1">
      <alignment horizontal="center" vertical="center"/>
      <protection locked="0"/>
    </xf>
    <xf numFmtId="41" fontId="47" fillId="0" borderId="162" xfId="0" applyNumberFormat="1" applyFont="1" applyFill="1" applyBorder="1" applyAlignment="1" applyProtection="1">
      <alignment horizontal="right" wrapText="1" shrinkToFit="1"/>
    </xf>
    <xf numFmtId="0" fontId="58" fillId="0" borderId="164" xfId="0" applyFont="1" applyFill="1" applyBorder="1" applyAlignment="1" applyProtection="1">
      <alignment horizontal="center" shrinkToFit="1"/>
    </xf>
    <xf numFmtId="0" fontId="47" fillId="0" borderId="165" xfId="0" applyFont="1" applyFill="1" applyBorder="1" applyAlignment="1" applyProtection="1">
      <alignment horizontal="center" shrinkToFit="1"/>
    </xf>
    <xf numFmtId="0" fontId="47" fillId="0" borderId="164" xfId="0" applyFont="1" applyFill="1" applyBorder="1" applyAlignment="1" applyProtection="1">
      <alignment horizontal="right" shrinkToFit="1"/>
    </xf>
    <xf numFmtId="44" fontId="47" fillId="0" borderId="164" xfId="417" applyNumberFormat="1" applyFont="1" applyFill="1" applyBorder="1" applyAlignment="1" applyProtection="1">
      <alignment shrinkToFit="1"/>
    </xf>
    <xf numFmtId="167" fontId="47" fillId="0" borderId="164" xfId="417" applyNumberFormat="1" applyFont="1" applyFill="1" applyBorder="1" applyAlignment="1" applyProtection="1">
      <alignment shrinkToFit="1"/>
    </xf>
    <xf numFmtId="169" fontId="47" fillId="0" borderId="164" xfId="2" applyNumberFormat="1" applyFont="1" applyFill="1" applyBorder="1" applyProtection="1"/>
    <xf numFmtId="42" fontId="47" fillId="0" borderId="164" xfId="417" applyNumberFormat="1" applyFont="1" applyFill="1" applyBorder="1" applyAlignment="1" applyProtection="1">
      <alignment horizontal="right" shrinkToFit="1"/>
    </xf>
    <xf numFmtId="41" fontId="47" fillId="0" borderId="164" xfId="0" applyNumberFormat="1" applyFont="1" applyFill="1" applyBorder="1" applyAlignment="1" applyProtection="1">
      <alignment shrinkToFit="1"/>
    </xf>
    <xf numFmtId="167" fontId="50" fillId="0" borderId="127" xfId="417" applyNumberFormat="1" applyFont="1" applyFill="1" applyBorder="1" applyAlignment="1" applyProtection="1">
      <alignment shrinkToFit="1"/>
    </xf>
    <xf numFmtId="41" fontId="47" fillId="0" borderId="164" xfId="0" applyNumberFormat="1" applyFont="1" applyFill="1" applyBorder="1" applyAlignment="1" applyProtection="1">
      <alignment horizontal="right" wrapText="1" shrinkToFit="1"/>
    </xf>
    <xf numFmtId="169" fontId="116" fillId="0" borderId="128" xfId="2" applyNumberFormat="1" applyFont="1" applyBorder="1" applyAlignment="1">
      <alignment shrinkToFit="1"/>
    </xf>
    <xf numFmtId="169" fontId="116" fillId="0" borderId="127" xfId="2" applyNumberFormat="1" applyFont="1" applyBorder="1" applyAlignment="1">
      <alignment shrinkToFit="1"/>
    </xf>
    <xf numFmtId="0" fontId="52" fillId="0" borderId="136" xfId="0" quotePrefix="1" applyFont="1" applyBorder="1" applyAlignment="1">
      <alignment horizontal="left"/>
    </xf>
    <xf numFmtId="0" fontId="52" fillId="0" borderId="37" xfId="243" quotePrefix="1" applyFont="1" applyBorder="1" applyAlignment="1">
      <alignment horizontal="left"/>
    </xf>
    <xf numFmtId="0" fontId="52" fillId="0" borderId="37" xfId="243" applyFont="1" applyBorder="1"/>
    <xf numFmtId="0" fontId="116" fillId="0" borderId="126" xfId="0" applyFont="1" applyFill="1" applyBorder="1"/>
    <xf numFmtId="0" fontId="52" fillId="0" borderId="37" xfId="0" quotePrefix="1" applyFont="1" applyBorder="1" applyAlignment="1">
      <alignment horizontal="left"/>
    </xf>
    <xf numFmtId="167" fontId="123" fillId="0" borderId="36" xfId="3" applyNumberFormat="1" applyFont="1" applyFill="1" applyBorder="1"/>
    <xf numFmtId="0" fontId="54" fillId="0" borderId="37" xfId="0" quotePrefix="1" applyFont="1" applyBorder="1" applyAlignment="1">
      <alignment horizontal="left" indent="1"/>
    </xf>
    <xf numFmtId="0" fontId="54" fillId="0" borderId="37" xfId="0" applyFont="1" applyBorder="1" applyAlignment="1">
      <alignment horizontal="left" indent="2"/>
    </xf>
    <xf numFmtId="0" fontId="54" fillId="0" borderId="37" xfId="0" quotePrefix="1" applyFont="1" applyBorder="1" applyAlignment="1">
      <alignment horizontal="left" indent="2"/>
    </xf>
    <xf numFmtId="167" fontId="53" fillId="0" borderId="0" xfId="417" applyNumberFormat="1" applyFont="1" applyBorder="1" applyAlignment="1">
      <alignment shrinkToFit="1"/>
    </xf>
    <xf numFmtId="167" fontId="53" fillId="0" borderId="86" xfId="417" applyNumberFormat="1" applyFont="1" applyBorder="1" applyAlignment="1">
      <alignment shrinkToFit="1"/>
    </xf>
    <xf numFmtId="167" fontId="53" fillId="0" borderId="166" xfId="417" applyNumberFormat="1" applyFont="1" applyBorder="1" applyAlignment="1">
      <alignment shrinkToFit="1"/>
    </xf>
    <xf numFmtId="167" fontId="53" fillId="0" borderId="36" xfId="417" applyNumberFormat="1" applyFont="1" applyBorder="1" applyAlignment="1">
      <alignment shrinkToFit="1"/>
    </xf>
    <xf numFmtId="0" fontId="56" fillId="0" borderId="37" xfId="0" quotePrefix="1" applyFont="1" applyFill="1" applyBorder="1" applyAlignment="1">
      <alignment horizontal="left"/>
    </xf>
    <xf numFmtId="0" fontId="53" fillId="0" borderId="37" xfId="0" quotePrefix="1" applyFont="1" applyFill="1" applyBorder="1" applyAlignment="1">
      <alignment horizontal="left"/>
    </xf>
    <xf numFmtId="0" fontId="52" fillId="0" borderId="37" xfId="0" quotePrefix="1" applyFont="1" applyFill="1" applyBorder="1" applyAlignment="1">
      <alignment horizontal="left"/>
    </xf>
    <xf numFmtId="0" fontId="52" fillId="0" borderId="37" xfId="0" applyFont="1" applyBorder="1"/>
    <xf numFmtId="167" fontId="53" fillId="0" borderId="37" xfId="417" applyNumberFormat="1" applyFont="1" applyFill="1" applyBorder="1"/>
    <xf numFmtId="167" fontId="53" fillId="0" borderId="129" xfId="417" applyNumberFormat="1" applyFont="1" applyBorder="1" applyAlignment="1">
      <alignment shrinkToFit="1"/>
    </xf>
    <xf numFmtId="167" fontId="52" fillId="0" borderId="149" xfId="417" applyNumberFormat="1" applyFont="1" applyBorder="1" applyAlignment="1">
      <alignment shrinkToFit="1"/>
    </xf>
    <xf numFmtId="10" fontId="53" fillId="0" borderId="0" xfId="2" applyNumberFormat="1" applyFont="1" applyBorder="1" applyAlignment="1">
      <alignment horizontal="right" shrinkToFit="1"/>
    </xf>
    <xf numFmtId="10" fontId="53" fillId="0" borderId="36" xfId="2" applyNumberFormat="1" applyFont="1" applyBorder="1" applyAlignment="1">
      <alignment horizontal="right" shrinkToFit="1"/>
    </xf>
    <xf numFmtId="0" fontId="0" fillId="0" borderId="124" xfId="0" applyBorder="1"/>
    <xf numFmtId="43" fontId="52" fillId="0" borderId="133" xfId="1" applyNumberFormat="1" applyFont="1" applyFill="1" applyBorder="1" applyAlignment="1" applyProtection="1">
      <alignment shrinkToFit="1"/>
    </xf>
    <xf numFmtId="10" fontId="52" fillId="0" borderId="0" xfId="2" applyNumberFormat="1" applyFont="1" applyFill="1" applyBorder="1" applyAlignment="1" applyProtection="1">
      <alignment horizontal="center"/>
    </xf>
    <xf numFmtId="43" fontId="52" fillId="0" borderId="155" xfId="1" applyNumberFormat="1" applyFont="1" applyFill="1" applyBorder="1" applyAlignment="1" applyProtection="1">
      <alignment shrinkToFit="1"/>
    </xf>
    <xf numFmtId="164" fontId="52" fillId="0" borderId="155" xfId="1" applyNumberFormat="1" applyFont="1" applyFill="1" applyBorder="1" applyAlignment="1" applyProtection="1">
      <alignment horizontal="left" shrinkToFit="1"/>
    </xf>
    <xf numFmtId="164" fontId="52" fillId="0" borderId="155" xfId="1" applyNumberFormat="1" applyFont="1" applyFill="1" applyBorder="1" applyAlignment="1" applyProtection="1">
      <alignment shrinkToFit="1"/>
    </xf>
    <xf numFmtId="9" fontId="52" fillId="0" borderId="0" xfId="2" applyNumberFormat="1" applyFont="1" applyFill="1" applyBorder="1" applyAlignment="1" applyProtection="1">
      <alignment horizontal="center"/>
    </xf>
    <xf numFmtId="164" fontId="52" fillId="0" borderId="0" xfId="1" applyNumberFormat="1" applyFont="1" applyFill="1" applyBorder="1" applyAlignment="1" applyProtection="1">
      <alignment shrinkToFit="1"/>
    </xf>
    <xf numFmtId="167" fontId="53" fillId="0" borderId="3" xfId="417" applyNumberFormat="1" applyFont="1" applyFill="1" applyBorder="1" applyAlignment="1" applyProtection="1">
      <alignment shrinkToFit="1"/>
    </xf>
    <xf numFmtId="167" fontId="52" fillId="0" borderId="0" xfId="417" applyNumberFormat="1" applyFont="1" applyFill="1" applyBorder="1" applyAlignment="1" applyProtection="1">
      <alignment shrinkToFit="1"/>
    </xf>
    <xf numFmtId="0" fontId="59" fillId="0" borderId="0" xfId="0" applyFont="1" applyAlignment="1" applyProtection="1">
      <alignment vertical="center"/>
    </xf>
    <xf numFmtId="43" fontId="52" fillId="0" borderId="86" xfId="1" applyNumberFormat="1" applyFont="1" applyFill="1" applyBorder="1" applyAlignment="1" applyProtection="1">
      <alignment shrinkToFit="1"/>
    </xf>
    <xf numFmtId="164" fontId="52" fillId="0" borderId="86" xfId="1" applyNumberFormat="1" applyFont="1" applyFill="1" applyBorder="1" applyAlignment="1" applyProtection="1">
      <alignment horizontal="left" shrinkToFit="1"/>
    </xf>
    <xf numFmtId="167" fontId="52" fillId="0" borderId="86" xfId="417" applyNumberFormat="1" applyFont="1" applyFill="1" applyBorder="1" applyAlignment="1" applyProtection="1">
      <alignment shrinkToFit="1"/>
    </xf>
    <xf numFmtId="164" fontId="52" fillId="0" borderId="86" xfId="1" applyNumberFormat="1" applyFont="1" applyFill="1" applyBorder="1" applyAlignment="1" applyProtection="1">
      <alignment shrinkToFit="1"/>
    </xf>
    <xf numFmtId="0" fontId="56" fillId="31" borderId="167" xfId="1" applyNumberFormat="1" applyFont="1" applyFill="1" applyBorder="1" applyAlignment="1" applyProtection="1">
      <alignment vertical="center"/>
      <protection locked="0"/>
    </xf>
    <xf numFmtId="0" fontId="56" fillId="31" borderId="168" xfId="1" applyNumberFormat="1" applyFont="1" applyFill="1" applyBorder="1" applyAlignment="1" applyProtection="1">
      <alignment vertical="center"/>
      <protection locked="0"/>
    </xf>
    <xf numFmtId="0" fontId="56" fillId="31" borderId="169" xfId="1" applyNumberFormat="1" applyFont="1" applyFill="1" applyBorder="1" applyAlignment="1" applyProtection="1">
      <alignment vertical="center"/>
      <protection locked="0"/>
    </xf>
    <xf numFmtId="0" fontId="117" fillId="36" borderId="150" xfId="0" applyFont="1" applyFill="1" applyBorder="1" applyAlignment="1" applyProtection="1">
      <alignment horizontal="center" vertical="center"/>
    </xf>
    <xf numFmtId="167" fontId="59" fillId="31" borderId="124" xfId="417" applyNumberFormat="1" applyFont="1" applyFill="1" applyBorder="1" applyAlignment="1" applyProtection="1">
      <alignment horizontal="center" vertical="center"/>
      <protection locked="0"/>
    </xf>
    <xf numFmtId="41" fontId="59" fillId="31" borderId="124" xfId="0" applyNumberFormat="1" applyFont="1" applyFill="1" applyBorder="1" applyProtection="1">
      <protection locked="0"/>
    </xf>
    <xf numFmtId="0" fontId="56" fillId="0" borderId="0" xfId="0" applyFont="1" applyBorder="1" applyAlignment="1" applyProtection="1">
      <alignment wrapText="1"/>
    </xf>
    <xf numFmtId="0" fontId="0" fillId="0" borderId="0" xfId="0" applyFill="1" applyAlignment="1">
      <alignment horizontal="center"/>
    </xf>
    <xf numFmtId="0" fontId="104" fillId="0" borderId="131" xfId="0" applyFont="1" applyBorder="1" applyAlignment="1">
      <alignment horizontal="center" vertical="center"/>
    </xf>
    <xf numFmtId="0" fontId="119" fillId="0" borderId="131" xfId="0" applyFont="1" applyBorder="1" applyAlignment="1">
      <alignment horizontal="center" vertical="center"/>
    </xf>
    <xf numFmtId="0" fontId="62" fillId="0" borderId="0" xfId="0" applyFont="1" applyAlignment="1">
      <alignment vertical="center"/>
    </xf>
    <xf numFmtId="0" fontId="49" fillId="0" borderId="0" xfId="0" quotePrefix="1" applyFont="1" applyAlignment="1">
      <alignment horizontal="left" vertical="center"/>
    </xf>
    <xf numFmtId="0" fontId="59" fillId="0" borderId="0" xfId="0" applyFont="1" applyAlignment="1" applyProtection="1">
      <alignment horizontal="left" vertical="center"/>
    </xf>
    <xf numFmtId="0" fontId="59" fillId="0" borderId="0" xfId="0" quotePrefix="1" applyFont="1" applyAlignment="1" applyProtection="1">
      <alignment horizontal="left" vertical="center" wrapText="1"/>
    </xf>
    <xf numFmtId="0" fontId="59" fillId="0" borderId="0" xfId="0" applyFont="1" applyAlignment="1" applyProtection="1">
      <alignment horizontal="center" vertical="center"/>
    </xf>
    <xf numFmtId="0" fontId="157" fillId="0" borderId="0" xfId="0" quotePrefix="1" applyFont="1" applyFill="1" applyBorder="1" applyAlignment="1" applyProtection="1">
      <alignment horizontal="left" vertical="center"/>
    </xf>
    <xf numFmtId="0" fontId="157" fillId="0" borderId="0" xfId="0" quotePrefix="1" applyFont="1" applyFill="1" applyBorder="1" applyAlignment="1" applyProtection="1">
      <alignment vertical="center"/>
    </xf>
    <xf numFmtId="0" fontId="107" fillId="29" borderId="0" xfId="0" quotePrefix="1" applyFont="1" applyFill="1" applyAlignment="1" applyProtection="1">
      <alignment horizontal="left"/>
    </xf>
    <xf numFmtId="43" fontId="56" fillId="40" borderId="153" xfId="1" quotePrefix="1" applyFont="1" applyFill="1" applyBorder="1" applyAlignment="1" applyProtection="1">
      <alignment horizontal="center" vertical="center"/>
    </xf>
    <xf numFmtId="43" fontId="59" fillId="40" borderId="153" xfId="1" quotePrefix="1" applyFont="1" applyFill="1" applyBorder="1" applyAlignment="1" applyProtection="1">
      <alignment horizontal="center" vertical="center"/>
    </xf>
    <xf numFmtId="10" fontId="56" fillId="40" borderId="153" xfId="2" quotePrefix="1" applyNumberFormat="1" applyFont="1" applyFill="1" applyBorder="1" applyAlignment="1" applyProtection="1">
      <alignment horizontal="center" vertical="center"/>
    </xf>
    <xf numFmtId="10" fontId="59" fillId="40" borderId="153" xfId="2" quotePrefix="1" applyNumberFormat="1" applyFont="1" applyFill="1" applyBorder="1" applyAlignment="1" applyProtection="1">
      <alignment horizontal="center" vertical="center"/>
    </xf>
    <xf numFmtId="169" fontId="56" fillId="40" borderId="124" xfId="2" quotePrefix="1" applyNumberFormat="1" applyFont="1" applyFill="1" applyBorder="1" applyAlignment="1" applyProtection="1">
      <alignment horizontal="center" vertical="center"/>
    </xf>
    <xf numFmtId="169" fontId="56" fillId="40" borderId="124" xfId="2" applyNumberFormat="1" applyFont="1" applyFill="1" applyBorder="1" applyAlignment="1" applyProtection="1">
      <alignment horizontal="center" vertical="center"/>
    </xf>
    <xf numFmtId="44" fontId="53" fillId="40" borderId="160" xfId="417" applyNumberFormat="1" applyFont="1" applyFill="1" applyBorder="1" applyProtection="1"/>
    <xf numFmtId="167" fontId="53" fillId="40" borderId="124" xfId="417" applyNumberFormat="1" applyFont="1" applyFill="1" applyBorder="1" applyProtection="1"/>
    <xf numFmtId="164" fontId="56" fillId="40" borderId="124" xfId="1" applyNumberFormat="1" applyFont="1" applyFill="1" applyBorder="1" applyProtection="1"/>
    <xf numFmtId="164" fontId="59" fillId="40" borderId="124" xfId="1" applyNumberFormat="1" applyFont="1" applyFill="1" applyBorder="1" applyProtection="1"/>
    <xf numFmtId="41" fontId="56" fillId="31" borderId="124" xfId="0" applyNumberFormat="1" applyFont="1" applyFill="1" applyBorder="1" applyProtection="1">
      <protection locked="0"/>
    </xf>
    <xf numFmtId="43" fontId="56" fillId="31" borderId="124" xfId="1" applyFont="1" applyFill="1" applyBorder="1" applyProtection="1">
      <protection locked="0"/>
    </xf>
    <xf numFmtId="0" fontId="59" fillId="31" borderId="124" xfId="0" quotePrefix="1" applyFont="1" applyFill="1" applyBorder="1" applyAlignment="1" applyProtection="1">
      <alignment horizontal="left" vertical="center"/>
    </xf>
    <xf numFmtId="0" fontId="59" fillId="39" borderId="124" xfId="0" quotePrefix="1" applyFont="1" applyFill="1" applyBorder="1" applyAlignment="1" applyProtection="1">
      <alignment horizontal="left" vertical="center"/>
    </xf>
    <xf numFmtId="0" fontId="59" fillId="41" borderId="124" xfId="0" quotePrefix="1" applyFont="1" applyFill="1" applyBorder="1" applyAlignment="1" applyProtection="1">
      <alignment horizontal="left" vertical="center"/>
    </xf>
    <xf numFmtId="0" fontId="0" fillId="0" borderId="66" xfId="0" applyBorder="1" applyAlignment="1">
      <alignment horizontal="center"/>
    </xf>
    <xf numFmtId="43" fontId="0" fillId="0" borderId="0" xfId="0" applyNumberFormat="1" applyAlignment="1">
      <alignment horizontal="right"/>
    </xf>
    <xf numFmtId="43" fontId="49" fillId="0" borderId="0" xfId="0" quotePrefix="1" applyNumberFormat="1" applyFont="1" applyAlignment="1">
      <alignment horizontal="left"/>
    </xf>
    <xf numFmtId="43" fontId="0" fillId="42" borderId="170" xfId="0" applyNumberFormat="1" applyFill="1" applyBorder="1" applyAlignment="1">
      <alignment horizontal="center" wrapText="1"/>
    </xf>
    <xf numFmtId="0" fontId="0" fillId="42" borderId="170" xfId="0" applyFill="1" applyBorder="1" applyAlignment="1">
      <alignment horizontal="center" wrapText="1"/>
    </xf>
    <xf numFmtId="0" fontId="116" fillId="0" borderId="0" xfId="0" applyFont="1" applyFill="1" applyBorder="1" applyAlignment="1" applyProtection="1">
      <alignment vertical="center"/>
    </xf>
    <xf numFmtId="0" fontId="52" fillId="0" borderId="0" xfId="0" quotePrefix="1" applyFont="1" applyAlignment="1" applyProtection="1">
      <alignment horizontal="left"/>
      <protection locked="0"/>
    </xf>
    <xf numFmtId="173" fontId="56" fillId="40" borderId="153" xfId="1" quotePrefix="1" applyNumberFormat="1" applyFont="1" applyFill="1" applyBorder="1" applyAlignment="1" applyProtection="1">
      <alignment horizontal="center" vertical="center"/>
    </xf>
    <xf numFmtId="10" fontId="56" fillId="40" borderId="124" xfId="2" quotePrefix="1" applyNumberFormat="1" applyFont="1" applyFill="1" applyBorder="1" applyAlignment="1" applyProtection="1">
      <alignment horizontal="center" vertical="center"/>
    </xf>
    <xf numFmtId="164" fontId="56" fillId="40" borderId="124" xfId="1" quotePrefix="1" applyNumberFormat="1" applyFont="1" applyFill="1" applyBorder="1" applyAlignment="1" applyProtection="1">
      <alignment horizontal="center" vertical="center"/>
    </xf>
    <xf numFmtId="164" fontId="59" fillId="40" borderId="124" xfId="1" quotePrefix="1" applyNumberFormat="1" applyFont="1" applyFill="1" applyBorder="1" applyAlignment="1" applyProtection="1">
      <alignment horizontal="center" vertical="center"/>
    </xf>
    <xf numFmtId="164" fontId="56" fillId="40" borderId="153" xfId="1" quotePrefix="1" applyNumberFormat="1" applyFont="1" applyFill="1" applyBorder="1" applyAlignment="1" applyProtection="1">
      <alignment horizontal="center" vertical="center"/>
    </xf>
    <xf numFmtId="164" fontId="59" fillId="40" borderId="153" xfId="1" quotePrefix="1" applyNumberFormat="1" applyFont="1" applyFill="1" applyBorder="1" applyAlignment="1" applyProtection="1">
      <alignment horizontal="center" vertical="center"/>
    </xf>
    <xf numFmtId="164" fontId="56" fillId="40" borderId="153" xfId="417" applyNumberFormat="1" applyFont="1" applyFill="1" applyBorder="1" applyProtection="1"/>
    <xf numFmtId="164" fontId="59" fillId="40" borderId="153" xfId="417" applyNumberFormat="1" applyFont="1" applyFill="1" applyBorder="1" applyProtection="1"/>
    <xf numFmtId="164" fontId="59" fillId="31" borderId="153" xfId="198" applyNumberFormat="1" applyFont="1" applyFill="1" applyBorder="1" applyProtection="1">
      <protection locked="0"/>
    </xf>
    <xf numFmtId="0" fontId="146" fillId="0" borderId="149" xfId="0" quotePrefix="1" applyFont="1" applyFill="1" applyBorder="1" applyAlignment="1" applyProtection="1">
      <alignment horizontal="right" wrapText="1"/>
    </xf>
    <xf numFmtId="0" fontId="116" fillId="0" borderId="126" xfId="0" applyFont="1" applyFill="1" applyBorder="1" applyAlignment="1" applyProtection="1">
      <alignment vertical="center"/>
    </xf>
    <xf numFmtId="0" fontId="59" fillId="0" borderId="0" xfId="0" applyFont="1" applyBorder="1" applyAlignment="1" applyProtection="1">
      <alignment vertical="center"/>
    </xf>
    <xf numFmtId="2" fontId="59" fillId="0" borderId="36" xfId="0" applyNumberFormat="1" applyFont="1" applyFill="1" applyBorder="1" applyAlignment="1" applyProtection="1">
      <alignment vertical="center"/>
    </xf>
    <xf numFmtId="0" fontId="53" fillId="0" borderId="0" xfId="0" applyFont="1" applyBorder="1" applyAlignment="1" applyProtection="1">
      <alignment horizontal="right"/>
    </xf>
    <xf numFmtId="43" fontId="0" fillId="43" borderId="170" xfId="0" applyNumberFormat="1" applyFill="1" applyBorder="1" applyAlignment="1">
      <alignment horizontal="center" wrapText="1"/>
    </xf>
    <xf numFmtId="43" fontId="53" fillId="0" borderId="0" xfId="1" applyFont="1" applyFill="1" applyBorder="1" applyAlignment="1" applyProtection="1">
      <alignment horizontal="center" wrapText="1"/>
    </xf>
    <xf numFmtId="0" fontId="53" fillId="0" borderId="0" xfId="0" quotePrefix="1" applyFont="1" applyFill="1" applyBorder="1" applyAlignment="1" applyProtection="1">
      <alignment horizontal="right"/>
    </xf>
    <xf numFmtId="0" fontId="53" fillId="0" borderId="0" xfId="0" applyFont="1" applyBorder="1" applyAlignment="1" applyProtection="1">
      <alignment horizontal="left"/>
    </xf>
    <xf numFmtId="43" fontId="53" fillId="27" borderId="0" xfId="198" applyNumberFormat="1" applyFont="1" applyFill="1" applyBorder="1" applyProtection="1"/>
    <xf numFmtId="0" fontId="169" fillId="0" borderId="0" xfId="0" applyFont="1" applyBorder="1" applyAlignment="1" applyProtection="1">
      <alignment vertical="center"/>
    </xf>
    <xf numFmtId="49" fontId="62" fillId="0" borderId="171" xfId="0" applyNumberFormat="1" applyFont="1" applyBorder="1" applyAlignment="1">
      <alignment horizontal="center" vertical="center"/>
    </xf>
    <xf numFmtId="49" fontId="62" fillId="0" borderId="0" xfId="0" applyNumberFormat="1" applyFont="1" applyAlignment="1">
      <alignment horizontal="center" vertical="center"/>
    </xf>
    <xf numFmtId="49" fontId="62" fillId="0" borderId="171" xfId="0" quotePrefix="1" applyNumberFormat="1" applyFont="1" applyBorder="1" applyAlignment="1">
      <alignment horizontal="center" vertical="center"/>
    </xf>
    <xf numFmtId="43" fontId="56" fillId="0" borderId="0" xfId="1" applyFont="1" applyFill="1" applyBorder="1" applyAlignment="1" applyProtection="1">
      <alignment vertical="center"/>
    </xf>
    <xf numFmtId="0" fontId="59" fillId="27" borderId="37" xfId="0" applyFont="1" applyFill="1" applyBorder="1" applyAlignment="1" applyProtection="1">
      <alignment horizontal="center"/>
    </xf>
    <xf numFmtId="0" fontId="59" fillId="27" borderId="36" xfId="0" applyFont="1" applyFill="1" applyBorder="1" applyProtection="1"/>
    <xf numFmtId="41" fontId="59" fillId="0" borderId="0" xfId="0" applyNumberFormat="1" applyFont="1" applyFill="1" applyBorder="1" applyProtection="1"/>
    <xf numFmtId="41" fontId="170" fillId="27" borderId="36" xfId="0" applyNumberFormat="1" applyFont="1" applyFill="1" applyBorder="1" applyProtection="1"/>
    <xf numFmtId="44" fontId="56" fillId="27" borderId="170" xfId="198" applyNumberFormat="1" applyFont="1" applyFill="1" applyBorder="1" applyProtection="1"/>
    <xf numFmtId="0" fontId="59" fillId="27" borderId="2" xfId="0" applyFont="1" applyFill="1" applyBorder="1" applyAlignment="1" applyProtection="1">
      <alignment horizontal="center"/>
    </xf>
    <xf numFmtId="2" fontId="59" fillId="0" borderId="0" xfId="0" applyNumberFormat="1" applyFont="1" applyFill="1" applyBorder="1" applyAlignment="1" applyProtection="1">
      <alignment horizontal="center"/>
    </xf>
    <xf numFmtId="41" fontId="157" fillId="0" borderId="0" xfId="1" applyNumberFormat="1" applyFont="1" applyFill="1" applyBorder="1" applyProtection="1"/>
    <xf numFmtId="0" fontId="59" fillId="27" borderId="126" xfId="0" applyFont="1" applyFill="1" applyBorder="1" applyAlignment="1" applyProtection="1">
      <alignment horizontal="center"/>
    </xf>
    <xf numFmtId="0" fontId="59" fillId="0" borderId="65" xfId="0" applyFont="1" applyBorder="1" applyProtection="1"/>
    <xf numFmtId="0" fontId="59" fillId="0" borderId="65" xfId="0" applyFont="1" applyBorder="1" applyAlignment="1" applyProtection="1">
      <alignment horizontal="left"/>
    </xf>
    <xf numFmtId="41" fontId="157" fillId="0" borderId="65" xfId="1" applyNumberFormat="1" applyFont="1" applyFill="1" applyBorder="1" applyProtection="1"/>
    <xf numFmtId="0" fontId="59" fillId="0" borderId="65" xfId="0" applyFont="1" applyFill="1" applyBorder="1" applyProtection="1"/>
    <xf numFmtId="0" fontId="59" fillId="27" borderId="127" xfId="0" applyFont="1" applyFill="1" applyBorder="1" applyProtection="1"/>
    <xf numFmtId="44" fontId="56" fillId="27" borderId="170" xfId="417" applyFont="1" applyFill="1" applyBorder="1" applyProtection="1"/>
    <xf numFmtId="167" fontId="56" fillId="36" borderId="170" xfId="198" applyNumberFormat="1" applyFont="1" applyFill="1" applyBorder="1" applyProtection="1"/>
    <xf numFmtId="44" fontId="53" fillId="0" borderId="0" xfId="417" applyFont="1" applyFill="1" applyBorder="1" applyProtection="1"/>
    <xf numFmtId="44" fontId="56" fillId="36" borderId="170" xfId="198" applyNumberFormat="1" applyFont="1" applyFill="1" applyBorder="1" applyProtection="1"/>
    <xf numFmtId="43" fontId="49" fillId="44" borderId="170" xfId="0" quotePrefix="1" applyNumberFormat="1" applyFont="1" applyFill="1" applyBorder="1" applyAlignment="1">
      <alignment horizontal="center" wrapText="1"/>
    </xf>
    <xf numFmtId="43" fontId="53" fillId="0" borderId="0" xfId="1" quotePrefix="1" applyFont="1" applyFill="1" applyBorder="1" applyAlignment="1" applyProtection="1">
      <alignment horizontal="center" wrapText="1"/>
    </xf>
    <xf numFmtId="43" fontId="53" fillId="0" borderId="0" xfId="198" applyNumberFormat="1" applyFont="1" applyFill="1" applyBorder="1" applyProtection="1"/>
    <xf numFmtId="0" fontId="60" fillId="29" borderId="5" xfId="0" applyFont="1" applyFill="1" applyBorder="1" applyProtection="1"/>
    <xf numFmtId="0" fontId="140" fillId="29" borderId="150" xfId="0" applyFont="1" applyFill="1" applyBorder="1" applyAlignment="1" applyProtection="1">
      <alignment horizontal="left"/>
    </xf>
    <xf numFmtId="0" fontId="159" fillId="29" borderId="150" xfId="0" applyFont="1" applyFill="1" applyBorder="1" applyAlignment="1" applyProtection="1">
      <alignment horizontal="left"/>
    </xf>
    <xf numFmtId="0" fontId="141" fillId="29" borderId="150" xfId="0" applyFont="1" applyFill="1" applyBorder="1" applyAlignment="1" applyProtection="1">
      <alignment horizontal="left"/>
    </xf>
    <xf numFmtId="0" fontId="159" fillId="45" borderId="150" xfId="0" applyFont="1" applyFill="1" applyBorder="1" applyAlignment="1" applyProtection="1">
      <alignment horizontal="left"/>
    </xf>
    <xf numFmtId="0" fontId="141" fillId="45" borderId="150" xfId="0" applyFont="1" applyFill="1" applyBorder="1" applyAlignment="1" applyProtection="1">
      <alignment horizontal="left"/>
    </xf>
    <xf numFmtId="0" fontId="0" fillId="27" borderId="36" xfId="0" applyFill="1" applyBorder="1" applyProtection="1"/>
    <xf numFmtId="0" fontId="116" fillId="27" borderId="37" xfId="0" applyFont="1" applyFill="1" applyBorder="1" applyAlignment="1" applyProtection="1">
      <alignment horizontal="center"/>
    </xf>
    <xf numFmtId="43" fontId="0" fillId="0" borderId="0" xfId="0" applyNumberFormat="1" applyBorder="1" applyProtection="1"/>
    <xf numFmtId="0" fontId="59" fillId="0" borderId="0" xfId="0" applyFont="1" applyFill="1" applyBorder="1" applyAlignment="1" applyProtection="1">
      <alignment horizontal="center"/>
    </xf>
    <xf numFmtId="43" fontId="53" fillId="0" borderId="149" xfId="1" quotePrefix="1" applyFont="1" applyFill="1" applyBorder="1" applyAlignment="1" applyProtection="1">
      <alignment horizontal="center" wrapText="1"/>
    </xf>
    <xf numFmtId="43" fontId="53" fillId="36" borderId="0" xfId="198" applyNumberFormat="1" applyFont="1" applyFill="1" applyBorder="1" applyProtection="1"/>
    <xf numFmtId="0" fontId="56" fillId="0" borderId="37" xfId="0" applyFont="1" applyFill="1" applyBorder="1" applyAlignment="1" applyProtection="1">
      <alignment horizontal="left" vertical="center" indent="2"/>
    </xf>
    <xf numFmtId="0" fontId="56" fillId="0" borderId="37" xfId="0" applyFont="1" applyFill="1" applyBorder="1" applyAlignment="1" applyProtection="1">
      <alignment horizontal="left" vertical="center" indent="3"/>
    </xf>
    <xf numFmtId="0" fontId="56" fillId="0" borderId="0" xfId="0" applyFont="1" applyFill="1" applyBorder="1" applyAlignment="1" applyProtection="1">
      <alignment horizontal="left" vertical="center" indent="2"/>
    </xf>
    <xf numFmtId="0" fontId="56" fillId="0" borderId="37" xfId="0" quotePrefix="1" applyFont="1" applyFill="1" applyBorder="1" applyAlignment="1" applyProtection="1">
      <alignment horizontal="left" vertical="center" indent="3"/>
    </xf>
    <xf numFmtId="0" fontId="109" fillId="0" borderId="0" xfId="0" applyFont="1" applyAlignment="1" applyProtection="1">
      <alignment horizontal="left" vertical="center" indent="2"/>
    </xf>
    <xf numFmtId="0" fontId="56" fillId="0" borderId="146" xfId="0" applyFont="1" applyFill="1" applyBorder="1" applyAlignment="1" applyProtection="1">
      <alignment horizontal="left" vertical="center" indent="2"/>
    </xf>
    <xf numFmtId="0" fontId="52" fillId="0" borderId="0" xfId="0" applyFont="1" applyAlignment="1" applyProtection="1">
      <alignment horizontal="left" vertical="center" indent="2"/>
    </xf>
    <xf numFmtId="0" fontId="52" fillId="0" borderId="0" xfId="0" applyFont="1" applyBorder="1" applyAlignment="1" applyProtection="1">
      <alignment horizontal="left" vertical="center" indent="2"/>
    </xf>
    <xf numFmtId="0" fontId="59" fillId="0" borderId="0" xfId="0" applyFont="1" applyFill="1" applyBorder="1" applyAlignment="1" applyProtection="1">
      <alignment horizontal="left" vertical="center" indent="2"/>
    </xf>
    <xf numFmtId="0" fontId="56" fillId="0" borderId="126" xfId="0" applyFont="1" applyFill="1" applyBorder="1" applyAlignment="1" applyProtection="1">
      <alignment horizontal="left" vertical="center" indent="3"/>
    </xf>
    <xf numFmtId="0" fontId="172" fillId="29" borderId="4" xfId="0" quotePrefix="1" applyFont="1" applyFill="1" applyBorder="1" applyAlignment="1" applyProtection="1">
      <alignment horizontal="left" vertical="center"/>
    </xf>
    <xf numFmtId="0" fontId="172" fillId="29" borderId="4" xfId="0" applyFont="1" applyFill="1" applyBorder="1" applyAlignment="1" applyProtection="1">
      <alignment vertical="center"/>
    </xf>
    <xf numFmtId="0" fontId="172" fillId="29" borderId="150" xfId="0" applyFont="1" applyFill="1" applyBorder="1" applyAlignment="1" applyProtection="1">
      <alignment vertical="center"/>
    </xf>
    <xf numFmtId="0" fontId="172" fillId="29" borderId="150" xfId="0" applyFont="1" applyFill="1" applyBorder="1" applyAlignment="1" applyProtection="1">
      <alignment horizontal="center" vertical="center"/>
    </xf>
    <xf numFmtId="0" fontId="172" fillId="29" borderId="5" xfId="0" applyFont="1" applyFill="1" applyBorder="1" applyAlignment="1" applyProtection="1">
      <alignment vertical="center"/>
    </xf>
    <xf numFmtId="0" fontId="52" fillId="0" borderId="37" xfId="0" applyFont="1" applyFill="1" applyBorder="1" applyAlignment="1" applyProtection="1">
      <alignment vertical="center"/>
    </xf>
    <xf numFmtId="165" fontId="59" fillId="0" borderId="0" xfId="0" applyNumberFormat="1" applyFont="1" applyFill="1" applyBorder="1" applyAlignment="1" applyProtection="1">
      <alignment horizontal="center" vertical="center" wrapText="1"/>
    </xf>
    <xf numFmtId="0" fontId="52" fillId="0" borderId="36" xfId="0" applyFont="1" applyBorder="1" applyAlignment="1" applyProtection="1">
      <alignment vertical="center"/>
    </xf>
    <xf numFmtId="0" fontId="59" fillId="0" borderId="0" xfId="0" applyFont="1" applyBorder="1" applyAlignment="1" applyProtection="1">
      <alignment horizontal="left" indent="2"/>
    </xf>
    <xf numFmtId="0" fontId="173" fillId="0" borderId="0" xfId="0" applyFont="1" applyFill="1" applyBorder="1" applyAlignment="1" applyProtection="1">
      <alignment horizontal="left" vertical="center" indent="2"/>
    </xf>
    <xf numFmtId="0" fontId="56" fillId="0" borderId="37" xfId="0" quotePrefix="1" applyFont="1" applyBorder="1" applyAlignment="1" applyProtection="1">
      <alignment horizontal="left" vertical="center" indent="4"/>
    </xf>
    <xf numFmtId="0" fontId="59" fillId="0" borderId="37" xfId="0" applyFont="1" applyFill="1" applyBorder="1" applyAlignment="1" applyProtection="1">
      <alignment horizontal="left" vertical="center" indent="3"/>
    </xf>
    <xf numFmtId="0" fontId="174" fillId="0" borderId="0" xfId="0" applyFont="1" applyFill="1" applyBorder="1" applyAlignment="1" applyProtection="1">
      <alignment vertical="center"/>
    </xf>
    <xf numFmtId="0" fontId="59" fillId="0" borderId="136" xfId="0" applyFont="1" applyBorder="1" applyAlignment="1" applyProtection="1">
      <alignment horizontal="left" vertical="center" indent="3"/>
    </xf>
    <xf numFmtId="0" fontId="59" fillId="0" borderId="37" xfId="0" quotePrefix="1" applyFont="1" applyFill="1" applyBorder="1" applyAlignment="1" applyProtection="1">
      <alignment horizontal="left" vertical="center" indent="3"/>
    </xf>
    <xf numFmtId="0" fontId="59" fillId="0" borderId="126" xfId="0" applyFont="1" applyFill="1" applyBorder="1" applyAlignment="1" applyProtection="1">
      <alignment horizontal="left" vertical="center" indent="3"/>
    </xf>
    <xf numFmtId="37" fontId="56" fillId="40" borderId="170" xfId="1" quotePrefix="1" applyNumberFormat="1" applyFont="1" applyFill="1" applyBorder="1" applyAlignment="1" applyProtection="1">
      <alignment horizontal="center" vertical="center"/>
    </xf>
    <xf numFmtId="1" fontId="59" fillId="31" borderId="170" xfId="1" quotePrefix="1" applyNumberFormat="1" applyFont="1" applyFill="1" applyBorder="1" applyAlignment="1" applyProtection="1">
      <alignment horizontal="center" vertical="center"/>
      <protection locked="0"/>
    </xf>
    <xf numFmtId="164" fontId="59" fillId="31" borderId="124" xfId="1" applyNumberFormat="1" applyFont="1" applyFill="1" applyBorder="1" applyProtection="1">
      <protection locked="0"/>
    </xf>
    <xf numFmtId="0" fontId="107" fillId="29" borderId="4" xfId="0" applyFont="1" applyFill="1" applyBorder="1" applyAlignment="1" applyProtection="1">
      <alignment horizontal="left"/>
    </xf>
    <xf numFmtId="0" fontId="114" fillId="0" borderId="0" xfId="1429" applyAlignment="1" applyProtection="1">
      <alignment vertical="center" wrapText="1"/>
      <protection locked="0"/>
    </xf>
    <xf numFmtId="0" fontId="49" fillId="0" borderId="139" xfId="0" applyFont="1" applyBorder="1" applyAlignment="1">
      <alignment horizontal="center" vertical="center"/>
    </xf>
    <xf numFmtId="0" fontId="49" fillId="32" borderId="139" xfId="0" quotePrefix="1" applyFont="1" applyFill="1" applyBorder="1" applyAlignment="1">
      <alignment horizontal="left" vertical="center"/>
    </xf>
    <xf numFmtId="0" fontId="49" fillId="0" borderId="124" xfId="0" quotePrefix="1" applyFont="1" applyBorder="1" applyAlignment="1">
      <alignment horizontal="center" vertical="center"/>
    </xf>
    <xf numFmtId="0" fontId="49" fillId="0" borderId="124" xfId="0" applyFont="1" applyBorder="1" applyAlignment="1">
      <alignment horizontal="left" vertical="center" wrapText="1"/>
    </xf>
    <xf numFmtId="0" fontId="134" fillId="0" borderId="139" xfId="0" applyFont="1" applyBorder="1" applyAlignment="1">
      <alignment horizontal="left" vertical="center" wrapText="1"/>
    </xf>
    <xf numFmtId="0" fontId="108" fillId="0" borderId="139" xfId="0" applyFont="1" applyBorder="1" applyAlignment="1">
      <alignment horizontal="left" vertical="center" wrapText="1"/>
    </xf>
    <xf numFmtId="0" fontId="49" fillId="0" borderId="0" xfId="0" applyFont="1" applyAlignment="1">
      <alignment horizontal="center"/>
    </xf>
    <xf numFmtId="0" fontId="49" fillId="0" borderId="139" xfId="0" applyFont="1" applyBorder="1" applyAlignment="1">
      <alignment horizontal="center" vertical="center"/>
    </xf>
    <xf numFmtId="0" fontId="49" fillId="32" borderId="139" xfId="0" quotePrefix="1" applyFont="1" applyFill="1" applyBorder="1" applyAlignment="1">
      <alignment horizontal="left" vertical="center"/>
    </xf>
    <xf numFmtId="0" fontId="49" fillId="0" borderId="124" xfId="0" applyFont="1" applyBorder="1" applyAlignment="1">
      <alignment horizontal="left" vertical="center" wrapText="1"/>
    </xf>
    <xf numFmtId="0" fontId="0" fillId="0" borderId="124" xfId="0" applyBorder="1" applyAlignment="1">
      <alignment horizontal="left" vertical="center" wrapText="1"/>
    </xf>
    <xf numFmtId="0" fontId="49" fillId="0" borderId="124" xfId="0" applyFont="1" applyBorder="1" applyAlignment="1">
      <alignment horizontal="center" vertical="center"/>
    </xf>
    <xf numFmtId="0" fontId="49" fillId="0" borderId="124" xfId="0" quotePrefix="1" applyFont="1" applyBorder="1" applyAlignment="1">
      <alignment horizontal="center" vertical="center"/>
    </xf>
    <xf numFmtId="167" fontId="53" fillId="36" borderId="0" xfId="417" applyNumberFormat="1" applyFont="1" applyFill="1" applyBorder="1" applyProtection="1"/>
    <xf numFmtId="167" fontId="0" fillId="0" borderId="0" xfId="0" applyNumberFormat="1" applyBorder="1" applyProtection="1"/>
    <xf numFmtId="167" fontId="49" fillId="36" borderId="0" xfId="0" applyNumberFormat="1" applyFont="1" applyFill="1" applyBorder="1" applyProtection="1"/>
    <xf numFmtId="2" fontId="56" fillId="36" borderId="170" xfId="198" applyNumberFormat="1" applyFont="1" applyFill="1" applyBorder="1" applyAlignment="1" applyProtection="1">
      <alignment horizontal="center"/>
    </xf>
    <xf numFmtId="167" fontId="157" fillId="0" borderId="0" xfId="1" applyNumberFormat="1" applyFont="1" applyFill="1" applyBorder="1" applyProtection="1"/>
    <xf numFmtId="167" fontId="0" fillId="0" borderId="0" xfId="0" applyNumberFormat="1" applyFill="1" applyBorder="1" applyProtection="1"/>
    <xf numFmtId="43" fontId="0" fillId="0" borderId="0" xfId="0" applyNumberFormat="1" applyBorder="1" applyAlignment="1" applyProtection="1">
      <alignment horizontal="center"/>
    </xf>
    <xf numFmtId="43" fontId="0" fillId="0" borderId="0" xfId="0" applyNumberFormat="1" applyFill="1" applyBorder="1" applyAlignment="1" applyProtection="1">
      <alignment horizontal="center"/>
    </xf>
    <xf numFmtId="0" fontId="52" fillId="36" borderId="0" xfId="0" applyFont="1" applyFill="1" applyBorder="1" applyAlignment="1" applyProtection="1">
      <alignment horizontal="center"/>
    </xf>
    <xf numFmtId="43" fontId="112" fillId="44" borderId="170" xfId="0" quotePrefix="1" applyNumberFormat="1" applyFont="1" applyFill="1" applyBorder="1" applyAlignment="1">
      <alignment horizontal="center" wrapText="1"/>
    </xf>
    <xf numFmtId="43" fontId="49" fillId="0" borderId="0" xfId="0" applyNumberFormat="1" applyFont="1" applyAlignment="1">
      <alignment horizontal="center"/>
    </xf>
    <xf numFmtId="2" fontId="59" fillId="31" borderId="170" xfId="198" applyNumberFormat="1" applyFont="1" applyFill="1" applyBorder="1" applyAlignment="1" applyProtection="1">
      <alignment horizontal="center"/>
      <protection locked="0"/>
    </xf>
    <xf numFmtId="0" fontId="49" fillId="0" borderId="159" xfId="0" applyFont="1" applyBorder="1" applyAlignment="1">
      <alignment horizontal="center" vertical="center"/>
    </xf>
    <xf numFmtId="0" fontId="62" fillId="2" borderId="0" xfId="0" applyFont="1" applyFill="1"/>
    <xf numFmtId="0" fontId="52" fillId="0" borderId="0" xfId="0" applyFont="1" applyBorder="1" applyProtection="1">
      <protection locked="0"/>
    </xf>
    <xf numFmtId="0" fontId="52" fillId="0" borderId="0" xfId="0" applyFont="1" applyBorder="1" applyAlignment="1" applyProtection="1">
      <alignment vertical="center"/>
      <protection locked="0"/>
    </xf>
    <xf numFmtId="167" fontId="52" fillId="0" borderId="0" xfId="417" applyNumberFormat="1" applyFont="1" applyFill="1" applyProtection="1">
      <protection locked="0"/>
    </xf>
    <xf numFmtId="167" fontId="52" fillId="0" borderId="0" xfId="417" applyNumberFormat="1" applyFont="1" applyProtection="1">
      <protection locked="0"/>
    </xf>
    <xf numFmtId="0" fontId="52" fillId="0" borderId="0" xfId="0" quotePrefix="1" applyFont="1" applyBorder="1" applyAlignment="1" applyProtection="1">
      <alignment horizontal="left" vertical="center"/>
      <protection locked="0"/>
    </xf>
    <xf numFmtId="0" fontId="175" fillId="29" borderId="4" xfId="0" applyFont="1" applyFill="1" applyBorder="1" applyAlignment="1" applyProtection="1">
      <alignment vertical="center"/>
    </xf>
    <xf numFmtId="0" fontId="176" fillId="29" borderId="135" xfId="0" applyFont="1" applyFill="1" applyBorder="1" applyAlignment="1" applyProtection="1">
      <alignment vertical="center"/>
    </xf>
    <xf numFmtId="165" fontId="177" fillId="29" borderId="135" xfId="0" applyNumberFormat="1" applyFont="1" applyFill="1" applyBorder="1" applyAlignment="1" applyProtection="1">
      <alignment horizontal="center" vertical="center"/>
    </xf>
    <xf numFmtId="0" fontId="177" fillId="29" borderId="150" xfId="0" applyFont="1" applyFill="1" applyBorder="1" applyAlignment="1" applyProtection="1">
      <alignment vertical="center"/>
    </xf>
    <xf numFmtId="0" fontId="177" fillId="29" borderId="5" xfId="0" applyFont="1" applyFill="1" applyBorder="1" applyAlignment="1" applyProtection="1">
      <alignment vertical="center"/>
    </xf>
    <xf numFmtId="0" fontId="177" fillId="29" borderId="150" xfId="0" applyFont="1" applyFill="1" applyBorder="1" applyAlignment="1" applyProtection="1">
      <alignment horizontal="center" vertical="center"/>
    </xf>
    <xf numFmtId="0" fontId="175" fillId="29" borderId="135" xfId="0" applyFont="1" applyFill="1" applyBorder="1" applyAlignment="1" applyProtection="1">
      <alignment vertical="center"/>
    </xf>
    <xf numFmtId="0" fontId="52" fillId="36" borderId="4" xfId="0" applyFont="1" applyFill="1" applyBorder="1" applyAlignment="1" applyProtection="1">
      <alignment vertical="center"/>
    </xf>
    <xf numFmtId="0" fontId="56" fillId="36" borderId="150" xfId="0" quotePrefix="1" applyFont="1" applyFill="1" applyBorder="1" applyAlignment="1" applyProtection="1">
      <alignment horizontal="left" vertical="center"/>
    </xf>
    <xf numFmtId="14" fontId="53" fillId="36" borderId="135" xfId="0" applyNumberFormat="1" applyFont="1" applyFill="1" applyBorder="1" applyAlignment="1" applyProtection="1">
      <alignment horizontal="center" vertical="center"/>
    </xf>
    <xf numFmtId="0" fontId="52" fillId="36" borderId="37" xfId="0" applyFont="1" applyFill="1" applyBorder="1" applyProtection="1"/>
    <xf numFmtId="0" fontId="158" fillId="0" borderId="0" xfId="0" quotePrefix="1" applyFont="1" applyBorder="1" applyAlignment="1" applyProtection="1">
      <alignment horizontal="left" vertical="center"/>
    </xf>
    <xf numFmtId="10" fontId="52" fillId="0" borderId="17" xfId="2" applyNumberFormat="1" applyFont="1" applyFill="1" applyBorder="1" applyAlignment="1" applyProtection="1">
      <alignment horizontal="center"/>
    </xf>
    <xf numFmtId="10" fontId="52" fillId="0" borderId="0" xfId="0" applyNumberFormat="1" applyFont="1" applyFill="1" applyBorder="1" applyAlignment="1" applyProtection="1">
      <alignment horizontal="center"/>
    </xf>
    <xf numFmtId="0" fontId="53" fillId="0" borderId="0" xfId="0" applyFont="1" applyFill="1" applyBorder="1" applyAlignment="1" applyProtection="1">
      <alignment horizontal="center"/>
    </xf>
    <xf numFmtId="0" fontId="52" fillId="0" borderId="36" xfId="0" applyFont="1" applyBorder="1" applyProtection="1"/>
    <xf numFmtId="0" fontId="52" fillId="36" borderId="37" xfId="0" applyFont="1" applyFill="1" applyBorder="1" applyAlignment="1" applyProtection="1">
      <alignment vertical="center"/>
    </xf>
    <xf numFmtId="0" fontId="53" fillId="0" borderId="149" xfId="0" applyFont="1" applyFill="1" applyBorder="1" applyAlignment="1" applyProtection="1">
      <alignment horizontal="center" vertical="center"/>
    </xf>
    <xf numFmtId="0" fontId="53" fillId="0" borderId="149" xfId="0" quotePrefix="1" applyFont="1" applyFill="1" applyBorder="1" applyAlignment="1" applyProtection="1">
      <alignment horizontal="center" vertical="center"/>
    </xf>
    <xf numFmtId="0" fontId="53" fillId="0" borderId="149" xfId="0" quotePrefix="1" applyFont="1" applyFill="1" applyBorder="1" applyAlignment="1" applyProtection="1">
      <alignment horizontal="center" vertical="center" wrapText="1"/>
    </xf>
    <xf numFmtId="0" fontId="52" fillId="0" borderId="36" xfId="0" applyFont="1" applyBorder="1" applyAlignment="1" applyProtection="1">
      <alignment shrinkToFit="1"/>
    </xf>
    <xf numFmtId="43" fontId="52" fillId="0" borderId="0" xfId="0" applyNumberFormat="1" applyFont="1" applyFill="1" applyBorder="1" applyAlignment="1" applyProtection="1">
      <alignment horizontal="center" shrinkToFit="1"/>
    </xf>
    <xf numFmtId="0" fontId="52" fillId="0" borderId="36" xfId="0" applyFont="1" applyFill="1" applyBorder="1" applyAlignment="1" applyProtection="1">
      <alignment shrinkToFit="1"/>
    </xf>
    <xf numFmtId="41" fontId="52" fillId="0" borderId="0" xfId="0" applyNumberFormat="1" applyFont="1" applyFill="1" applyBorder="1" applyAlignment="1" applyProtection="1">
      <alignment shrinkToFit="1"/>
    </xf>
    <xf numFmtId="164" fontId="52" fillId="0" borderId="149" xfId="0" applyNumberFormat="1" applyFont="1" applyFill="1" applyBorder="1" applyAlignment="1" applyProtection="1">
      <alignment shrinkToFit="1"/>
    </xf>
    <xf numFmtId="167" fontId="52" fillId="36" borderId="37" xfId="417" applyNumberFormat="1" applyFont="1" applyFill="1" applyBorder="1" applyProtection="1"/>
    <xf numFmtId="167" fontId="56" fillId="0" borderId="0" xfId="417" quotePrefix="1" applyNumberFormat="1" applyFont="1" applyFill="1" applyBorder="1" applyAlignment="1" applyProtection="1">
      <alignment horizontal="left"/>
    </xf>
    <xf numFmtId="167" fontId="52" fillId="0" borderId="0" xfId="417" applyNumberFormat="1" applyFont="1" applyFill="1" applyBorder="1" applyProtection="1"/>
    <xf numFmtId="43" fontId="53" fillId="0" borderId="3" xfId="1" applyFont="1" applyFill="1" applyBorder="1" applyAlignment="1" applyProtection="1">
      <alignment shrinkToFit="1"/>
    </xf>
    <xf numFmtId="167" fontId="53" fillId="0" borderId="0" xfId="417" applyNumberFormat="1" applyFont="1" applyFill="1" applyBorder="1" applyAlignment="1" applyProtection="1">
      <alignment shrinkToFit="1"/>
    </xf>
    <xf numFmtId="167" fontId="52" fillId="0" borderId="36" xfId="417" applyNumberFormat="1" applyFont="1" applyFill="1" applyBorder="1" applyAlignment="1" applyProtection="1">
      <alignment shrinkToFit="1"/>
    </xf>
    <xf numFmtId="0" fontId="52" fillId="0" borderId="0" xfId="0" applyFont="1" applyFill="1" applyBorder="1" applyAlignment="1" applyProtection="1">
      <alignment shrinkToFit="1"/>
    </xf>
    <xf numFmtId="12" fontId="52" fillId="0" borderId="0" xfId="0" quotePrefix="1" applyNumberFormat="1" applyFont="1" applyFill="1" applyBorder="1" applyAlignment="1" applyProtection="1">
      <alignment shrinkToFit="1"/>
    </xf>
    <xf numFmtId="167" fontId="53" fillId="0" borderId="0" xfId="417" quotePrefix="1" applyNumberFormat="1" applyFont="1" applyFill="1" applyBorder="1" applyAlignment="1" applyProtection="1">
      <alignment horizontal="left"/>
    </xf>
    <xf numFmtId="167" fontId="53" fillId="0" borderId="86" xfId="417" applyNumberFormat="1" applyFont="1" applyFill="1" applyBorder="1" applyAlignment="1" applyProtection="1">
      <alignment shrinkToFit="1"/>
    </xf>
    <xf numFmtId="167" fontId="53" fillId="0" borderId="155" xfId="417" applyNumberFormat="1" applyFont="1" applyFill="1" applyBorder="1" applyAlignment="1" applyProtection="1">
      <alignment shrinkToFit="1"/>
    </xf>
    <xf numFmtId="0" fontId="158" fillId="0" borderId="0" xfId="0" quotePrefix="1" applyFont="1" applyFill="1" applyBorder="1" applyAlignment="1" applyProtection="1">
      <alignment horizontal="left"/>
    </xf>
    <xf numFmtId="0" fontId="53" fillId="0" borderId="0" xfId="0" quotePrefix="1" applyFont="1" applyBorder="1" applyAlignment="1" applyProtection="1">
      <alignment horizontal="left" vertical="center"/>
    </xf>
    <xf numFmtId="43" fontId="52" fillId="0" borderId="0" xfId="1" applyFont="1" applyFill="1" applyBorder="1" applyAlignment="1" applyProtection="1">
      <alignment shrinkToFit="1"/>
    </xf>
    <xf numFmtId="0" fontId="53" fillId="0" borderId="149" xfId="0" quotePrefix="1" applyFont="1" applyFill="1" applyBorder="1" applyAlignment="1" applyProtection="1">
      <alignment horizontal="center" shrinkToFit="1"/>
    </xf>
    <xf numFmtId="0" fontId="53" fillId="0" borderId="0" xfId="0" applyFont="1" applyBorder="1" applyProtection="1"/>
    <xf numFmtId="43" fontId="52" fillId="0" borderId="0" xfId="1" applyFont="1" applyFill="1" applyBorder="1" applyAlignment="1" applyProtection="1">
      <alignment horizontal="center" shrinkToFit="1"/>
    </xf>
    <xf numFmtId="44" fontId="52" fillId="0" borderId="168" xfId="417" applyFont="1" applyFill="1" applyBorder="1" applyAlignment="1" applyProtection="1">
      <alignment shrinkToFit="1"/>
    </xf>
    <xf numFmtId="0" fontId="52" fillId="0" borderId="0" xfId="0" quotePrefix="1" applyFont="1" applyFill="1" applyBorder="1" applyAlignment="1" applyProtection="1">
      <alignment horizontal="left"/>
    </xf>
    <xf numFmtId="43" fontId="52" fillId="0" borderId="0" xfId="1" applyFont="1" applyFill="1" applyBorder="1" applyAlignment="1" applyProtection="1">
      <alignment horizontal="center"/>
    </xf>
    <xf numFmtId="164" fontId="52" fillId="0" borderId="0" xfId="0" applyNumberFormat="1" applyFont="1" applyFill="1" applyBorder="1" applyAlignment="1" applyProtection="1">
      <alignment shrinkToFit="1"/>
    </xf>
    <xf numFmtId="43" fontId="52" fillId="0" borderId="0" xfId="1" applyFont="1" applyFill="1" applyBorder="1" applyProtection="1"/>
    <xf numFmtId="0" fontId="56" fillId="0" borderId="0" xfId="0" quotePrefix="1" applyFont="1" applyFill="1" applyBorder="1" applyAlignment="1" applyProtection="1">
      <alignment horizontal="left"/>
    </xf>
    <xf numFmtId="164" fontId="53" fillId="0" borderId="3" xfId="0" applyNumberFormat="1" applyFont="1" applyFill="1" applyBorder="1" applyAlignment="1" applyProtection="1">
      <alignment shrinkToFit="1"/>
    </xf>
    <xf numFmtId="37" fontId="53" fillId="0" borderId="0" xfId="0" applyNumberFormat="1" applyFont="1" applyFill="1" applyBorder="1" applyAlignment="1" applyProtection="1">
      <alignment horizontal="center" shrinkToFit="1"/>
    </xf>
    <xf numFmtId="164" fontId="52" fillId="0" borderId="149" xfId="1" applyNumberFormat="1" applyFont="1" applyFill="1" applyBorder="1" applyAlignment="1" applyProtection="1">
      <alignment shrinkToFit="1"/>
    </xf>
    <xf numFmtId="0" fontId="53" fillId="0" borderId="0" xfId="0" quotePrefix="1" applyFont="1" applyFill="1" applyBorder="1" applyAlignment="1" applyProtection="1">
      <alignment horizontal="left"/>
    </xf>
    <xf numFmtId="9" fontId="52" fillId="0" borderId="0" xfId="2" quotePrefix="1" applyFont="1" applyFill="1" applyBorder="1" applyAlignment="1" applyProtection="1">
      <alignment shrinkToFit="1"/>
    </xf>
    <xf numFmtId="167" fontId="53" fillId="0" borderId="168" xfId="417" applyNumberFormat="1" applyFont="1" applyFill="1" applyBorder="1" applyAlignment="1" applyProtection="1">
      <alignment shrinkToFit="1"/>
    </xf>
    <xf numFmtId="41" fontId="167" fillId="0" borderId="0" xfId="0" applyNumberFormat="1" applyFont="1" applyFill="1" applyBorder="1" applyAlignment="1" applyProtection="1">
      <alignment horizontal="center" shrinkToFit="1"/>
    </xf>
    <xf numFmtId="0" fontId="167" fillId="0" borderId="0" xfId="0" applyFont="1" applyFill="1" applyBorder="1" applyAlignment="1" applyProtection="1">
      <alignment horizontal="center"/>
    </xf>
    <xf numFmtId="41" fontId="53" fillId="0" borderId="0" xfId="0" applyNumberFormat="1" applyFont="1" applyFill="1" applyBorder="1" applyAlignment="1" applyProtection="1">
      <alignment shrinkToFit="1"/>
    </xf>
    <xf numFmtId="44" fontId="52" fillId="0" borderId="0" xfId="417" applyFont="1" applyFill="1" applyBorder="1" applyAlignment="1" applyProtection="1">
      <alignment shrinkToFit="1"/>
    </xf>
    <xf numFmtId="43" fontId="52" fillId="0" borderId="0" xfId="0" applyNumberFormat="1" applyFont="1" applyFill="1" applyBorder="1" applyAlignment="1" applyProtection="1">
      <alignment shrinkToFit="1"/>
    </xf>
    <xf numFmtId="0" fontId="52" fillId="0" borderId="0" xfId="0" applyFont="1" applyBorder="1" applyAlignment="1" applyProtection="1">
      <alignment shrinkToFit="1"/>
    </xf>
    <xf numFmtId="43" fontId="52" fillId="0" borderId="0" xfId="0" applyNumberFormat="1" applyFont="1" applyBorder="1" applyAlignment="1" applyProtection="1">
      <alignment shrinkToFit="1"/>
    </xf>
    <xf numFmtId="0" fontId="52" fillId="36" borderId="150" xfId="0" applyFont="1" applyFill="1" applyBorder="1" applyAlignment="1" applyProtection="1">
      <alignment vertical="center"/>
    </xf>
    <xf numFmtId="0" fontId="149" fillId="36" borderId="150" xfId="0" applyFont="1" applyFill="1" applyBorder="1" applyAlignment="1" applyProtection="1">
      <alignment vertical="center"/>
    </xf>
    <xf numFmtId="0" fontId="53" fillId="36" borderId="150" xfId="0" applyFont="1" applyFill="1" applyBorder="1" applyAlignment="1" applyProtection="1">
      <alignment vertical="center"/>
    </xf>
    <xf numFmtId="0" fontId="53" fillId="36" borderId="150" xfId="0" applyFont="1" applyFill="1" applyBorder="1" applyAlignment="1" applyProtection="1">
      <alignment horizontal="right" vertical="center"/>
    </xf>
    <xf numFmtId="0" fontId="53" fillId="36" borderId="5" xfId="0" applyFont="1" applyFill="1" applyBorder="1" applyAlignment="1" applyProtection="1">
      <alignment vertical="center"/>
    </xf>
    <xf numFmtId="164" fontId="52" fillId="0" borderId="0" xfId="1" applyNumberFormat="1" applyFont="1" applyBorder="1" applyAlignment="1" applyProtection="1">
      <alignment shrinkToFit="1"/>
    </xf>
    <xf numFmtId="167" fontId="52" fillId="0" borderId="0" xfId="417" applyNumberFormat="1" applyFont="1" applyBorder="1" applyAlignment="1" applyProtection="1">
      <alignment shrinkToFit="1"/>
    </xf>
    <xf numFmtId="41" fontId="52" fillId="0" borderId="0" xfId="1" applyNumberFormat="1" applyFont="1" applyFill="1" applyBorder="1" applyAlignment="1" applyProtection="1">
      <alignment shrinkToFit="1"/>
    </xf>
    <xf numFmtId="10" fontId="52" fillId="0" borderId="0" xfId="2" applyNumberFormat="1" applyFont="1" applyFill="1" applyBorder="1" applyAlignment="1" applyProtection="1">
      <alignment horizontal="center" shrinkToFit="1"/>
    </xf>
    <xf numFmtId="164" fontId="52" fillId="0" borderId="36" xfId="1" applyNumberFormat="1" applyFont="1" applyFill="1" applyBorder="1" applyAlignment="1" applyProtection="1">
      <alignment shrinkToFit="1"/>
    </xf>
    <xf numFmtId="9" fontId="52" fillId="0" borderId="0" xfId="2" applyFont="1" applyFill="1" applyBorder="1" applyAlignment="1" applyProtection="1">
      <alignment shrinkToFit="1"/>
    </xf>
    <xf numFmtId="10" fontId="52" fillId="0" borderId="0" xfId="0" applyNumberFormat="1" applyFont="1" applyFill="1" applyBorder="1" applyAlignment="1" applyProtection="1">
      <alignment shrinkToFit="1"/>
    </xf>
    <xf numFmtId="41" fontId="52" fillId="0" borderId="155" xfId="0" applyNumberFormat="1" applyFont="1" applyFill="1" applyBorder="1" applyAlignment="1" applyProtection="1">
      <alignment shrinkToFit="1"/>
    </xf>
    <xf numFmtId="0" fontId="52" fillId="0" borderId="0" xfId="0" applyFont="1" applyFill="1" applyBorder="1" applyAlignment="1" applyProtection="1">
      <alignment horizontal="right"/>
    </xf>
    <xf numFmtId="0" fontId="52" fillId="0" borderId="0" xfId="0" applyFont="1" applyFill="1" applyAlignment="1" applyProtection="1">
      <alignment horizontal="right"/>
    </xf>
    <xf numFmtId="167" fontId="52" fillId="0" borderId="36" xfId="417" applyNumberFormat="1" applyFont="1" applyBorder="1" applyAlignment="1" applyProtection="1">
      <alignment shrinkToFit="1"/>
    </xf>
    <xf numFmtId="0" fontId="53" fillId="0" borderId="0" xfId="0" applyFont="1" applyFill="1" applyBorder="1" applyProtection="1"/>
    <xf numFmtId="0" fontId="53" fillId="0" borderId="0" xfId="0" quotePrefix="1" applyFont="1" applyFill="1" applyBorder="1" applyAlignment="1" applyProtection="1">
      <alignment horizontal="center" wrapText="1"/>
    </xf>
    <xf numFmtId="37" fontId="52" fillId="0" borderId="0" xfId="0" applyNumberFormat="1" applyFont="1" applyFill="1" applyBorder="1" applyAlignment="1" applyProtection="1">
      <alignment horizontal="center" shrinkToFit="1"/>
    </xf>
    <xf numFmtId="0" fontId="53" fillId="0" borderId="0" xfId="0" quotePrefix="1" applyFont="1" applyFill="1" applyBorder="1" applyAlignment="1" applyProtection="1">
      <alignment horizontal="left" vertical="center"/>
    </xf>
    <xf numFmtId="0" fontId="52" fillId="0" borderId="0" xfId="0" quotePrefix="1" applyFont="1" applyBorder="1" applyAlignment="1" applyProtection="1">
      <alignment horizontal="left" vertical="center"/>
    </xf>
    <xf numFmtId="164" fontId="52" fillId="0" borderId="0" xfId="1" applyNumberFormat="1" applyFont="1" applyFill="1" applyBorder="1" applyAlignment="1" applyProtection="1">
      <alignment horizontal="center" shrinkToFit="1"/>
    </xf>
    <xf numFmtId="0" fontId="52" fillId="0" borderId="0" xfId="0" applyFont="1" applyFill="1" applyBorder="1" applyAlignment="1" applyProtection="1">
      <alignment horizontal="center" shrinkToFit="1"/>
    </xf>
    <xf numFmtId="0" fontId="52" fillId="0" borderId="36" xfId="0" applyFont="1" applyFill="1" applyBorder="1" applyAlignment="1" applyProtection="1">
      <alignment horizontal="center" shrinkToFit="1"/>
    </xf>
    <xf numFmtId="0" fontId="53" fillId="35" borderId="0" xfId="0" quotePrefix="1" applyFont="1" applyFill="1" applyBorder="1" applyAlignment="1" applyProtection="1">
      <alignment horizontal="left"/>
    </xf>
    <xf numFmtId="167" fontId="53" fillId="0" borderId="133" xfId="417" applyNumberFormat="1" applyFont="1" applyFill="1" applyBorder="1" applyAlignment="1" applyProtection="1">
      <alignment shrinkToFit="1"/>
    </xf>
    <xf numFmtId="0" fontId="52" fillId="36" borderId="126" xfId="0" applyFont="1" applyFill="1" applyBorder="1" applyProtection="1"/>
    <xf numFmtId="0" fontId="52" fillId="0" borderId="128" xfId="0" applyFont="1" applyFill="1" applyBorder="1" applyProtection="1"/>
    <xf numFmtId="164" fontId="52" fillId="0" borderId="128" xfId="0" applyNumberFormat="1" applyFont="1" applyFill="1" applyBorder="1" applyAlignment="1" applyProtection="1">
      <alignment shrinkToFit="1"/>
    </xf>
    <xf numFmtId="164" fontId="52" fillId="0" borderId="128" xfId="1" applyNumberFormat="1" applyFont="1" applyFill="1" applyBorder="1" applyAlignment="1" applyProtection="1">
      <alignment shrinkToFit="1"/>
    </xf>
    <xf numFmtId="41" fontId="52" fillId="0" borderId="128" xfId="0" applyNumberFormat="1" applyFont="1" applyFill="1" applyBorder="1" applyAlignment="1" applyProtection="1">
      <alignment shrinkToFit="1"/>
    </xf>
    <xf numFmtId="0" fontId="52" fillId="0" borderId="127" xfId="0" applyFont="1" applyFill="1" applyBorder="1" applyAlignment="1" applyProtection="1">
      <alignment shrinkToFit="1"/>
    </xf>
    <xf numFmtId="0" fontId="52" fillId="0" borderId="0" xfId="0" applyFont="1" applyBorder="1" applyAlignment="1" applyProtection="1"/>
    <xf numFmtId="0" fontId="59" fillId="0" borderId="65" xfId="0" applyFont="1" applyFill="1" applyBorder="1" applyAlignment="1" applyProtection="1">
      <alignment vertical="center"/>
    </xf>
    <xf numFmtId="0" fontId="56" fillId="0" borderId="65" xfId="0" applyFont="1" applyFill="1" applyBorder="1" applyAlignment="1" applyProtection="1">
      <alignment vertical="center"/>
    </xf>
    <xf numFmtId="0" fontId="56" fillId="0" borderId="127" xfId="0" applyFont="1" applyFill="1" applyBorder="1" applyAlignment="1" applyProtection="1">
      <alignment vertical="center"/>
    </xf>
    <xf numFmtId="0" fontId="116" fillId="0" borderId="65" xfId="0" applyFont="1" applyFill="1" applyBorder="1" applyAlignment="1" applyProtection="1">
      <alignment vertical="center"/>
    </xf>
    <xf numFmtId="0" fontId="59" fillId="0" borderId="65" xfId="0" quotePrefix="1" applyFont="1" applyBorder="1" applyAlignment="1" applyProtection="1">
      <alignment horizontal="left" indent="2"/>
    </xf>
    <xf numFmtId="0" fontId="147" fillId="0" borderId="65" xfId="0" applyFont="1" applyFill="1" applyBorder="1" applyAlignment="1" applyProtection="1">
      <alignment horizontal="center" vertical="center"/>
    </xf>
    <xf numFmtId="0" fontId="59" fillId="0" borderId="65" xfId="0" applyFont="1" applyFill="1" applyBorder="1" applyAlignment="1" applyProtection="1">
      <alignment horizontal="right"/>
    </xf>
    <xf numFmtId="0" fontId="59" fillId="0" borderId="65" xfId="0" applyFont="1" applyBorder="1" applyAlignment="1" applyProtection="1"/>
    <xf numFmtId="43" fontId="59" fillId="0" borderId="65" xfId="1" applyFont="1" applyFill="1" applyBorder="1" applyProtection="1"/>
    <xf numFmtId="43" fontId="59" fillId="0" borderId="127" xfId="1" applyFont="1" applyFill="1" applyBorder="1" applyProtection="1"/>
    <xf numFmtId="0" fontId="56" fillId="0" borderId="37" xfId="0" applyFont="1" applyFill="1" applyBorder="1" applyAlignment="1" applyProtection="1">
      <alignment vertical="center"/>
    </xf>
    <xf numFmtId="0" fontId="116" fillId="0" borderId="0" xfId="0" quotePrefix="1" applyFont="1" applyFill="1" applyBorder="1" applyAlignment="1" applyProtection="1">
      <alignment horizontal="left" vertical="center"/>
    </xf>
    <xf numFmtId="0" fontId="56" fillId="0" borderId="0" xfId="0" applyFont="1" applyFill="1" applyBorder="1" applyAlignment="1" applyProtection="1">
      <alignment horizontal="left" vertical="center" indent="1"/>
    </xf>
    <xf numFmtId="0" fontId="153" fillId="0" borderId="0" xfId="1429" applyFont="1" applyBorder="1" applyAlignment="1" applyProtection="1">
      <alignment vertical="center" wrapText="1"/>
      <protection locked="0"/>
    </xf>
    <xf numFmtId="0" fontId="166" fillId="0" borderId="0" xfId="0" applyFont="1" applyBorder="1" applyAlignment="1" applyProtection="1">
      <alignment vertical="center"/>
      <protection locked="0"/>
    </xf>
    <xf numFmtId="43" fontId="59" fillId="0" borderId="37" xfId="1" applyFont="1" applyFill="1" applyBorder="1" applyProtection="1"/>
    <xf numFmtId="0" fontId="54" fillId="0" borderId="0" xfId="0" applyFont="1" applyFill="1" applyBorder="1" applyProtection="1">
      <protection locked="0"/>
    </xf>
    <xf numFmtId="0" fontId="52" fillId="0" borderId="0" xfId="0" quotePrefix="1" applyFont="1" applyBorder="1" applyAlignment="1" applyProtection="1">
      <alignment horizontal="left"/>
      <protection locked="0"/>
    </xf>
    <xf numFmtId="0" fontId="57" fillId="0" borderId="0" xfId="0" applyFont="1" applyBorder="1" applyProtection="1">
      <protection locked="0"/>
    </xf>
    <xf numFmtId="2" fontId="59" fillId="0" borderId="37" xfId="0" applyNumberFormat="1" applyFont="1" applyFill="1" applyBorder="1" applyAlignment="1" applyProtection="1">
      <alignment vertical="center"/>
    </xf>
    <xf numFmtId="0" fontId="94" fillId="0" borderId="172" xfId="0" applyFont="1" applyBorder="1" applyAlignment="1">
      <alignment horizontal="left" wrapText="1"/>
    </xf>
    <xf numFmtId="41" fontId="94" fillId="0" borderId="172" xfId="0" applyNumberFormat="1" applyFont="1" applyBorder="1" applyAlignment="1">
      <alignment horizontal="right" wrapText="1"/>
    </xf>
    <xf numFmtId="0" fontId="94" fillId="0" borderId="173" xfId="0" applyFont="1" applyBorder="1" applyAlignment="1">
      <alignment horizontal="left" wrapText="1"/>
    </xf>
    <xf numFmtId="41" fontId="94" fillId="0" borderId="173" xfId="0" applyNumberFormat="1" applyFont="1" applyBorder="1" applyAlignment="1">
      <alignment horizontal="right" wrapText="1"/>
    </xf>
    <xf numFmtId="0" fontId="128" fillId="0" borderId="0" xfId="0" applyFont="1"/>
    <xf numFmtId="41" fontId="128" fillId="0" borderId="0" xfId="0" applyNumberFormat="1" applyFont="1" applyAlignment="1">
      <alignment horizontal="right" wrapText="1"/>
    </xf>
    <xf numFmtId="0" fontId="121" fillId="0" borderId="0" xfId="0" applyFont="1" applyAlignment="1">
      <alignment horizontal="center"/>
    </xf>
    <xf numFmtId="0" fontId="128" fillId="0" borderId="0" xfId="0" applyFont="1" applyAlignment="1">
      <alignment horizontal="center" wrapText="1"/>
    </xf>
    <xf numFmtId="0" fontId="53" fillId="0" borderId="0" xfId="0" quotePrefix="1" applyFont="1" applyBorder="1" applyAlignment="1" applyProtection="1">
      <alignment horizontal="right"/>
    </xf>
    <xf numFmtId="0" fontId="53" fillId="0" borderId="0" xfId="417" applyNumberFormat="1" applyFont="1" applyFill="1" applyBorder="1" applyAlignment="1" applyProtection="1">
      <alignment horizontal="center"/>
    </xf>
    <xf numFmtId="167" fontId="49" fillId="0" borderId="0" xfId="0" applyNumberFormat="1" applyFont="1" applyFill="1" applyBorder="1" applyProtection="1"/>
    <xf numFmtId="0" fontId="117" fillId="0" borderId="0" xfId="0" applyFont="1" applyFill="1" applyBorder="1" applyAlignment="1" applyProtection="1">
      <alignment horizontal="left"/>
    </xf>
    <xf numFmtId="167" fontId="53" fillId="0" borderId="0" xfId="417" applyNumberFormat="1" applyFont="1" applyFill="1" applyBorder="1" applyProtection="1"/>
    <xf numFmtId="0" fontId="53" fillId="0" borderId="0" xfId="0" applyFont="1" applyAlignment="1" applyProtection="1">
      <alignment horizontal="center"/>
    </xf>
    <xf numFmtId="0" fontId="122" fillId="46" borderId="64" xfId="5251" applyNumberFormat="1" applyFill="1" applyAlignment="1">
      <alignment horizontal="center" wrapText="1"/>
    </xf>
    <xf numFmtId="0" fontId="122" fillId="46" borderId="64" xfId="5251" applyFill="1">
      <alignment horizontal="center" wrapText="1"/>
    </xf>
    <xf numFmtId="0" fontId="122" fillId="46" borderId="64" xfId="5251" quotePrefix="1" applyFill="1" applyAlignment="1">
      <alignment horizontal="center" wrapText="1"/>
    </xf>
    <xf numFmtId="0" fontId="0" fillId="0" borderId="170" xfId="0" applyBorder="1"/>
    <xf numFmtId="0" fontId="154" fillId="49" borderId="124" xfId="0" quotePrefix="1" applyFont="1" applyFill="1" applyBorder="1" applyAlignment="1" applyProtection="1">
      <alignment horizontal="left" vertical="center"/>
    </xf>
    <xf numFmtId="0" fontId="154" fillId="42" borderId="124" xfId="0" quotePrefix="1" applyFont="1" applyFill="1" applyBorder="1" applyAlignment="1" applyProtection="1">
      <alignment horizontal="left" vertical="center"/>
    </xf>
    <xf numFmtId="0" fontId="132" fillId="0" borderId="0" xfId="11198" applyBorder="1" applyAlignment="1">
      <alignment horizontal="left"/>
    </xf>
    <xf numFmtId="0" fontId="62" fillId="0" borderId="154" xfId="0" applyFont="1" applyBorder="1" applyAlignment="1">
      <alignment horizontal="center" vertical="center" wrapText="1"/>
    </xf>
    <xf numFmtId="0" fontId="62" fillId="0" borderId="167" xfId="0" applyFont="1" applyBorder="1" applyAlignment="1">
      <alignment horizontal="center" vertical="center" wrapText="1"/>
    </xf>
    <xf numFmtId="0" fontId="62" fillId="0" borderId="170" xfId="0" applyFont="1" applyBorder="1" applyAlignment="1">
      <alignment horizontal="center" vertical="center" wrapText="1"/>
    </xf>
    <xf numFmtId="0" fontId="62" fillId="0" borderId="0" xfId="0" applyFont="1" applyAlignment="1">
      <alignment horizontal="center" vertical="center" wrapText="1"/>
    </xf>
    <xf numFmtId="0" fontId="52" fillId="32" borderId="170" xfId="243" quotePrefix="1" applyFont="1" applyFill="1" applyBorder="1" applyAlignment="1">
      <alignment horizontal="left" vertical="center"/>
    </xf>
    <xf numFmtId="0" fontId="52" fillId="3" borderId="170" xfId="243" applyFont="1" applyFill="1" applyBorder="1" applyAlignment="1">
      <alignment vertical="center" wrapText="1"/>
    </xf>
    <xf numFmtId="0" fontId="178" fillId="2" borderId="0" xfId="0" applyFont="1" applyFill="1" applyAlignment="1">
      <alignment horizontal="center"/>
    </xf>
    <xf numFmtId="0" fontId="178" fillId="2" borderId="0" xfId="0" applyFont="1" applyFill="1"/>
    <xf numFmtId="0" fontId="128" fillId="2" borderId="0" xfId="0" quotePrefix="1" applyFont="1" applyFill="1" applyAlignment="1">
      <alignment horizontal="left" vertical="center"/>
    </xf>
    <xf numFmtId="0" fontId="52" fillId="3" borderId="143" xfId="243" applyFont="1" applyFill="1" applyBorder="1" applyAlignment="1">
      <alignment horizontal="center" vertical="center" wrapText="1"/>
    </xf>
    <xf numFmtId="0" fontId="9" fillId="2" borderId="0" xfId="1504" applyFill="1" applyAlignment="1">
      <alignment horizontal="center"/>
    </xf>
    <xf numFmtId="0" fontId="9" fillId="2" borderId="0" xfId="1504" applyFill="1"/>
    <xf numFmtId="0" fontId="59" fillId="2" borderId="0" xfId="1504" applyFont="1" applyFill="1" applyAlignment="1">
      <alignment horizontal="center"/>
    </xf>
    <xf numFmtId="0" fontId="117" fillId="2" borderId="0" xfId="0" quotePrefix="1" applyFont="1" applyFill="1" applyBorder="1" applyAlignment="1">
      <alignment horizontal="left" vertical="center"/>
    </xf>
    <xf numFmtId="0" fontId="118" fillId="0" borderId="149" xfId="1479" applyFont="1" applyBorder="1" applyAlignment="1">
      <alignment horizontal="center" vertical="center"/>
    </xf>
    <xf numFmtId="0" fontId="62" fillId="2" borderId="0" xfId="0" applyFont="1" applyFill="1" applyAlignment="1">
      <alignment vertical="center"/>
    </xf>
    <xf numFmtId="0" fontId="49" fillId="32" borderId="134" xfId="0" quotePrefix="1" applyFont="1" applyFill="1" applyBorder="1" applyAlignment="1">
      <alignment horizontal="left" vertical="center"/>
    </xf>
    <xf numFmtId="0" fontId="49" fillId="0" borderId="139" xfId="0" applyFont="1" applyFill="1" applyBorder="1" applyAlignment="1">
      <alignment horizontal="center" vertical="center"/>
    </xf>
    <xf numFmtId="0" fontId="49" fillId="0" borderId="143" xfId="0" applyFont="1" applyFill="1" applyBorder="1" applyAlignment="1">
      <alignment horizontal="center" vertical="center"/>
    </xf>
    <xf numFmtId="0" fontId="179" fillId="0" borderId="149" xfId="1479" applyFont="1" applyBorder="1" applyAlignment="1">
      <alignment horizontal="center" vertical="center"/>
    </xf>
    <xf numFmtId="0" fontId="180" fillId="0" borderId="0" xfId="1509" applyFont="1" applyAlignment="1">
      <alignment horizontal="left" vertical="center"/>
    </xf>
    <xf numFmtId="0" fontId="9" fillId="2" borderId="0" xfId="1504" applyFill="1" applyBorder="1" applyAlignment="1">
      <alignment horizontal="center"/>
    </xf>
    <xf numFmtId="0" fontId="62" fillId="0" borderId="0" xfId="0" quotePrefix="1" applyFont="1" applyAlignment="1">
      <alignment horizontal="center" vertical="center"/>
    </xf>
    <xf numFmtId="0" fontId="182" fillId="0" borderId="0" xfId="1504" applyFont="1" applyAlignment="1">
      <alignment horizontal="center" vertical="center"/>
    </xf>
    <xf numFmtId="0" fontId="182" fillId="0" borderId="0" xfId="1504" quotePrefix="1" applyFont="1" applyAlignment="1">
      <alignment horizontal="center" vertical="center"/>
    </xf>
    <xf numFmtId="0" fontId="2" fillId="0" borderId="0" xfId="1504" quotePrefix="1" applyFont="1" applyAlignment="1">
      <alignment horizontal="center" vertical="center"/>
    </xf>
    <xf numFmtId="0" fontId="133" fillId="2" borderId="0" xfId="1504" quotePrefix="1" applyFont="1" applyFill="1" applyAlignment="1">
      <alignment horizontal="left" vertical="center"/>
    </xf>
    <xf numFmtId="43" fontId="121" fillId="0" borderId="0" xfId="1504" applyNumberFormat="1" applyFont="1"/>
    <xf numFmtId="43" fontId="104" fillId="0" borderId="0" xfId="1" applyFont="1" applyAlignment="1">
      <alignment horizontal="center"/>
    </xf>
    <xf numFmtId="0" fontId="104" fillId="0" borderId="0" xfId="1503" applyFill="1" applyBorder="1" applyAlignment="1">
      <alignment horizontal="center"/>
    </xf>
    <xf numFmtId="49" fontId="104" fillId="0" borderId="0" xfId="1503" applyNumberFormat="1" applyFill="1" applyBorder="1" applyAlignment="1">
      <alignment horizontal="center" wrapText="1"/>
    </xf>
    <xf numFmtId="43" fontId="104" fillId="0" borderId="0" xfId="1503" applyNumberFormat="1" applyFill="1" applyBorder="1"/>
    <xf numFmtId="0" fontId="0" fillId="0" borderId="0" xfId="0" quotePrefix="1" applyAlignment="1">
      <alignment horizontal="center" vertical="center"/>
    </xf>
    <xf numFmtId="0" fontId="14" fillId="2" borderId="0" xfId="1479" applyFill="1" applyAlignment="1">
      <alignment horizontal="center"/>
    </xf>
    <xf numFmtId="0" fontId="62" fillId="0" borderId="149" xfId="0" quotePrefix="1" applyFont="1" applyBorder="1" applyAlignment="1">
      <alignment horizontal="center" vertical="center"/>
    </xf>
    <xf numFmtId="0" fontId="117" fillId="0" borderId="0" xfId="11198" applyFont="1" applyBorder="1" applyAlignment="1">
      <alignment horizontal="left" vertical="center"/>
    </xf>
    <xf numFmtId="0" fontId="104" fillId="0" borderId="149" xfId="1479" applyFont="1" applyFill="1" applyBorder="1" applyAlignment="1">
      <alignment horizontal="center" vertical="center"/>
    </xf>
    <xf numFmtId="0" fontId="14" fillId="2" borderId="0" xfId="1479" applyFill="1" applyBorder="1" applyAlignment="1">
      <alignment horizontal="center"/>
    </xf>
    <xf numFmtId="0" fontId="14" fillId="2" borderId="0" xfId="1479" applyFill="1" applyBorder="1"/>
    <xf numFmtId="0" fontId="104" fillId="0" borderId="149" xfId="1479" applyFont="1" applyBorder="1" applyAlignment="1">
      <alignment horizontal="center" vertical="center"/>
    </xf>
    <xf numFmtId="0" fontId="117" fillId="0" borderId="0" xfId="11198" applyFont="1" applyBorder="1" applyAlignment="1">
      <alignment horizontal="left"/>
    </xf>
    <xf numFmtId="0" fontId="117" fillId="2" borderId="0" xfId="1508" quotePrefix="1" applyFont="1" applyFill="1" applyBorder="1" applyAlignment="1">
      <alignment horizontal="left" vertical="center"/>
    </xf>
    <xf numFmtId="0" fontId="1" fillId="0" borderId="0" xfId="1479" applyFont="1" applyAlignment="1">
      <alignment horizontal="center" vertical="center"/>
    </xf>
    <xf numFmtId="0" fontId="52" fillId="3" borderId="143" xfId="243" applyFont="1" applyFill="1" applyBorder="1" applyAlignment="1">
      <alignment vertical="center"/>
    </xf>
    <xf numFmtId="0" fontId="180" fillId="0" borderId="0" xfId="1509" quotePrefix="1" applyFont="1" applyAlignment="1">
      <alignment horizontal="left" vertical="center"/>
    </xf>
    <xf numFmtId="0" fontId="59" fillId="0" borderId="0" xfId="1504" quotePrefix="1" applyFont="1" applyFill="1" applyAlignment="1">
      <alignment horizontal="left" vertical="center"/>
    </xf>
    <xf numFmtId="0" fontId="180" fillId="2" borderId="0" xfId="1505" quotePrefix="1" applyFont="1" applyFill="1" applyAlignment="1">
      <alignment vertical="center"/>
    </xf>
    <xf numFmtId="0" fontId="183" fillId="0" borderId="0" xfId="0" applyFont="1" applyFill="1" applyBorder="1" applyAlignment="1" applyProtection="1">
      <alignment vertical="center"/>
    </xf>
    <xf numFmtId="43" fontId="0" fillId="0" borderId="149" xfId="0" applyNumberFormat="1" applyBorder="1" applyProtection="1"/>
    <xf numFmtId="0" fontId="106" fillId="0" borderId="0" xfId="0" applyFont="1" applyAlignment="1">
      <alignment horizontal="center" vertical="center" wrapText="1"/>
    </xf>
    <xf numFmtId="0" fontId="106" fillId="0" borderId="0" xfId="0" quotePrefix="1" applyFont="1" applyAlignment="1">
      <alignment horizontal="center" vertical="center" wrapText="1"/>
    </xf>
    <xf numFmtId="0" fontId="128" fillId="2" borderId="0" xfId="1505" quotePrefix="1" applyFont="1" applyFill="1" applyAlignment="1">
      <alignment vertical="center"/>
    </xf>
    <xf numFmtId="0" fontId="131" fillId="0" borderId="0" xfId="1509" quotePrefix="1" applyFont="1" applyAlignment="1">
      <alignment horizontal="left" vertical="center"/>
    </xf>
    <xf numFmtId="164" fontId="121" fillId="2" borderId="0" xfId="1" applyNumberFormat="1" applyFont="1" applyFill="1" applyAlignment="1">
      <alignment vertical="center"/>
    </xf>
    <xf numFmtId="0" fontId="121" fillId="0" borderId="0" xfId="1505" applyFill="1" applyAlignment="1">
      <alignment vertical="center"/>
    </xf>
    <xf numFmtId="0" fontId="180" fillId="2" borderId="0" xfId="1505" quotePrefix="1" applyFont="1" applyFill="1" applyAlignment="1">
      <alignment horizontal="left" vertical="center"/>
    </xf>
    <xf numFmtId="0" fontId="180" fillId="2" borderId="0" xfId="1505" applyFont="1" applyFill="1" applyAlignment="1">
      <alignment horizontal="left" vertical="center"/>
    </xf>
    <xf numFmtId="0" fontId="180" fillId="0" borderId="0" xfId="1505" applyFont="1" applyFill="1" applyAlignment="1">
      <alignment horizontal="left" vertical="center"/>
    </xf>
    <xf numFmtId="0" fontId="128" fillId="0" borderId="0" xfId="1505" quotePrefix="1" applyFont="1" applyFill="1" applyAlignment="1">
      <alignment vertical="center"/>
    </xf>
    <xf numFmtId="0" fontId="49" fillId="0" borderId="124" xfId="0" quotePrefix="1" applyFont="1" applyBorder="1" applyAlignment="1">
      <alignment horizontal="center" vertical="center" wrapText="1"/>
    </xf>
    <xf numFmtId="0" fontId="49" fillId="0" borderId="170" xfId="0" quotePrefix="1" applyFont="1" applyFill="1" applyBorder="1" applyAlignment="1">
      <alignment horizontal="center" vertical="center" wrapText="1"/>
    </xf>
    <xf numFmtId="0" fontId="111" fillId="0" borderId="0" xfId="0" applyFont="1" applyAlignment="1">
      <alignment horizontal="center"/>
    </xf>
    <xf numFmtId="0" fontId="111" fillId="0" borderId="0" xfId="0" quotePrefix="1" applyFont="1" applyAlignment="1">
      <alignment horizontal="center"/>
    </xf>
    <xf numFmtId="0" fontId="126" fillId="2" borderId="0" xfId="1509" applyFill="1"/>
    <xf numFmtId="0" fontId="138" fillId="2" borderId="0" xfId="1508" quotePrefix="1" applyFont="1" applyFill="1" applyBorder="1" applyAlignment="1">
      <alignment horizontal="left" vertical="center"/>
    </xf>
    <xf numFmtId="0" fontId="121" fillId="0" borderId="149" xfId="1505" applyBorder="1"/>
    <xf numFmtId="0" fontId="121" fillId="2" borderId="0" xfId="0" applyFont="1" applyFill="1"/>
    <xf numFmtId="0" fontId="56" fillId="0" borderId="149" xfId="1512" quotePrefix="1" applyFont="1" applyFill="1" applyBorder="1" applyAlignment="1">
      <alignment horizontal="center" vertical="center" wrapText="1"/>
    </xf>
    <xf numFmtId="0" fontId="49" fillId="0" borderId="48" xfId="0" quotePrefix="1" applyFont="1" applyBorder="1" applyAlignment="1">
      <alignment horizontal="left" vertical="center" wrapText="1"/>
    </xf>
    <xf numFmtId="0" fontId="49" fillId="0" borderId="170" xfId="0" applyFont="1" applyBorder="1" applyAlignment="1">
      <alignment horizontal="center" vertical="center"/>
    </xf>
    <xf numFmtId="0" fontId="184" fillId="29" borderId="150" xfId="0" applyFont="1" applyFill="1" applyBorder="1" applyAlignment="1" applyProtection="1">
      <alignment horizontal="left"/>
    </xf>
    <xf numFmtId="0" fontId="185" fillId="29" borderId="136" xfId="0" applyFont="1" applyFill="1" applyBorder="1" applyAlignment="1" applyProtection="1">
      <alignment vertical="center" wrapText="1"/>
    </xf>
    <xf numFmtId="14" fontId="185" fillId="29" borderId="17" xfId="0" applyNumberFormat="1" applyFont="1" applyFill="1" applyBorder="1" applyAlignment="1" applyProtection="1">
      <alignment horizontal="centerContinuous" vertical="center"/>
    </xf>
    <xf numFmtId="0" fontId="185" fillId="29" borderId="17" xfId="0" applyFont="1" applyFill="1" applyBorder="1" applyAlignment="1" applyProtection="1">
      <alignment vertical="center" wrapText="1"/>
    </xf>
    <xf numFmtId="14" fontId="185" fillId="29" borderId="17" xfId="0" applyNumberFormat="1" applyFont="1" applyFill="1" applyBorder="1" applyAlignment="1" applyProtection="1">
      <alignment vertical="center"/>
    </xf>
    <xf numFmtId="0" fontId="185" fillId="29" borderId="17" xfId="0" applyFont="1" applyFill="1" applyBorder="1" applyAlignment="1" applyProtection="1">
      <alignment horizontal="centerContinuous" vertical="center" wrapText="1"/>
    </xf>
    <xf numFmtId="0" fontId="185" fillId="29" borderId="129" xfId="0" applyFont="1" applyFill="1" applyBorder="1" applyAlignment="1" applyProtection="1">
      <alignment horizontal="centerContinuous" vertical="center" wrapText="1"/>
    </xf>
    <xf numFmtId="0" fontId="56" fillId="36" borderId="126" xfId="0" applyFont="1" applyFill="1" applyBorder="1" applyAlignment="1">
      <alignment horizontal="left"/>
    </xf>
    <xf numFmtId="0" fontId="53" fillId="36" borderId="128" xfId="0" applyFont="1" applyFill="1" applyBorder="1" applyAlignment="1" applyProtection="1">
      <alignment horizontal="center" vertical="center"/>
    </xf>
    <xf numFmtId="0" fontId="53" fillId="36" borderId="127" xfId="0" applyFont="1" applyFill="1" applyBorder="1" applyAlignment="1" applyProtection="1">
      <alignment horizontal="center" vertical="center"/>
    </xf>
    <xf numFmtId="0" fontId="56" fillId="36" borderId="4" xfId="0" applyFont="1" applyFill="1" applyBorder="1" applyAlignment="1" applyProtection="1">
      <alignment vertical="center" wrapText="1"/>
    </xf>
    <xf numFmtId="164" fontId="56" fillId="36" borderId="150" xfId="1" applyNumberFormat="1" applyFont="1" applyFill="1" applyBorder="1" applyAlignment="1" applyProtection="1">
      <alignment vertical="center" wrapText="1"/>
    </xf>
    <xf numFmtId="164" fontId="56" fillId="36" borderId="5" xfId="1" applyNumberFormat="1" applyFont="1" applyFill="1" applyBorder="1" applyAlignment="1" applyProtection="1">
      <alignment vertical="center" wrapText="1"/>
    </xf>
    <xf numFmtId="0" fontId="116" fillId="36" borderId="136" xfId="0" applyFont="1" applyFill="1" applyBorder="1" applyAlignment="1" applyProtection="1">
      <alignment horizontal="center"/>
    </xf>
    <xf numFmtId="0" fontId="117" fillId="36" borderId="17" xfId="0" quotePrefix="1" applyFont="1" applyFill="1" applyBorder="1" applyAlignment="1" applyProtection="1">
      <alignment horizontal="left"/>
    </xf>
    <xf numFmtId="0" fontId="53" fillId="36" borderId="17" xfId="0" applyFont="1" applyFill="1" applyBorder="1" applyProtection="1"/>
    <xf numFmtId="0" fontId="52" fillId="36" borderId="17" xfId="0" applyFont="1" applyFill="1" applyBorder="1" applyProtection="1"/>
    <xf numFmtId="0" fontId="0" fillId="36" borderId="36" xfId="0" applyFill="1" applyBorder="1" applyProtection="1"/>
    <xf numFmtId="0" fontId="116" fillId="36" borderId="37" xfId="0" applyFont="1" applyFill="1" applyBorder="1" applyAlignment="1" applyProtection="1">
      <alignment horizontal="center"/>
    </xf>
    <xf numFmtId="0" fontId="117" fillId="36" borderId="0" xfId="0" applyFont="1" applyFill="1" applyBorder="1" applyAlignment="1" applyProtection="1">
      <alignment horizontal="left"/>
    </xf>
    <xf numFmtId="0" fontId="53" fillId="36" borderId="0" xfId="0" applyFont="1" applyFill="1" applyBorder="1" applyProtection="1"/>
    <xf numFmtId="0" fontId="52" fillId="36" borderId="0" xfId="0" applyFont="1" applyFill="1" applyBorder="1" applyProtection="1"/>
    <xf numFmtId="0" fontId="160" fillId="36" borderId="37" xfId="0" applyFont="1" applyFill="1" applyBorder="1" applyAlignment="1" applyProtection="1">
      <alignment horizontal="center"/>
    </xf>
    <xf numFmtId="0" fontId="59" fillId="36" borderId="126" xfId="0" applyFont="1" applyFill="1" applyBorder="1" applyAlignment="1" applyProtection="1">
      <alignment horizontal="center"/>
    </xf>
    <xf numFmtId="0" fontId="52" fillId="36" borderId="36" xfId="0" applyFont="1" applyFill="1" applyBorder="1" applyProtection="1"/>
    <xf numFmtId="0" fontId="59" fillId="36" borderId="127" xfId="0" applyFont="1" applyFill="1" applyBorder="1" applyProtection="1"/>
    <xf numFmtId="0" fontId="59" fillId="36" borderId="65" xfId="0" applyFont="1" applyFill="1" applyBorder="1" applyProtection="1"/>
    <xf numFmtId="43" fontId="59" fillId="36" borderId="65" xfId="0" applyNumberFormat="1" applyFont="1" applyFill="1" applyBorder="1" applyProtection="1"/>
    <xf numFmtId="0" fontId="56" fillId="36" borderId="4" xfId="0" applyFont="1" applyFill="1" applyBorder="1" applyAlignment="1" applyProtection="1"/>
    <xf numFmtId="0" fontId="56" fillId="36" borderId="135" xfId="0" applyFont="1" applyFill="1" applyBorder="1" applyAlignment="1" applyProtection="1"/>
    <xf numFmtId="0" fontId="56" fillId="36" borderId="135" xfId="0" applyFont="1" applyFill="1" applyBorder="1" applyAlignment="1" applyProtection="1">
      <alignment horizontal="left"/>
    </xf>
    <xf numFmtId="0" fontId="56" fillId="36" borderId="135" xfId="0" applyFont="1" applyFill="1" applyBorder="1" applyAlignment="1" applyProtection="1">
      <alignment horizontal="center"/>
    </xf>
    <xf numFmtId="0" fontId="56" fillId="36" borderId="5" xfId="0" applyFont="1" applyFill="1" applyBorder="1" applyAlignment="1" applyProtection="1">
      <alignment horizontal="center"/>
    </xf>
    <xf numFmtId="0" fontId="172" fillId="29" borderId="23" xfId="0" applyNumberFormat="1" applyFont="1" applyFill="1" applyBorder="1" applyAlignment="1" applyProtection="1">
      <alignment vertical="center"/>
    </xf>
    <xf numFmtId="0" fontId="172" fillId="29" borderId="1" xfId="0" applyNumberFormat="1" applyFont="1" applyFill="1" applyBorder="1" applyAlignment="1" applyProtection="1">
      <alignment vertical="center"/>
    </xf>
    <xf numFmtId="0" fontId="172" fillId="29" borderId="1" xfId="0" applyNumberFormat="1" applyFont="1" applyFill="1" applyBorder="1" applyAlignment="1" applyProtection="1">
      <alignment horizontal="left" vertical="center"/>
    </xf>
    <xf numFmtId="165" fontId="177" fillId="29" borderId="1" xfId="0" applyNumberFormat="1" applyFont="1" applyFill="1" applyBorder="1" applyAlignment="1" applyProtection="1">
      <alignment horizontal="right" vertical="center"/>
    </xf>
    <xf numFmtId="165" fontId="177" fillId="29" borderId="22" xfId="0" applyNumberFormat="1" applyFont="1" applyFill="1" applyBorder="1" applyAlignment="1" applyProtection="1">
      <alignment horizontal="right" vertical="center"/>
    </xf>
    <xf numFmtId="0" fontId="0" fillId="0" borderId="0" xfId="0" applyAlignment="1" applyProtection="1">
      <alignment vertical="center"/>
    </xf>
    <xf numFmtId="0" fontId="53" fillId="36" borderId="126" xfId="0" applyFont="1" applyFill="1" applyBorder="1" applyAlignment="1" applyProtection="1">
      <alignment vertical="center" wrapText="1"/>
    </xf>
    <xf numFmtId="164" fontId="56" fillId="36" borderId="128" xfId="1" applyNumberFormat="1" applyFont="1" applyFill="1" applyBorder="1" applyAlignment="1" applyProtection="1">
      <alignment vertical="center" wrapText="1"/>
    </xf>
    <xf numFmtId="164" fontId="56" fillId="36" borderId="127" xfId="1" applyNumberFormat="1" applyFont="1" applyFill="1" applyBorder="1" applyAlignment="1" applyProtection="1">
      <alignment vertical="center" wrapText="1"/>
    </xf>
    <xf numFmtId="0" fontId="56" fillId="36" borderId="4" xfId="0" quotePrefix="1" applyFont="1" applyFill="1" applyBorder="1" applyAlignment="1" applyProtection="1">
      <alignment horizontal="left" vertical="center" wrapText="1"/>
    </xf>
    <xf numFmtId="164" fontId="56" fillId="36" borderId="135" xfId="1" applyNumberFormat="1" applyFont="1" applyFill="1" applyBorder="1" applyAlignment="1" applyProtection="1">
      <alignment vertical="center" wrapText="1"/>
    </xf>
    <xf numFmtId="0" fontId="49" fillId="0" borderId="124" xfId="0" applyFont="1" applyBorder="1" applyAlignment="1">
      <alignment horizontal="center" vertical="center"/>
    </xf>
    <xf numFmtId="0" fontId="52" fillId="0" borderId="0" xfId="0" quotePrefix="1" applyFont="1" applyFill="1" applyBorder="1" applyAlignment="1" applyProtection="1">
      <alignment horizontal="left" vertical="center"/>
    </xf>
    <xf numFmtId="167" fontId="52" fillId="0" borderId="0" xfId="417" applyNumberFormat="1" applyFont="1" applyFill="1" applyBorder="1" applyAlignment="1" applyProtection="1">
      <alignment horizontal="center"/>
    </xf>
    <xf numFmtId="0" fontId="62" fillId="0" borderId="170" xfId="0" quotePrefix="1" applyFont="1" applyBorder="1" applyAlignment="1">
      <alignment horizontal="center" vertical="center" wrapText="1"/>
    </xf>
    <xf numFmtId="0" fontId="117" fillId="0" borderId="0" xfId="0" applyFont="1" applyFill="1" applyProtection="1"/>
    <xf numFmtId="0" fontId="107" fillId="29" borderId="0" xfId="0" applyFont="1" applyFill="1" applyAlignment="1" applyProtection="1">
      <alignment horizontal="center"/>
      <protection locked="0"/>
    </xf>
    <xf numFmtId="0" fontId="107" fillId="0" borderId="0" xfId="0" applyFont="1" applyFill="1" applyProtection="1"/>
    <xf numFmtId="0" fontId="172" fillId="0" borderId="0" xfId="0" applyFont="1" applyFill="1" applyBorder="1" applyAlignment="1" applyProtection="1">
      <alignment vertic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vertical="center"/>
    </xf>
    <xf numFmtId="0" fontId="52" fillId="0" borderId="0" xfId="0" applyFont="1" applyFill="1" applyAlignment="1" applyProtection="1">
      <alignment vertical="center"/>
    </xf>
    <xf numFmtId="0" fontId="59" fillId="0" borderId="37" xfId="0" applyFont="1" applyFill="1" applyBorder="1" applyAlignment="1" applyProtection="1">
      <alignment vertical="center"/>
    </xf>
    <xf numFmtId="0" fontId="59" fillId="0" borderId="37" xfId="0" applyFont="1" applyFill="1" applyBorder="1" applyProtection="1"/>
    <xf numFmtId="0" fontId="172" fillId="0" borderId="37" xfId="0" applyFont="1" applyFill="1" applyBorder="1" applyAlignment="1" applyProtection="1">
      <alignment vertical="center"/>
    </xf>
    <xf numFmtId="0" fontId="113" fillId="0" borderId="0" xfId="0" quotePrefix="1" applyFont="1" applyFill="1" applyBorder="1" applyAlignment="1" applyProtection="1">
      <alignment horizontal="left" vertical="center" wrapText="1"/>
    </xf>
    <xf numFmtId="0" fontId="168" fillId="0" borderId="0" xfId="0" applyFont="1" applyFill="1" applyAlignment="1" applyProtection="1">
      <alignment horizontal="center" vertical="center"/>
      <protection locked="0"/>
    </xf>
    <xf numFmtId="0" fontId="54" fillId="0" borderId="37" xfId="0" quotePrefix="1" applyFont="1" applyBorder="1" applyAlignment="1">
      <alignment horizontal="left"/>
    </xf>
    <xf numFmtId="164" fontId="138" fillId="0" borderId="0" xfId="1" applyNumberFormat="1" applyFont="1" applyAlignment="1">
      <alignment horizontal="center"/>
    </xf>
    <xf numFmtId="167" fontId="53" fillId="36" borderId="150" xfId="417" applyNumberFormat="1" applyFont="1" applyFill="1" applyBorder="1" applyAlignment="1" applyProtection="1">
      <alignment horizontal="right" vertical="center"/>
    </xf>
    <xf numFmtId="0" fontId="117" fillId="27" borderId="0" xfId="0" applyFont="1" applyFill="1" applyBorder="1" applyProtection="1"/>
    <xf numFmtId="0" fontId="53" fillId="27" borderId="0" xfId="0" applyFont="1" applyFill="1" applyBorder="1" applyProtection="1"/>
    <xf numFmtId="0" fontId="52" fillId="27" borderId="0" xfId="0" applyFont="1" applyFill="1" applyBorder="1" applyProtection="1"/>
    <xf numFmtId="0" fontId="117" fillId="36" borderId="17" xfId="0" applyFont="1" applyFill="1" applyBorder="1" applyProtection="1"/>
    <xf numFmtId="0" fontId="0" fillId="36" borderId="36" xfId="0" applyFont="1" applyFill="1" applyBorder="1" applyProtection="1"/>
    <xf numFmtId="0" fontId="56" fillId="27" borderId="4" xfId="0" applyFont="1" applyFill="1" applyBorder="1" applyAlignment="1" applyProtection="1">
      <alignment horizontal="center" vertical="center"/>
    </xf>
    <xf numFmtId="0" fontId="117" fillId="27" borderId="150" xfId="0" applyFont="1" applyFill="1" applyBorder="1" applyAlignment="1" applyProtection="1">
      <alignment horizontal="center" vertical="center"/>
    </xf>
    <xf numFmtId="0" fontId="117" fillId="27" borderId="150" xfId="0" applyFont="1" applyFill="1" applyBorder="1" applyAlignment="1" applyProtection="1">
      <alignment vertical="center"/>
    </xf>
    <xf numFmtId="0" fontId="52" fillId="27" borderId="150" xfId="0" applyFont="1" applyFill="1" applyBorder="1" applyAlignment="1" applyProtection="1">
      <alignment vertical="center"/>
    </xf>
    <xf numFmtId="41" fontId="170" fillId="27" borderId="5" xfId="0" applyNumberFormat="1" applyFont="1" applyFill="1" applyBorder="1" applyAlignment="1" applyProtection="1">
      <alignment vertical="center"/>
    </xf>
    <xf numFmtId="44" fontId="53" fillId="36" borderId="0" xfId="417" applyFont="1" applyFill="1" applyBorder="1" applyProtection="1"/>
    <xf numFmtId="0" fontId="49" fillId="0" borderId="124" xfId="0" applyFont="1" applyBorder="1" applyAlignment="1">
      <alignment horizontal="center" vertical="center"/>
    </xf>
    <xf numFmtId="0" fontId="56" fillId="0" borderId="0" xfId="0" quotePrefix="1" applyFont="1" applyAlignment="1" applyProtection="1">
      <alignment horizontal="left" vertical="center"/>
    </xf>
    <xf numFmtId="169" fontId="59" fillId="31" borderId="124" xfId="2" applyNumberFormat="1" applyFont="1" applyFill="1" applyBorder="1" applyAlignment="1" applyProtection="1">
      <alignment horizontal="center" vertical="center"/>
      <protection locked="0"/>
    </xf>
    <xf numFmtId="0" fontId="52" fillId="3" borderId="145" xfId="243" applyFont="1" applyFill="1" applyBorder="1" applyAlignment="1">
      <alignment horizontal="center" vertical="center" wrapText="1"/>
    </xf>
    <xf numFmtId="0" fontId="104" fillId="0" borderId="131" xfId="0" quotePrefix="1" applyFont="1" applyBorder="1" applyAlignment="1">
      <alignment horizontal="center" vertical="center" wrapText="1"/>
    </xf>
    <xf numFmtId="0" fontId="57" fillId="0" borderId="0" xfId="0" quotePrefix="1" applyFont="1" applyFill="1" applyBorder="1" applyAlignment="1" applyProtection="1">
      <alignment horizontal="left" vertical="center"/>
    </xf>
    <xf numFmtId="0" fontId="153" fillId="0" borderId="0" xfId="1429" applyFont="1" applyFill="1" applyBorder="1" applyAlignment="1" applyProtection="1">
      <alignment vertical="center" wrapText="1"/>
    </xf>
    <xf numFmtId="0" fontId="54" fillId="0" borderId="0" xfId="0" applyFont="1" applyFill="1" applyBorder="1" applyProtection="1"/>
    <xf numFmtId="0" fontId="52" fillId="31" borderId="143" xfId="243" applyFont="1" applyFill="1" applyBorder="1" applyAlignment="1">
      <alignment horizontal="center" vertical="center"/>
    </xf>
    <xf numFmtId="0" fontId="52" fillId="31" borderId="170" xfId="243" applyFont="1" applyFill="1" applyBorder="1" applyAlignment="1">
      <alignment horizontal="center" vertical="center"/>
    </xf>
    <xf numFmtId="0" fontId="52" fillId="31" borderId="143" xfId="243" quotePrefix="1" applyFont="1" applyFill="1" applyBorder="1" applyAlignment="1">
      <alignment horizontal="center" vertical="center"/>
    </xf>
    <xf numFmtId="0" fontId="57" fillId="32" borderId="143" xfId="243" quotePrefix="1" applyFont="1" applyFill="1" applyBorder="1" applyAlignment="1">
      <alignment horizontal="center" vertical="center"/>
    </xf>
    <xf numFmtId="0" fontId="57" fillId="32" borderId="143" xfId="243" applyFont="1" applyFill="1" applyBorder="1" applyAlignment="1">
      <alignment horizontal="center" vertical="center"/>
    </xf>
    <xf numFmtId="0" fontId="121" fillId="0" borderId="46" xfId="0" applyFont="1" applyBorder="1" applyAlignment="1">
      <alignment horizontal="left" wrapText="1"/>
    </xf>
    <xf numFmtId="0" fontId="132" fillId="0" borderId="84" xfId="11198" quotePrefix="1" applyAlignment="1">
      <alignment horizontal="left"/>
    </xf>
    <xf numFmtId="44" fontId="111" fillId="0" borderId="0" xfId="417" applyFont="1"/>
    <xf numFmtId="43" fontId="111" fillId="0" borderId="0" xfId="1" applyFont="1"/>
    <xf numFmtId="0" fontId="134" fillId="0" borderId="0" xfId="0" applyFont="1"/>
    <xf numFmtId="164" fontId="138" fillId="28" borderId="124" xfId="26746" quotePrefix="1" applyNumberFormat="1" applyFont="1" applyAlignment="1">
      <alignment horizontal="center" wrapText="1"/>
    </xf>
    <xf numFmtId="164" fontId="122" fillId="28" borderId="124" xfId="0" quotePrefix="1" applyNumberFormat="1" applyFont="1" applyFill="1" applyBorder="1" applyAlignment="1">
      <alignment horizontal="center" vertical="center" wrapText="1"/>
    </xf>
    <xf numFmtId="164" fontId="122" fillId="28" borderId="124" xfId="0" quotePrefix="1" applyNumberFormat="1" applyFont="1" applyFill="1" applyBorder="1" applyAlignment="1">
      <alignment horizontal="center" wrapText="1"/>
    </xf>
    <xf numFmtId="175" fontId="121" fillId="0" borderId="0" xfId="0" applyNumberFormat="1" applyFont="1" applyAlignment="1">
      <alignment horizontal="right" wrapText="1"/>
    </xf>
    <xf numFmtId="41" fontId="62" fillId="0" borderId="0" xfId="0" applyNumberFormat="1" applyFont="1"/>
    <xf numFmtId="0" fontId="134" fillId="0" borderId="0" xfId="0" applyFont="1" applyAlignment="1">
      <alignment horizontal="center"/>
    </xf>
    <xf numFmtId="0" fontId="0" fillId="0" borderId="174" xfId="0" applyBorder="1" applyAlignment="1">
      <alignment wrapText="1"/>
    </xf>
    <xf numFmtId="41" fontId="0" fillId="0" borderId="174" xfId="1511" applyNumberFormat="1" applyFont="1" applyBorder="1" applyAlignment="1">
      <alignment wrapText="1"/>
    </xf>
    <xf numFmtId="0" fontId="122" fillId="30" borderId="154" xfId="5251" quotePrefix="1" applyFill="1" applyBorder="1" applyAlignment="1">
      <alignment horizontal="center" wrapText="1"/>
    </xf>
    <xf numFmtId="0" fontId="111" fillId="0" borderId="0" xfId="1504" quotePrefix="1" applyFont="1" applyAlignment="1">
      <alignment horizontal="left"/>
    </xf>
    <xf numFmtId="0" fontId="14" fillId="2" borderId="0" xfId="1479" applyFill="1"/>
    <xf numFmtId="0" fontId="0" fillId="0" borderId="66" xfId="0" applyBorder="1"/>
    <xf numFmtId="43" fontId="0" fillId="0" borderId="66" xfId="0" applyNumberFormat="1" applyBorder="1"/>
    <xf numFmtId="44" fontId="0" fillId="0" borderId="66" xfId="0" applyNumberFormat="1" applyBorder="1"/>
    <xf numFmtId="42" fontId="0" fillId="0" borderId="66" xfId="0" applyNumberFormat="1" applyBorder="1"/>
    <xf numFmtId="43" fontId="104" fillId="0" borderId="0" xfId="1479" applyNumberFormat="1" applyFont="1" applyAlignment="1">
      <alignment horizontal="center"/>
    </xf>
    <xf numFmtId="0" fontId="118" fillId="2" borderId="0" xfId="0" quotePrefix="1" applyFont="1" applyFill="1" applyBorder="1" applyAlignment="1">
      <alignment horizontal="left" vertical="center"/>
    </xf>
    <xf numFmtId="0" fontId="122" fillId="46" borderId="64" xfId="5251" applyFill="1" applyAlignment="1">
      <alignment horizontal="center" wrapText="1"/>
    </xf>
    <xf numFmtId="0" fontId="135" fillId="2" borderId="0" xfId="0" quotePrefix="1" applyFont="1" applyFill="1" applyAlignment="1">
      <alignment horizontal="left"/>
    </xf>
    <xf numFmtId="0" fontId="111" fillId="0" borderId="0" xfId="0" applyFont="1"/>
    <xf numFmtId="0" fontId="180" fillId="2" borderId="0" xfId="0" quotePrefix="1" applyFont="1" applyFill="1" applyAlignment="1">
      <alignment horizontal="left"/>
    </xf>
    <xf numFmtId="43" fontId="121" fillId="0" borderId="46" xfId="0" applyNumberFormat="1" applyFont="1" applyBorder="1" applyAlignment="1">
      <alignment horizontal="right" wrapText="1"/>
    </xf>
    <xf numFmtId="42" fontId="121" fillId="0" borderId="0" xfId="0" applyNumberFormat="1" applyFont="1" applyAlignment="1">
      <alignment horizontal="right" wrapText="1"/>
    </xf>
    <xf numFmtId="170" fontId="121" fillId="0" borderId="46" xfId="0" applyNumberFormat="1" applyFont="1" applyBorder="1" applyAlignment="1">
      <alignment horizontal="right" wrapText="1"/>
    </xf>
    <xf numFmtId="41" fontId="121" fillId="0" borderId="0" xfId="0" applyNumberFormat="1" applyFont="1" applyAlignment="1">
      <alignment horizontal="right" wrapText="1"/>
    </xf>
    <xf numFmtId="43" fontId="111" fillId="0" borderId="0" xfId="1505" applyNumberFormat="1" applyFont="1"/>
    <xf numFmtId="0" fontId="49" fillId="0" borderId="170" xfId="0" quotePrefix="1" applyFont="1" applyBorder="1" applyAlignment="1">
      <alignment horizontal="center"/>
    </xf>
    <xf numFmtId="43" fontId="62" fillId="0" borderId="169" xfId="0" quotePrefix="1" applyNumberFormat="1" applyFont="1" applyBorder="1" applyAlignment="1">
      <alignment horizontal="center" wrapText="1"/>
    </xf>
    <xf numFmtId="43" fontId="62" fillId="0" borderId="170" xfId="0" quotePrefix="1" applyNumberFormat="1" applyFont="1" applyBorder="1" applyAlignment="1">
      <alignment horizontal="center" wrapText="1"/>
    </xf>
    <xf numFmtId="43" fontId="49" fillId="42" borderId="170" xfId="0" applyNumberFormat="1" applyFont="1" applyFill="1" applyBorder="1" applyAlignment="1">
      <alignment horizontal="center" wrapText="1"/>
    </xf>
    <xf numFmtId="0" fontId="49" fillId="0" borderId="0" xfId="0" quotePrefix="1" applyFont="1" applyAlignment="1">
      <alignment horizontal="center" wrapText="1"/>
    </xf>
    <xf numFmtId="0" fontId="52" fillId="0" borderId="0" xfId="0" quotePrefix="1" applyFont="1" applyAlignment="1" applyProtection="1">
      <alignment horizontal="left"/>
    </xf>
    <xf numFmtId="0" fontId="49" fillId="48" borderId="170" xfId="0" applyFont="1" applyFill="1" applyBorder="1" applyAlignment="1">
      <alignment horizontal="center" wrapText="1"/>
    </xf>
    <xf numFmtId="44" fontId="52" fillId="0" borderId="0" xfId="417" applyFont="1" applyProtection="1">
      <protection locked="0"/>
    </xf>
    <xf numFmtId="0" fontId="53" fillId="36" borderId="150" xfId="0" applyFont="1" applyFill="1" applyBorder="1" applyAlignment="1" applyProtection="1">
      <alignment horizontal="center" vertical="center"/>
    </xf>
    <xf numFmtId="43" fontId="49" fillId="0" borderId="0" xfId="0" applyNumberFormat="1" applyFont="1"/>
    <xf numFmtId="0" fontId="62" fillId="2" borderId="0" xfId="0" quotePrefix="1" applyFont="1" applyFill="1" applyAlignment="1">
      <alignment horizontal="left"/>
    </xf>
    <xf numFmtId="0" fontId="134" fillId="0" borderId="0" xfId="0" quotePrefix="1" applyFont="1" applyAlignment="1">
      <alignment horizontal="left"/>
    </xf>
    <xf numFmtId="0" fontId="62" fillId="0" borderId="0" xfId="0" applyFont="1"/>
    <xf numFmtId="0" fontId="52" fillId="32" borderId="143" xfId="243" applyFont="1" applyFill="1" applyBorder="1" applyAlignment="1">
      <alignment vertical="center" wrapText="1"/>
    </xf>
    <xf numFmtId="14" fontId="56" fillId="0" borderId="0" xfId="0" applyNumberFormat="1" applyFont="1" applyBorder="1" applyProtection="1"/>
    <xf numFmtId="0" fontId="107" fillId="29" borderId="0" xfId="0" applyFont="1" applyFill="1" applyAlignment="1" applyProtection="1">
      <alignment horizontal="center"/>
    </xf>
    <xf numFmtId="0" fontId="52" fillId="0" borderId="0" xfId="0" quotePrefix="1" applyFont="1" applyAlignment="1" applyProtection="1">
      <alignment horizontal="left" vertical="center"/>
    </xf>
    <xf numFmtId="0" fontId="116" fillId="0" borderId="128" xfId="0" applyFont="1" applyFill="1" applyBorder="1" applyAlignment="1" applyProtection="1">
      <alignment vertical="center"/>
    </xf>
    <xf numFmtId="0" fontId="59" fillId="0" borderId="128" xfId="0" quotePrefix="1" applyFont="1" applyBorder="1" applyAlignment="1" applyProtection="1">
      <alignment horizontal="left" indent="2"/>
    </xf>
    <xf numFmtId="0" fontId="147" fillId="0" borderId="128" xfId="0" applyFont="1" applyFill="1" applyBorder="1" applyAlignment="1" applyProtection="1">
      <alignment horizontal="center" vertical="center"/>
    </xf>
    <xf numFmtId="0" fontId="59" fillId="0" borderId="128" xfId="0" applyFont="1" applyFill="1" applyBorder="1" applyAlignment="1" applyProtection="1">
      <alignment horizontal="right"/>
    </xf>
    <xf numFmtId="0" fontId="59" fillId="0" borderId="128" xfId="0" applyFont="1" applyBorder="1" applyAlignment="1" applyProtection="1"/>
    <xf numFmtId="43" fontId="59" fillId="0" borderId="128" xfId="1" applyFont="1" applyFill="1" applyBorder="1" applyProtection="1"/>
    <xf numFmtId="0" fontId="56" fillId="0" borderId="0" xfId="0" applyFont="1" applyFill="1" applyBorder="1" applyAlignment="1" applyProtection="1">
      <alignment horizontal="left" vertical="center" indent="1"/>
      <protection locked="0"/>
    </xf>
    <xf numFmtId="0" fontId="57" fillId="0" borderId="0" xfId="0" quotePrefix="1" applyFont="1" applyAlignment="1" applyProtection="1">
      <alignment horizontal="left"/>
    </xf>
    <xf numFmtId="0" fontId="57" fillId="0" borderId="0" xfId="0" applyFont="1" applyProtection="1"/>
    <xf numFmtId="0" fontId="57" fillId="0" borderId="0" xfId="0" applyFont="1" applyFill="1" applyProtection="1"/>
    <xf numFmtId="167" fontId="52" fillId="0" borderId="0" xfId="417" applyNumberFormat="1" applyFont="1" applyProtection="1"/>
    <xf numFmtId="0" fontId="57" fillId="0" borderId="0" xfId="0" quotePrefix="1" applyFont="1" applyFill="1" applyAlignment="1" applyProtection="1">
      <alignment horizontal="left"/>
    </xf>
    <xf numFmtId="164" fontId="52" fillId="0" borderId="0" xfId="1" applyNumberFormat="1" applyFont="1" applyProtection="1"/>
    <xf numFmtId="9" fontId="52" fillId="0" borderId="0" xfId="2" applyFont="1" applyProtection="1"/>
    <xf numFmtId="1" fontId="52" fillId="0" borderId="0" xfId="0" applyNumberFormat="1" applyFont="1" applyProtection="1"/>
    <xf numFmtId="164" fontId="52" fillId="0" borderId="0" xfId="1" applyNumberFormat="1" applyFont="1" applyFill="1" applyProtection="1"/>
    <xf numFmtId="43" fontId="52" fillId="0" borderId="0" xfId="1" applyFont="1" applyBorder="1" applyProtection="1"/>
    <xf numFmtId="0" fontId="123" fillId="0" borderId="0" xfId="0" applyFont="1" applyFill="1" applyBorder="1" applyProtection="1">
      <protection locked="0"/>
    </xf>
    <xf numFmtId="0" fontId="52" fillId="0" borderId="136" xfId="0" applyFont="1" applyBorder="1"/>
    <xf numFmtId="0" fontId="54" fillId="0" borderId="37" xfId="0" applyFont="1" applyFill="1" applyBorder="1"/>
    <xf numFmtId="43" fontId="53" fillId="36" borderId="170" xfId="1" quotePrefix="1" applyFont="1" applyFill="1" applyBorder="1" applyAlignment="1" applyProtection="1">
      <alignment horizontal="center" vertical="center"/>
    </xf>
    <xf numFmtId="0" fontId="171" fillId="0" borderId="0" xfId="0" quotePrefix="1" applyFont="1" applyAlignment="1" applyProtection="1">
      <alignment horizontal="left"/>
      <protection locked="0"/>
    </xf>
    <xf numFmtId="0" fontId="171" fillId="0" borderId="0" xfId="0" quotePrefix="1" applyFont="1" applyAlignment="1" applyProtection="1">
      <alignment horizontal="left" wrapText="1"/>
      <protection locked="0"/>
    </xf>
    <xf numFmtId="0" fontId="53" fillId="0" borderId="0" xfId="0" applyFont="1" applyFill="1" applyBorder="1" applyProtection="1">
      <protection locked="0"/>
    </xf>
    <xf numFmtId="167" fontId="53" fillId="0" borderId="0" xfId="417" applyNumberFormat="1" applyFont="1" applyFill="1" applyBorder="1" applyProtection="1">
      <protection locked="0"/>
    </xf>
    <xf numFmtId="0" fontId="151" fillId="0" borderId="0" xfId="1429" quotePrefix="1" applyFont="1" applyAlignment="1" applyProtection="1">
      <alignment horizontal="left" vertical="center" wrapText="1"/>
      <protection locked="0"/>
    </xf>
    <xf numFmtId="43" fontId="49" fillId="0" borderId="0" xfId="0" applyNumberFormat="1" applyFont="1" applyBorder="1" applyProtection="1"/>
    <xf numFmtId="0" fontId="113" fillId="0" borderId="37" xfId="0" quotePrefix="1" applyFont="1" applyFill="1" applyBorder="1" applyAlignment="1" applyProtection="1">
      <alignment horizontal="left" vertical="center"/>
    </xf>
    <xf numFmtId="0" fontId="56" fillId="0" borderId="0" xfId="0" applyFont="1" applyFill="1" applyBorder="1" applyAlignment="1" applyProtection="1">
      <alignment horizontal="left" vertical="center"/>
    </xf>
    <xf numFmtId="0" fontId="56" fillId="0" borderId="0" xfId="0" applyFont="1" applyFill="1" applyBorder="1" applyAlignment="1" applyProtection="1">
      <alignment horizontal="center" vertical="center"/>
    </xf>
    <xf numFmtId="0" fontId="59" fillId="0" borderId="36" xfId="0" applyFont="1" applyFill="1" applyBorder="1" applyAlignment="1" applyProtection="1">
      <alignment vertical="center"/>
    </xf>
    <xf numFmtId="0" fontId="52" fillId="0" borderId="0" xfId="0" quotePrefix="1" applyFont="1" applyFill="1" applyBorder="1" applyAlignment="1" applyProtection="1">
      <alignment horizontal="left" vertical="center"/>
      <protection locked="0"/>
    </xf>
    <xf numFmtId="0" fontId="53" fillId="0" borderId="37" xfId="0" applyFont="1" applyBorder="1" applyAlignment="1" applyProtection="1">
      <alignment horizontal="left" vertical="center" indent="3"/>
    </xf>
    <xf numFmtId="0" fontId="62" fillId="0" borderId="124" xfId="0" quotePrefix="1" applyFont="1" applyBorder="1" applyAlignment="1">
      <alignment horizontal="center" vertical="center" wrapText="1"/>
    </xf>
    <xf numFmtId="0" fontId="122" fillId="46" borderId="64" xfId="5251" quotePrefix="1" applyNumberFormat="1" applyFill="1" applyAlignment="1">
      <alignment horizontal="center" wrapText="1"/>
    </xf>
    <xf numFmtId="43" fontId="121" fillId="0" borderId="86" xfId="1" applyFont="1" applyBorder="1"/>
    <xf numFmtId="167" fontId="53" fillId="0" borderId="175" xfId="417" applyNumberFormat="1" applyFont="1" applyFill="1" applyBorder="1" applyAlignment="1" applyProtection="1">
      <alignment shrinkToFit="1"/>
    </xf>
    <xf numFmtId="0" fontId="125" fillId="0" borderId="83" xfId="0" quotePrefix="1" applyFont="1" applyBorder="1" applyAlignment="1">
      <alignment horizontal="left" vertical="top" wrapText="1"/>
    </xf>
    <xf numFmtId="0" fontId="119" fillId="0" borderId="0" xfId="0" quotePrefix="1" applyFont="1" applyFill="1" applyBorder="1" applyAlignment="1" applyProtection="1">
      <alignment horizontal="right" vertical="center"/>
    </xf>
    <xf numFmtId="43" fontId="59" fillId="0" borderId="65" xfId="0" applyNumberFormat="1" applyFont="1" applyBorder="1" applyProtection="1"/>
    <xf numFmtId="0" fontId="59" fillId="0" borderId="0" xfId="0" quotePrefix="1" applyFont="1" applyAlignment="1" applyProtection="1">
      <alignment horizontal="left"/>
    </xf>
    <xf numFmtId="0" fontId="56" fillId="31" borderId="170" xfId="0" applyFont="1" applyFill="1" applyBorder="1" applyAlignment="1" applyProtection="1">
      <alignment horizontal="center" vertical="center"/>
      <protection locked="0"/>
    </xf>
    <xf numFmtId="167" fontId="52" fillId="0" borderId="149" xfId="417" applyNumberFormat="1" applyFont="1" applyFill="1" applyBorder="1" applyAlignment="1">
      <alignment shrinkToFit="1"/>
    </xf>
    <xf numFmtId="167" fontId="50" fillId="0" borderId="162" xfId="198" applyNumberFormat="1" applyFont="1" applyFill="1" applyBorder="1" applyAlignment="1" applyProtection="1">
      <alignment shrinkToFit="1"/>
    </xf>
    <xf numFmtId="0" fontId="109" fillId="0" borderId="0" xfId="0" quotePrefix="1" applyFont="1" applyAlignment="1" applyProtection="1">
      <alignment horizontal="left" vertical="center"/>
      <protection locked="0"/>
    </xf>
    <xf numFmtId="44" fontId="52" fillId="0" borderId="36" xfId="417" applyFont="1" applyBorder="1" applyAlignment="1" applyProtection="1">
      <alignment vertical="center" shrinkToFit="1"/>
    </xf>
    <xf numFmtId="0" fontId="116" fillId="0" borderId="37" xfId="0" applyFont="1" applyFill="1" applyBorder="1" applyAlignment="1" applyProtection="1">
      <alignment vertical="center"/>
    </xf>
    <xf numFmtId="0" fontId="52" fillId="0" borderId="0" xfId="0" applyFont="1" applyFill="1" applyBorder="1" applyAlignment="1"/>
    <xf numFmtId="0" fontId="52" fillId="0" borderId="37" xfId="0" quotePrefix="1" applyFont="1" applyBorder="1" applyAlignment="1" applyProtection="1">
      <alignment horizontal="left" vertical="center"/>
    </xf>
    <xf numFmtId="0" fontId="187" fillId="29" borderId="0" xfId="243" applyFont="1" applyFill="1" applyAlignment="1">
      <alignment vertical="center"/>
    </xf>
    <xf numFmtId="0" fontId="143" fillId="2" borderId="170" xfId="0" quotePrefix="1" applyFont="1" applyFill="1" applyBorder="1" applyAlignment="1">
      <alignment horizontal="left" vertical="center"/>
    </xf>
    <xf numFmtId="0" fontId="49" fillId="31" borderId="0" xfId="0" applyFont="1" applyFill="1" applyBorder="1" applyAlignment="1">
      <alignment horizontal="center"/>
    </xf>
    <xf numFmtId="0" fontId="106" fillId="31" borderId="0" xfId="0" applyFont="1" applyFill="1" applyBorder="1" applyAlignment="1">
      <alignment horizontal="center"/>
    </xf>
    <xf numFmtId="0" fontId="52" fillId="0" borderId="0" xfId="243" applyFont="1" applyFill="1" applyAlignment="1">
      <alignment horizontal="left" vertical="center" wrapText="1"/>
    </xf>
    <xf numFmtId="0" fontId="52" fillId="3" borderId="145" xfId="243" applyFont="1" applyFill="1" applyBorder="1" applyAlignment="1">
      <alignment horizontal="center" vertical="center" wrapText="1"/>
    </xf>
    <xf numFmtId="0" fontId="52" fillId="0" borderId="0" xfId="243" applyFont="1" applyFill="1" applyAlignment="1">
      <alignment horizontal="left" vertical="center" wrapText="1"/>
    </xf>
    <xf numFmtId="43" fontId="59" fillId="0" borderId="0" xfId="1" applyFont="1" applyFill="1" applyBorder="1" applyAlignment="1" applyProtection="1">
      <alignment vertical="center"/>
    </xf>
    <xf numFmtId="0" fontId="52" fillId="3" borderId="0" xfId="243" applyFont="1" applyFill="1" applyBorder="1" applyAlignment="1">
      <alignment horizontal="left" vertical="center" wrapText="1"/>
    </xf>
    <xf numFmtId="0" fontId="52" fillId="0" borderId="0" xfId="243" applyFont="1" applyFill="1" applyBorder="1" applyAlignment="1">
      <alignment horizontal="left" vertical="center" wrapText="1"/>
    </xf>
    <xf numFmtId="167" fontId="52" fillId="0" borderId="0" xfId="417" applyNumberFormat="1" applyFont="1" applyFill="1" applyBorder="1" applyAlignment="1">
      <alignment shrinkToFit="1"/>
    </xf>
    <xf numFmtId="167" fontId="52" fillId="0" borderId="129" xfId="417" applyNumberFormat="1" applyFont="1" applyFill="1" applyBorder="1" applyAlignment="1">
      <alignment shrinkToFit="1"/>
    </xf>
    <xf numFmtId="164" fontId="56" fillId="31" borderId="153" xfId="198" applyNumberFormat="1" applyFont="1" applyFill="1" applyBorder="1" applyProtection="1">
      <protection locked="0"/>
    </xf>
    <xf numFmtId="167" fontId="52" fillId="0" borderId="141" xfId="417" applyNumberFormat="1" applyFont="1" applyBorder="1" applyAlignment="1">
      <alignment shrinkToFit="1"/>
    </xf>
    <xf numFmtId="0" fontId="52" fillId="3" borderId="170" xfId="243" applyFont="1" applyFill="1" applyBorder="1" applyAlignment="1">
      <alignment horizontal="center" vertical="center" wrapText="1"/>
    </xf>
    <xf numFmtId="0" fontId="52" fillId="3" borderId="143" xfId="243" applyFont="1" applyFill="1" applyBorder="1" applyAlignment="1">
      <alignment horizontal="center" vertical="center"/>
    </xf>
    <xf numFmtId="0" fontId="138" fillId="2" borderId="0" xfId="1508" quotePrefix="1" applyFont="1" applyFill="1" applyBorder="1" applyAlignment="1">
      <alignment vertical="center"/>
    </xf>
    <xf numFmtId="0" fontId="0" fillId="0" borderId="66" xfId="0" applyBorder="1" applyAlignment="1">
      <alignment horizontal="center" wrapText="1"/>
    </xf>
    <xf numFmtId="0" fontId="0" fillId="0" borderId="66" xfId="0" applyBorder="1" applyAlignment="1">
      <alignment horizontal="left" wrapText="1"/>
    </xf>
    <xf numFmtId="43" fontId="0" fillId="0" borderId="0" xfId="0" applyNumberFormat="1" applyAlignment="1">
      <alignment horizontal="center"/>
    </xf>
    <xf numFmtId="43" fontId="62" fillId="0" borderId="66" xfId="0" applyNumberFormat="1" applyFont="1" applyBorder="1"/>
    <xf numFmtId="0" fontId="57" fillId="31" borderId="143" xfId="243" applyFont="1" applyFill="1" applyBorder="1" applyAlignment="1">
      <alignment horizontal="center" vertical="center"/>
    </xf>
    <xf numFmtId="0" fontId="53" fillId="0" borderId="37" xfId="0" applyFont="1" applyFill="1" applyBorder="1" applyAlignment="1" applyProtection="1">
      <alignment horizontal="left" vertical="center" indent="3"/>
    </xf>
    <xf numFmtId="0" fontId="0" fillId="0" borderId="0" xfId="0" applyFill="1" applyBorder="1" applyProtection="1"/>
    <xf numFmtId="0" fontId="53" fillId="0" borderId="0" xfId="0" applyFont="1" applyFill="1" applyBorder="1" applyAlignment="1" applyProtection="1">
      <alignment horizontal="right"/>
    </xf>
    <xf numFmtId="43" fontId="49" fillId="0" borderId="0" xfId="0" applyNumberFormat="1" applyFont="1" applyFill="1" applyBorder="1" applyProtection="1"/>
    <xf numFmtId="167" fontId="53" fillId="0" borderId="86" xfId="198" applyNumberFormat="1" applyFont="1" applyFill="1" applyBorder="1" applyAlignment="1" applyProtection="1">
      <alignment shrinkToFit="1"/>
    </xf>
    <xf numFmtId="10" fontId="53" fillId="0" borderId="86" xfId="2" applyNumberFormat="1" applyFont="1" applyFill="1" applyBorder="1" applyAlignment="1" applyProtection="1">
      <alignment horizontal="center" shrinkToFit="1"/>
    </xf>
    <xf numFmtId="0" fontId="136" fillId="0" borderId="0" xfId="0" applyFont="1" applyFill="1" applyAlignment="1">
      <alignment horizontal="center"/>
    </xf>
    <xf numFmtId="2" fontId="56" fillId="36" borderId="0" xfId="198" applyNumberFormat="1" applyFont="1" applyFill="1" applyBorder="1" applyAlignment="1" applyProtection="1">
      <alignment horizontal="center"/>
    </xf>
    <xf numFmtId="43" fontId="52" fillId="0" borderId="37" xfId="1" applyNumberFormat="1" applyFont="1" applyFill="1" applyBorder="1" applyAlignment="1" applyProtection="1">
      <alignment shrinkToFit="1"/>
    </xf>
    <xf numFmtId="41" fontId="52" fillId="0" borderId="0" xfId="0" applyNumberFormat="1" applyFont="1" applyFill="1" applyAlignment="1">
      <alignment shrinkToFit="1"/>
    </xf>
    <xf numFmtId="0" fontId="188" fillId="0" borderId="149" xfId="0" applyFont="1" applyFill="1" applyBorder="1" applyAlignment="1">
      <alignment horizontal="center" wrapText="1"/>
    </xf>
    <xf numFmtId="43" fontId="52" fillId="0" borderId="0" xfId="1" applyFont="1" applyFill="1" applyProtection="1"/>
    <xf numFmtId="165" fontId="177" fillId="29" borderId="135" xfId="0" applyNumberFormat="1" applyFont="1" applyFill="1" applyBorder="1" applyAlignment="1" applyProtection="1">
      <alignment horizontal="left" vertical="center"/>
    </xf>
    <xf numFmtId="176" fontId="56" fillId="31" borderId="124" xfId="1" applyNumberFormat="1" applyFont="1" applyFill="1" applyBorder="1" applyProtection="1">
      <protection locked="0"/>
    </xf>
    <xf numFmtId="175" fontId="0" fillId="0" borderId="0" xfId="0" applyNumberFormat="1"/>
    <xf numFmtId="0" fontId="52" fillId="0" borderId="0" xfId="243" applyFont="1" applyFill="1" applyAlignment="1">
      <alignment horizontal="left" vertical="center" wrapText="1"/>
    </xf>
    <xf numFmtId="43" fontId="53" fillId="0" borderId="0" xfId="198" applyNumberFormat="1" applyFont="1" applyFill="1" applyBorder="1" applyAlignment="1" applyProtection="1">
      <alignment horizontal="center"/>
    </xf>
    <xf numFmtId="164" fontId="53" fillId="0" borderId="0" xfId="1" applyNumberFormat="1" applyFont="1" applyFill="1" applyBorder="1" applyAlignment="1" applyProtection="1">
      <alignment horizontal="center"/>
    </xf>
    <xf numFmtId="2" fontId="53" fillId="36" borderId="0" xfId="417" applyNumberFormat="1" applyFont="1" applyFill="1" applyBorder="1" applyAlignment="1" applyProtection="1">
      <alignment horizontal="center"/>
    </xf>
    <xf numFmtId="0" fontId="49" fillId="0" borderId="0" xfId="0" applyFont="1" applyFill="1" applyBorder="1" applyAlignment="1" applyProtection="1">
      <alignment horizontal="center"/>
    </xf>
    <xf numFmtId="43" fontId="56" fillId="0" borderId="0" xfId="1" applyFont="1" applyFill="1" applyBorder="1" applyAlignment="1" applyProtection="1">
      <alignment horizontal="center" vertical="center"/>
    </xf>
    <xf numFmtId="2" fontId="53" fillId="27" borderId="0" xfId="198" applyNumberFormat="1" applyFont="1" applyFill="1" applyBorder="1" applyAlignment="1" applyProtection="1">
      <alignment horizontal="center"/>
    </xf>
    <xf numFmtId="2" fontId="0" fillId="0" borderId="0" xfId="0" applyNumberFormat="1" applyBorder="1" applyAlignment="1" applyProtection="1">
      <alignment horizontal="center"/>
    </xf>
    <xf numFmtId="2" fontId="53" fillId="36" borderId="0" xfId="198" applyNumberFormat="1" applyFont="1" applyFill="1" applyBorder="1" applyAlignment="1" applyProtection="1">
      <alignment horizontal="center"/>
    </xf>
    <xf numFmtId="43" fontId="52" fillId="0" borderId="37" xfId="1" quotePrefix="1" applyNumberFormat="1" applyFont="1" applyFill="1" applyBorder="1" applyAlignment="1" applyProtection="1">
      <alignment shrinkToFit="1"/>
    </xf>
    <xf numFmtId="0" fontId="150" fillId="0" borderId="0" xfId="243" quotePrefix="1" applyFont="1" applyFill="1" applyAlignment="1">
      <alignment horizontal="left" vertical="center" wrapText="1"/>
    </xf>
    <xf numFmtId="0" fontId="52" fillId="0" borderId="0" xfId="243" applyFont="1" applyFill="1" applyAlignment="1">
      <alignment horizontal="left" vertical="center" wrapText="1"/>
    </xf>
    <xf numFmtId="0" fontId="52" fillId="3" borderId="145" xfId="243" applyFont="1" applyFill="1" applyBorder="1" applyAlignment="1">
      <alignment horizontal="center" vertical="center" wrapText="1"/>
    </xf>
    <xf numFmtId="0" fontId="52" fillId="0" borderId="0" xfId="243" applyFont="1" applyFill="1" applyAlignment="1">
      <alignment horizontal="left" vertical="center" wrapText="1"/>
    </xf>
    <xf numFmtId="0" fontId="122" fillId="50" borderId="64" xfId="5251" applyFill="1">
      <alignment horizontal="center" wrapText="1"/>
    </xf>
    <xf numFmtId="0" fontId="122" fillId="50" borderId="48" xfId="1516" applyFill="1" applyBorder="1" applyAlignment="1">
      <alignment horizontal="center" wrapText="1"/>
    </xf>
    <xf numFmtId="0" fontId="122" fillId="28" borderId="145" xfId="1516" applyBorder="1" applyAlignment="1">
      <alignment horizontal="center" wrapText="1"/>
    </xf>
    <xf numFmtId="42" fontId="121" fillId="0" borderId="46" xfId="0" applyNumberFormat="1" applyFont="1" applyBorder="1" applyAlignment="1">
      <alignment horizontal="right" wrapText="1"/>
    </xf>
    <xf numFmtId="177" fontId="121" fillId="0" borderId="0" xfId="0" applyNumberFormat="1" applyFont="1" applyAlignment="1">
      <alignment horizontal="right" wrapText="1"/>
    </xf>
    <xf numFmtId="41" fontId="121" fillId="0" borderId="46" xfId="0" applyNumberFormat="1" applyFont="1" applyBorder="1" applyAlignment="1">
      <alignment horizontal="right" wrapText="1"/>
    </xf>
    <xf numFmtId="172" fontId="0" fillId="0" borderId="0" xfId="0" applyNumberFormat="1" applyAlignment="1">
      <alignment horizontal="center" wrapText="1"/>
    </xf>
    <xf numFmtId="41" fontId="0" fillId="0" borderId="149" xfId="0" applyNumberFormat="1" applyBorder="1" applyAlignment="1">
      <alignment wrapText="1"/>
    </xf>
    <xf numFmtId="49" fontId="0" fillId="0" borderId="174" xfId="0" applyNumberFormat="1" applyBorder="1" applyAlignment="1">
      <alignment horizontal="center"/>
    </xf>
    <xf numFmtId="41" fontId="0" fillId="0" borderId="174" xfId="1511" applyNumberFormat="1" applyFont="1" applyBorder="1" applyAlignment="1"/>
    <xf numFmtId="0" fontId="138" fillId="0" borderId="0" xfId="3" applyFont="1" applyAlignment="1">
      <alignment horizontal="center"/>
    </xf>
    <xf numFmtId="0" fontId="94" fillId="0" borderId="172" xfId="0" applyFont="1" applyBorder="1" applyAlignment="1">
      <alignment horizontal="center" wrapText="1"/>
    </xf>
    <xf numFmtId="0" fontId="94" fillId="0" borderId="173" xfId="0" applyFont="1" applyBorder="1" applyAlignment="1">
      <alignment horizontal="center" wrapText="1"/>
    </xf>
    <xf numFmtId="0" fontId="138" fillId="0" borderId="0" xfId="0" applyFont="1" applyAlignment="1">
      <alignment horizontal="center"/>
    </xf>
    <xf numFmtId="174" fontId="0" fillId="0" borderId="0" xfId="0" applyNumberFormat="1" applyAlignment="1">
      <alignment horizontal="right"/>
    </xf>
    <xf numFmtId="39" fontId="0" fillId="0" borderId="0" xfId="0" applyNumberFormat="1" applyAlignment="1">
      <alignment horizontal="right"/>
    </xf>
    <xf numFmtId="0" fontId="106" fillId="0" borderId="0" xfId="0" applyFont="1"/>
    <xf numFmtId="0" fontId="121" fillId="0" borderId="0" xfId="0" applyFont="1" applyAlignment="1">
      <alignment horizontal="center" wrapText="1"/>
    </xf>
    <xf numFmtId="164" fontId="122" fillId="28" borderId="64" xfId="5251" applyNumberFormat="1">
      <alignment horizontal="center" wrapText="1"/>
    </xf>
    <xf numFmtId="164" fontId="190" fillId="28" borderId="124" xfId="0" quotePrefix="1" applyNumberFormat="1" applyFont="1" applyFill="1" applyBorder="1" applyAlignment="1">
      <alignment horizontal="center" vertical="center" wrapText="1"/>
    </xf>
    <xf numFmtId="0" fontId="0" fillId="0" borderId="179" xfId="0" applyBorder="1" applyAlignment="1">
      <alignment horizontal="center" wrapText="1"/>
    </xf>
    <xf numFmtId="43" fontId="0" fillId="0" borderId="66" xfId="0" applyNumberFormat="1" applyBorder="1" applyAlignment="1">
      <alignment wrapText="1"/>
    </xf>
    <xf numFmtId="44" fontId="0" fillId="0" borderId="66" xfId="1511" applyFont="1" applyBorder="1" applyAlignment="1">
      <alignment wrapText="1"/>
    </xf>
    <xf numFmtId="42" fontId="0" fillId="0" borderId="66" xfId="1511" applyNumberFormat="1" applyFont="1" applyBorder="1" applyAlignment="1">
      <alignment wrapText="1"/>
    </xf>
    <xf numFmtId="41" fontId="0" fillId="0" borderId="180" xfId="0" applyNumberFormat="1" applyBorder="1" applyAlignment="1">
      <alignment wrapText="1"/>
    </xf>
    <xf numFmtId="41" fontId="0" fillId="0" borderId="66" xfId="0" applyNumberFormat="1" applyBorder="1" applyAlignment="1">
      <alignment wrapText="1"/>
    </xf>
    <xf numFmtId="178" fontId="122" fillId="51" borderId="159" xfId="10202" applyNumberFormat="1" applyFill="1" applyBorder="1">
      <alignment horizontal="center" wrapText="1"/>
    </xf>
    <xf numFmtId="0" fontId="106" fillId="0" borderId="0" xfId="0" quotePrefix="1" applyFont="1" applyAlignment="1">
      <alignment horizontal="center" vertical="center"/>
    </xf>
    <xf numFmtId="0" fontId="0" fillId="0" borderId="181" xfId="0" applyBorder="1" applyAlignment="1">
      <alignment horizontal="center" wrapText="1"/>
    </xf>
    <xf numFmtId="0" fontId="0" fillId="0" borderId="181" xfId="0" applyBorder="1" applyAlignment="1">
      <alignment wrapText="1"/>
    </xf>
    <xf numFmtId="43" fontId="0" fillId="0" borderId="181" xfId="0" applyNumberFormat="1" applyBorder="1" applyAlignment="1">
      <alignment wrapText="1"/>
    </xf>
    <xf numFmtId="44" fontId="0" fillId="0" borderId="181" xfId="0" applyNumberFormat="1" applyBorder="1" applyAlignment="1">
      <alignment wrapText="1"/>
    </xf>
    <xf numFmtId="42" fontId="0" fillId="0" borderId="181" xfId="0" applyNumberFormat="1" applyBorder="1" applyAlignment="1">
      <alignment wrapText="1"/>
    </xf>
    <xf numFmtId="41" fontId="0" fillId="0" borderId="181" xfId="0" applyNumberFormat="1" applyBorder="1" applyAlignment="1">
      <alignment wrapText="1"/>
    </xf>
    <xf numFmtId="164" fontId="121" fillId="0" borderId="0" xfId="1505" applyNumberFormat="1"/>
    <xf numFmtId="164" fontId="121" fillId="0" borderId="133" xfId="1" applyNumberFormat="1" applyFont="1" applyBorder="1"/>
    <xf numFmtId="0" fontId="0" fillId="0" borderId="174" xfId="0" applyBorder="1" applyAlignment="1">
      <alignment horizontal="center"/>
    </xf>
    <xf numFmtId="43" fontId="0" fillId="0" borderId="182" xfId="0" applyNumberFormat="1" applyBorder="1"/>
    <xf numFmtId="41" fontId="0" fillId="0" borderId="182" xfId="0" applyNumberFormat="1" applyBorder="1"/>
    <xf numFmtId="42" fontId="0" fillId="0" borderId="182" xfId="0" applyNumberFormat="1" applyBorder="1"/>
    <xf numFmtId="44" fontId="0" fillId="0" borderId="182" xfId="0" applyNumberFormat="1" applyBorder="1"/>
    <xf numFmtId="43" fontId="0" fillId="0" borderId="174" xfId="0" applyNumberFormat="1" applyBorder="1"/>
    <xf numFmtId="41" fontId="0" fillId="0" borderId="174" xfId="0" applyNumberFormat="1" applyBorder="1"/>
    <xf numFmtId="0" fontId="0" fillId="0" borderId="174" xfId="0" applyBorder="1"/>
    <xf numFmtId="164" fontId="138" fillId="0" borderId="0" xfId="1" applyNumberFormat="1" applyFont="1" applyAlignment="1">
      <alignment horizontal="right"/>
    </xf>
    <xf numFmtId="0" fontId="134" fillId="0" borderId="0" xfId="0" applyFont="1" applyAlignment="1">
      <alignment horizontal="center" wrapText="1"/>
    </xf>
    <xf numFmtId="0" fontId="134" fillId="0" borderId="0" xfId="0" applyFont="1" applyAlignment="1">
      <alignment vertical="center" wrapText="1"/>
    </xf>
    <xf numFmtId="178" fontId="122" fillId="51" borderId="178" xfId="10202" applyNumberFormat="1" applyFill="1" applyBorder="1">
      <alignment horizontal="center" wrapText="1"/>
    </xf>
    <xf numFmtId="164" fontId="111" fillId="0" borderId="0" xfId="1" applyNumberFormat="1" applyFont="1"/>
    <xf numFmtId="164" fontId="111" fillId="0" borderId="133" xfId="1" applyNumberFormat="1" applyFont="1" applyBorder="1"/>
    <xf numFmtId="164" fontId="111" fillId="0" borderId="86" xfId="1" applyNumberFormat="1" applyFont="1" applyBorder="1"/>
    <xf numFmtId="164" fontId="111" fillId="0" borderId="0" xfId="1" applyNumberFormat="1" applyFont="1" applyFill="1"/>
    <xf numFmtId="0" fontId="161" fillId="2" borderId="0" xfId="1505" quotePrefix="1" applyFont="1" applyFill="1" applyAlignment="1">
      <alignment vertical="center"/>
    </xf>
    <xf numFmtId="0" fontId="192" fillId="0" borderId="0" xfId="0" applyFont="1" applyAlignment="1">
      <alignment horizontal="center" wrapText="1"/>
    </xf>
    <xf numFmtId="0" fontId="138" fillId="2" borderId="0" xfId="1505" quotePrefix="1" applyFont="1" applyFill="1" applyAlignment="1">
      <alignment horizontal="left" vertical="center"/>
    </xf>
    <xf numFmtId="178" fontId="194" fillId="0" borderId="0" xfId="0" applyNumberFormat="1" applyFont="1" applyAlignment="1">
      <alignment horizontal="center" wrapText="1"/>
    </xf>
    <xf numFmtId="0" fontId="136" fillId="0" borderId="0" xfId="0" quotePrefix="1" applyFont="1" applyFill="1" applyBorder="1" applyAlignment="1" applyProtection="1">
      <alignment horizontal="center"/>
    </xf>
    <xf numFmtId="0" fontId="53" fillId="0" borderId="0" xfId="0" quotePrefix="1" applyFont="1" applyFill="1" applyBorder="1" applyAlignment="1" applyProtection="1">
      <alignment horizontal="right" vertical="center"/>
    </xf>
    <xf numFmtId="0" fontId="57" fillId="0" borderId="0" xfId="0" applyFont="1" applyFill="1" applyAlignment="1" applyProtection="1">
      <alignment horizontal="right"/>
    </xf>
    <xf numFmtId="0" fontId="192" fillId="0" borderId="0" xfId="0" applyFont="1" applyAlignment="1">
      <alignment wrapText="1"/>
    </xf>
    <xf numFmtId="0" fontId="122" fillId="51" borderId="64" xfId="5251" applyFill="1">
      <alignment horizontal="center" wrapText="1"/>
    </xf>
    <xf numFmtId="43" fontId="149" fillId="0" borderId="0" xfId="198" applyNumberFormat="1" applyFont="1" applyFill="1" applyBorder="1" applyProtection="1"/>
    <xf numFmtId="43" fontId="0" fillId="0" borderId="0" xfId="0" applyNumberFormat="1" applyFill="1" applyBorder="1" applyProtection="1"/>
    <xf numFmtId="44" fontId="52" fillId="0" borderId="0" xfId="417" applyFont="1" applyFill="1" applyAlignment="1" applyProtection="1">
      <alignment horizontal="right"/>
    </xf>
    <xf numFmtId="0" fontId="121" fillId="0" borderId="46" xfId="0" applyFont="1" applyBorder="1" applyAlignment="1">
      <alignment horizontal="center" wrapText="1"/>
    </xf>
    <xf numFmtId="43" fontId="121" fillId="0" borderId="0" xfId="1" applyFont="1" applyAlignment="1">
      <alignment horizontal="center"/>
    </xf>
    <xf numFmtId="0" fontId="126" fillId="0" borderId="0" xfId="1509" applyAlignment="1">
      <alignment horizontal="left"/>
    </xf>
    <xf numFmtId="0" fontId="118" fillId="0" borderId="149" xfId="1479" applyFont="1" applyBorder="1" applyAlignment="1">
      <alignment horizontal="left" vertical="center"/>
    </xf>
    <xf numFmtId="0" fontId="135" fillId="2" borderId="0" xfId="1505" applyFont="1" applyFill="1" applyAlignment="1">
      <alignment horizontal="center"/>
    </xf>
    <xf numFmtId="167" fontId="52" fillId="0" borderId="0" xfId="417" applyNumberFormat="1" applyFont="1" applyBorder="1" applyAlignment="1">
      <alignment vertical="center" shrinkToFit="1"/>
    </xf>
    <xf numFmtId="167" fontId="52" fillId="0" borderId="36" xfId="417" applyNumberFormat="1" applyFont="1" applyBorder="1" applyAlignment="1">
      <alignment vertical="center" shrinkToFit="1"/>
    </xf>
    <xf numFmtId="0" fontId="150" fillId="0" borderId="0" xfId="243" quotePrefix="1" applyFont="1" applyFill="1" applyAlignment="1">
      <alignment horizontal="left" vertical="center" wrapText="1"/>
    </xf>
    <xf numFmtId="0" fontId="52" fillId="0" borderId="0" xfId="243" applyFont="1" applyFill="1" applyAlignment="1">
      <alignment horizontal="left" vertical="center" wrapText="1"/>
    </xf>
    <xf numFmtId="0" fontId="52" fillId="35" borderId="0" xfId="243" quotePrefix="1" applyFont="1" applyFill="1" applyAlignment="1">
      <alignment horizontal="left" vertical="center" wrapText="1"/>
    </xf>
    <xf numFmtId="0" fontId="52" fillId="35" borderId="0" xfId="243" applyFont="1" applyFill="1" applyAlignment="1">
      <alignment horizontal="left" vertical="center" wrapText="1"/>
    </xf>
    <xf numFmtId="1" fontId="56" fillId="40" borderId="170" xfId="1" quotePrefix="1" applyNumberFormat="1" applyFont="1" applyFill="1" applyBorder="1" applyAlignment="1" applyProtection="1">
      <alignment horizontal="left" vertical="center" indent="3"/>
    </xf>
    <xf numFmtId="1" fontId="52" fillId="31" borderId="170" xfId="198" applyNumberFormat="1" applyFont="1" applyFill="1" applyBorder="1" applyAlignment="1" applyProtection="1">
      <alignment horizontal="left" vertical="center" indent="3"/>
      <protection locked="0"/>
    </xf>
    <xf numFmtId="1" fontId="52" fillId="0" borderId="0" xfId="1" applyNumberFormat="1" applyFont="1" applyBorder="1" applyAlignment="1" applyProtection="1">
      <alignment horizontal="left" vertical="center" indent="3" shrinkToFit="1"/>
    </xf>
    <xf numFmtId="1" fontId="52" fillId="0" borderId="0" xfId="0" applyNumberFormat="1" applyFont="1" applyFill="1" applyBorder="1" applyAlignment="1">
      <alignment horizontal="left" indent="3"/>
    </xf>
    <xf numFmtId="1" fontId="52" fillId="0" borderId="0" xfId="417" applyNumberFormat="1" applyFont="1" applyBorder="1" applyAlignment="1" applyProtection="1">
      <alignment horizontal="left" vertical="center" indent="3" shrinkToFit="1"/>
    </xf>
    <xf numFmtId="43" fontId="49" fillId="0" borderId="86" xfId="0" applyNumberFormat="1" applyFont="1" applyBorder="1" applyProtection="1"/>
    <xf numFmtId="43" fontId="49" fillId="0" borderId="149" xfId="0" applyNumberFormat="1" applyFont="1" applyBorder="1"/>
    <xf numFmtId="43" fontId="49" fillId="0" borderId="149" xfId="0" applyNumberFormat="1" applyFont="1" applyBorder="1" applyProtection="1"/>
    <xf numFmtId="0" fontId="53" fillId="0" borderId="0" xfId="0" applyFont="1" applyAlignment="1">
      <alignment horizontal="right"/>
    </xf>
    <xf numFmtId="0" fontId="57" fillId="0" borderId="0" xfId="0" applyFont="1" applyFill="1" applyBorder="1" applyAlignment="1" applyProtection="1">
      <alignment shrinkToFit="1"/>
    </xf>
    <xf numFmtId="164" fontId="149" fillId="0" borderId="0" xfId="1" applyNumberFormat="1" applyFont="1" applyFill="1" applyBorder="1" applyAlignment="1" applyProtection="1">
      <alignment shrinkToFit="1"/>
    </xf>
    <xf numFmtId="164" fontId="57" fillId="0" borderId="0" xfId="1" applyNumberFormat="1" applyFont="1" applyBorder="1" applyAlignment="1" applyProtection="1">
      <alignment shrinkToFit="1"/>
    </xf>
    <xf numFmtId="0" fontId="149" fillId="0" borderId="0" xfId="0" applyFont="1" applyProtection="1"/>
    <xf numFmtId="41" fontId="50" fillId="0" borderId="162" xfId="0" applyNumberFormat="1" applyFont="1" applyFill="1" applyBorder="1" applyAlignment="1" applyProtection="1">
      <alignment horizontal="right" shrinkToFit="1"/>
    </xf>
    <xf numFmtId="167" fontId="50" fillId="0" borderId="137" xfId="417" applyNumberFormat="1" applyFont="1" applyFill="1" applyBorder="1" applyAlignment="1" applyProtection="1">
      <alignment shrinkToFit="1"/>
    </xf>
    <xf numFmtId="0" fontId="52" fillId="32" borderId="143" xfId="243" applyFont="1" applyFill="1" applyBorder="1" applyAlignment="1">
      <alignment horizontal="center" vertical="center"/>
    </xf>
    <xf numFmtId="0" fontId="195" fillId="0" borderId="0" xfId="1429" quotePrefix="1" applyFont="1" applyFill="1" applyAlignment="1" applyProtection="1">
      <alignment horizontal="left" vertical="center"/>
      <protection locked="0"/>
    </xf>
    <xf numFmtId="0" fontId="49" fillId="0" borderId="139" xfId="0" applyFont="1" applyBorder="1" applyAlignment="1">
      <alignment horizontal="center" vertical="center"/>
    </xf>
    <xf numFmtId="0" fontId="49" fillId="0" borderId="48" xfId="0" applyFont="1" applyBorder="1" applyAlignment="1">
      <alignment horizontal="center" vertical="center"/>
    </xf>
    <xf numFmtId="0" fontId="49" fillId="0" borderId="7" xfId="0" applyFont="1" applyBorder="1" applyAlignment="1">
      <alignment horizontal="center" vertical="center"/>
    </xf>
    <xf numFmtId="0" fontId="49" fillId="39" borderId="134" xfId="0" applyFont="1" applyFill="1" applyBorder="1" applyAlignment="1">
      <alignment horizontal="left" vertical="center"/>
    </xf>
    <xf numFmtId="0" fontId="49" fillId="39" borderId="142" xfId="0" applyFont="1" applyFill="1" applyBorder="1" applyAlignment="1">
      <alignment horizontal="left" vertical="center"/>
    </xf>
    <xf numFmtId="0" fontId="49" fillId="39" borderId="144" xfId="0" applyFont="1" applyFill="1" applyBorder="1" applyAlignment="1">
      <alignment horizontal="left" vertical="center"/>
    </xf>
    <xf numFmtId="0" fontId="49" fillId="39" borderId="146" xfId="0" applyFont="1" applyFill="1" applyBorder="1" applyAlignment="1">
      <alignment horizontal="left" vertical="center"/>
    </xf>
    <xf numFmtId="0" fontId="49" fillId="0" borderId="159" xfId="0" applyFont="1" applyFill="1" applyBorder="1" applyAlignment="1">
      <alignment horizontal="center" vertical="center"/>
    </xf>
    <xf numFmtId="0" fontId="49" fillId="0" borderId="145" xfId="0" applyFont="1" applyFill="1" applyBorder="1" applyAlignment="1">
      <alignment horizontal="center" vertical="center"/>
    </xf>
    <xf numFmtId="0" fontId="49" fillId="0" borderId="153" xfId="0" applyFont="1" applyFill="1" applyBorder="1" applyAlignment="1">
      <alignment horizontal="center" vertical="center"/>
    </xf>
    <xf numFmtId="0" fontId="49" fillId="0" borderId="159" xfId="0" quotePrefix="1" applyFont="1" applyBorder="1" applyAlignment="1">
      <alignment horizontal="center" vertical="center"/>
    </xf>
    <xf numFmtId="0" fontId="49" fillId="0" borderId="145" xfId="0" quotePrefix="1" applyFont="1" applyBorder="1" applyAlignment="1">
      <alignment horizontal="center" vertical="center"/>
    </xf>
    <xf numFmtId="0" fontId="49" fillId="0" borderId="153" xfId="0" quotePrefix="1" applyFont="1" applyBorder="1" applyAlignment="1">
      <alignment horizontal="center" vertical="center"/>
    </xf>
    <xf numFmtId="0" fontId="49" fillId="0" borderId="159" xfId="0" applyFont="1" applyBorder="1" applyAlignment="1">
      <alignment horizontal="center" vertical="center"/>
    </xf>
    <xf numFmtId="0" fontId="49" fillId="0" borderId="145" xfId="0" applyFont="1" applyBorder="1" applyAlignment="1">
      <alignment horizontal="center" vertical="center"/>
    </xf>
    <xf numFmtId="0" fontId="49" fillId="0" borderId="153" xfId="0" applyFont="1" applyBorder="1" applyAlignment="1">
      <alignment horizontal="center" vertical="center"/>
    </xf>
    <xf numFmtId="0" fontId="60" fillId="48" borderId="134" xfId="0" applyFont="1" applyFill="1" applyBorder="1" applyAlignment="1">
      <alignment horizontal="left" vertical="center"/>
    </xf>
    <xf numFmtId="0" fontId="60" fillId="48" borderId="142" xfId="0" applyFont="1" applyFill="1" applyBorder="1" applyAlignment="1">
      <alignment horizontal="left" vertical="center"/>
    </xf>
    <xf numFmtId="0" fontId="60" fillId="48" borderId="144" xfId="0" applyFont="1" applyFill="1" applyBorder="1" applyAlignment="1">
      <alignment horizontal="left" vertical="center"/>
    </xf>
    <xf numFmtId="0" fontId="60" fillId="48" borderId="146" xfId="0" applyFont="1" applyFill="1" applyBorder="1" applyAlignment="1">
      <alignment horizontal="left" vertical="center"/>
    </xf>
    <xf numFmtId="0" fontId="60" fillId="48" borderId="147" xfId="0" applyFont="1" applyFill="1" applyBorder="1" applyAlignment="1">
      <alignment horizontal="left" vertical="center"/>
    </xf>
    <xf numFmtId="0" fontId="60" fillId="48" borderId="148" xfId="0" applyFont="1" applyFill="1" applyBorder="1" applyAlignment="1">
      <alignment horizontal="left" vertical="center"/>
    </xf>
    <xf numFmtId="0" fontId="49" fillId="0" borderId="139" xfId="0" applyFont="1" applyBorder="1" applyAlignment="1">
      <alignment horizontal="left" vertical="center" wrapText="1"/>
    </xf>
    <xf numFmtId="0" fontId="49" fillId="0" borderId="48" xfId="0" applyFont="1" applyBorder="1" applyAlignment="1">
      <alignment horizontal="left" vertical="center" wrapText="1"/>
    </xf>
    <xf numFmtId="0" fontId="49" fillId="0" borderId="7" xfId="0" applyFont="1" applyBorder="1" applyAlignment="1">
      <alignment horizontal="left" vertical="center" wrapText="1"/>
    </xf>
    <xf numFmtId="0" fontId="49" fillId="0" borderId="124" xfId="0" applyFont="1" applyBorder="1" applyAlignment="1">
      <alignment horizontal="left" vertical="center" wrapText="1"/>
    </xf>
    <xf numFmtId="0" fontId="49" fillId="0" borderId="170" xfId="0" applyFont="1" applyBorder="1" applyAlignment="1">
      <alignment horizontal="left" vertical="center" wrapText="1"/>
    </xf>
    <xf numFmtId="0" fontId="0" fillId="0" borderId="124" xfId="0" applyBorder="1" applyAlignment="1">
      <alignment horizontal="left" vertical="center" wrapText="1"/>
    </xf>
    <xf numFmtId="43" fontId="49" fillId="0" borderId="139" xfId="0" applyNumberFormat="1" applyFont="1" applyBorder="1" applyAlignment="1">
      <alignment horizontal="left" vertical="center" wrapText="1"/>
    </xf>
    <xf numFmtId="43" fontId="49" fillId="0" borderId="48" xfId="0" applyNumberFormat="1" applyFont="1" applyBorder="1" applyAlignment="1">
      <alignment horizontal="left" vertical="center" wrapText="1"/>
    </xf>
    <xf numFmtId="43" fontId="49" fillId="0" borderId="7" xfId="0" applyNumberFormat="1" applyFont="1" applyBorder="1" applyAlignment="1">
      <alignment horizontal="left" vertical="center" wrapText="1"/>
    </xf>
    <xf numFmtId="0" fontId="49" fillId="39" borderId="147" xfId="0" applyFont="1" applyFill="1" applyBorder="1" applyAlignment="1">
      <alignment horizontal="left" vertical="center"/>
    </xf>
    <xf numFmtId="0" fontId="49" fillId="39" borderId="148" xfId="0" applyFont="1" applyFill="1" applyBorder="1" applyAlignment="1">
      <alignment horizontal="left" vertical="center"/>
    </xf>
    <xf numFmtId="0" fontId="49" fillId="0" borderId="124" xfId="0" applyFont="1" applyFill="1" applyBorder="1" applyAlignment="1">
      <alignment horizontal="center" vertical="center"/>
    </xf>
    <xf numFmtId="0" fontId="49" fillId="0" borderId="170" xfId="0" applyFont="1" applyFill="1" applyBorder="1" applyAlignment="1">
      <alignment horizontal="center" vertical="center"/>
    </xf>
    <xf numFmtId="0" fontId="49" fillId="47" borderId="134" xfId="0" quotePrefix="1" applyFont="1" applyFill="1" applyBorder="1" applyAlignment="1">
      <alignment horizontal="left" vertical="center"/>
    </xf>
    <xf numFmtId="0" fontId="49" fillId="47" borderId="142" xfId="0" applyFont="1" applyFill="1" applyBorder="1" applyAlignment="1">
      <alignment horizontal="left" vertical="center"/>
    </xf>
    <xf numFmtId="0" fontId="49" fillId="47" borderId="144" xfId="0" quotePrefix="1" applyFont="1" applyFill="1" applyBorder="1" applyAlignment="1">
      <alignment horizontal="left" vertical="center"/>
    </xf>
    <xf numFmtId="0" fontId="49" fillId="47" borderId="146" xfId="0" applyFont="1" applyFill="1" applyBorder="1" applyAlignment="1">
      <alignment horizontal="left" vertical="center"/>
    </xf>
    <xf numFmtId="0" fontId="49" fillId="47" borderId="147" xfId="0" applyFont="1" applyFill="1" applyBorder="1" applyAlignment="1">
      <alignment horizontal="left" vertical="center"/>
    </xf>
    <xf numFmtId="0" fontId="49" fillId="47" borderId="148" xfId="0" applyFont="1" applyFill="1" applyBorder="1" applyAlignment="1">
      <alignment horizontal="left" vertical="center"/>
    </xf>
    <xf numFmtId="0" fontId="49" fillId="31" borderId="134" xfId="0" applyFont="1" applyFill="1" applyBorder="1" applyAlignment="1">
      <alignment horizontal="left" vertical="center"/>
    </xf>
    <xf numFmtId="0" fontId="49" fillId="31" borderId="142" xfId="0" applyFont="1" applyFill="1" applyBorder="1" applyAlignment="1">
      <alignment horizontal="left" vertical="center"/>
    </xf>
    <xf numFmtId="0" fontId="49" fillId="31" borderId="144" xfId="0" applyFont="1" applyFill="1" applyBorder="1" applyAlignment="1">
      <alignment horizontal="left" vertical="center"/>
    </xf>
    <xf numFmtId="0" fontId="49" fillId="31" borderId="146" xfId="0" applyFont="1" applyFill="1" applyBorder="1" applyAlignment="1">
      <alignment horizontal="left" vertical="center"/>
    </xf>
    <xf numFmtId="0" fontId="49" fillId="32" borderId="138" xfId="0" applyFont="1" applyFill="1" applyBorder="1" applyAlignment="1">
      <alignment horizontal="center" vertical="center"/>
    </xf>
    <xf numFmtId="0" fontId="49" fillId="32" borderId="140" xfId="0" applyFont="1" applyFill="1" applyBorder="1" applyAlignment="1">
      <alignment horizontal="center" vertical="center"/>
    </xf>
    <xf numFmtId="0" fontId="49" fillId="32" borderId="134" xfId="0" quotePrefix="1" applyFont="1" applyFill="1" applyBorder="1" applyAlignment="1">
      <alignment horizontal="left" vertical="center" wrapText="1"/>
    </xf>
    <xf numFmtId="0" fontId="49" fillId="32" borderId="142" xfId="0" quotePrefix="1" applyFont="1" applyFill="1" applyBorder="1" applyAlignment="1">
      <alignment horizontal="left" vertical="center" wrapText="1"/>
    </xf>
    <xf numFmtId="0" fontId="49" fillId="32" borderId="144" xfId="0" quotePrefix="1" applyFont="1" applyFill="1" applyBorder="1" applyAlignment="1">
      <alignment horizontal="left" vertical="center" wrapText="1"/>
    </xf>
    <xf numFmtId="0" fontId="49" fillId="32" borderId="146" xfId="0" quotePrefix="1" applyFont="1" applyFill="1" applyBorder="1" applyAlignment="1">
      <alignment horizontal="left" vertical="center" wrapText="1"/>
    </xf>
    <xf numFmtId="0" fontId="49" fillId="32" borderId="147" xfId="0" quotePrefix="1" applyFont="1" applyFill="1" applyBorder="1" applyAlignment="1">
      <alignment horizontal="left" vertical="center" wrapText="1"/>
    </xf>
    <xf numFmtId="0" fontId="49" fillId="32" borderId="148" xfId="0" quotePrefix="1" applyFont="1" applyFill="1" applyBorder="1" applyAlignment="1">
      <alignment horizontal="left" vertical="center" wrapText="1"/>
    </xf>
    <xf numFmtId="0" fontId="49" fillId="2" borderId="138" xfId="0" applyFont="1" applyFill="1" applyBorder="1" applyAlignment="1">
      <alignment horizontal="left" vertical="center"/>
    </xf>
    <xf numFmtId="0" fontId="49" fillId="2" borderId="140" xfId="0" applyFont="1" applyFill="1" applyBorder="1" applyAlignment="1">
      <alignment horizontal="left" vertical="center"/>
    </xf>
    <xf numFmtId="0" fontId="49" fillId="0" borderId="124" xfId="0" applyFont="1" applyBorder="1" applyAlignment="1">
      <alignment horizontal="center" vertical="center"/>
    </xf>
    <xf numFmtId="0" fontId="52" fillId="2" borderId="170" xfId="243" applyFont="1" applyFill="1" applyBorder="1" applyAlignment="1">
      <alignment horizontal="left" vertical="center"/>
    </xf>
    <xf numFmtId="0" fontId="52" fillId="0" borderId="143" xfId="243" quotePrefix="1" applyFont="1" applyFill="1" applyBorder="1" applyAlignment="1">
      <alignment horizontal="left" vertical="center" wrapText="1"/>
    </xf>
    <xf numFmtId="0" fontId="52" fillId="0" borderId="143" xfId="243" applyFont="1" applyFill="1" applyBorder="1" applyAlignment="1">
      <alignment horizontal="left" vertical="center" wrapText="1"/>
    </xf>
    <xf numFmtId="0" fontId="52" fillId="52" borderId="170" xfId="243" applyFont="1" applyFill="1" applyBorder="1" applyAlignment="1">
      <alignment horizontal="left" vertical="center"/>
    </xf>
    <xf numFmtId="0" fontId="52" fillId="31" borderId="167" xfId="243" applyFont="1" applyFill="1" applyBorder="1" applyAlignment="1">
      <alignment horizontal="center" vertical="center" wrapText="1"/>
    </xf>
    <xf numFmtId="0" fontId="52" fillId="31" borderId="175" xfId="243" applyFont="1" applyFill="1" applyBorder="1" applyAlignment="1">
      <alignment horizontal="center" vertical="center" wrapText="1"/>
    </xf>
    <xf numFmtId="0" fontId="52" fillId="31" borderId="169" xfId="243" applyFont="1" applyFill="1" applyBorder="1" applyAlignment="1">
      <alignment horizontal="center" vertical="center" wrapText="1"/>
    </xf>
    <xf numFmtId="0" fontId="52" fillId="0" borderId="167" xfId="243" quotePrefix="1" applyFont="1" applyFill="1" applyBorder="1" applyAlignment="1">
      <alignment horizontal="left" vertical="center" wrapText="1"/>
    </xf>
    <xf numFmtId="0" fontId="52" fillId="0" borderId="175" xfId="243" quotePrefix="1" applyFont="1" applyFill="1" applyBorder="1" applyAlignment="1">
      <alignment horizontal="left" vertical="center" wrapText="1"/>
    </xf>
    <xf numFmtId="0" fontId="52" fillId="0" borderId="169" xfId="243" quotePrefix="1" applyFont="1" applyFill="1" applyBorder="1" applyAlignment="1">
      <alignment horizontal="left" vertical="center" wrapText="1"/>
    </xf>
    <xf numFmtId="0" fontId="52" fillId="3" borderId="159" xfId="243" applyFont="1" applyFill="1" applyBorder="1" applyAlignment="1">
      <alignment horizontal="center" vertical="center" wrapText="1"/>
    </xf>
    <xf numFmtId="0" fontId="52" fillId="3" borderId="145" xfId="243" applyFont="1" applyFill="1" applyBorder="1" applyAlignment="1">
      <alignment horizontal="center" vertical="center" wrapText="1"/>
    </xf>
    <xf numFmtId="0" fontId="52" fillId="3" borderId="153" xfId="243" applyFont="1" applyFill="1" applyBorder="1" applyAlignment="1">
      <alignment horizontal="center" vertical="center" wrapText="1"/>
    </xf>
    <xf numFmtId="0" fontId="57" fillId="3" borderId="167" xfId="243" quotePrefix="1" applyFont="1" applyFill="1" applyBorder="1" applyAlignment="1">
      <alignment horizontal="left" vertical="center" wrapText="1"/>
    </xf>
    <xf numFmtId="0" fontId="57" fillId="3" borderId="175" xfId="243" applyFont="1" applyFill="1" applyBorder="1" applyAlignment="1">
      <alignment horizontal="left" vertical="center" wrapText="1"/>
    </xf>
    <xf numFmtId="0" fontId="57" fillId="3" borderId="169" xfId="243" applyFont="1" applyFill="1" applyBorder="1" applyAlignment="1">
      <alignment horizontal="left" vertical="center" wrapText="1"/>
    </xf>
    <xf numFmtId="0" fontId="52" fillId="0" borderId="167" xfId="243" applyFont="1" applyBorder="1" applyAlignment="1">
      <alignment horizontal="left"/>
    </xf>
    <xf numFmtId="0" fontId="52" fillId="0" borderId="175" xfId="243" applyFont="1" applyBorder="1" applyAlignment="1">
      <alignment horizontal="left"/>
    </xf>
    <xf numFmtId="0" fontId="52" fillId="0" borderId="169" xfId="243" applyFont="1" applyBorder="1" applyAlignment="1">
      <alignment horizontal="left"/>
    </xf>
    <xf numFmtId="0" fontId="52" fillId="0" borderId="167" xfId="243" quotePrefix="1" applyFont="1" applyBorder="1" applyAlignment="1">
      <alignment horizontal="left" vertical="center" wrapText="1"/>
    </xf>
    <xf numFmtId="0" fontId="52" fillId="0" borderId="175" xfId="243" applyFont="1" applyBorder="1" applyAlignment="1">
      <alignment horizontal="left" vertical="center"/>
    </xf>
    <xf numFmtId="0" fontId="52" fillId="0" borderId="169" xfId="243" applyFont="1" applyBorder="1" applyAlignment="1">
      <alignment horizontal="left" vertical="center"/>
    </xf>
    <xf numFmtId="0" fontId="52" fillId="0" borderId="167" xfId="243" applyFont="1" applyFill="1" applyBorder="1" applyAlignment="1">
      <alignment horizontal="left" vertical="center" wrapText="1"/>
    </xf>
    <xf numFmtId="0" fontId="52" fillId="0" borderId="175" xfId="243" applyFont="1" applyFill="1" applyBorder="1" applyAlignment="1">
      <alignment horizontal="left" vertical="center" wrapText="1"/>
    </xf>
    <xf numFmtId="0" fontId="52" fillId="0" borderId="169" xfId="243" applyFont="1" applyFill="1" applyBorder="1" applyAlignment="1">
      <alignment horizontal="left" vertical="center" wrapText="1"/>
    </xf>
    <xf numFmtId="0" fontId="52" fillId="0" borderId="176" xfId="243" quotePrefix="1" applyFont="1" applyBorder="1" applyAlignment="1">
      <alignment horizontal="left" vertical="center" wrapText="1"/>
    </xf>
    <xf numFmtId="0" fontId="52" fillId="0" borderId="86" xfId="243" applyFont="1" applyBorder="1" applyAlignment="1">
      <alignment horizontal="left" vertical="center" wrapText="1"/>
    </xf>
    <xf numFmtId="0" fontId="52" fillId="0" borderId="177" xfId="243" applyFont="1" applyBorder="1" applyAlignment="1">
      <alignment horizontal="left" vertical="center" wrapText="1"/>
    </xf>
    <xf numFmtId="0" fontId="52" fillId="0" borderId="147" xfId="243" applyFont="1" applyBorder="1" applyAlignment="1">
      <alignment horizontal="left" vertical="center" wrapText="1"/>
    </xf>
    <xf numFmtId="0" fontId="52" fillId="0" borderId="149" xfId="243" applyFont="1" applyBorder="1" applyAlignment="1">
      <alignment horizontal="left" vertical="center" wrapText="1"/>
    </xf>
    <xf numFmtId="0" fontId="52" fillId="0" borderId="148" xfId="243" applyFont="1" applyBorder="1" applyAlignment="1">
      <alignment horizontal="left" vertical="center" wrapText="1"/>
    </xf>
    <xf numFmtId="0" fontId="150" fillId="0" borderId="0" xfId="243" quotePrefix="1" applyFont="1" applyFill="1" applyAlignment="1">
      <alignment horizontal="left" vertical="center" wrapText="1"/>
    </xf>
    <xf numFmtId="0" fontId="52" fillId="0" borderId="0" xfId="243" applyFont="1" applyFill="1" applyAlignment="1">
      <alignment horizontal="left" vertical="center" wrapText="1"/>
    </xf>
    <xf numFmtId="0" fontId="57" fillId="0" borderId="167" xfId="243" applyFont="1" applyFill="1" applyBorder="1" applyAlignment="1">
      <alignment horizontal="left" vertical="center" wrapText="1"/>
    </xf>
    <xf numFmtId="0" fontId="57" fillId="0" borderId="175" xfId="243" applyFont="1" applyFill="1" applyBorder="1" applyAlignment="1">
      <alignment horizontal="left" vertical="center" wrapText="1"/>
    </xf>
    <xf numFmtId="0" fontId="57" fillId="0" borderId="169" xfId="243" applyFont="1" applyFill="1" applyBorder="1" applyAlignment="1">
      <alignment horizontal="left" vertical="center" wrapText="1"/>
    </xf>
    <xf numFmtId="0" fontId="52" fillId="31" borderId="170" xfId="243" applyFont="1" applyFill="1" applyBorder="1" applyAlignment="1">
      <alignment horizontal="left" vertical="center"/>
    </xf>
    <xf numFmtId="0" fontId="52" fillId="33" borderId="170" xfId="243" applyFont="1" applyFill="1" applyBorder="1" applyAlignment="1">
      <alignment horizontal="left" vertical="center" wrapText="1"/>
    </xf>
    <xf numFmtId="0" fontId="57" fillId="3" borderId="167" xfId="243" applyFont="1" applyFill="1" applyBorder="1" applyAlignment="1">
      <alignment horizontal="left" vertical="center" wrapText="1"/>
    </xf>
    <xf numFmtId="0" fontId="52" fillId="37" borderId="170" xfId="243" applyFont="1" applyFill="1" applyBorder="1" applyAlignment="1">
      <alignment horizontal="left" vertical="center" wrapText="1"/>
    </xf>
    <xf numFmtId="0" fontId="52" fillId="3" borderId="138" xfId="243" applyFont="1" applyFill="1" applyBorder="1" applyAlignment="1">
      <alignment horizontal="left" vertical="center" wrapText="1"/>
    </xf>
    <xf numFmtId="0" fontId="52" fillId="3" borderId="132" xfId="243" applyFont="1" applyFill="1" applyBorder="1" applyAlignment="1">
      <alignment horizontal="left" vertical="center" wrapText="1"/>
    </xf>
    <xf numFmtId="0" fontId="52" fillId="3" borderId="140" xfId="243" applyFont="1" applyFill="1" applyBorder="1" applyAlignment="1">
      <alignment horizontal="left" vertical="center" wrapText="1"/>
    </xf>
    <xf numFmtId="0" fontId="52" fillId="0" borderId="138" xfId="243" applyFont="1" applyFill="1" applyBorder="1" applyAlignment="1">
      <alignment horizontal="left" vertical="center" wrapText="1"/>
    </xf>
    <xf numFmtId="0" fontId="52" fillId="0" borderId="132" xfId="243" applyFont="1" applyFill="1" applyBorder="1" applyAlignment="1">
      <alignment horizontal="left" vertical="center" wrapText="1"/>
    </xf>
    <xf numFmtId="0" fontId="52" fillId="0" borderId="140" xfId="243" applyFont="1" applyFill="1" applyBorder="1" applyAlignment="1">
      <alignment horizontal="left" vertical="center" wrapText="1"/>
    </xf>
    <xf numFmtId="0" fontId="52" fillId="0" borderId="0" xfId="243" quotePrefix="1" applyFont="1" applyAlignment="1">
      <alignment horizontal="left" vertical="center" wrapText="1"/>
    </xf>
    <xf numFmtId="0" fontId="57" fillId="0" borderId="143" xfId="243" applyFont="1" applyFill="1" applyBorder="1" applyAlignment="1">
      <alignment horizontal="left" vertical="center" wrapText="1"/>
    </xf>
    <xf numFmtId="0" fontId="57" fillId="3" borderId="143" xfId="243" applyFont="1" applyFill="1" applyBorder="1" applyAlignment="1">
      <alignment horizontal="left" vertical="center" wrapText="1"/>
    </xf>
    <xf numFmtId="0" fontId="52" fillId="3" borderId="143" xfId="243" applyFont="1" applyFill="1" applyBorder="1" applyAlignment="1">
      <alignment horizontal="left" vertical="center" wrapText="1"/>
    </xf>
    <xf numFmtId="0" fontId="57" fillId="0" borderId="151" xfId="243" applyFont="1" applyFill="1" applyBorder="1" applyAlignment="1">
      <alignment horizontal="left" vertical="center" wrapText="1"/>
    </xf>
    <xf numFmtId="0" fontId="52" fillId="0" borderId="151" xfId="243" applyFont="1" applyBorder="1" applyAlignment="1">
      <alignment horizontal="left"/>
    </xf>
    <xf numFmtId="0" fontId="52" fillId="35" borderId="0" xfId="243" quotePrefix="1" applyFont="1" applyFill="1" applyAlignment="1">
      <alignment horizontal="left" vertical="center" wrapText="1"/>
    </xf>
    <xf numFmtId="0" fontId="52" fillId="35" borderId="0" xfId="243" applyFont="1" applyFill="1" applyAlignment="1">
      <alignment horizontal="left" vertical="center" wrapText="1"/>
    </xf>
    <xf numFmtId="0" fontId="52" fillId="0" borderId="0" xfId="243" quotePrefix="1" applyFont="1" applyFill="1" applyAlignment="1">
      <alignment horizontal="left" vertical="center" wrapText="1"/>
    </xf>
    <xf numFmtId="0" fontId="55" fillId="35" borderId="0" xfId="0" quotePrefix="1" applyFont="1" applyFill="1" applyAlignment="1">
      <alignment horizontal="left" vertical="top" wrapText="1"/>
    </xf>
    <xf numFmtId="0" fontId="59" fillId="0" borderId="0" xfId="0" quotePrefix="1" applyFont="1" applyAlignment="1" applyProtection="1">
      <alignment horizontal="left" vertical="top" wrapText="1"/>
    </xf>
    <xf numFmtId="0" fontId="59" fillId="0" borderId="0" xfId="0" quotePrefix="1" applyFont="1" applyBorder="1" applyAlignment="1" applyProtection="1">
      <alignment horizontal="left" vertical="center" wrapText="1"/>
    </xf>
    <xf numFmtId="0" fontId="157" fillId="0" borderId="0" xfId="0" quotePrefix="1" applyFont="1" applyFill="1" applyBorder="1" applyAlignment="1" applyProtection="1">
      <alignment horizontal="left" vertical="center" wrapText="1"/>
    </xf>
    <xf numFmtId="0" fontId="157" fillId="0" borderId="144" xfId="0" quotePrefix="1" applyFont="1" applyFill="1" applyBorder="1" applyAlignment="1" applyProtection="1">
      <alignment horizontal="left" vertical="center" wrapText="1"/>
    </xf>
    <xf numFmtId="0" fontId="59" fillId="0" borderId="0" xfId="0" quotePrefix="1" applyFont="1" applyBorder="1" applyAlignment="1" applyProtection="1">
      <alignment horizontal="left" vertical="top" wrapText="1"/>
    </xf>
    <xf numFmtId="0" fontId="49" fillId="0" borderId="153" xfId="0" quotePrefix="1" applyFont="1" applyBorder="1" applyAlignment="1">
      <alignment horizontal="center"/>
    </xf>
    <xf numFmtId="0" fontId="0" fillId="0" borderId="153" xfId="0" applyBorder="1" applyAlignment="1">
      <alignment horizontal="center"/>
    </xf>
    <xf numFmtId="0" fontId="49" fillId="0" borderId="176" xfId="0" applyFont="1" applyBorder="1" applyAlignment="1">
      <alignment horizontal="center"/>
    </xf>
    <xf numFmtId="0" fontId="49" fillId="0" borderId="86" xfId="0" applyFont="1" applyBorder="1" applyAlignment="1">
      <alignment horizontal="center"/>
    </xf>
    <xf numFmtId="0" fontId="49" fillId="0" borderId="177" xfId="0" applyFont="1" applyBorder="1" applyAlignment="1">
      <alignment horizontal="center"/>
    </xf>
    <xf numFmtId="0" fontId="56" fillId="31" borderId="167" xfId="0" quotePrefix="1" applyFont="1" applyFill="1" applyBorder="1" applyAlignment="1" applyProtection="1">
      <alignment horizontal="center" vertical="center"/>
      <protection locked="0"/>
    </xf>
    <xf numFmtId="0" fontId="56" fillId="31" borderId="168" xfId="0" quotePrefix="1" applyFont="1" applyFill="1" applyBorder="1" applyAlignment="1" applyProtection="1">
      <alignment horizontal="center" vertical="center"/>
      <protection locked="0"/>
    </xf>
    <xf numFmtId="0" fontId="56" fillId="31" borderId="169" xfId="0" quotePrefix="1" applyFont="1" applyFill="1" applyBorder="1" applyAlignment="1" applyProtection="1">
      <alignment horizontal="center" vertical="center"/>
      <protection locked="0"/>
    </xf>
    <xf numFmtId="14" fontId="56" fillId="31" borderId="167" xfId="1" applyNumberFormat="1" applyFont="1" applyFill="1" applyBorder="1" applyAlignment="1" applyProtection="1">
      <alignment horizontal="center" vertical="center"/>
      <protection locked="0"/>
    </xf>
    <xf numFmtId="0" fontId="56" fillId="31" borderId="168" xfId="1" applyNumberFormat="1" applyFont="1" applyFill="1" applyBorder="1" applyAlignment="1" applyProtection="1">
      <alignment horizontal="center" vertical="center"/>
      <protection locked="0"/>
    </xf>
    <xf numFmtId="0" fontId="56" fillId="31" borderId="169" xfId="1" applyNumberFormat="1" applyFont="1" applyFill="1" applyBorder="1" applyAlignment="1" applyProtection="1">
      <alignment horizontal="center" vertical="center"/>
      <protection locked="0"/>
    </xf>
    <xf numFmtId="0" fontId="56" fillId="0" borderId="37" xfId="0" quotePrefix="1" applyFont="1" applyFill="1" applyBorder="1" applyAlignment="1" applyProtection="1">
      <alignment horizontal="left" vertical="center" wrapText="1" indent="2"/>
    </xf>
    <xf numFmtId="0" fontId="56" fillId="0" borderId="0" xfId="0" applyFont="1" applyFill="1" applyBorder="1" applyAlignment="1" applyProtection="1">
      <alignment horizontal="left" vertical="center" wrapText="1" indent="2"/>
    </xf>
    <xf numFmtId="0" fontId="56" fillId="0" borderId="146" xfId="0" applyFont="1" applyFill="1" applyBorder="1" applyAlignment="1" applyProtection="1">
      <alignment horizontal="left" vertical="center" wrapText="1" indent="2"/>
    </xf>
    <xf numFmtId="0" fontId="56" fillId="40" borderId="167" xfId="0" applyFont="1" applyFill="1" applyBorder="1" applyAlignment="1" applyProtection="1">
      <alignment horizontal="center" vertical="center"/>
    </xf>
    <xf numFmtId="0" fontId="56" fillId="40" borderId="168" xfId="0" applyFont="1" applyFill="1" applyBorder="1" applyAlignment="1" applyProtection="1">
      <alignment horizontal="center" vertical="center"/>
    </xf>
    <xf numFmtId="0" fontId="56" fillId="40" borderId="169" xfId="0" applyFont="1" applyFill="1" applyBorder="1" applyAlignment="1" applyProtection="1">
      <alignment horizontal="center" vertical="center"/>
    </xf>
    <xf numFmtId="0" fontId="53" fillId="36" borderId="150" xfId="0" applyFont="1" applyFill="1" applyBorder="1" applyAlignment="1" applyProtection="1">
      <alignment horizontal="center" vertical="center"/>
    </xf>
    <xf numFmtId="0" fontId="53" fillId="36" borderId="5" xfId="0" applyFont="1" applyFill="1" applyBorder="1" applyAlignment="1" applyProtection="1">
      <alignment horizontal="center" vertical="center"/>
    </xf>
    <xf numFmtId="0" fontId="53" fillId="36" borderId="4" xfId="0" applyFont="1" applyFill="1" applyBorder="1" applyAlignment="1" applyProtection="1">
      <alignment horizontal="center" vertical="center"/>
    </xf>
    <xf numFmtId="0" fontId="136" fillId="0" borderId="17" xfId="0" quotePrefix="1" applyFont="1" applyFill="1" applyBorder="1" applyAlignment="1" applyProtection="1">
      <alignment horizontal="center" shrinkToFit="1"/>
    </xf>
    <xf numFmtId="0" fontId="111" fillId="0" borderId="0" xfId="0" applyFont="1" applyAlignment="1">
      <alignment horizontal="center"/>
    </xf>
    <xf numFmtId="0" fontId="111" fillId="0" borderId="0" xfId="0" quotePrefix="1" applyFont="1" applyAlignment="1">
      <alignment horizontal="center"/>
    </xf>
    <xf numFmtId="0" fontId="106" fillId="0" borderId="0" xfId="1505" applyFont="1" applyAlignment="1">
      <alignment horizontal="left" wrapText="1"/>
    </xf>
    <xf numFmtId="0" fontId="49" fillId="0" borderId="167" xfId="0" quotePrefix="1" applyFont="1" applyBorder="1" applyAlignment="1">
      <alignment horizontal="center"/>
    </xf>
    <xf numFmtId="0" fontId="49" fillId="0" borderId="168" xfId="0" quotePrefix="1" applyFont="1" applyBorder="1" applyAlignment="1">
      <alignment horizontal="center"/>
    </xf>
    <xf numFmtId="0" fontId="49" fillId="0" borderId="169" xfId="0" quotePrefix="1" applyFont="1" applyBorder="1" applyAlignment="1">
      <alignment horizontal="center"/>
    </xf>
    <xf numFmtId="43" fontId="49" fillId="0" borderId="167" xfId="0" quotePrefix="1" applyNumberFormat="1" applyFont="1" applyBorder="1" applyAlignment="1">
      <alignment horizontal="center"/>
    </xf>
    <xf numFmtId="43" fontId="49" fillId="0" borderId="168" xfId="0" quotePrefix="1" applyNumberFormat="1" applyFont="1" applyBorder="1" applyAlignment="1">
      <alignment horizontal="center"/>
    </xf>
    <xf numFmtId="43" fontId="49" fillId="0" borderId="169" xfId="0" quotePrefix="1" applyNumberFormat="1" applyFont="1" applyBorder="1" applyAlignment="1">
      <alignment horizontal="center"/>
    </xf>
    <xf numFmtId="43" fontId="62" fillId="0" borderId="167" xfId="0" quotePrefix="1" applyNumberFormat="1" applyFont="1" applyBorder="1" applyAlignment="1">
      <alignment horizontal="center"/>
    </xf>
    <xf numFmtId="43" fontId="62" fillId="0" borderId="168" xfId="0" applyNumberFormat="1" applyFont="1" applyBorder="1" applyAlignment="1">
      <alignment horizontal="center"/>
    </xf>
    <xf numFmtId="43" fontId="62" fillId="0" borderId="169" xfId="0" applyNumberFormat="1" applyFont="1" applyBorder="1" applyAlignment="1">
      <alignment horizontal="center"/>
    </xf>
  </cellXfs>
  <cellStyles count="27744">
    <cellStyle name="20% - Accent1 2" xfId="7" xr:uid="{00000000-0005-0000-0000-000000000000}"/>
    <cellStyle name="20% - Accent1 2 2" xfId="8" xr:uid="{00000000-0005-0000-0000-000001000000}"/>
    <cellStyle name="20% - Accent1 3" xfId="9" xr:uid="{00000000-0005-0000-0000-000002000000}"/>
    <cellStyle name="20% - Accent1 3 2" xfId="10" xr:uid="{00000000-0005-0000-0000-000003000000}"/>
    <cellStyle name="20% - Accent1 4" xfId="11" xr:uid="{00000000-0005-0000-0000-000004000000}"/>
    <cellStyle name="20% - Accent1 4 2" xfId="12" xr:uid="{00000000-0005-0000-0000-000005000000}"/>
    <cellStyle name="20% - Accent1 5" xfId="13" xr:uid="{00000000-0005-0000-0000-000006000000}"/>
    <cellStyle name="20% - Accent1 5 2" xfId="14" xr:uid="{00000000-0005-0000-0000-000007000000}"/>
    <cellStyle name="20% - Accent2 2" xfId="15" xr:uid="{00000000-0005-0000-0000-000008000000}"/>
    <cellStyle name="20% - Accent2 2 2" xfId="16" xr:uid="{00000000-0005-0000-0000-000009000000}"/>
    <cellStyle name="20% - Accent2 3" xfId="17" xr:uid="{00000000-0005-0000-0000-00000A000000}"/>
    <cellStyle name="20% - Accent2 3 2" xfId="18" xr:uid="{00000000-0005-0000-0000-00000B000000}"/>
    <cellStyle name="20% - Accent2 4" xfId="19" xr:uid="{00000000-0005-0000-0000-00000C000000}"/>
    <cellStyle name="20% - Accent2 4 2" xfId="20" xr:uid="{00000000-0005-0000-0000-00000D000000}"/>
    <cellStyle name="20% - Accent2 5" xfId="21" xr:uid="{00000000-0005-0000-0000-00000E000000}"/>
    <cellStyle name="20% - Accent2 5 2" xfId="22" xr:uid="{00000000-0005-0000-0000-00000F000000}"/>
    <cellStyle name="20% - Accent3 2" xfId="23" xr:uid="{00000000-0005-0000-0000-000010000000}"/>
    <cellStyle name="20% - Accent3 2 2" xfId="24" xr:uid="{00000000-0005-0000-0000-000011000000}"/>
    <cellStyle name="20% - Accent3 3" xfId="25" xr:uid="{00000000-0005-0000-0000-000012000000}"/>
    <cellStyle name="20% - Accent3 3 2" xfId="26" xr:uid="{00000000-0005-0000-0000-000013000000}"/>
    <cellStyle name="20% - Accent3 4" xfId="27" xr:uid="{00000000-0005-0000-0000-000014000000}"/>
    <cellStyle name="20% - Accent3 4 2" xfId="28" xr:uid="{00000000-0005-0000-0000-000015000000}"/>
    <cellStyle name="20% - Accent3 5" xfId="29" xr:uid="{00000000-0005-0000-0000-000016000000}"/>
    <cellStyle name="20% - Accent3 5 2" xfId="30" xr:uid="{00000000-0005-0000-0000-000017000000}"/>
    <cellStyle name="20% - Accent4 2" xfId="31" xr:uid="{00000000-0005-0000-0000-000018000000}"/>
    <cellStyle name="20% - Accent4 2 2" xfId="32" xr:uid="{00000000-0005-0000-0000-000019000000}"/>
    <cellStyle name="20% - Accent4 3" xfId="33" xr:uid="{00000000-0005-0000-0000-00001A000000}"/>
    <cellStyle name="20% - Accent4 3 2" xfId="34" xr:uid="{00000000-0005-0000-0000-00001B000000}"/>
    <cellStyle name="20% - Accent4 4" xfId="35" xr:uid="{00000000-0005-0000-0000-00001C000000}"/>
    <cellStyle name="20% - Accent4 4 2" xfId="36" xr:uid="{00000000-0005-0000-0000-00001D000000}"/>
    <cellStyle name="20% - Accent4 5" xfId="37" xr:uid="{00000000-0005-0000-0000-00001E000000}"/>
    <cellStyle name="20% - Accent4 5 2" xfId="38" xr:uid="{00000000-0005-0000-0000-00001F000000}"/>
    <cellStyle name="20% - Accent5 2" xfId="39" xr:uid="{00000000-0005-0000-0000-000020000000}"/>
    <cellStyle name="20% - Accent5 2 2" xfId="40" xr:uid="{00000000-0005-0000-0000-000021000000}"/>
    <cellStyle name="20% - Accent5 3" xfId="41" xr:uid="{00000000-0005-0000-0000-000022000000}"/>
    <cellStyle name="20% - Accent5 3 2" xfId="42" xr:uid="{00000000-0005-0000-0000-000023000000}"/>
    <cellStyle name="20% - Accent5 4" xfId="43" xr:uid="{00000000-0005-0000-0000-000024000000}"/>
    <cellStyle name="20% - Accent5 4 2" xfId="44" xr:uid="{00000000-0005-0000-0000-000025000000}"/>
    <cellStyle name="20% - Accent5 5" xfId="45" xr:uid="{00000000-0005-0000-0000-000026000000}"/>
    <cellStyle name="20% - Accent5 5 2" xfId="46" xr:uid="{00000000-0005-0000-0000-000027000000}"/>
    <cellStyle name="20% - Accent6 2" xfId="47" xr:uid="{00000000-0005-0000-0000-000028000000}"/>
    <cellStyle name="20% - Accent6 2 2" xfId="48" xr:uid="{00000000-0005-0000-0000-000029000000}"/>
    <cellStyle name="20% - Accent6 3" xfId="49" xr:uid="{00000000-0005-0000-0000-00002A000000}"/>
    <cellStyle name="20% - Accent6 3 2" xfId="50" xr:uid="{00000000-0005-0000-0000-00002B000000}"/>
    <cellStyle name="20% - Accent6 4" xfId="51" xr:uid="{00000000-0005-0000-0000-00002C000000}"/>
    <cellStyle name="20% - Accent6 4 2" xfId="52" xr:uid="{00000000-0005-0000-0000-00002D000000}"/>
    <cellStyle name="20% - Accent6 5" xfId="53" xr:uid="{00000000-0005-0000-0000-00002E000000}"/>
    <cellStyle name="20% - Accent6 5 2" xfId="54" xr:uid="{00000000-0005-0000-0000-00002F000000}"/>
    <cellStyle name="40% - Accent1 2" xfId="55" xr:uid="{00000000-0005-0000-0000-000030000000}"/>
    <cellStyle name="40% - Accent1 2 2" xfId="56" xr:uid="{00000000-0005-0000-0000-000031000000}"/>
    <cellStyle name="40% - Accent1 3" xfId="57" xr:uid="{00000000-0005-0000-0000-000032000000}"/>
    <cellStyle name="40% - Accent1 3 2" xfId="58" xr:uid="{00000000-0005-0000-0000-000033000000}"/>
    <cellStyle name="40% - Accent1 4" xfId="59" xr:uid="{00000000-0005-0000-0000-000034000000}"/>
    <cellStyle name="40% - Accent1 4 2" xfId="60" xr:uid="{00000000-0005-0000-0000-000035000000}"/>
    <cellStyle name="40% - Accent1 5" xfId="61" xr:uid="{00000000-0005-0000-0000-000036000000}"/>
    <cellStyle name="40% - Accent1 5 2" xfId="62" xr:uid="{00000000-0005-0000-0000-000037000000}"/>
    <cellStyle name="40% - Accent2 2" xfId="63" xr:uid="{00000000-0005-0000-0000-000038000000}"/>
    <cellStyle name="40% - Accent2 2 2" xfId="64" xr:uid="{00000000-0005-0000-0000-000039000000}"/>
    <cellStyle name="40% - Accent2 3" xfId="65" xr:uid="{00000000-0005-0000-0000-00003A000000}"/>
    <cellStyle name="40% - Accent2 3 2" xfId="66" xr:uid="{00000000-0005-0000-0000-00003B000000}"/>
    <cellStyle name="40% - Accent2 4" xfId="67" xr:uid="{00000000-0005-0000-0000-00003C000000}"/>
    <cellStyle name="40% - Accent2 4 2" xfId="68" xr:uid="{00000000-0005-0000-0000-00003D000000}"/>
    <cellStyle name="40% - Accent2 5" xfId="69" xr:uid="{00000000-0005-0000-0000-00003E000000}"/>
    <cellStyle name="40% - Accent2 5 2" xfId="70" xr:uid="{00000000-0005-0000-0000-00003F000000}"/>
    <cellStyle name="40% - Accent3 2" xfId="71" xr:uid="{00000000-0005-0000-0000-000040000000}"/>
    <cellStyle name="40% - Accent3 2 2" xfId="72" xr:uid="{00000000-0005-0000-0000-000041000000}"/>
    <cellStyle name="40% - Accent3 3" xfId="73" xr:uid="{00000000-0005-0000-0000-000042000000}"/>
    <cellStyle name="40% - Accent3 3 2" xfId="74" xr:uid="{00000000-0005-0000-0000-000043000000}"/>
    <cellStyle name="40% - Accent3 4" xfId="75" xr:uid="{00000000-0005-0000-0000-000044000000}"/>
    <cellStyle name="40% - Accent3 4 2" xfId="76" xr:uid="{00000000-0005-0000-0000-000045000000}"/>
    <cellStyle name="40% - Accent3 5" xfId="77" xr:uid="{00000000-0005-0000-0000-000046000000}"/>
    <cellStyle name="40% - Accent3 5 2" xfId="78" xr:uid="{00000000-0005-0000-0000-000047000000}"/>
    <cellStyle name="40% - Accent4 2" xfId="79" xr:uid="{00000000-0005-0000-0000-000048000000}"/>
    <cellStyle name="40% - Accent4 2 2" xfId="80" xr:uid="{00000000-0005-0000-0000-000049000000}"/>
    <cellStyle name="40% - Accent4 3" xfId="81" xr:uid="{00000000-0005-0000-0000-00004A000000}"/>
    <cellStyle name="40% - Accent4 3 2" xfId="82" xr:uid="{00000000-0005-0000-0000-00004B000000}"/>
    <cellStyle name="40% - Accent4 4" xfId="83" xr:uid="{00000000-0005-0000-0000-00004C000000}"/>
    <cellStyle name="40% - Accent4 4 2" xfId="84" xr:uid="{00000000-0005-0000-0000-00004D000000}"/>
    <cellStyle name="40% - Accent4 5" xfId="85" xr:uid="{00000000-0005-0000-0000-00004E000000}"/>
    <cellStyle name="40% - Accent4 5 2" xfId="86" xr:uid="{00000000-0005-0000-0000-00004F000000}"/>
    <cellStyle name="40% - Accent5 2" xfId="87" xr:uid="{00000000-0005-0000-0000-000050000000}"/>
    <cellStyle name="40% - Accent5 2 2" xfId="88" xr:uid="{00000000-0005-0000-0000-000051000000}"/>
    <cellStyle name="40% - Accent5 3" xfId="89" xr:uid="{00000000-0005-0000-0000-000052000000}"/>
    <cellStyle name="40% - Accent5 3 2" xfId="90" xr:uid="{00000000-0005-0000-0000-000053000000}"/>
    <cellStyle name="40% - Accent5 4" xfId="91" xr:uid="{00000000-0005-0000-0000-000054000000}"/>
    <cellStyle name="40% - Accent5 4 2" xfId="92" xr:uid="{00000000-0005-0000-0000-000055000000}"/>
    <cellStyle name="40% - Accent5 5" xfId="93" xr:uid="{00000000-0005-0000-0000-000056000000}"/>
    <cellStyle name="40% - Accent5 5 2" xfId="94" xr:uid="{00000000-0005-0000-0000-000057000000}"/>
    <cellStyle name="40% - Accent6 2" xfId="95" xr:uid="{00000000-0005-0000-0000-000058000000}"/>
    <cellStyle name="40% - Accent6 2 2" xfId="96" xr:uid="{00000000-0005-0000-0000-000059000000}"/>
    <cellStyle name="40% - Accent6 3" xfId="97" xr:uid="{00000000-0005-0000-0000-00005A000000}"/>
    <cellStyle name="40% - Accent6 3 2" xfId="98" xr:uid="{00000000-0005-0000-0000-00005B000000}"/>
    <cellStyle name="40% - Accent6 4" xfId="99" xr:uid="{00000000-0005-0000-0000-00005C000000}"/>
    <cellStyle name="40% - Accent6 4 2" xfId="100" xr:uid="{00000000-0005-0000-0000-00005D000000}"/>
    <cellStyle name="40% - Accent6 5" xfId="101" xr:uid="{00000000-0005-0000-0000-00005E000000}"/>
    <cellStyle name="40% - Accent6 5 2" xfId="102" xr:uid="{00000000-0005-0000-0000-00005F000000}"/>
    <cellStyle name="60% - Accent1 2" xfId="103" xr:uid="{00000000-0005-0000-0000-000060000000}"/>
    <cellStyle name="60% - Accent1 3" xfId="104" xr:uid="{00000000-0005-0000-0000-000061000000}"/>
    <cellStyle name="60% - Accent1 4" xfId="105" xr:uid="{00000000-0005-0000-0000-000062000000}"/>
    <cellStyle name="60% - Accent1 5" xfId="106" xr:uid="{00000000-0005-0000-0000-000063000000}"/>
    <cellStyle name="60% - Accent2 2" xfId="107" xr:uid="{00000000-0005-0000-0000-000064000000}"/>
    <cellStyle name="60% - Accent2 3" xfId="108" xr:uid="{00000000-0005-0000-0000-000065000000}"/>
    <cellStyle name="60% - Accent2 4" xfId="109" xr:uid="{00000000-0005-0000-0000-000066000000}"/>
    <cellStyle name="60% - Accent2 5" xfId="110" xr:uid="{00000000-0005-0000-0000-000067000000}"/>
    <cellStyle name="60% - Accent3 2" xfId="111" xr:uid="{00000000-0005-0000-0000-000068000000}"/>
    <cellStyle name="60% - Accent3 3" xfId="112" xr:uid="{00000000-0005-0000-0000-000069000000}"/>
    <cellStyle name="60% - Accent3 4" xfId="113" xr:uid="{00000000-0005-0000-0000-00006A000000}"/>
    <cellStyle name="60% - Accent3 5" xfId="114" xr:uid="{00000000-0005-0000-0000-00006B000000}"/>
    <cellStyle name="60% - Accent4 2" xfId="115" xr:uid="{00000000-0005-0000-0000-00006C000000}"/>
    <cellStyle name="60% - Accent4 3" xfId="116" xr:uid="{00000000-0005-0000-0000-00006D000000}"/>
    <cellStyle name="60% - Accent4 4" xfId="117" xr:uid="{00000000-0005-0000-0000-00006E000000}"/>
    <cellStyle name="60% - Accent4 5" xfId="118" xr:uid="{00000000-0005-0000-0000-00006F000000}"/>
    <cellStyle name="60% - Accent5 2" xfId="119" xr:uid="{00000000-0005-0000-0000-000070000000}"/>
    <cellStyle name="60% - Accent5 3" xfId="120" xr:uid="{00000000-0005-0000-0000-000071000000}"/>
    <cellStyle name="60% - Accent5 4" xfId="121" xr:uid="{00000000-0005-0000-0000-000072000000}"/>
    <cellStyle name="60% - Accent5 5" xfId="122" xr:uid="{00000000-0005-0000-0000-000073000000}"/>
    <cellStyle name="60% - Accent6 2" xfId="123" xr:uid="{00000000-0005-0000-0000-000074000000}"/>
    <cellStyle name="60% - Accent6 3" xfId="124" xr:uid="{00000000-0005-0000-0000-000075000000}"/>
    <cellStyle name="60% - Accent6 4" xfId="125" xr:uid="{00000000-0005-0000-0000-000076000000}"/>
    <cellStyle name="60% - Accent6 5" xfId="126" xr:uid="{00000000-0005-0000-0000-000077000000}"/>
    <cellStyle name="Accent1 2" xfId="127" xr:uid="{00000000-0005-0000-0000-000078000000}"/>
    <cellStyle name="Accent1 3" xfId="128" xr:uid="{00000000-0005-0000-0000-000079000000}"/>
    <cellStyle name="Accent1 4" xfId="129" xr:uid="{00000000-0005-0000-0000-00007A000000}"/>
    <cellStyle name="Accent1 5" xfId="130" xr:uid="{00000000-0005-0000-0000-00007B000000}"/>
    <cellStyle name="Accent2 2" xfId="131" xr:uid="{00000000-0005-0000-0000-00007C000000}"/>
    <cellStyle name="Accent2 3" xfId="132" xr:uid="{00000000-0005-0000-0000-00007D000000}"/>
    <cellStyle name="Accent2 4" xfId="133" xr:uid="{00000000-0005-0000-0000-00007E000000}"/>
    <cellStyle name="Accent2 5" xfId="134" xr:uid="{00000000-0005-0000-0000-00007F000000}"/>
    <cellStyle name="Accent3 2" xfId="135" xr:uid="{00000000-0005-0000-0000-000080000000}"/>
    <cellStyle name="Accent3 3" xfId="136" xr:uid="{00000000-0005-0000-0000-000081000000}"/>
    <cellStyle name="Accent3 4" xfId="137" xr:uid="{00000000-0005-0000-0000-000082000000}"/>
    <cellStyle name="Accent3 5" xfId="138" xr:uid="{00000000-0005-0000-0000-000083000000}"/>
    <cellStyle name="Accent4 2" xfId="139" xr:uid="{00000000-0005-0000-0000-000084000000}"/>
    <cellStyle name="Accent4 3" xfId="140" xr:uid="{00000000-0005-0000-0000-000085000000}"/>
    <cellStyle name="Accent4 4" xfId="141" xr:uid="{00000000-0005-0000-0000-000086000000}"/>
    <cellStyle name="Accent4 5" xfId="142" xr:uid="{00000000-0005-0000-0000-000087000000}"/>
    <cellStyle name="Accent5 2" xfId="143" xr:uid="{00000000-0005-0000-0000-000088000000}"/>
    <cellStyle name="Accent5 3" xfId="144" xr:uid="{00000000-0005-0000-0000-000089000000}"/>
    <cellStyle name="Accent5 4" xfId="145" xr:uid="{00000000-0005-0000-0000-00008A000000}"/>
    <cellStyle name="Accent5 5" xfId="146" xr:uid="{00000000-0005-0000-0000-00008B000000}"/>
    <cellStyle name="Accent6 2" xfId="147" xr:uid="{00000000-0005-0000-0000-00008C000000}"/>
    <cellStyle name="Accent6 3" xfId="148" xr:uid="{00000000-0005-0000-0000-00008D000000}"/>
    <cellStyle name="Accent6 4" xfId="149" xr:uid="{00000000-0005-0000-0000-00008E000000}"/>
    <cellStyle name="Accent6 5" xfId="150" xr:uid="{00000000-0005-0000-0000-00008F000000}"/>
    <cellStyle name="Bad 2" xfId="151" xr:uid="{00000000-0005-0000-0000-000090000000}"/>
    <cellStyle name="Bad 3" xfId="152" xr:uid="{00000000-0005-0000-0000-000091000000}"/>
    <cellStyle name="Bad 4" xfId="153" xr:uid="{00000000-0005-0000-0000-000092000000}"/>
    <cellStyle name="Bad 5" xfId="154" xr:uid="{00000000-0005-0000-0000-000093000000}"/>
    <cellStyle name="Calculation 2" xfId="155" xr:uid="{00000000-0005-0000-0000-000094000000}"/>
    <cellStyle name="Calculation 2 10" xfId="23813" xr:uid="{00000000-0005-0000-0000-000095000000}"/>
    <cellStyle name="Calculation 2 2" xfId="437" xr:uid="{00000000-0005-0000-0000-000096000000}"/>
    <cellStyle name="Calculation 2 2 10" xfId="22676" xr:uid="{00000000-0005-0000-0000-000097000000}"/>
    <cellStyle name="Calculation 2 2 2" xfId="702" xr:uid="{00000000-0005-0000-0000-000098000000}"/>
    <cellStyle name="Calculation 2 2 2 2" xfId="1234" xr:uid="{00000000-0005-0000-0000-000099000000}"/>
    <cellStyle name="Calculation 2 2 2 2 2" xfId="2391" xr:uid="{00000000-0005-0000-0000-00009A000000}"/>
    <cellStyle name="Calculation 2 2 2 2 2 2" xfId="4703" xr:uid="{00000000-0005-0000-0000-00009B000000}"/>
    <cellStyle name="Calculation 2 2 2 2 2 2 2" xfId="9654" xr:uid="{00000000-0005-0000-0000-00009C000000}"/>
    <cellStyle name="Calculation 2 2 2 2 2 2 2 2" xfId="20551" xr:uid="{00000000-0005-0000-0000-00009D000000}"/>
    <cellStyle name="Calculation 2 2 2 2 2 2 2 3" xfId="24822" xr:uid="{00000000-0005-0000-0000-00009E000000}"/>
    <cellStyle name="Calculation 2 2 2 2 2 2 2 4" xfId="26391" xr:uid="{00000000-0005-0000-0000-00009F000000}"/>
    <cellStyle name="Calculation 2 2 2 2 2 2 3" xfId="10842" xr:uid="{00000000-0005-0000-0000-0000A0000000}"/>
    <cellStyle name="Calculation 2 2 2 2 2 2 3 2" xfId="21739" xr:uid="{00000000-0005-0000-0000-0000A1000000}"/>
    <cellStyle name="Calculation 2 2 2 2 2 2 3 3" xfId="25869" xr:uid="{00000000-0005-0000-0000-0000A2000000}"/>
    <cellStyle name="Calculation 2 2 2 2 2 2 3 4" xfId="27386" xr:uid="{00000000-0005-0000-0000-0000A3000000}"/>
    <cellStyle name="Calculation 2 2 2 2 2 2 4" xfId="15600" xr:uid="{00000000-0005-0000-0000-0000A4000000}"/>
    <cellStyle name="Calculation 2 2 2 2 2 2 5" xfId="23135" xr:uid="{00000000-0005-0000-0000-0000A5000000}"/>
    <cellStyle name="Calculation 2 2 2 2 2 2 6" xfId="24430" xr:uid="{00000000-0005-0000-0000-0000A6000000}"/>
    <cellStyle name="Calculation 2 2 2 2 2 3" xfId="5222" xr:uid="{00000000-0005-0000-0000-0000A7000000}"/>
    <cellStyle name="Calculation 2 2 2 2 2 3 2" xfId="10173" xr:uid="{00000000-0005-0000-0000-0000A8000000}"/>
    <cellStyle name="Calculation 2 2 2 2 2 3 2 2" xfId="21070" xr:uid="{00000000-0005-0000-0000-0000A9000000}"/>
    <cellStyle name="Calculation 2 2 2 2 2 3 2 3" xfId="25200" xr:uid="{00000000-0005-0000-0000-0000AA000000}"/>
    <cellStyle name="Calculation 2 2 2 2 2 3 2 4" xfId="26717" xr:uid="{00000000-0005-0000-0000-0000AB000000}"/>
    <cellStyle name="Calculation 2 2 2 2 2 3 3" xfId="11168" xr:uid="{00000000-0005-0000-0000-0000AC000000}"/>
    <cellStyle name="Calculation 2 2 2 2 2 3 3 2" xfId="22065" xr:uid="{00000000-0005-0000-0000-0000AD000000}"/>
    <cellStyle name="Calculation 2 2 2 2 2 3 3 3" xfId="26195" xr:uid="{00000000-0005-0000-0000-0000AE000000}"/>
    <cellStyle name="Calculation 2 2 2 2 2 3 3 4" xfId="27712" xr:uid="{00000000-0005-0000-0000-0000AF000000}"/>
    <cellStyle name="Calculation 2 2 2 2 2 3 4" xfId="16119" xr:uid="{00000000-0005-0000-0000-0000B0000000}"/>
    <cellStyle name="Calculation 2 2 2 2 2 3 5" xfId="23511" xr:uid="{00000000-0005-0000-0000-0000B1000000}"/>
    <cellStyle name="Calculation 2 2 2 2 2 3 6" xfId="22919" xr:uid="{00000000-0005-0000-0000-0000B2000000}"/>
    <cellStyle name="Calculation 2 2 2 2 2 4" xfId="7342" xr:uid="{00000000-0005-0000-0000-0000B3000000}"/>
    <cellStyle name="Calculation 2 2 2 2 2 4 2" xfId="18239" xr:uid="{00000000-0005-0000-0000-0000B4000000}"/>
    <cellStyle name="Calculation 2 2 2 2 2 4 3" xfId="24149" xr:uid="{00000000-0005-0000-0000-0000B5000000}"/>
    <cellStyle name="Calculation 2 2 2 2 2 4 4" xfId="23023" xr:uid="{00000000-0005-0000-0000-0000B6000000}"/>
    <cellStyle name="Calculation 2 2 2 2 2 5" xfId="10500" xr:uid="{00000000-0005-0000-0000-0000B7000000}"/>
    <cellStyle name="Calculation 2 2 2 2 2 5 2" xfId="21397" xr:uid="{00000000-0005-0000-0000-0000B8000000}"/>
    <cellStyle name="Calculation 2 2 2 2 2 5 3" xfId="25527" xr:uid="{00000000-0005-0000-0000-0000B9000000}"/>
    <cellStyle name="Calculation 2 2 2 2 2 5 4" xfId="27044" xr:uid="{00000000-0005-0000-0000-0000BA000000}"/>
    <cellStyle name="Calculation 2 2 2 2 2 6" xfId="13302" xr:uid="{00000000-0005-0000-0000-0000BB000000}"/>
    <cellStyle name="Calculation 2 2 2 2 2 7" xfId="23566" xr:uid="{00000000-0005-0000-0000-0000BC000000}"/>
    <cellStyle name="Calculation 2 2 2 2 3" xfId="3558" xr:uid="{00000000-0005-0000-0000-0000BD000000}"/>
    <cellStyle name="Calculation 2 2 2 2 3 2" xfId="8509" xr:uid="{00000000-0005-0000-0000-0000BE000000}"/>
    <cellStyle name="Calculation 2 2 2 2 3 2 2" xfId="19406" xr:uid="{00000000-0005-0000-0000-0000BF000000}"/>
    <cellStyle name="Calculation 2 2 2 2 3 2 3" xfId="24498" xr:uid="{00000000-0005-0000-0000-0000C0000000}"/>
    <cellStyle name="Calculation 2 2 2 2 3 2 4" xfId="26231" xr:uid="{00000000-0005-0000-0000-0000C1000000}"/>
    <cellStyle name="Calculation 2 2 2 2 3 3" xfId="10682" xr:uid="{00000000-0005-0000-0000-0000C2000000}"/>
    <cellStyle name="Calculation 2 2 2 2 3 3 2" xfId="21579" xr:uid="{00000000-0005-0000-0000-0000C3000000}"/>
    <cellStyle name="Calculation 2 2 2 2 3 3 3" xfId="25709" xr:uid="{00000000-0005-0000-0000-0000C4000000}"/>
    <cellStyle name="Calculation 2 2 2 2 3 3 4" xfId="27226" xr:uid="{00000000-0005-0000-0000-0000C5000000}"/>
    <cellStyle name="Calculation 2 2 2 2 3 4" xfId="14455" xr:uid="{00000000-0005-0000-0000-0000C6000000}"/>
    <cellStyle name="Calculation 2 2 2 2 3 5" xfId="22809" xr:uid="{00000000-0005-0000-0000-0000C7000000}"/>
    <cellStyle name="Calculation 2 2 2 2 3 6" xfId="24721" xr:uid="{00000000-0005-0000-0000-0000C8000000}"/>
    <cellStyle name="Calculation 2 2 2 2 4" xfId="5063" xr:uid="{00000000-0005-0000-0000-0000C9000000}"/>
    <cellStyle name="Calculation 2 2 2 2 4 2" xfId="10014" xr:uid="{00000000-0005-0000-0000-0000CA000000}"/>
    <cellStyle name="Calculation 2 2 2 2 4 2 2" xfId="20911" xr:uid="{00000000-0005-0000-0000-0000CB000000}"/>
    <cellStyle name="Calculation 2 2 2 2 4 2 3" xfId="25041" xr:uid="{00000000-0005-0000-0000-0000CC000000}"/>
    <cellStyle name="Calculation 2 2 2 2 4 2 4" xfId="26558" xr:uid="{00000000-0005-0000-0000-0000CD000000}"/>
    <cellStyle name="Calculation 2 2 2 2 4 3" xfId="11009" xr:uid="{00000000-0005-0000-0000-0000CE000000}"/>
    <cellStyle name="Calculation 2 2 2 2 4 3 2" xfId="21906" xr:uid="{00000000-0005-0000-0000-0000CF000000}"/>
    <cellStyle name="Calculation 2 2 2 2 4 3 3" xfId="26036" xr:uid="{00000000-0005-0000-0000-0000D0000000}"/>
    <cellStyle name="Calculation 2 2 2 2 4 3 4" xfId="27553" xr:uid="{00000000-0005-0000-0000-0000D1000000}"/>
    <cellStyle name="Calculation 2 2 2 2 4 4" xfId="15960" xr:uid="{00000000-0005-0000-0000-0000D2000000}"/>
    <cellStyle name="Calculation 2 2 2 2 4 5" xfId="23352" xr:uid="{00000000-0005-0000-0000-0000D3000000}"/>
    <cellStyle name="Calculation 2 2 2 2 4 6" xfId="11243" xr:uid="{00000000-0005-0000-0000-0000D4000000}"/>
    <cellStyle name="Calculation 2 2 2 2 5" xfId="6197" xr:uid="{00000000-0005-0000-0000-0000D5000000}"/>
    <cellStyle name="Calculation 2 2 2 2 5 2" xfId="17094" xr:uid="{00000000-0005-0000-0000-0000D6000000}"/>
    <cellStyle name="Calculation 2 2 2 2 5 3" xfId="23823" xr:uid="{00000000-0005-0000-0000-0000D7000000}"/>
    <cellStyle name="Calculation 2 2 2 2 5 4" xfId="22332" xr:uid="{00000000-0005-0000-0000-0000D8000000}"/>
    <cellStyle name="Calculation 2 2 2 2 6" xfId="10341" xr:uid="{00000000-0005-0000-0000-0000D9000000}"/>
    <cellStyle name="Calculation 2 2 2 2 6 2" xfId="21238" xr:uid="{00000000-0005-0000-0000-0000DA000000}"/>
    <cellStyle name="Calculation 2 2 2 2 6 3" xfId="25368" xr:uid="{00000000-0005-0000-0000-0000DB000000}"/>
    <cellStyle name="Calculation 2 2 2 2 6 4" xfId="26885" xr:uid="{00000000-0005-0000-0000-0000DC000000}"/>
    <cellStyle name="Calculation 2 2 2 2 7" xfId="12184" xr:uid="{00000000-0005-0000-0000-0000DD000000}"/>
    <cellStyle name="Calculation 2 2 2 2 8" xfId="22105" xr:uid="{00000000-0005-0000-0000-0000DE000000}"/>
    <cellStyle name="Calculation 2 2 2 3" xfId="1404" xr:uid="{00000000-0005-0000-0000-0000DF000000}"/>
    <cellStyle name="Calculation 2 2 2 3 2" xfId="3728" xr:uid="{00000000-0005-0000-0000-0000E0000000}"/>
    <cellStyle name="Calculation 2 2 2 3 2 2" xfId="8679" xr:uid="{00000000-0005-0000-0000-0000E1000000}"/>
    <cellStyle name="Calculation 2 2 2 3 2 2 2" xfId="19576" xr:uid="{00000000-0005-0000-0000-0000E2000000}"/>
    <cellStyle name="Calculation 2 2 2 3 2 2 3" xfId="24573" xr:uid="{00000000-0005-0000-0000-0000E3000000}"/>
    <cellStyle name="Calculation 2 2 2 3 2 2 4" xfId="26291" xr:uid="{00000000-0005-0000-0000-0000E4000000}"/>
    <cellStyle name="Calculation 2 2 2 3 2 3" xfId="10742" xr:uid="{00000000-0005-0000-0000-0000E5000000}"/>
    <cellStyle name="Calculation 2 2 2 3 2 3 2" xfId="21639" xr:uid="{00000000-0005-0000-0000-0000E6000000}"/>
    <cellStyle name="Calculation 2 2 2 3 2 3 3" xfId="25769" xr:uid="{00000000-0005-0000-0000-0000E7000000}"/>
    <cellStyle name="Calculation 2 2 2 3 2 3 4" xfId="27286" xr:uid="{00000000-0005-0000-0000-0000E8000000}"/>
    <cellStyle name="Calculation 2 2 2 3 2 4" xfId="14625" xr:uid="{00000000-0005-0000-0000-0000E9000000}"/>
    <cellStyle name="Calculation 2 2 2 3 2 5" xfId="22885" xr:uid="{00000000-0005-0000-0000-0000EA000000}"/>
    <cellStyle name="Calculation 2 2 2 3 2 6" xfId="23838" xr:uid="{00000000-0005-0000-0000-0000EB000000}"/>
    <cellStyle name="Calculation 2 2 2 3 3" xfId="5123" xr:uid="{00000000-0005-0000-0000-0000EC000000}"/>
    <cellStyle name="Calculation 2 2 2 3 3 2" xfId="10074" xr:uid="{00000000-0005-0000-0000-0000ED000000}"/>
    <cellStyle name="Calculation 2 2 2 3 3 2 2" xfId="20971" xr:uid="{00000000-0005-0000-0000-0000EE000000}"/>
    <cellStyle name="Calculation 2 2 2 3 3 2 3" xfId="25101" xr:uid="{00000000-0005-0000-0000-0000EF000000}"/>
    <cellStyle name="Calculation 2 2 2 3 3 2 4" xfId="26618" xr:uid="{00000000-0005-0000-0000-0000F0000000}"/>
    <cellStyle name="Calculation 2 2 2 3 3 3" xfId="11069" xr:uid="{00000000-0005-0000-0000-0000F1000000}"/>
    <cellStyle name="Calculation 2 2 2 3 3 3 2" xfId="21966" xr:uid="{00000000-0005-0000-0000-0000F2000000}"/>
    <cellStyle name="Calculation 2 2 2 3 3 3 3" xfId="26096" xr:uid="{00000000-0005-0000-0000-0000F3000000}"/>
    <cellStyle name="Calculation 2 2 2 3 3 3 4" xfId="27613" xr:uid="{00000000-0005-0000-0000-0000F4000000}"/>
    <cellStyle name="Calculation 2 2 2 3 3 4" xfId="16020" xr:uid="{00000000-0005-0000-0000-0000F5000000}"/>
    <cellStyle name="Calculation 2 2 2 3 3 5" xfId="23412" xr:uid="{00000000-0005-0000-0000-0000F6000000}"/>
    <cellStyle name="Calculation 2 2 2 3 3 6" xfId="24859" xr:uid="{00000000-0005-0000-0000-0000F7000000}"/>
    <cellStyle name="Calculation 2 2 2 3 4" xfId="6367" xr:uid="{00000000-0005-0000-0000-0000F8000000}"/>
    <cellStyle name="Calculation 2 2 2 3 4 2" xfId="17264" xr:uid="{00000000-0005-0000-0000-0000F9000000}"/>
    <cellStyle name="Calculation 2 2 2 3 4 3" xfId="23898" xr:uid="{00000000-0005-0000-0000-0000FA000000}"/>
    <cellStyle name="Calculation 2 2 2 3 4 4" xfId="24632" xr:uid="{00000000-0005-0000-0000-0000FB000000}"/>
    <cellStyle name="Calculation 2 2 2 3 5" xfId="10401" xr:uid="{00000000-0005-0000-0000-0000FC000000}"/>
    <cellStyle name="Calculation 2 2 2 3 5 2" xfId="21298" xr:uid="{00000000-0005-0000-0000-0000FD000000}"/>
    <cellStyle name="Calculation 2 2 2 3 5 3" xfId="25428" xr:uid="{00000000-0005-0000-0000-0000FE000000}"/>
    <cellStyle name="Calculation 2 2 2 3 5 4" xfId="26945" xr:uid="{00000000-0005-0000-0000-0000FF000000}"/>
    <cellStyle name="Calculation 2 2 2 3 6" xfId="12344" xr:uid="{00000000-0005-0000-0000-000000010000}"/>
    <cellStyle name="Calculation 2 2 2 3 7" xfId="23779" xr:uid="{00000000-0005-0000-0000-000001010000}"/>
    <cellStyle name="Calculation 2 2 2 4" xfId="3026" xr:uid="{00000000-0005-0000-0000-000002010000}"/>
    <cellStyle name="Calculation 2 2 2 4 2" xfId="7977" xr:uid="{00000000-0005-0000-0000-000003010000}"/>
    <cellStyle name="Calculation 2 2 2 4 2 2" xfId="18874" xr:uid="{00000000-0005-0000-0000-000004010000}"/>
    <cellStyle name="Calculation 2 2 2 4 2 3" xfId="24343" xr:uid="{00000000-0005-0000-0000-000005010000}"/>
    <cellStyle name="Calculation 2 2 2 4 2 4" xfId="22828" xr:uid="{00000000-0005-0000-0000-000006010000}"/>
    <cellStyle name="Calculation 2 2 2 4 3" xfId="10602" xr:uid="{00000000-0005-0000-0000-000007010000}"/>
    <cellStyle name="Calculation 2 2 2 4 3 2" xfId="21499" xr:uid="{00000000-0005-0000-0000-000008010000}"/>
    <cellStyle name="Calculation 2 2 2 4 3 3" xfId="25629" xr:uid="{00000000-0005-0000-0000-000009010000}"/>
    <cellStyle name="Calculation 2 2 2 4 3 4" xfId="27146" xr:uid="{00000000-0005-0000-0000-00000A010000}"/>
    <cellStyle name="Calculation 2 2 2 4 4" xfId="13923" xr:uid="{00000000-0005-0000-0000-00000B010000}"/>
    <cellStyle name="Calculation 2 2 2 4 5" xfId="22647" xr:uid="{00000000-0005-0000-0000-00000C010000}"/>
    <cellStyle name="Calculation 2 2 2 4 6" xfId="24176" xr:uid="{00000000-0005-0000-0000-00000D010000}"/>
    <cellStyle name="Calculation 2 2 2 5" xfId="4983" xr:uid="{00000000-0005-0000-0000-00000E010000}"/>
    <cellStyle name="Calculation 2 2 2 5 2" xfId="9934" xr:uid="{00000000-0005-0000-0000-00000F010000}"/>
    <cellStyle name="Calculation 2 2 2 5 2 2" xfId="20831" xr:uid="{00000000-0005-0000-0000-000010010000}"/>
    <cellStyle name="Calculation 2 2 2 5 2 3" xfId="24961" xr:uid="{00000000-0005-0000-0000-000011010000}"/>
    <cellStyle name="Calculation 2 2 2 5 2 4" xfId="26478" xr:uid="{00000000-0005-0000-0000-000012010000}"/>
    <cellStyle name="Calculation 2 2 2 5 3" xfId="10929" xr:uid="{00000000-0005-0000-0000-000013010000}"/>
    <cellStyle name="Calculation 2 2 2 5 3 2" xfId="21826" xr:uid="{00000000-0005-0000-0000-000014010000}"/>
    <cellStyle name="Calculation 2 2 2 5 3 3" xfId="25956" xr:uid="{00000000-0005-0000-0000-000015010000}"/>
    <cellStyle name="Calculation 2 2 2 5 3 4" xfId="27473" xr:uid="{00000000-0005-0000-0000-000016010000}"/>
    <cellStyle name="Calculation 2 2 2 5 4" xfId="15880" xr:uid="{00000000-0005-0000-0000-000017010000}"/>
    <cellStyle name="Calculation 2 2 2 5 5" xfId="23272" xr:uid="{00000000-0005-0000-0000-000018010000}"/>
    <cellStyle name="Calculation 2 2 2 5 6" xfId="22654" xr:uid="{00000000-0005-0000-0000-000019010000}"/>
    <cellStyle name="Calculation 2 2 2 6" xfId="5665" xr:uid="{00000000-0005-0000-0000-00001A010000}"/>
    <cellStyle name="Calculation 2 2 2 6 2" xfId="16562" xr:uid="{00000000-0005-0000-0000-00001B010000}"/>
    <cellStyle name="Calculation 2 2 2 6 3" xfId="23665" xr:uid="{00000000-0005-0000-0000-00001C010000}"/>
    <cellStyle name="Calculation 2 2 2 6 4" xfId="22923" xr:uid="{00000000-0005-0000-0000-00001D010000}"/>
    <cellStyle name="Calculation 2 2 2 7" xfId="10261" xr:uid="{00000000-0005-0000-0000-00001E010000}"/>
    <cellStyle name="Calculation 2 2 2 7 2" xfId="21158" xr:uid="{00000000-0005-0000-0000-00001F010000}"/>
    <cellStyle name="Calculation 2 2 2 7 3" xfId="25288" xr:uid="{00000000-0005-0000-0000-000020010000}"/>
    <cellStyle name="Calculation 2 2 2 7 4" xfId="26805" xr:uid="{00000000-0005-0000-0000-000021010000}"/>
    <cellStyle name="Calculation 2 2 2 8" xfId="11663" xr:uid="{00000000-0005-0000-0000-000022010000}"/>
    <cellStyle name="Calculation 2 2 2 9" xfId="24263" xr:uid="{00000000-0005-0000-0000-000023010000}"/>
    <cellStyle name="Calculation 2 2 3" xfId="969" xr:uid="{00000000-0005-0000-0000-000024010000}"/>
    <cellStyle name="Calculation 2 2 3 2" xfId="2126" xr:uid="{00000000-0005-0000-0000-000025010000}"/>
    <cellStyle name="Calculation 2 2 3 2 2" xfId="4438" xr:uid="{00000000-0005-0000-0000-000026010000}"/>
    <cellStyle name="Calculation 2 2 3 2 2 2" xfId="9389" xr:uid="{00000000-0005-0000-0000-000027010000}"/>
    <cellStyle name="Calculation 2 2 3 2 2 2 2" xfId="20286" xr:uid="{00000000-0005-0000-0000-000028010000}"/>
    <cellStyle name="Calculation 2 2 3 2 2 2 3" xfId="24750" xr:uid="{00000000-0005-0000-0000-000029010000}"/>
    <cellStyle name="Calculation 2 2 3 2 2 2 4" xfId="26351" xr:uid="{00000000-0005-0000-0000-00002A010000}"/>
    <cellStyle name="Calculation 2 2 3 2 2 3" xfId="10802" xr:uid="{00000000-0005-0000-0000-00002B010000}"/>
    <cellStyle name="Calculation 2 2 3 2 2 3 2" xfId="21699" xr:uid="{00000000-0005-0000-0000-00002C010000}"/>
    <cellStyle name="Calculation 2 2 3 2 2 3 3" xfId="25829" xr:uid="{00000000-0005-0000-0000-00002D010000}"/>
    <cellStyle name="Calculation 2 2 3 2 2 3 4" xfId="27346" xr:uid="{00000000-0005-0000-0000-00002E010000}"/>
    <cellStyle name="Calculation 2 2 3 2 2 4" xfId="15335" xr:uid="{00000000-0005-0000-0000-00002F010000}"/>
    <cellStyle name="Calculation 2 2 3 2 2 5" xfId="23060" xr:uid="{00000000-0005-0000-0000-000030010000}"/>
    <cellStyle name="Calculation 2 2 3 2 2 6" xfId="23077" xr:uid="{00000000-0005-0000-0000-000031010000}"/>
    <cellStyle name="Calculation 2 2 3 2 3" xfId="5182" xr:uid="{00000000-0005-0000-0000-000032010000}"/>
    <cellStyle name="Calculation 2 2 3 2 3 2" xfId="10133" xr:uid="{00000000-0005-0000-0000-000033010000}"/>
    <cellStyle name="Calculation 2 2 3 2 3 2 2" xfId="21030" xr:uid="{00000000-0005-0000-0000-000034010000}"/>
    <cellStyle name="Calculation 2 2 3 2 3 2 3" xfId="25160" xr:uid="{00000000-0005-0000-0000-000035010000}"/>
    <cellStyle name="Calculation 2 2 3 2 3 2 4" xfId="26677" xr:uid="{00000000-0005-0000-0000-000036010000}"/>
    <cellStyle name="Calculation 2 2 3 2 3 3" xfId="11128" xr:uid="{00000000-0005-0000-0000-000037010000}"/>
    <cellStyle name="Calculation 2 2 3 2 3 3 2" xfId="22025" xr:uid="{00000000-0005-0000-0000-000038010000}"/>
    <cellStyle name="Calculation 2 2 3 2 3 3 3" xfId="26155" xr:uid="{00000000-0005-0000-0000-000039010000}"/>
    <cellStyle name="Calculation 2 2 3 2 3 3 4" xfId="27672" xr:uid="{00000000-0005-0000-0000-00003A010000}"/>
    <cellStyle name="Calculation 2 2 3 2 3 4" xfId="16079" xr:uid="{00000000-0005-0000-0000-00003B010000}"/>
    <cellStyle name="Calculation 2 2 3 2 3 5" xfId="23471" xr:uid="{00000000-0005-0000-0000-00003C010000}"/>
    <cellStyle name="Calculation 2 2 3 2 3 6" xfId="24654" xr:uid="{00000000-0005-0000-0000-00003D010000}"/>
    <cellStyle name="Calculation 2 2 3 2 4" xfId="7077" xr:uid="{00000000-0005-0000-0000-00003E010000}"/>
    <cellStyle name="Calculation 2 2 3 2 4 2" xfId="17974" xr:uid="{00000000-0005-0000-0000-00003F010000}"/>
    <cellStyle name="Calculation 2 2 3 2 4 3" xfId="24072" xr:uid="{00000000-0005-0000-0000-000040010000}"/>
    <cellStyle name="Calculation 2 2 3 2 4 4" xfId="23942" xr:uid="{00000000-0005-0000-0000-000041010000}"/>
    <cellStyle name="Calculation 2 2 3 2 5" xfId="10460" xr:uid="{00000000-0005-0000-0000-000042010000}"/>
    <cellStyle name="Calculation 2 2 3 2 5 2" xfId="21357" xr:uid="{00000000-0005-0000-0000-000043010000}"/>
    <cellStyle name="Calculation 2 2 3 2 5 3" xfId="25487" xr:uid="{00000000-0005-0000-0000-000044010000}"/>
    <cellStyle name="Calculation 2 2 3 2 5 4" xfId="27004" xr:uid="{00000000-0005-0000-0000-000045010000}"/>
    <cellStyle name="Calculation 2 2 3 2 6" xfId="13043" xr:uid="{00000000-0005-0000-0000-000046010000}"/>
    <cellStyle name="Calculation 2 2 3 2 7" xfId="23170" xr:uid="{00000000-0005-0000-0000-000047010000}"/>
    <cellStyle name="Calculation 2 2 3 3" xfId="3293" xr:uid="{00000000-0005-0000-0000-000048010000}"/>
    <cellStyle name="Calculation 2 2 3 3 2" xfId="8244" xr:uid="{00000000-0005-0000-0000-000049010000}"/>
    <cellStyle name="Calculation 2 2 3 3 2 2" xfId="19141" xr:uid="{00000000-0005-0000-0000-00004A010000}"/>
    <cellStyle name="Calculation 2 2 3 3 2 3" xfId="24421" xr:uid="{00000000-0005-0000-0000-00004B010000}"/>
    <cellStyle name="Calculation 2 2 3 3 2 4" xfId="11213" xr:uid="{00000000-0005-0000-0000-00004C010000}"/>
    <cellStyle name="Calculation 2 2 3 3 3" xfId="10642" xr:uid="{00000000-0005-0000-0000-00004D010000}"/>
    <cellStyle name="Calculation 2 2 3 3 3 2" xfId="21539" xr:uid="{00000000-0005-0000-0000-00004E010000}"/>
    <cellStyle name="Calculation 2 2 3 3 3 3" xfId="25669" xr:uid="{00000000-0005-0000-0000-00004F010000}"/>
    <cellStyle name="Calculation 2 2 3 3 3 4" xfId="27186" xr:uid="{00000000-0005-0000-0000-000050010000}"/>
    <cellStyle name="Calculation 2 2 3 3 4" xfId="14190" xr:uid="{00000000-0005-0000-0000-000051010000}"/>
    <cellStyle name="Calculation 2 2 3 3 5" xfId="22730" xr:uid="{00000000-0005-0000-0000-000052010000}"/>
    <cellStyle name="Calculation 2 2 3 3 6" xfId="22544" xr:uid="{00000000-0005-0000-0000-000053010000}"/>
    <cellStyle name="Calculation 2 2 3 4" xfId="5023" xr:uid="{00000000-0005-0000-0000-000054010000}"/>
    <cellStyle name="Calculation 2 2 3 4 2" xfId="9974" xr:uid="{00000000-0005-0000-0000-000055010000}"/>
    <cellStyle name="Calculation 2 2 3 4 2 2" xfId="20871" xr:uid="{00000000-0005-0000-0000-000056010000}"/>
    <cellStyle name="Calculation 2 2 3 4 2 3" xfId="25001" xr:uid="{00000000-0005-0000-0000-000057010000}"/>
    <cellStyle name="Calculation 2 2 3 4 2 4" xfId="26518" xr:uid="{00000000-0005-0000-0000-000058010000}"/>
    <cellStyle name="Calculation 2 2 3 4 3" xfId="10969" xr:uid="{00000000-0005-0000-0000-000059010000}"/>
    <cellStyle name="Calculation 2 2 3 4 3 2" xfId="21866" xr:uid="{00000000-0005-0000-0000-00005A010000}"/>
    <cellStyle name="Calculation 2 2 3 4 3 3" xfId="25996" xr:uid="{00000000-0005-0000-0000-00005B010000}"/>
    <cellStyle name="Calculation 2 2 3 4 3 4" xfId="27513" xr:uid="{00000000-0005-0000-0000-00005C010000}"/>
    <cellStyle name="Calculation 2 2 3 4 4" xfId="15920" xr:uid="{00000000-0005-0000-0000-00005D010000}"/>
    <cellStyle name="Calculation 2 2 3 4 5" xfId="23312" xr:uid="{00000000-0005-0000-0000-00005E010000}"/>
    <cellStyle name="Calculation 2 2 3 4 6" xfId="24137" xr:uid="{00000000-0005-0000-0000-00005F010000}"/>
    <cellStyle name="Calculation 2 2 3 5" xfId="5932" xr:uid="{00000000-0005-0000-0000-000060010000}"/>
    <cellStyle name="Calculation 2 2 3 5 2" xfId="16829" xr:uid="{00000000-0005-0000-0000-000061010000}"/>
    <cellStyle name="Calculation 2 2 3 5 3" xfId="23743" xr:uid="{00000000-0005-0000-0000-000062010000}"/>
    <cellStyle name="Calculation 2 2 3 5 4" xfId="23085" xr:uid="{00000000-0005-0000-0000-000063010000}"/>
    <cellStyle name="Calculation 2 2 3 6" xfId="10301" xr:uid="{00000000-0005-0000-0000-000064010000}"/>
    <cellStyle name="Calculation 2 2 3 6 2" xfId="21198" xr:uid="{00000000-0005-0000-0000-000065010000}"/>
    <cellStyle name="Calculation 2 2 3 6 3" xfId="25328" xr:uid="{00000000-0005-0000-0000-000066010000}"/>
    <cellStyle name="Calculation 2 2 3 6 4" xfId="26845" xr:uid="{00000000-0005-0000-0000-000067010000}"/>
    <cellStyle name="Calculation 2 2 3 7" xfId="11925" xr:uid="{00000000-0005-0000-0000-000068010000}"/>
    <cellStyle name="Calculation 2 2 3 8" xfId="22135" xr:uid="{00000000-0005-0000-0000-000069010000}"/>
    <cellStyle name="Calculation 2 2 4" xfId="1364" xr:uid="{00000000-0005-0000-0000-00006A010000}"/>
    <cellStyle name="Calculation 2 2 4 2" xfId="3688" xr:uid="{00000000-0005-0000-0000-00006B010000}"/>
    <cellStyle name="Calculation 2 2 4 2 2" xfId="8639" xr:uid="{00000000-0005-0000-0000-00006C010000}"/>
    <cellStyle name="Calculation 2 2 4 2 2 2" xfId="19536" xr:uid="{00000000-0005-0000-0000-00006D010000}"/>
    <cellStyle name="Calculation 2 2 4 2 2 3" xfId="24533" xr:uid="{00000000-0005-0000-0000-00006E010000}"/>
    <cellStyle name="Calculation 2 2 4 2 2 4" xfId="26251" xr:uid="{00000000-0005-0000-0000-00006F010000}"/>
    <cellStyle name="Calculation 2 2 4 2 3" xfId="10702" xr:uid="{00000000-0005-0000-0000-000070010000}"/>
    <cellStyle name="Calculation 2 2 4 2 3 2" xfId="21599" xr:uid="{00000000-0005-0000-0000-000071010000}"/>
    <cellStyle name="Calculation 2 2 4 2 3 3" xfId="25729" xr:uid="{00000000-0005-0000-0000-000072010000}"/>
    <cellStyle name="Calculation 2 2 4 2 3 4" xfId="27246" xr:uid="{00000000-0005-0000-0000-000073010000}"/>
    <cellStyle name="Calculation 2 2 4 2 4" xfId="14585" xr:uid="{00000000-0005-0000-0000-000074010000}"/>
    <cellStyle name="Calculation 2 2 4 2 5" xfId="22845" xr:uid="{00000000-0005-0000-0000-000075010000}"/>
    <cellStyle name="Calculation 2 2 4 2 6" xfId="22386" xr:uid="{00000000-0005-0000-0000-000076010000}"/>
    <cellStyle name="Calculation 2 2 4 3" xfId="5083" xr:uid="{00000000-0005-0000-0000-000077010000}"/>
    <cellStyle name="Calculation 2 2 4 3 2" xfId="10034" xr:uid="{00000000-0005-0000-0000-000078010000}"/>
    <cellStyle name="Calculation 2 2 4 3 2 2" xfId="20931" xr:uid="{00000000-0005-0000-0000-000079010000}"/>
    <cellStyle name="Calculation 2 2 4 3 2 3" xfId="25061" xr:uid="{00000000-0005-0000-0000-00007A010000}"/>
    <cellStyle name="Calculation 2 2 4 3 2 4" xfId="26578" xr:uid="{00000000-0005-0000-0000-00007B010000}"/>
    <cellStyle name="Calculation 2 2 4 3 3" xfId="11029" xr:uid="{00000000-0005-0000-0000-00007C010000}"/>
    <cellStyle name="Calculation 2 2 4 3 3 2" xfId="21926" xr:uid="{00000000-0005-0000-0000-00007D010000}"/>
    <cellStyle name="Calculation 2 2 4 3 3 3" xfId="26056" xr:uid="{00000000-0005-0000-0000-00007E010000}"/>
    <cellStyle name="Calculation 2 2 4 3 3 4" xfId="27573" xr:uid="{00000000-0005-0000-0000-00007F010000}"/>
    <cellStyle name="Calculation 2 2 4 3 4" xfId="15980" xr:uid="{00000000-0005-0000-0000-000080010000}"/>
    <cellStyle name="Calculation 2 2 4 3 5" xfId="23372" xr:uid="{00000000-0005-0000-0000-000081010000}"/>
    <cellStyle name="Calculation 2 2 4 3 6" xfId="22640" xr:uid="{00000000-0005-0000-0000-000082010000}"/>
    <cellStyle name="Calculation 2 2 4 4" xfId="6327" xr:uid="{00000000-0005-0000-0000-000083010000}"/>
    <cellStyle name="Calculation 2 2 4 4 2" xfId="17224" xr:uid="{00000000-0005-0000-0000-000084010000}"/>
    <cellStyle name="Calculation 2 2 4 4 3" xfId="23858" xr:uid="{00000000-0005-0000-0000-000085010000}"/>
    <cellStyle name="Calculation 2 2 4 4 4" xfId="24885" xr:uid="{00000000-0005-0000-0000-000086010000}"/>
    <cellStyle name="Calculation 2 2 4 5" xfId="10361" xr:uid="{00000000-0005-0000-0000-000087010000}"/>
    <cellStyle name="Calculation 2 2 4 5 2" xfId="21258" xr:uid="{00000000-0005-0000-0000-000088010000}"/>
    <cellStyle name="Calculation 2 2 4 5 3" xfId="25388" xr:uid="{00000000-0005-0000-0000-000089010000}"/>
    <cellStyle name="Calculation 2 2 4 5 4" xfId="26905" xr:uid="{00000000-0005-0000-0000-00008A010000}"/>
    <cellStyle name="Calculation 2 2 4 6" xfId="12312" xr:uid="{00000000-0005-0000-0000-00008B010000}"/>
    <cellStyle name="Calculation 2 2 4 7" xfId="24594" xr:uid="{00000000-0005-0000-0000-00008C010000}"/>
    <cellStyle name="Calculation 2 2 5" xfId="2761" xr:uid="{00000000-0005-0000-0000-00008D010000}"/>
    <cellStyle name="Calculation 2 2 5 2" xfId="7712" xr:uid="{00000000-0005-0000-0000-00008E010000}"/>
    <cellStyle name="Calculation 2 2 5 2 2" xfId="18609" xr:uid="{00000000-0005-0000-0000-00008F010000}"/>
    <cellStyle name="Calculation 2 2 5 2 3" xfId="24275" xr:uid="{00000000-0005-0000-0000-000090010000}"/>
    <cellStyle name="Calculation 2 2 5 2 4" xfId="23686" xr:uid="{00000000-0005-0000-0000-000091010000}"/>
    <cellStyle name="Calculation 2 2 5 3" xfId="10562" xr:uid="{00000000-0005-0000-0000-000092010000}"/>
    <cellStyle name="Calculation 2 2 5 3 2" xfId="21459" xr:uid="{00000000-0005-0000-0000-000093010000}"/>
    <cellStyle name="Calculation 2 2 5 3 3" xfId="25589" xr:uid="{00000000-0005-0000-0000-000094010000}"/>
    <cellStyle name="Calculation 2 2 5 3 4" xfId="27106" xr:uid="{00000000-0005-0000-0000-000095010000}"/>
    <cellStyle name="Calculation 2 2 5 4" xfId="13658" xr:uid="{00000000-0005-0000-0000-000096010000}"/>
    <cellStyle name="Calculation 2 2 5 5" xfId="22575" xr:uid="{00000000-0005-0000-0000-000097010000}"/>
    <cellStyle name="Calculation 2 2 5 6" xfId="24367" xr:uid="{00000000-0005-0000-0000-000098010000}"/>
    <cellStyle name="Calculation 2 2 6" xfId="4943" xr:uid="{00000000-0005-0000-0000-000099010000}"/>
    <cellStyle name="Calculation 2 2 6 2" xfId="9894" xr:uid="{00000000-0005-0000-0000-00009A010000}"/>
    <cellStyle name="Calculation 2 2 6 2 2" xfId="20791" xr:uid="{00000000-0005-0000-0000-00009B010000}"/>
    <cellStyle name="Calculation 2 2 6 2 3" xfId="24921" xr:uid="{00000000-0005-0000-0000-00009C010000}"/>
    <cellStyle name="Calculation 2 2 6 2 4" xfId="26438" xr:uid="{00000000-0005-0000-0000-00009D010000}"/>
    <cellStyle name="Calculation 2 2 6 3" xfId="10889" xr:uid="{00000000-0005-0000-0000-00009E010000}"/>
    <cellStyle name="Calculation 2 2 6 3 2" xfId="21786" xr:uid="{00000000-0005-0000-0000-00009F010000}"/>
    <cellStyle name="Calculation 2 2 6 3 3" xfId="25916" xr:uid="{00000000-0005-0000-0000-0000A0010000}"/>
    <cellStyle name="Calculation 2 2 6 3 4" xfId="27433" xr:uid="{00000000-0005-0000-0000-0000A1010000}"/>
    <cellStyle name="Calculation 2 2 6 4" xfId="15840" xr:uid="{00000000-0005-0000-0000-0000A2010000}"/>
    <cellStyle name="Calculation 2 2 6 5" xfId="23232" xr:uid="{00000000-0005-0000-0000-0000A3010000}"/>
    <cellStyle name="Calculation 2 2 6 6" xfId="24391" xr:uid="{00000000-0005-0000-0000-0000A4010000}"/>
    <cellStyle name="Calculation 2 2 7" xfId="5400" xr:uid="{00000000-0005-0000-0000-0000A5010000}"/>
    <cellStyle name="Calculation 2 2 7 2" xfId="16297" xr:uid="{00000000-0005-0000-0000-0000A6010000}"/>
    <cellStyle name="Calculation 2 2 7 3" xfId="23594" xr:uid="{00000000-0005-0000-0000-0000A7010000}"/>
    <cellStyle name="Calculation 2 2 7 4" xfId="12444" xr:uid="{00000000-0005-0000-0000-0000A8010000}"/>
    <cellStyle name="Calculation 2 2 8" xfId="10221" xr:uid="{00000000-0005-0000-0000-0000A9010000}"/>
    <cellStyle name="Calculation 2 2 8 2" xfId="21118" xr:uid="{00000000-0005-0000-0000-0000AA010000}"/>
    <cellStyle name="Calculation 2 2 8 3" xfId="25248" xr:uid="{00000000-0005-0000-0000-0000AB010000}"/>
    <cellStyle name="Calculation 2 2 8 4" xfId="26765" xr:uid="{00000000-0005-0000-0000-0000AC010000}"/>
    <cellStyle name="Calculation 2 2 9" xfId="11402" xr:uid="{00000000-0005-0000-0000-0000AD010000}"/>
    <cellStyle name="Calculation 2 3" xfId="564" xr:uid="{00000000-0005-0000-0000-0000AE010000}"/>
    <cellStyle name="Calculation 2 3 2" xfId="1096" xr:uid="{00000000-0005-0000-0000-0000AF010000}"/>
    <cellStyle name="Calculation 2 3 2 2" xfId="2253" xr:uid="{00000000-0005-0000-0000-0000B0010000}"/>
    <cellStyle name="Calculation 2 3 2 2 2" xfId="4565" xr:uid="{00000000-0005-0000-0000-0000B1010000}"/>
    <cellStyle name="Calculation 2 3 2 2 2 2" xfId="9516" xr:uid="{00000000-0005-0000-0000-0000B2010000}"/>
    <cellStyle name="Calculation 2 3 2 2 2 2 2" xfId="20413" xr:uid="{00000000-0005-0000-0000-0000B3010000}"/>
    <cellStyle name="Calculation 2 3 2 2 2 2 3" xfId="24780" xr:uid="{00000000-0005-0000-0000-0000B4010000}"/>
    <cellStyle name="Calculation 2 3 2 2 2 2 4" xfId="26365" xr:uid="{00000000-0005-0000-0000-0000B5010000}"/>
    <cellStyle name="Calculation 2 3 2 2 2 3" xfId="10816" xr:uid="{00000000-0005-0000-0000-0000B6010000}"/>
    <cellStyle name="Calculation 2 3 2 2 2 3 2" xfId="21713" xr:uid="{00000000-0005-0000-0000-0000B7010000}"/>
    <cellStyle name="Calculation 2 3 2 2 2 3 3" xfId="25843" xr:uid="{00000000-0005-0000-0000-0000B8010000}"/>
    <cellStyle name="Calculation 2 3 2 2 2 3 4" xfId="27360" xr:uid="{00000000-0005-0000-0000-0000B9010000}"/>
    <cellStyle name="Calculation 2 3 2 2 2 4" xfId="15462" xr:uid="{00000000-0005-0000-0000-0000BA010000}"/>
    <cellStyle name="Calculation 2 3 2 2 2 5" xfId="23092" xr:uid="{00000000-0005-0000-0000-0000BB010000}"/>
    <cellStyle name="Calculation 2 3 2 2 2 6" xfId="24651" xr:uid="{00000000-0005-0000-0000-0000BC010000}"/>
    <cellStyle name="Calculation 2 3 2 2 3" xfId="5196" xr:uid="{00000000-0005-0000-0000-0000BD010000}"/>
    <cellStyle name="Calculation 2 3 2 2 3 2" xfId="10147" xr:uid="{00000000-0005-0000-0000-0000BE010000}"/>
    <cellStyle name="Calculation 2 3 2 2 3 2 2" xfId="21044" xr:uid="{00000000-0005-0000-0000-0000BF010000}"/>
    <cellStyle name="Calculation 2 3 2 2 3 2 3" xfId="25174" xr:uid="{00000000-0005-0000-0000-0000C0010000}"/>
    <cellStyle name="Calculation 2 3 2 2 3 2 4" xfId="26691" xr:uid="{00000000-0005-0000-0000-0000C1010000}"/>
    <cellStyle name="Calculation 2 3 2 2 3 3" xfId="11142" xr:uid="{00000000-0005-0000-0000-0000C2010000}"/>
    <cellStyle name="Calculation 2 3 2 2 3 3 2" xfId="22039" xr:uid="{00000000-0005-0000-0000-0000C3010000}"/>
    <cellStyle name="Calculation 2 3 2 2 3 3 3" xfId="26169" xr:uid="{00000000-0005-0000-0000-0000C4010000}"/>
    <cellStyle name="Calculation 2 3 2 2 3 3 4" xfId="27686" xr:uid="{00000000-0005-0000-0000-0000C5010000}"/>
    <cellStyle name="Calculation 2 3 2 2 3 4" xfId="16093" xr:uid="{00000000-0005-0000-0000-0000C6010000}"/>
    <cellStyle name="Calculation 2 3 2 2 3 5" xfId="23485" xr:uid="{00000000-0005-0000-0000-0000C7010000}"/>
    <cellStyle name="Calculation 2 3 2 2 3 6" xfId="24023" xr:uid="{00000000-0005-0000-0000-0000C8010000}"/>
    <cellStyle name="Calculation 2 3 2 2 4" xfId="7204" xr:uid="{00000000-0005-0000-0000-0000C9010000}"/>
    <cellStyle name="Calculation 2 3 2 2 4 2" xfId="18101" xr:uid="{00000000-0005-0000-0000-0000CA010000}"/>
    <cellStyle name="Calculation 2 3 2 2 4 3" xfId="24106" xr:uid="{00000000-0005-0000-0000-0000CB010000}"/>
    <cellStyle name="Calculation 2 3 2 2 4 4" xfId="22531" xr:uid="{00000000-0005-0000-0000-0000CC010000}"/>
    <cellStyle name="Calculation 2 3 2 2 5" xfId="10474" xr:uid="{00000000-0005-0000-0000-0000CD010000}"/>
    <cellStyle name="Calculation 2 3 2 2 5 2" xfId="21371" xr:uid="{00000000-0005-0000-0000-0000CE010000}"/>
    <cellStyle name="Calculation 2 3 2 2 5 3" xfId="25501" xr:uid="{00000000-0005-0000-0000-0000CF010000}"/>
    <cellStyle name="Calculation 2 3 2 2 5 4" xfId="27018" xr:uid="{00000000-0005-0000-0000-0000D0010000}"/>
    <cellStyle name="Calculation 2 3 2 2 6" xfId="13168" xr:uid="{00000000-0005-0000-0000-0000D1010000}"/>
    <cellStyle name="Calculation 2 3 2 2 7" xfId="24177" xr:uid="{00000000-0005-0000-0000-0000D2010000}"/>
    <cellStyle name="Calculation 2 3 2 3" xfId="3420" xr:uid="{00000000-0005-0000-0000-0000D3010000}"/>
    <cellStyle name="Calculation 2 3 2 3 2" xfId="8371" xr:uid="{00000000-0005-0000-0000-0000D4010000}"/>
    <cellStyle name="Calculation 2 3 2 3 2 2" xfId="19268" xr:uid="{00000000-0005-0000-0000-0000D5010000}"/>
    <cellStyle name="Calculation 2 3 2 3 2 3" xfId="24456" xr:uid="{00000000-0005-0000-0000-0000D6010000}"/>
    <cellStyle name="Calculation 2 3 2 3 2 4" xfId="11397" xr:uid="{00000000-0005-0000-0000-0000D7010000}"/>
    <cellStyle name="Calculation 2 3 2 3 3" xfId="10656" xr:uid="{00000000-0005-0000-0000-0000D8010000}"/>
    <cellStyle name="Calculation 2 3 2 3 3 2" xfId="21553" xr:uid="{00000000-0005-0000-0000-0000D9010000}"/>
    <cellStyle name="Calculation 2 3 2 3 3 3" xfId="25683" xr:uid="{00000000-0005-0000-0000-0000DA010000}"/>
    <cellStyle name="Calculation 2 3 2 3 3 4" xfId="27200" xr:uid="{00000000-0005-0000-0000-0000DB010000}"/>
    <cellStyle name="Calculation 2 3 2 3 4" xfId="14317" xr:uid="{00000000-0005-0000-0000-0000DC010000}"/>
    <cellStyle name="Calculation 2 3 2 3 5" xfId="22765" xr:uid="{00000000-0005-0000-0000-0000DD010000}"/>
    <cellStyle name="Calculation 2 3 2 3 6" xfId="24243" xr:uid="{00000000-0005-0000-0000-0000DE010000}"/>
    <cellStyle name="Calculation 2 3 2 4" xfId="5037" xr:uid="{00000000-0005-0000-0000-0000DF010000}"/>
    <cellStyle name="Calculation 2 3 2 4 2" xfId="9988" xr:uid="{00000000-0005-0000-0000-0000E0010000}"/>
    <cellStyle name="Calculation 2 3 2 4 2 2" xfId="20885" xr:uid="{00000000-0005-0000-0000-0000E1010000}"/>
    <cellStyle name="Calculation 2 3 2 4 2 3" xfId="25015" xr:uid="{00000000-0005-0000-0000-0000E2010000}"/>
    <cellStyle name="Calculation 2 3 2 4 2 4" xfId="26532" xr:uid="{00000000-0005-0000-0000-0000E3010000}"/>
    <cellStyle name="Calculation 2 3 2 4 3" xfId="10983" xr:uid="{00000000-0005-0000-0000-0000E4010000}"/>
    <cellStyle name="Calculation 2 3 2 4 3 2" xfId="21880" xr:uid="{00000000-0005-0000-0000-0000E5010000}"/>
    <cellStyle name="Calculation 2 3 2 4 3 3" xfId="26010" xr:uid="{00000000-0005-0000-0000-0000E6010000}"/>
    <cellStyle name="Calculation 2 3 2 4 3 4" xfId="27527" xr:uid="{00000000-0005-0000-0000-0000E7010000}"/>
    <cellStyle name="Calculation 2 3 2 4 4" xfId="15934" xr:uid="{00000000-0005-0000-0000-0000E8010000}"/>
    <cellStyle name="Calculation 2 3 2 4 5" xfId="23326" xr:uid="{00000000-0005-0000-0000-0000E9010000}"/>
    <cellStyle name="Calculation 2 3 2 4 6" xfId="24446" xr:uid="{00000000-0005-0000-0000-0000EA010000}"/>
    <cellStyle name="Calculation 2 3 2 5" xfId="6059" xr:uid="{00000000-0005-0000-0000-0000EB010000}"/>
    <cellStyle name="Calculation 2 3 2 5 2" xfId="16956" xr:uid="{00000000-0005-0000-0000-0000EC010000}"/>
    <cellStyle name="Calculation 2 3 2 5 3" xfId="23780" xr:uid="{00000000-0005-0000-0000-0000ED010000}"/>
    <cellStyle name="Calculation 2 3 2 5 4" xfId="23079" xr:uid="{00000000-0005-0000-0000-0000EE010000}"/>
    <cellStyle name="Calculation 2 3 2 6" xfId="10315" xr:uid="{00000000-0005-0000-0000-0000EF010000}"/>
    <cellStyle name="Calculation 2 3 2 6 2" xfId="21212" xr:uid="{00000000-0005-0000-0000-0000F0010000}"/>
    <cellStyle name="Calculation 2 3 2 6 3" xfId="25342" xr:uid="{00000000-0005-0000-0000-0000F1010000}"/>
    <cellStyle name="Calculation 2 3 2 6 4" xfId="26859" xr:uid="{00000000-0005-0000-0000-0000F2010000}"/>
    <cellStyle name="Calculation 2 3 2 7" xfId="12050" xr:uid="{00000000-0005-0000-0000-0000F3010000}"/>
    <cellStyle name="Calculation 2 3 2 8" xfId="24895" xr:uid="{00000000-0005-0000-0000-0000F4010000}"/>
    <cellStyle name="Calculation 2 3 3" xfId="1378" xr:uid="{00000000-0005-0000-0000-0000F5010000}"/>
    <cellStyle name="Calculation 2 3 3 2" xfId="3702" xr:uid="{00000000-0005-0000-0000-0000F6010000}"/>
    <cellStyle name="Calculation 2 3 3 2 2" xfId="8653" xr:uid="{00000000-0005-0000-0000-0000F7010000}"/>
    <cellStyle name="Calculation 2 3 3 2 2 2" xfId="19550" xr:uid="{00000000-0005-0000-0000-0000F8010000}"/>
    <cellStyle name="Calculation 2 3 3 2 2 3" xfId="24547" xr:uid="{00000000-0005-0000-0000-0000F9010000}"/>
    <cellStyle name="Calculation 2 3 3 2 2 4" xfId="26265" xr:uid="{00000000-0005-0000-0000-0000FA010000}"/>
    <cellStyle name="Calculation 2 3 3 2 3" xfId="10716" xr:uid="{00000000-0005-0000-0000-0000FB010000}"/>
    <cellStyle name="Calculation 2 3 3 2 3 2" xfId="21613" xr:uid="{00000000-0005-0000-0000-0000FC010000}"/>
    <cellStyle name="Calculation 2 3 3 2 3 3" xfId="25743" xr:uid="{00000000-0005-0000-0000-0000FD010000}"/>
    <cellStyle name="Calculation 2 3 3 2 3 4" xfId="27260" xr:uid="{00000000-0005-0000-0000-0000FE010000}"/>
    <cellStyle name="Calculation 2 3 3 2 4" xfId="14599" xr:uid="{00000000-0005-0000-0000-0000FF010000}"/>
    <cellStyle name="Calculation 2 3 3 2 5" xfId="22859" xr:uid="{00000000-0005-0000-0000-000000020000}"/>
    <cellStyle name="Calculation 2 3 3 2 6" xfId="23105" xr:uid="{00000000-0005-0000-0000-000001020000}"/>
    <cellStyle name="Calculation 2 3 3 3" xfId="5097" xr:uid="{00000000-0005-0000-0000-000002020000}"/>
    <cellStyle name="Calculation 2 3 3 3 2" xfId="10048" xr:uid="{00000000-0005-0000-0000-000003020000}"/>
    <cellStyle name="Calculation 2 3 3 3 2 2" xfId="20945" xr:uid="{00000000-0005-0000-0000-000004020000}"/>
    <cellStyle name="Calculation 2 3 3 3 2 3" xfId="25075" xr:uid="{00000000-0005-0000-0000-000005020000}"/>
    <cellStyle name="Calculation 2 3 3 3 2 4" xfId="26592" xr:uid="{00000000-0005-0000-0000-000006020000}"/>
    <cellStyle name="Calculation 2 3 3 3 3" xfId="11043" xr:uid="{00000000-0005-0000-0000-000007020000}"/>
    <cellStyle name="Calculation 2 3 3 3 3 2" xfId="21940" xr:uid="{00000000-0005-0000-0000-000008020000}"/>
    <cellStyle name="Calculation 2 3 3 3 3 3" xfId="26070" xr:uid="{00000000-0005-0000-0000-000009020000}"/>
    <cellStyle name="Calculation 2 3 3 3 3 4" xfId="27587" xr:uid="{00000000-0005-0000-0000-00000A020000}"/>
    <cellStyle name="Calculation 2 3 3 3 4" xfId="15994" xr:uid="{00000000-0005-0000-0000-00000B020000}"/>
    <cellStyle name="Calculation 2 3 3 3 5" xfId="23386" xr:uid="{00000000-0005-0000-0000-00000C020000}"/>
    <cellStyle name="Calculation 2 3 3 3 6" xfId="23619" xr:uid="{00000000-0005-0000-0000-00000D020000}"/>
    <cellStyle name="Calculation 2 3 3 4" xfId="6341" xr:uid="{00000000-0005-0000-0000-00000E020000}"/>
    <cellStyle name="Calculation 2 3 3 4 2" xfId="17238" xr:uid="{00000000-0005-0000-0000-00000F020000}"/>
    <cellStyle name="Calculation 2 3 3 4 3" xfId="23872" xr:uid="{00000000-0005-0000-0000-000010020000}"/>
    <cellStyle name="Calculation 2 3 3 4 4" xfId="22906" xr:uid="{00000000-0005-0000-0000-000011020000}"/>
    <cellStyle name="Calculation 2 3 3 5" xfId="10375" xr:uid="{00000000-0005-0000-0000-000012020000}"/>
    <cellStyle name="Calculation 2 3 3 5 2" xfId="21272" xr:uid="{00000000-0005-0000-0000-000013020000}"/>
    <cellStyle name="Calculation 2 3 3 5 3" xfId="25402" xr:uid="{00000000-0005-0000-0000-000014020000}"/>
    <cellStyle name="Calculation 2 3 3 5 4" xfId="26919" xr:uid="{00000000-0005-0000-0000-000015020000}"/>
    <cellStyle name="Calculation 2 3 3 6" xfId="12324" xr:uid="{00000000-0005-0000-0000-000016020000}"/>
    <cellStyle name="Calculation 2 3 3 7" xfId="22495" xr:uid="{00000000-0005-0000-0000-000017020000}"/>
    <cellStyle name="Calculation 2 3 4" xfId="2888" xr:uid="{00000000-0005-0000-0000-000018020000}"/>
    <cellStyle name="Calculation 2 3 4 2" xfId="7839" xr:uid="{00000000-0005-0000-0000-000019020000}"/>
    <cellStyle name="Calculation 2 3 4 2 2" xfId="18736" xr:uid="{00000000-0005-0000-0000-00001A020000}"/>
    <cellStyle name="Calculation 2 3 4 2 3" xfId="24304" xr:uid="{00000000-0005-0000-0000-00001B020000}"/>
    <cellStyle name="Calculation 2 3 4 2 4" xfId="22198" xr:uid="{00000000-0005-0000-0000-00001C020000}"/>
    <cellStyle name="Calculation 2 3 4 3" xfId="10576" xr:uid="{00000000-0005-0000-0000-00001D020000}"/>
    <cellStyle name="Calculation 2 3 4 3 2" xfId="21473" xr:uid="{00000000-0005-0000-0000-00001E020000}"/>
    <cellStyle name="Calculation 2 3 4 3 3" xfId="25603" xr:uid="{00000000-0005-0000-0000-00001F020000}"/>
    <cellStyle name="Calculation 2 3 4 3 4" xfId="27120" xr:uid="{00000000-0005-0000-0000-000020020000}"/>
    <cellStyle name="Calculation 2 3 4 4" xfId="13785" xr:uid="{00000000-0005-0000-0000-000021020000}"/>
    <cellStyle name="Calculation 2 3 4 5" xfId="22606" xr:uid="{00000000-0005-0000-0000-000022020000}"/>
    <cellStyle name="Calculation 2 3 4 6" xfId="23690" xr:uid="{00000000-0005-0000-0000-000023020000}"/>
    <cellStyle name="Calculation 2 3 5" xfId="4957" xr:uid="{00000000-0005-0000-0000-000024020000}"/>
    <cellStyle name="Calculation 2 3 5 2" xfId="9908" xr:uid="{00000000-0005-0000-0000-000025020000}"/>
    <cellStyle name="Calculation 2 3 5 2 2" xfId="20805" xr:uid="{00000000-0005-0000-0000-000026020000}"/>
    <cellStyle name="Calculation 2 3 5 2 3" xfId="24935" xr:uid="{00000000-0005-0000-0000-000027020000}"/>
    <cellStyle name="Calculation 2 3 5 2 4" xfId="26452" xr:uid="{00000000-0005-0000-0000-000028020000}"/>
    <cellStyle name="Calculation 2 3 5 3" xfId="10903" xr:uid="{00000000-0005-0000-0000-000029020000}"/>
    <cellStyle name="Calculation 2 3 5 3 2" xfId="21800" xr:uid="{00000000-0005-0000-0000-00002A020000}"/>
    <cellStyle name="Calculation 2 3 5 3 3" xfId="25930" xr:uid="{00000000-0005-0000-0000-00002B020000}"/>
    <cellStyle name="Calculation 2 3 5 3 4" xfId="27447" xr:uid="{00000000-0005-0000-0000-00002C020000}"/>
    <cellStyle name="Calculation 2 3 5 4" xfId="15854" xr:uid="{00000000-0005-0000-0000-00002D020000}"/>
    <cellStyle name="Calculation 2 3 5 5" xfId="23246" xr:uid="{00000000-0005-0000-0000-00002E020000}"/>
    <cellStyle name="Calculation 2 3 5 6" xfId="23791" xr:uid="{00000000-0005-0000-0000-00002F020000}"/>
    <cellStyle name="Calculation 2 3 6" xfId="5527" xr:uid="{00000000-0005-0000-0000-000030020000}"/>
    <cellStyle name="Calculation 2 3 6 2" xfId="16424" xr:uid="{00000000-0005-0000-0000-000031020000}"/>
    <cellStyle name="Calculation 2 3 6 3" xfId="23624" xr:uid="{00000000-0005-0000-0000-000032020000}"/>
    <cellStyle name="Calculation 2 3 6 4" xfId="11210" xr:uid="{00000000-0005-0000-0000-000033020000}"/>
    <cellStyle name="Calculation 2 3 7" xfId="10235" xr:uid="{00000000-0005-0000-0000-000034020000}"/>
    <cellStyle name="Calculation 2 3 7 2" xfId="21132" xr:uid="{00000000-0005-0000-0000-000035020000}"/>
    <cellStyle name="Calculation 2 3 7 3" xfId="25262" xr:uid="{00000000-0005-0000-0000-000036020000}"/>
    <cellStyle name="Calculation 2 3 7 4" xfId="26779" xr:uid="{00000000-0005-0000-0000-000037020000}"/>
    <cellStyle name="Calculation 2 3 8" xfId="11529" xr:uid="{00000000-0005-0000-0000-000038020000}"/>
    <cellStyle name="Calculation 2 3 9" xfId="22826" xr:uid="{00000000-0005-0000-0000-000039020000}"/>
    <cellStyle name="Calculation 2 4" xfId="831" xr:uid="{00000000-0005-0000-0000-00003A020000}"/>
    <cellStyle name="Calculation 2 4 2" xfId="1988" xr:uid="{00000000-0005-0000-0000-00003B020000}"/>
    <cellStyle name="Calculation 2 4 2 2" xfId="4300" xr:uid="{00000000-0005-0000-0000-00003C020000}"/>
    <cellStyle name="Calculation 2 4 2 2 2" xfId="9251" xr:uid="{00000000-0005-0000-0000-00003D020000}"/>
    <cellStyle name="Calculation 2 4 2 2 2 2" xfId="20148" xr:uid="{00000000-0005-0000-0000-00003E020000}"/>
    <cellStyle name="Calculation 2 4 2 2 2 3" xfId="24707" xr:uid="{00000000-0005-0000-0000-00003F020000}"/>
    <cellStyle name="Calculation 2 4 2 2 2 4" xfId="26325" xr:uid="{00000000-0005-0000-0000-000040020000}"/>
    <cellStyle name="Calculation 2 4 2 2 3" xfId="10776" xr:uid="{00000000-0005-0000-0000-000041020000}"/>
    <cellStyle name="Calculation 2 4 2 2 3 2" xfId="21673" xr:uid="{00000000-0005-0000-0000-000042020000}"/>
    <cellStyle name="Calculation 2 4 2 2 3 3" xfId="25803" xr:uid="{00000000-0005-0000-0000-000043020000}"/>
    <cellStyle name="Calculation 2 4 2 2 3 4" xfId="27320" xr:uid="{00000000-0005-0000-0000-000044020000}"/>
    <cellStyle name="Calculation 2 4 2 2 4" xfId="15197" xr:uid="{00000000-0005-0000-0000-000045020000}"/>
    <cellStyle name="Calculation 2 4 2 2 5" xfId="23018" xr:uid="{00000000-0005-0000-0000-000046020000}"/>
    <cellStyle name="Calculation 2 4 2 2 6" xfId="23081" xr:uid="{00000000-0005-0000-0000-000047020000}"/>
    <cellStyle name="Calculation 2 4 2 3" xfId="5156" xr:uid="{00000000-0005-0000-0000-000048020000}"/>
    <cellStyle name="Calculation 2 4 2 3 2" xfId="10107" xr:uid="{00000000-0005-0000-0000-000049020000}"/>
    <cellStyle name="Calculation 2 4 2 3 2 2" xfId="21004" xr:uid="{00000000-0005-0000-0000-00004A020000}"/>
    <cellStyle name="Calculation 2 4 2 3 2 3" xfId="25134" xr:uid="{00000000-0005-0000-0000-00004B020000}"/>
    <cellStyle name="Calculation 2 4 2 3 2 4" xfId="26651" xr:uid="{00000000-0005-0000-0000-00004C020000}"/>
    <cellStyle name="Calculation 2 4 2 3 3" xfId="11102" xr:uid="{00000000-0005-0000-0000-00004D020000}"/>
    <cellStyle name="Calculation 2 4 2 3 3 2" xfId="21999" xr:uid="{00000000-0005-0000-0000-00004E020000}"/>
    <cellStyle name="Calculation 2 4 2 3 3 3" xfId="26129" xr:uid="{00000000-0005-0000-0000-00004F020000}"/>
    <cellStyle name="Calculation 2 4 2 3 3 4" xfId="27646" xr:uid="{00000000-0005-0000-0000-000050020000}"/>
    <cellStyle name="Calculation 2 4 2 3 4" xfId="16053" xr:uid="{00000000-0005-0000-0000-000051020000}"/>
    <cellStyle name="Calculation 2 4 2 3 5" xfId="23445" xr:uid="{00000000-0005-0000-0000-000052020000}"/>
    <cellStyle name="Calculation 2 4 2 3 6" xfId="22721" xr:uid="{00000000-0005-0000-0000-000053020000}"/>
    <cellStyle name="Calculation 2 4 2 4" xfId="6939" xr:uid="{00000000-0005-0000-0000-000054020000}"/>
    <cellStyle name="Calculation 2 4 2 4 2" xfId="17836" xr:uid="{00000000-0005-0000-0000-000055020000}"/>
    <cellStyle name="Calculation 2 4 2 4 3" xfId="24029" xr:uid="{00000000-0005-0000-0000-000056020000}"/>
    <cellStyle name="Calculation 2 4 2 4 4" xfId="23159" xr:uid="{00000000-0005-0000-0000-000057020000}"/>
    <cellStyle name="Calculation 2 4 2 5" xfId="10434" xr:uid="{00000000-0005-0000-0000-000058020000}"/>
    <cellStyle name="Calculation 2 4 2 5 2" xfId="21331" xr:uid="{00000000-0005-0000-0000-000059020000}"/>
    <cellStyle name="Calculation 2 4 2 5 3" xfId="25461" xr:uid="{00000000-0005-0000-0000-00005A020000}"/>
    <cellStyle name="Calculation 2 4 2 5 4" xfId="26978" xr:uid="{00000000-0005-0000-0000-00005B020000}"/>
    <cellStyle name="Calculation 2 4 2 6" xfId="12910" xr:uid="{00000000-0005-0000-0000-00005C020000}"/>
    <cellStyle name="Calculation 2 4 2 7" xfId="22674" xr:uid="{00000000-0005-0000-0000-00005D020000}"/>
    <cellStyle name="Calculation 2 4 3" xfId="3155" xr:uid="{00000000-0005-0000-0000-00005E020000}"/>
    <cellStyle name="Calculation 2 4 3 2" xfId="8106" xr:uid="{00000000-0005-0000-0000-00005F020000}"/>
    <cellStyle name="Calculation 2 4 3 2 2" xfId="19003" xr:uid="{00000000-0005-0000-0000-000060020000}"/>
    <cellStyle name="Calculation 2 4 3 2 3" xfId="24378" xr:uid="{00000000-0005-0000-0000-000061020000}"/>
    <cellStyle name="Calculation 2 4 3 2 4" xfId="24170" xr:uid="{00000000-0005-0000-0000-000062020000}"/>
    <cellStyle name="Calculation 2 4 3 3" xfId="10616" xr:uid="{00000000-0005-0000-0000-000063020000}"/>
    <cellStyle name="Calculation 2 4 3 3 2" xfId="21513" xr:uid="{00000000-0005-0000-0000-000064020000}"/>
    <cellStyle name="Calculation 2 4 3 3 3" xfId="25643" xr:uid="{00000000-0005-0000-0000-000065020000}"/>
    <cellStyle name="Calculation 2 4 3 3 4" xfId="27160" xr:uid="{00000000-0005-0000-0000-000066020000}"/>
    <cellStyle name="Calculation 2 4 3 4" xfId="14052" xr:uid="{00000000-0005-0000-0000-000067020000}"/>
    <cellStyle name="Calculation 2 4 3 5" xfId="22685" xr:uid="{00000000-0005-0000-0000-000068020000}"/>
    <cellStyle name="Calculation 2 4 3 6" xfId="24853" xr:uid="{00000000-0005-0000-0000-000069020000}"/>
    <cellStyle name="Calculation 2 4 4" xfId="4997" xr:uid="{00000000-0005-0000-0000-00006A020000}"/>
    <cellStyle name="Calculation 2 4 4 2" xfId="9948" xr:uid="{00000000-0005-0000-0000-00006B020000}"/>
    <cellStyle name="Calculation 2 4 4 2 2" xfId="20845" xr:uid="{00000000-0005-0000-0000-00006C020000}"/>
    <cellStyle name="Calculation 2 4 4 2 3" xfId="24975" xr:uid="{00000000-0005-0000-0000-00006D020000}"/>
    <cellStyle name="Calculation 2 4 4 2 4" xfId="26492" xr:uid="{00000000-0005-0000-0000-00006E020000}"/>
    <cellStyle name="Calculation 2 4 4 3" xfId="10943" xr:uid="{00000000-0005-0000-0000-00006F020000}"/>
    <cellStyle name="Calculation 2 4 4 3 2" xfId="21840" xr:uid="{00000000-0005-0000-0000-000070020000}"/>
    <cellStyle name="Calculation 2 4 4 3 3" xfId="25970" xr:uid="{00000000-0005-0000-0000-000071020000}"/>
    <cellStyle name="Calculation 2 4 4 3 4" xfId="27487" xr:uid="{00000000-0005-0000-0000-000072020000}"/>
    <cellStyle name="Calculation 2 4 4 4" xfId="15894" xr:uid="{00000000-0005-0000-0000-000073020000}"/>
    <cellStyle name="Calculation 2 4 4 5" xfId="23286" xr:uid="{00000000-0005-0000-0000-000074020000}"/>
    <cellStyle name="Calculation 2 4 4 6" xfId="22102" xr:uid="{00000000-0005-0000-0000-000075020000}"/>
    <cellStyle name="Calculation 2 4 5" xfId="5794" xr:uid="{00000000-0005-0000-0000-000076020000}"/>
    <cellStyle name="Calculation 2 4 5 2" xfId="16691" xr:uid="{00000000-0005-0000-0000-000077020000}"/>
    <cellStyle name="Calculation 2 4 5 3" xfId="23700" xr:uid="{00000000-0005-0000-0000-000078020000}"/>
    <cellStyle name="Calculation 2 4 5 4" xfId="23766" xr:uid="{00000000-0005-0000-0000-000079020000}"/>
    <cellStyle name="Calculation 2 4 6" xfId="10275" xr:uid="{00000000-0005-0000-0000-00007A020000}"/>
    <cellStyle name="Calculation 2 4 6 2" xfId="21172" xr:uid="{00000000-0005-0000-0000-00007B020000}"/>
    <cellStyle name="Calculation 2 4 6 3" xfId="25302" xr:uid="{00000000-0005-0000-0000-00007C020000}"/>
    <cellStyle name="Calculation 2 4 6 4" xfId="26819" xr:uid="{00000000-0005-0000-0000-00007D020000}"/>
    <cellStyle name="Calculation 2 4 7" xfId="11792" xr:uid="{00000000-0005-0000-0000-00007E020000}"/>
    <cellStyle name="Calculation 2 4 8" xfId="24627" xr:uid="{00000000-0005-0000-0000-00007F020000}"/>
    <cellStyle name="Calculation 2 5" xfId="2620" xr:uid="{00000000-0005-0000-0000-000080020000}"/>
    <cellStyle name="Calculation 2 5 2" xfId="7571" xr:uid="{00000000-0005-0000-0000-000081020000}"/>
    <cellStyle name="Calculation 2 5 2 2" xfId="18468" xr:uid="{00000000-0005-0000-0000-000082020000}"/>
    <cellStyle name="Calculation 2 5 2 3" xfId="24226" xr:uid="{00000000-0005-0000-0000-000083020000}"/>
    <cellStyle name="Calculation 2 5 2 4" xfId="22331" xr:uid="{00000000-0005-0000-0000-000084020000}"/>
    <cellStyle name="Calculation 2 5 3" xfId="10533" xr:uid="{00000000-0005-0000-0000-000085020000}"/>
    <cellStyle name="Calculation 2 5 3 2" xfId="21430" xr:uid="{00000000-0005-0000-0000-000086020000}"/>
    <cellStyle name="Calculation 2 5 3 3" xfId="25560" xr:uid="{00000000-0005-0000-0000-000087020000}"/>
    <cellStyle name="Calculation 2 5 3 4" xfId="27077" xr:uid="{00000000-0005-0000-0000-000088020000}"/>
    <cellStyle name="Calculation 2 5 4" xfId="13517" xr:uid="{00000000-0005-0000-0000-000089020000}"/>
    <cellStyle name="Calculation 2 5 5" xfId="22525" xr:uid="{00000000-0005-0000-0000-00008A020000}"/>
    <cellStyle name="Calculation 2 5 6" xfId="23977" xr:uid="{00000000-0005-0000-0000-00008B020000}"/>
    <cellStyle name="Calculation 2 6" xfId="2639" xr:uid="{00000000-0005-0000-0000-00008C020000}"/>
    <cellStyle name="Calculation 2 6 2" xfId="7590" xr:uid="{00000000-0005-0000-0000-00008D020000}"/>
    <cellStyle name="Calculation 2 6 2 2" xfId="18487" xr:uid="{00000000-0005-0000-0000-00008E020000}"/>
    <cellStyle name="Calculation 2 6 2 3" xfId="24235" xr:uid="{00000000-0005-0000-0000-00008F020000}"/>
    <cellStyle name="Calculation 2 6 2 4" xfId="24169" xr:uid="{00000000-0005-0000-0000-000090020000}"/>
    <cellStyle name="Calculation 2 6 3" xfId="10539" xr:uid="{00000000-0005-0000-0000-000091020000}"/>
    <cellStyle name="Calculation 2 6 3 2" xfId="21436" xr:uid="{00000000-0005-0000-0000-000092020000}"/>
    <cellStyle name="Calculation 2 6 3 3" xfId="25566" xr:uid="{00000000-0005-0000-0000-000093020000}"/>
    <cellStyle name="Calculation 2 6 3 4" xfId="27083" xr:uid="{00000000-0005-0000-0000-000094020000}"/>
    <cellStyle name="Calculation 2 6 4" xfId="13536" xr:uid="{00000000-0005-0000-0000-000095020000}"/>
    <cellStyle name="Calculation 2 6 5" xfId="22536" xr:uid="{00000000-0005-0000-0000-000096020000}"/>
    <cellStyle name="Calculation 2 6 6" xfId="23845" xr:uid="{00000000-0005-0000-0000-000097020000}"/>
    <cellStyle name="Calculation 2 7" xfId="5259" xr:uid="{00000000-0005-0000-0000-000098020000}"/>
    <cellStyle name="Calculation 2 7 2" xfId="16156" xr:uid="{00000000-0005-0000-0000-000099020000}"/>
    <cellStyle name="Calculation 2 7 3" xfId="23546" xr:uid="{00000000-0005-0000-0000-00009A020000}"/>
    <cellStyle name="Calculation 2 7 4" xfId="24489" xr:uid="{00000000-0005-0000-0000-00009B020000}"/>
    <cellStyle name="Calculation 2 8" xfId="5277" xr:uid="{00000000-0005-0000-0000-00009C020000}"/>
    <cellStyle name="Calculation 2 8 2" xfId="16174" xr:uid="{00000000-0005-0000-0000-00009D020000}"/>
    <cellStyle name="Calculation 2 8 3" xfId="23554" xr:uid="{00000000-0005-0000-0000-00009E020000}"/>
    <cellStyle name="Calculation 2 8 4" xfId="24098" xr:uid="{00000000-0005-0000-0000-00009F020000}"/>
    <cellStyle name="Calculation 2 9" xfId="11239" xr:uid="{00000000-0005-0000-0000-0000A0020000}"/>
    <cellStyle name="Calculation 3" xfId="156" xr:uid="{00000000-0005-0000-0000-0000A1020000}"/>
    <cellStyle name="Calculation 3 10" xfId="24488" xr:uid="{00000000-0005-0000-0000-0000A2020000}"/>
    <cellStyle name="Calculation 3 2" xfId="436" xr:uid="{00000000-0005-0000-0000-0000A3020000}"/>
    <cellStyle name="Calculation 3 2 10" xfId="24369" xr:uid="{00000000-0005-0000-0000-0000A4020000}"/>
    <cellStyle name="Calculation 3 2 2" xfId="701" xr:uid="{00000000-0005-0000-0000-0000A5020000}"/>
    <cellStyle name="Calculation 3 2 2 2" xfId="1233" xr:uid="{00000000-0005-0000-0000-0000A6020000}"/>
    <cellStyle name="Calculation 3 2 2 2 2" xfId="2390" xr:uid="{00000000-0005-0000-0000-0000A7020000}"/>
    <cellStyle name="Calculation 3 2 2 2 2 2" xfId="4702" xr:uid="{00000000-0005-0000-0000-0000A8020000}"/>
    <cellStyle name="Calculation 3 2 2 2 2 2 2" xfId="9653" xr:uid="{00000000-0005-0000-0000-0000A9020000}"/>
    <cellStyle name="Calculation 3 2 2 2 2 2 2 2" xfId="20550" xr:uid="{00000000-0005-0000-0000-0000AA020000}"/>
    <cellStyle name="Calculation 3 2 2 2 2 2 2 3" xfId="24821" xr:uid="{00000000-0005-0000-0000-0000AB020000}"/>
    <cellStyle name="Calculation 3 2 2 2 2 2 2 4" xfId="26390" xr:uid="{00000000-0005-0000-0000-0000AC020000}"/>
    <cellStyle name="Calculation 3 2 2 2 2 2 3" xfId="10841" xr:uid="{00000000-0005-0000-0000-0000AD020000}"/>
    <cellStyle name="Calculation 3 2 2 2 2 2 3 2" xfId="21738" xr:uid="{00000000-0005-0000-0000-0000AE020000}"/>
    <cellStyle name="Calculation 3 2 2 2 2 2 3 3" xfId="25868" xr:uid="{00000000-0005-0000-0000-0000AF020000}"/>
    <cellStyle name="Calculation 3 2 2 2 2 2 3 4" xfId="27385" xr:uid="{00000000-0005-0000-0000-0000B0020000}"/>
    <cellStyle name="Calculation 3 2 2 2 2 2 4" xfId="15599" xr:uid="{00000000-0005-0000-0000-0000B1020000}"/>
    <cellStyle name="Calculation 3 2 2 2 2 2 5" xfId="23134" xr:uid="{00000000-0005-0000-0000-0000B2020000}"/>
    <cellStyle name="Calculation 3 2 2 2 2 2 6" xfId="23753" xr:uid="{00000000-0005-0000-0000-0000B3020000}"/>
    <cellStyle name="Calculation 3 2 2 2 2 3" xfId="5221" xr:uid="{00000000-0005-0000-0000-0000B4020000}"/>
    <cellStyle name="Calculation 3 2 2 2 2 3 2" xfId="10172" xr:uid="{00000000-0005-0000-0000-0000B5020000}"/>
    <cellStyle name="Calculation 3 2 2 2 2 3 2 2" xfId="21069" xr:uid="{00000000-0005-0000-0000-0000B6020000}"/>
    <cellStyle name="Calculation 3 2 2 2 2 3 2 3" xfId="25199" xr:uid="{00000000-0005-0000-0000-0000B7020000}"/>
    <cellStyle name="Calculation 3 2 2 2 2 3 2 4" xfId="26716" xr:uid="{00000000-0005-0000-0000-0000B8020000}"/>
    <cellStyle name="Calculation 3 2 2 2 2 3 3" xfId="11167" xr:uid="{00000000-0005-0000-0000-0000B9020000}"/>
    <cellStyle name="Calculation 3 2 2 2 2 3 3 2" xfId="22064" xr:uid="{00000000-0005-0000-0000-0000BA020000}"/>
    <cellStyle name="Calculation 3 2 2 2 2 3 3 3" xfId="26194" xr:uid="{00000000-0005-0000-0000-0000BB020000}"/>
    <cellStyle name="Calculation 3 2 2 2 2 3 3 4" xfId="27711" xr:uid="{00000000-0005-0000-0000-0000BC020000}"/>
    <cellStyle name="Calculation 3 2 2 2 2 3 4" xfId="16118" xr:uid="{00000000-0005-0000-0000-0000BD020000}"/>
    <cellStyle name="Calculation 3 2 2 2 2 3 5" xfId="23510" xr:uid="{00000000-0005-0000-0000-0000BE020000}"/>
    <cellStyle name="Calculation 3 2 2 2 2 3 6" xfId="24605" xr:uid="{00000000-0005-0000-0000-0000BF020000}"/>
    <cellStyle name="Calculation 3 2 2 2 2 4" xfId="7341" xr:uid="{00000000-0005-0000-0000-0000C0020000}"/>
    <cellStyle name="Calculation 3 2 2 2 2 4 2" xfId="18238" xr:uid="{00000000-0005-0000-0000-0000C1020000}"/>
    <cellStyle name="Calculation 3 2 2 2 2 4 3" xfId="24148" xr:uid="{00000000-0005-0000-0000-0000C2020000}"/>
    <cellStyle name="Calculation 3 2 2 2 2 4 4" xfId="24714" xr:uid="{00000000-0005-0000-0000-0000C3020000}"/>
    <cellStyle name="Calculation 3 2 2 2 2 5" xfId="10499" xr:uid="{00000000-0005-0000-0000-0000C4020000}"/>
    <cellStyle name="Calculation 3 2 2 2 2 5 2" xfId="21396" xr:uid="{00000000-0005-0000-0000-0000C5020000}"/>
    <cellStyle name="Calculation 3 2 2 2 2 5 3" xfId="25526" xr:uid="{00000000-0005-0000-0000-0000C6020000}"/>
    <cellStyle name="Calculation 3 2 2 2 2 5 4" xfId="27043" xr:uid="{00000000-0005-0000-0000-0000C7020000}"/>
    <cellStyle name="Calculation 3 2 2 2 2 6" xfId="13301" xr:uid="{00000000-0005-0000-0000-0000C8020000}"/>
    <cellStyle name="Calculation 3 2 2 2 2 7" xfId="11223" xr:uid="{00000000-0005-0000-0000-0000C9020000}"/>
    <cellStyle name="Calculation 3 2 2 2 3" xfId="3557" xr:uid="{00000000-0005-0000-0000-0000CA020000}"/>
    <cellStyle name="Calculation 3 2 2 2 3 2" xfId="8508" xr:uid="{00000000-0005-0000-0000-0000CB020000}"/>
    <cellStyle name="Calculation 3 2 2 2 3 2 2" xfId="19405" xr:uid="{00000000-0005-0000-0000-0000CC020000}"/>
    <cellStyle name="Calculation 3 2 2 2 3 2 3" xfId="24497" xr:uid="{00000000-0005-0000-0000-0000CD020000}"/>
    <cellStyle name="Calculation 3 2 2 2 3 2 4" xfId="26230" xr:uid="{00000000-0005-0000-0000-0000CE020000}"/>
    <cellStyle name="Calculation 3 2 2 2 3 3" xfId="10681" xr:uid="{00000000-0005-0000-0000-0000CF020000}"/>
    <cellStyle name="Calculation 3 2 2 2 3 3 2" xfId="21578" xr:uid="{00000000-0005-0000-0000-0000D0020000}"/>
    <cellStyle name="Calculation 3 2 2 2 3 3 3" xfId="25708" xr:uid="{00000000-0005-0000-0000-0000D1020000}"/>
    <cellStyle name="Calculation 3 2 2 2 3 3 4" xfId="27225" xr:uid="{00000000-0005-0000-0000-0000D2020000}"/>
    <cellStyle name="Calculation 3 2 2 2 3 4" xfId="14454" xr:uid="{00000000-0005-0000-0000-0000D3020000}"/>
    <cellStyle name="Calculation 3 2 2 2 3 5" xfId="22808" xr:uid="{00000000-0005-0000-0000-0000D4020000}"/>
    <cellStyle name="Calculation 3 2 2 2 3 6" xfId="24043" xr:uid="{00000000-0005-0000-0000-0000D5020000}"/>
    <cellStyle name="Calculation 3 2 2 2 4" xfId="5062" xr:uid="{00000000-0005-0000-0000-0000D6020000}"/>
    <cellStyle name="Calculation 3 2 2 2 4 2" xfId="10013" xr:uid="{00000000-0005-0000-0000-0000D7020000}"/>
    <cellStyle name="Calculation 3 2 2 2 4 2 2" xfId="20910" xr:uid="{00000000-0005-0000-0000-0000D8020000}"/>
    <cellStyle name="Calculation 3 2 2 2 4 2 3" xfId="25040" xr:uid="{00000000-0005-0000-0000-0000D9020000}"/>
    <cellStyle name="Calculation 3 2 2 2 4 2 4" xfId="26557" xr:uid="{00000000-0005-0000-0000-0000DA020000}"/>
    <cellStyle name="Calculation 3 2 2 2 4 3" xfId="11008" xr:uid="{00000000-0005-0000-0000-0000DB020000}"/>
    <cellStyle name="Calculation 3 2 2 2 4 3 2" xfId="21905" xr:uid="{00000000-0005-0000-0000-0000DC020000}"/>
    <cellStyle name="Calculation 3 2 2 2 4 3 3" xfId="26035" xr:uid="{00000000-0005-0000-0000-0000DD020000}"/>
    <cellStyle name="Calculation 3 2 2 2 4 3 4" xfId="27552" xr:uid="{00000000-0005-0000-0000-0000DE020000}"/>
    <cellStyle name="Calculation 3 2 2 2 4 4" xfId="15959" xr:uid="{00000000-0005-0000-0000-0000DF020000}"/>
    <cellStyle name="Calculation 3 2 2 2 4 5" xfId="23351" xr:uid="{00000000-0005-0000-0000-0000E0020000}"/>
    <cellStyle name="Calculation 3 2 2 2 4 6" xfId="11199" xr:uid="{00000000-0005-0000-0000-0000E1020000}"/>
    <cellStyle name="Calculation 3 2 2 2 5" xfId="6196" xr:uid="{00000000-0005-0000-0000-0000E2020000}"/>
    <cellStyle name="Calculation 3 2 2 2 5 2" xfId="17093" xr:uid="{00000000-0005-0000-0000-0000E3020000}"/>
    <cellStyle name="Calculation 3 2 2 2 5 3" xfId="23822" xr:uid="{00000000-0005-0000-0000-0000E4020000}"/>
    <cellStyle name="Calculation 3 2 2 2 5 4" xfId="22963" xr:uid="{00000000-0005-0000-0000-0000E5020000}"/>
    <cellStyle name="Calculation 3 2 2 2 6" xfId="10340" xr:uid="{00000000-0005-0000-0000-0000E6020000}"/>
    <cellStyle name="Calculation 3 2 2 2 6 2" xfId="21237" xr:uid="{00000000-0005-0000-0000-0000E7020000}"/>
    <cellStyle name="Calculation 3 2 2 2 6 3" xfId="25367" xr:uid="{00000000-0005-0000-0000-0000E8020000}"/>
    <cellStyle name="Calculation 3 2 2 2 6 4" xfId="26884" xr:uid="{00000000-0005-0000-0000-0000E9020000}"/>
    <cellStyle name="Calculation 3 2 2 2 7" xfId="12183" xr:uid="{00000000-0005-0000-0000-0000EA020000}"/>
    <cellStyle name="Calculation 3 2 2 2 8" xfId="22150" xr:uid="{00000000-0005-0000-0000-0000EB020000}"/>
    <cellStyle name="Calculation 3 2 2 3" xfId="1403" xr:uid="{00000000-0005-0000-0000-0000EC020000}"/>
    <cellStyle name="Calculation 3 2 2 3 2" xfId="3727" xr:uid="{00000000-0005-0000-0000-0000ED020000}"/>
    <cellStyle name="Calculation 3 2 2 3 2 2" xfId="8678" xr:uid="{00000000-0005-0000-0000-0000EE020000}"/>
    <cellStyle name="Calculation 3 2 2 3 2 2 2" xfId="19575" xr:uid="{00000000-0005-0000-0000-0000EF020000}"/>
    <cellStyle name="Calculation 3 2 2 3 2 2 3" xfId="24572" xr:uid="{00000000-0005-0000-0000-0000F0020000}"/>
    <cellStyle name="Calculation 3 2 2 3 2 2 4" xfId="26290" xr:uid="{00000000-0005-0000-0000-0000F1020000}"/>
    <cellStyle name="Calculation 3 2 2 3 2 3" xfId="10741" xr:uid="{00000000-0005-0000-0000-0000F2020000}"/>
    <cellStyle name="Calculation 3 2 2 3 2 3 2" xfId="21638" xr:uid="{00000000-0005-0000-0000-0000F3020000}"/>
    <cellStyle name="Calculation 3 2 2 3 2 3 3" xfId="25768" xr:uid="{00000000-0005-0000-0000-0000F4020000}"/>
    <cellStyle name="Calculation 3 2 2 3 2 3 4" xfId="27285" xr:uid="{00000000-0005-0000-0000-0000F5020000}"/>
    <cellStyle name="Calculation 3 2 2 3 2 4" xfId="14624" xr:uid="{00000000-0005-0000-0000-0000F6020000}"/>
    <cellStyle name="Calculation 3 2 2 3 2 5" xfId="22884" xr:uid="{00000000-0005-0000-0000-0000F7020000}"/>
    <cellStyle name="Calculation 3 2 2 3 2 6" xfId="22369" xr:uid="{00000000-0005-0000-0000-0000F8020000}"/>
    <cellStyle name="Calculation 3 2 2 3 3" xfId="5122" xr:uid="{00000000-0005-0000-0000-0000F9020000}"/>
    <cellStyle name="Calculation 3 2 2 3 3 2" xfId="10073" xr:uid="{00000000-0005-0000-0000-0000FA020000}"/>
    <cellStyle name="Calculation 3 2 2 3 3 2 2" xfId="20970" xr:uid="{00000000-0005-0000-0000-0000FB020000}"/>
    <cellStyle name="Calculation 3 2 2 3 3 2 3" xfId="25100" xr:uid="{00000000-0005-0000-0000-0000FC020000}"/>
    <cellStyle name="Calculation 3 2 2 3 3 2 4" xfId="26617" xr:uid="{00000000-0005-0000-0000-0000FD020000}"/>
    <cellStyle name="Calculation 3 2 2 3 3 3" xfId="11068" xr:uid="{00000000-0005-0000-0000-0000FE020000}"/>
    <cellStyle name="Calculation 3 2 2 3 3 3 2" xfId="21965" xr:uid="{00000000-0005-0000-0000-0000FF020000}"/>
    <cellStyle name="Calculation 3 2 2 3 3 3 3" xfId="26095" xr:uid="{00000000-0005-0000-0000-000000030000}"/>
    <cellStyle name="Calculation 3 2 2 3 3 3 4" xfId="27612" xr:uid="{00000000-0005-0000-0000-000001030000}"/>
    <cellStyle name="Calculation 3 2 2 3 3 4" xfId="16019" xr:uid="{00000000-0005-0000-0000-000002030000}"/>
    <cellStyle name="Calculation 3 2 2 3 3 5" xfId="23411" xr:uid="{00000000-0005-0000-0000-000003030000}"/>
    <cellStyle name="Calculation 3 2 2 3 3 6" xfId="24181" xr:uid="{00000000-0005-0000-0000-000004030000}"/>
    <cellStyle name="Calculation 3 2 2 3 4" xfId="6366" xr:uid="{00000000-0005-0000-0000-000005030000}"/>
    <cellStyle name="Calculation 3 2 2 3 4 2" xfId="17263" xr:uid="{00000000-0005-0000-0000-000006030000}"/>
    <cellStyle name="Calculation 3 2 2 3 4 3" xfId="23897" xr:uid="{00000000-0005-0000-0000-000007030000}"/>
    <cellStyle name="Calculation 3 2 2 3 4 4" xfId="23960" xr:uid="{00000000-0005-0000-0000-000008030000}"/>
    <cellStyle name="Calculation 3 2 2 3 5" xfId="10400" xr:uid="{00000000-0005-0000-0000-000009030000}"/>
    <cellStyle name="Calculation 3 2 2 3 5 2" xfId="21297" xr:uid="{00000000-0005-0000-0000-00000A030000}"/>
    <cellStyle name="Calculation 3 2 2 3 5 3" xfId="25427" xr:uid="{00000000-0005-0000-0000-00000B030000}"/>
    <cellStyle name="Calculation 3 2 2 3 5 4" xfId="26944" xr:uid="{00000000-0005-0000-0000-00000C030000}"/>
    <cellStyle name="Calculation 3 2 2 3 6" xfId="12343" xr:uid="{00000000-0005-0000-0000-00000D030000}"/>
    <cellStyle name="Calculation 3 2 2 3 7" xfId="22342" xr:uid="{00000000-0005-0000-0000-00000E030000}"/>
    <cellStyle name="Calculation 3 2 2 4" xfId="3025" xr:uid="{00000000-0005-0000-0000-00000F030000}"/>
    <cellStyle name="Calculation 3 2 2 4 2" xfId="7976" xr:uid="{00000000-0005-0000-0000-000010030000}"/>
    <cellStyle name="Calculation 3 2 2 4 2 2" xfId="18873" xr:uid="{00000000-0005-0000-0000-000011030000}"/>
    <cellStyle name="Calculation 3 2 2 4 2 3" xfId="24342" xr:uid="{00000000-0005-0000-0000-000012030000}"/>
    <cellStyle name="Calculation 3 2 2 4 2 4" xfId="24517" xr:uid="{00000000-0005-0000-0000-000013030000}"/>
    <cellStyle name="Calculation 3 2 2 4 3" xfId="10601" xr:uid="{00000000-0005-0000-0000-000014030000}"/>
    <cellStyle name="Calculation 3 2 2 4 3 2" xfId="21498" xr:uid="{00000000-0005-0000-0000-000015030000}"/>
    <cellStyle name="Calculation 3 2 2 4 3 3" xfId="25628" xr:uid="{00000000-0005-0000-0000-000016030000}"/>
    <cellStyle name="Calculation 3 2 2 4 3 4" xfId="27145" xr:uid="{00000000-0005-0000-0000-000017030000}"/>
    <cellStyle name="Calculation 3 2 2 4 4" xfId="13922" xr:uid="{00000000-0005-0000-0000-000018030000}"/>
    <cellStyle name="Calculation 3 2 2 4 5" xfId="22646" xr:uid="{00000000-0005-0000-0000-000019030000}"/>
    <cellStyle name="Calculation 3 2 2 4 6" xfId="22832" xr:uid="{00000000-0005-0000-0000-00001A030000}"/>
    <cellStyle name="Calculation 3 2 2 5" xfId="4982" xr:uid="{00000000-0005-0000-0000-00001B030000}"/>
    <cellStyle name="Calculation 3 2 2 5 2" xfId="9933" xr:uid="{00000000-0005-0000-0000-00001C030000}"/>
    <cellStyle name="Calculation 3 2 2 5 2 2" xfId="20830" xr:uid="{00000000-0005-0000-0000-00001D030000}"/>
    <cellStyle name="Calculation 3 2 2 5 2 3" xfId="24960" xr:uid="{00000000-0005-0000-0000-00001E030000}"/>
    <cellStyle name="Calculation 3 2 2 5 2 4" xfId="26477" xr:uid="{00000000-0005-0000-0000-00001F030000}"/>
    <cellStyle name="Calculation 3 2 2 5 3" xfId="10928" xr:uid="{00000000-0005-0000-0000-000020030000}"/>
    <cellStyle name="Calculation 3 2 2 5 3 2" xfId="21825" xr:uid="{00000000-0005-0000-0000-000021030000}"/>
    <cellStyle name="Calculation 3 2 2 5 3 3" xfId="25955" xr:uid="{00000000-0005-0000-0000-000022030000}"/>
    <cellStyle name="Calculation 3 2 2 5 3 4" xfId="27472" xr:uid="{00000000-0005-0000-0000-000023030000}"/>
    <cellStyle name="Calculation 3 2 2 5 4" xfId="15879" xr:uid="{00000000-0005-0000-0000-000024030000}"/>
    <cellStyle name="Calculation 3 2 2 5 5" xfId="23271" xr:uid="{00000000-0005-0000-0000-000025030000}"/>
    <cellStyle name="Calculation 3 2 2 5 6" xfId="24350" xr:uid="{00000000-0005-0000-0000-000026030000}"/>
    <cellStyle name="Calculation 3 2 2 6" xfId="5664" xr:uid="{00000000-0005-0000-0000-000027030000}"/>
    <cellStyle name="Calculation 3 2 2 6 2" xfId="16561" xr:uid="{00000000-0005-0000-0000-000028030000}"/>
    <cellStyle name="Calculation 3 2 2 6 3" xfId="23664" xr:uid="{00000000-0005-0000-0000-000029030000}"/>
    <cellStyle name="Calculation 3 2 2 6 4" xfId="24610" xr:uid="{00000000-0005-0000-0000-00002A030000}"/>
    <cellStyle name="Calculation 3 2 2 7" xfId="10260" xr:uid="{00000000-0005-0000-0000-00002B030000}"/>
    <cellStyle name="Calculation 3 2 2 7 2" xfId="21157" xr:uid="{00000000-0005-0000-0000-00002C030000}"/>
    <cellStyle name="Calculation 3 2 2 7 3" xfId="25287" xr:uid="{00000000-0005-0000-0000-00002D030000}"/>
    <cellStyle name="Calculation 3 2 2 7 4" xfId="26804" xr:uid="{00000000-0005-0000-0000-00002E030000}"/>
    <cellStyle name="Calculation 3 2 2 8" xfId="11662" xr:uid="{00000000-0005-0000-0000-00002F030000}"/>
    <cellStyle name="Calculation 3 2 2 9" xfId="23583" xr:uid="{00000000-0005-0000-0000-000030030000}"/>
    <cellStyle name="Calculation 3 2 3" xfId="968" xr:uid="{00000000-0005-0000-0000-000031030000}"/>
    <cellStyle name="Calculation 3 2 3 2" xfId="2125" xr:uid="{00000000-0005-0000-0000-000032030000}"/>
    <cellStyle name="Calculation 3 2 3 2 2" xfId="4437" xr:uid="{00000000-0005-0000-0000-000033030000}"/>
    <cellStyle name="Calculation 3 2 3 2 2 2" xfId="9388" xr:uid="{00000000-0005-0000-0000-000034030000}"/>
    <cellStyle name="Calculation 3 2 3 2 2 2 2" xfId="20285" xr:uid="{00000000-0005-0000-0000-000035030000}"/>
    <cellStyle name="Calculation 3 2 3 2 2 2 3" xfId="24749" xr:uid="{00000000-0005-0000-0000-000036030000}"/>
    <cellStyle name="Calculation 3 2 3 2 2 2 4" xfId="26350" xr:uid="{00000000-0005-0000-0000-000037030000}"/>
    <cellStyle name="Calculation 3 2 3 2 2 3" xfId="10801" xr:uid="{00000000-0005-0000-0000-000038030000}"/>
    <cellStyle name="Calculation 3 2 3 2 2 3 2" xfId="21698" xr:uid="{00000000-0005-0000-0000-000039030000}"/>
    <cellStyle name="Calculation 3 2 3 2 2 3 3" xfId="25828" xr:uid="{00000000-0005-0000-0000-00003A030000}"/>
    <cellStyle name="Calculation 3 2 3 2 2 3 4" xfId="27345" xr:uid="{00000000-0005-0000-0000-00003B030000}"/>
    <cellStyle name="Calculation 3 2 3 2 2 4" xfId="15334" xr:uid="{00000000-0005-0000-0000-00003C030000}"/>
    <cellStyle name="Calculation 3 2 3 2 2 5" xfId="23059" xr:uid="{00000000-0005-0000-0000-00003D030000}"/>
    <cellStyle name="Calculation 3 2 3 2 2 6" xfId="24766" xr:uid="{00000000-0005-0000-0000-00003E030000}"/>
    <cellStyle name="Calculation 3 2 3 2 3" xfId="5181" xr:uid="{00000000-0005-0000-0000-00003F030000}"/>
    <cellStyle name="Calculation 3 2 3 2 3 2" xfId="10132" xr:uid="{00000000-0005-0000-0000-000040030000}"/>
    <cellStyle name="Calculation 3 2 3 2 3 2 2" xfId="21029" xr:uid="{00000000-0005-0000-0000-000041030000}"/>
    <cellStyle name="Calculation 3 2 3 2 3 2 3" xfId="25159" xr:uid="{00000000-0005-0000-0000-000042030000}"/>
    <cellStyle name="Calculation 3 2 3 2 3 2 4" xfId="26676" xr:uid="{00000000-0005-0000-0000-000043030000}"/>
    <cellStyle name="Calculation 3 2 3 2 3 3" xfId="11127" xr:uid="{00000000-0005-0000-0000-000044030000}"/>
    <cellStyle name="Calculation 3 2 3 2 3 3 2" xfId="22024" xr:uid="{00000000-0005-0000-0000-000045030000}"/>
    <cellStyle name="Calculation 3 2 3 2 3 3 3" xfId="26154" xr:uid="{00000000-0005-0000-0000-000046030000}"/>
    <cellStyle name="Calculation 3 2 3 2 3 3 4" xfId="27671" xr:uid="{00000000-0005-0000-0000-000047030000}"/>
    <cellStyle name="Calculation 3 2 3 2 3 4" xfId="16078" xr:uid="{00000000-0005-0000-0000-000048030000}"/>
    <cellStyle name="Calculation 3 2 3 2 3 5" xfId="23470" xr:uid="{00000000-0005-0000-0000-000049030000}"/>
    <cellStyle name="Calculation 3 2 3 2 3 6" xfId="23978" xr:uid="{00000000-0005-0000-0000-00004A030000}"/>
    <cellStyle name="Calculation 3 2 3 2 4" xfId="7076" xr:uid="{00000000-0005-0000-0000-00004B030000}"/>
    <cellStyle name="Calculation 3 2 3 2 4 2" xfId="17973" xr:uid="{00000000-0005-0000-0000-00004C030000}"/>
    <cellStyle name="Calculation 3 2 3 2 4 3" xfId="24071" xr:uid="{00000000-0005-0000-0000-00004D030000}"/>
    <cellStyle name="Calculation 3 2 3 2 4 4" xfId="22532" xr:uid="{00000000-0005-0000-0000-00004E030000}"/>
    <cellStyle name="Calculation 3 2 3 2 5" xfId="10459" xr:uid="{00000000-0005-0000-0000-00004F030000}"/>
    <cellStyle name="Calculation 3 2 3 2 5 2" xfId="21356" xr:uid="{00000000-0005-0000-0000-000050030000}"/>
    <cellStyle name="Calculation 3 2 3 2 5 3" xfId="25486" xr:uid="{00000000-0005-0000-0000-000051030000}"/>
    <cellStyle name="Calculation 3 2 3 2 5 4" xfId="27003" xr:uid="{00000000-0005-0000-0000-000052030000}"/>
    <cellStyle name="Calculation 3 2 3 2 6" xfId="13042" xr:uid="{00000000-0005-0000-0000-000053030000}"/>
    <cellStyle name="Calculation 3 2 3 2 7" xfId="24856" xr:uid="{00000000-0005-0000-0000-000054030000}"/>
    <cellStyle name="Calculation 3 2 3 3" xfId="3292" xr:uid="{00000000-0005-0000-0000-000055030000}"/>
    <cellStyle name="Calculation 3 2 3 3 2" xfId="8243" xr:uid="{00000000-0005-0000-0000-000056030000}"/>
    <cellStyle name="Calculation 3 2 3 3 2 2" xfId="19140" xr:uid="{00000000-0005-0000-0000-000057030000}"/>
    <cellStyle name="Calculation 3 2 3 3 2 3" xfId="24420" xr:uid="{00000000-0005-0000-0000-000058030000}"/>
    <cellStyle name="Calculation 3 2 3 3 2 4" xfId="22111" xr:uid="{00000000-0005-0000-0000-000059030000}"/>
    <cellStyle name="Calculation 3 2 3 3 3" xfId="10641" xr:uid="{00000000-0005-0000-0000-00005A030000}"/>
    <cellStyle name="Calculation 3 2 3 3 3 2" xfId="21538" xr:uid="{00000000-0005-0000-0000-00005B030000}"/>
    <cellStyle name="Calculation 3 2 3 3 3 3" xfId="25668" xr:uid="{00000000-0005-0000-0000-00005C030000}"/>
    <cellStyle name="Calculation 3 2 3 3 3 4" xfId="27185" xr:uid="{00000000-0005-0000-0000-00005D030000}"/>
    <cellStyle name="Calculation 3 2 3 3 4" xfId="14189" xr:uid="{00000000-0005-0000-0000-00005E030000}"/>
    <cellStyle name="Calculation 3 2 3 3 5" xfId="22729" xr:uid="{00000000-0005-0000-0000-00005F030000}"/>
    <cellStyle name="Calculation 3 2 3 3 6" xfId="24244" xr:uid="{00000000-0005-0000-0000-000060030000}"/>
    <cellStyle name="Calculation 3 2 3 4" xfId="5022" xr:uid="{00000000-0005-0000-0000-000061030000}"/>
    <cellStyle name="Calculation 3 2 3 4 2" xfId="9973" xr:uid="{00000000-0005-0000-0000-000062030000}"/>
    <cellStyle name="Calculation 3 2 3 4 2 2" xfId="20870" xr:uid="{00000000-0005-0000-0000-000063030000}"/>
    <cellStyle name="Calculation 3 2 3 4 2 3" xfId="25000" xr:uid="{00000000-0005-0000-0000-000064030000}"/>
    <cellStyle name="Calculation 3 2 3 4 2 4" xfId="26517" xr:uid="{00000000-0005-0000-0000-000065030000}"/>
    <cellStyle name="Calculation 3 2 3 4 3" xfId="10968" xr:uid="{00000000-0005-0000-0000-000066030000}"/>
    <cellStyle name="Calculation 3 2 3 4 3 2" xfId="21865" xr:uid="{00000000-0005-0000-0000-000067030000}"/>
    <cellStyle name="Calculation 3 2 3 4 3 3" xfId="25995" xr:uid="{00000000-0005-0000-0000-000068030000}"/>
    <cellStyle name="Calculation 3 2 3 4 3 4" xfId="27512" xr:uid="{00000000-0005-0000-0000-000069030000}"/>
    <cellStyle name="Calculation 3 2 3 4 4" xfId="15919" xr:uid="{00000000-0005-0000-0000-00006A030000}"/>
    <cellStyle name="Calculation 3 2 3 4 5" xfId="23311" xr:uid="{00000000-0005-0000-0000-00006B030000}"/>
    <cellStyle name="Calculation 3 2 3 4 6" xfId="22795" xr:uid="{00000000-0005-0000-0000-00006C030000}"/>
    <cellStyle name="Calculation 3 2 3 5" xfId="5931" xr:uid="{00000000-0005-0000-0000-00006D030000}"/>
    <cellStyle name="Calculation 3 2 3 5 2" xfId="16828" xr:uid="{00000000-0005-0000-0000-00006E030000}"/>
    <cellStyle name="Calculation 3 2 3 5 3" xfId="23742" xr:uid="{00000000-0005-0000-0000-00006F030000}"/>
    <cellStyle name="Calculation 3 2 3 5 4" xfId="24772" xr:uid="{00000000-0005-0000-0000-000070030000}"/>
    <cellStyle name="Calculation 3 2 3 6" xfId="10300" xr:uid="{00000000-0005-0000-0000-000071030000}"/>
    <cellStyle name="Calculation 3 2 3 6 2" xfId="21197" xr:uid="{00000000-0005-0000-0000-000072030000}"/>
    <cellStyle name="Calculation 3 2 3 6 3" xfId="25327" xr:uid="{00000000-0005-0000-0000-000073030000}"/>
    <cellStyle name="Calculation 3 2 3 6 4" xfId="26844" xr:uid="{00000000-0005-0000-0000-000074030000}"/>
    <cellStyle name="Calculation 3 2 3 7" xfId="11924" xr:uid="{00000000-0005-0000-0000-000075030000}"/>
    <cellStyle name="Calculation 3 2 3 8" xfId="22223" xr:uid="{00000000-0005-0000-0000-000076030000}"/>
    <cellStyle name="Calculation 3 2 4" xfId="1363" xr:uid="{00000000-0005-0000-0000-000077030000}"/>
    <cellStyle name="Calculation 3 2 4 2" xfId="3687" xr:uid="{00000000-0005-0000-0000-000078030000}"/>
    <cellStyle name="Calculation 3 2 4 2 2" xfId="8638" xr:uid="{00000000-0005-0000-0000-000079030000}"/>
    <cellStyle name="Calculation 3 2 4 2 2 2" xfId="19535" xr:uid="{00000000-0005-0000-0000-00007A030000}"/>
    <cellStyle name="Calculation 3 2 4 2 2 3" xfId="24532" xr:uid="{00000000-0005-0000-0000-00007B030000}"/>
    <cellStyle name="Calculation 3 2 4 2 2 4" xfId="26250" xr:uid="{00000000-0005-0000-0000-00007C030000}"/>
    <cellStyle name="Calculation 3 2 4 2 3" xfId="10701" xr:uid="{00000000-0005-0000-0000-00007D030000}"/>
    <cellStyle name="Calculation 3 2 4 2 3 2" xfId="21598" xr:uid="{00000000-0005-0000-0000-00007E030000}"/>
    <cellStyle name="Calculation 3 2 4 2 3 3" xfId="25728" xr:uid="{00000000-0005-0000-0000-00007F030000}"/>
    <cellStyle name="Calculation 3 2 4 2 3 4" xfId="27245" xr:uid="{00000000-0005-0000-0000-000080030000}"/>
    <cellStyle name="Calculation 3 2 4 2 4" xfId="14584" xr:uid="{00000000-0005-0000-0000-000081030000}"/>
    <cellStyle name="Calculation 3 2 4 2 5" xfId="22844" xr:uid="{00000000-0005-0000-0000-000082030000}"/>
    <cellStyle name="Calculation 3 2 4 2 6" xfId="23030" xr:uid="{00000000-0005-0000-0000-000083030000}"/>
    <cellStyle name="Calculation 3 2 4 3" xfId="5082" xr:uid="{00000000-0005-0000-0000-000084030000}"/>
    <cellStyle name="Calculation 3 2 4 3 2" xfId="10033" xr:uid="{00000000-0005-0000-0000-000085030000}"/>
    <cellStyle name="Calculation 3 2 4 3 2 2" xfId="20930" xr:uid="{00000000-0005-0000-0000-000086030000}"/>
    <cellStyle name="Calculation 3 2 4 3 2 3" xfId="25060" xr:uid="{00000000-0005-0000-0000-000087030000}"/>
    <cellStyle name="Calculation 3 2 4 3 2 4" xfId="26577" xr:uid="{00000000-0005-0000-0000-000088030000}"/>
    <cellStyle name="Calculation 3 2 4 3 3" xfId="11028" xr:uid="{00000000-0005-0000-0000-000089030000}"/>
    <cellStyle name="Calculation 3 2 4 3 3 2" xfId="21925" xr:uid="{00000000-0005-0000-0000-00008A030000}"/>
    <cellStyle name="Calculation 3 2 4 3 3 3" xfId="26055" xr:uid="{00000000-0005-0000-0000-00008B030000}"/>
    <cellStyle name="Calculation 3 2 4 3 3 4" xfId="27572" xr:uid="{00000000-0005-0000-0000-00008C030000}"/>
    <cellStyle name="Calculation 3 2 4 3 4" xfId="15979" xr:uid="{00000000-0005-0000-0000-00008D030000}"/>
    <cellStyle name="Calculation 3 2 4 3 5" xfId="23371" xr:uid="{00000000-0005-0000-0000-00008E030000}"/>
    <cellStyle name="Calculation 3 2 4 3 6" xfId="24336" xr:uid="{00000000-0005-0000-0000-00008F030000}"/>
    <cellStyle name="Calculation 3 2 4 4" xfId="6326" xr:uid="{00000000-0005-0000-0000-000090030000}"/>
    <cellStyle name="Calculation 3 2 4 4 2" xfId="17223" xr:uid="{00000000-0005-0000-0000-000091030000}"/>
    <cellStyle name="Calculation 3 2 4 4 3" xfId="23857" xr:uid="{00000000-0005-0000-0000-000092030000}"/>
    <cellStyle name="Calculation 3 2 4 4 4" xfId="24208" xr:uid="{00000000-0005-0000-0000-000093030000}"/>
    <cellStyle name="Calculation 3 2 4 5" xfId="10360" xr:uid="{00000000-0005-0000-0000-000094030000}"/>
    <cellStyle name="Calculation 3 2 4 5 2" xfId="21257" xr:uid="{00000000-0005-0000-0000-000095030000}"/>
    <cellStyle name="Calculation 3 2 4 5 3" xfId="25387" xr:uid="{00000000-0005-0000-0000-000096030000}"/>
    <cellStyle name="Calculation 3 2 4 5 4" xfId="26904" xr:uid="{00000000-0005-0000-0000-000097030000}"/>
    <cellStyle name="Calculation 3 2 4 6" xfId="12311" xr:uid="{00000000-0005-0000-0000-000098030000}"/>
    <cellStyle name="Calculation 3 2 4 7" xfId="23920" xr:uid="{00000000-0005-0000-0000-000099030000}"/>
    <cellStyle name="Calculation 3 2 5" xfId="2760" xr:uid="{00000000-0005-0000-0000-00009A030000}"/>
    <cellStyle name="Calculation 3 2 5 2" xfId="7711" xr:uid="{00000000-0005-0000-0000-00009B030000}"/>
    <cellStyle name="Calculation 3 2 5 2 2" xfId="18608" xr:uid="{00000000-0005-0000-0000-00009C030000}"/>
    <cellStyle name="Calculation 3 2 5 2 3" xfId="24274" xr:uid="{00000000-0005-0000-0000-00009D030000}"/>
    <cellStyle name="Calculation 3 2 5 2 4" xfId="22199" xr:uid="{00000000-0005-0000-0000-00009E030000}"/>
    <cellStyle name="Calculation 3 2 5 3" xfId="10561" xr:uid="{00000000-0005-0000-0000-00009F030000}"/>
    <cellStyle name="Calculation 3 2 5 3 2" xfId="21458" xr:uid="{00000000-0005-0000-0000-0000A0030000}"/>
    <cellStyle name="Calculation 3 2 5 3 3" xfId="25588" xr:uid="{00000000-0005-0000-0000-0000A1030000}"/>
    <cellStyle name="Calculation 3 2 5 3 4" xfId="27105" xr:uid="{00000000-0005-0000-0000-0000A2030000}"/>
    <cellStyle name="Calculation 3 2 5 4" xfId="13657" xr:uid="{00000000-0005-0000-0000-0000A3030000}"/>
    <cellStyle name="Calculation 3 2 5 5" xfId="22574" xr:uid="{00000000-0005-0000-0000-0000A4030000}"/>
    <cellStyle name="Calculation 3 2 5 6" xfId="23691" xr:uid="{00000000-0005-0000-0000-0000A5030000}"/>
    <cellStyle name="Calculation 3 2 6" xfId="4942" xr:uid="{00000000-0005-0000-0000-0000A6030000}"/>
    <cellStyle name="Calculation 3 2 6 2" xfId="9893" xr:uid="{00000000-0005-0000-0000-0000A7030000}"/>
    <cellStyle name="Calculation 3 2 6 2 2" xfId="20790" xr:uid="{00000000-0005-0000-0000-0000A8030000}"/>
    <cellStyle name="Calculation 3 2 6 2 3" xfId="24920" xr:uid="{00000000-0005-0000-0000-0000A9030000}"/>
    <cellStyle name="Calculation 3 2 6 2 4" xfId="26437" xr:uid="{00000000-0005-0000-0000-0000AA030000}"/>
    <cellStyle name="Calculation 3 2 6 3" xfId="10888" xr:uid="{00000000-0005-0000-0000-0000AB030000}"/>
    <cellStyle name="Calculation 3 2 6 3 2" xfId="21785" xr:uid="{00000000-0005-0000-0000-0000AC030000}"/>
    <cellStyle name="Calculation 3 2 6 3 3" xfId="25915" xr:uid="{00000000-0005-0000-0000-0000AD030000}"/>
    <cellStyle name="Calculation 3 2 6 3 4" xfId="27432" xr:uid="{00000000-0005-0000-0000-0000AE030000}"/>
    <cellStyle name="Calculation 3 2 6 4" xfId="15839" xr:uid="{00000000-0005-0000-0000-0000AF030000}"/>
    <cellStyle name="Calculation 3 2 6 5" xfId="23231" xr:uid="{00000000-0005-0000-0000-0000B0030000}"/>
    <cellStyle name="Calculation 3 2 6 6" xfId="23711" xr:uid="{00000000-0005-0000-0000-0000B1030000}"/>
    <cellStyle name="Calculation 3 2 7" xfId="5399" xr:uid="{00000000-0005-0000-0000-0000B2030000}"/>
    <cellStyle name="Calculation 3 2 7 2" xfId="16296" xr:uid="{00000000-0005-0000-0000-0000B3030000}"/>
    <cellStyle name="Calculation 3 2 7 3" xfId="23593" xr:uid="{00000000-0005-0000-0000-0000B4030000}"/>
    <cellStyle name="Calculation 3 2 7 4" xfId="11274" xr:uid="{00000000-0005-0000-0000-0000B5030000}"/>
    <cellStyle name="Calculation 3 2 8" xfId="10220" xr:uid="{00000000-0005-0000-0000-0000B6030000}"/>
    <cellStyle name="Calculation 3 2 8 2" xfId="21117" xr:uid="{00000000-0005-0000-0000-0000B7030000}"/>
    <cellStyle name="Calculation 3 2 8 3" xfId="25247" xr:uid="{00000000-0005-0000-0000-0000B8030000}"/>
    <cellStyle name="Calculation 3 2 8 4" xfId="26764" xr:uid="{00000000-0005-0000-0000-0000B9030000}"/>
    <cellStyle name="Calculation 3 2 9" xfId="11401" xr:uid="{00000000-0005-0000-0000-0000BA030000}"/>
    <cellStyle name="Calculation 3 3" xfId="565" xr:uid="{00000000-0005-0000-0000-0000BB030000}"/>
    <cellStyle name="Calculation 3 3 2" xfId="1097" xr:uid="{00000000-0005-0000-0000-0000BC030000}"/>
    <cellStyle name="Calculation 3 3 2 2" xfId="2254" xr:uid="{00000000-0005-0000-0000-0000BD030000}"/>
    <cellStyle name="Calculation 3 3 2 2 2" xfId="4566" xr:uid="{00000000-0005-0000-0000-0000BE030000}"/>
    <cellStyle name="Calculation 3 3 2 2 2 2" xfId="9517" xr:uid="{00000000-0005-0000-0000-0000BF030000}"/>
    <cellStyle name="Calculation 3 3 2 2 2 2 2" xfId="20414" xr:uid="{00000000-0005-0000-0000-0000C0030000}"/>
    <cellStyle name="Calculation 3 3 2 2 2 2 3" xfId="24781" xr:uid="{00000000-0005-0000-0000-0000C1030000}"/>
    <cellStyle name="Calculation 3 3 2 2 2 2 4" xfId="26366" xr:uid="{00000000-0005-0000-0000-0000C2030000}"/>
    <cellStyle name="Calculation 3 3 2 2 2 3" xfId="10817" xr:uid="{00000000-0005-0000-0000-0000C3030000}"/>
    <cellStyle name="Calculation 3 3 2 2 2 3 2" xfId="21714" xr:uid="{00000000-0005-0000-0000-0000C4030000}"/>
    <cellStyle name="Calculation 3 3 2 2 2 3 3" xfId="25844" xr:uid="{00000000-0005-0000-0000-0000C5030000}"/>
    <cellStyle name="Calculation 3 3 2 2 2 3 4" xfId="27361" xr:uid="{00000000-0005-0000-0000-0000C6030000}"/>
    <cellStyle name="Calculation 3 3 2 2 2 4" xfId="15463" xr:uid="{00000000-0005-0000-0000-0000C7030000}"/>
    <cellStyle name="Calculation 3 3 2 2 2 5" xfId="23093" xr:uid="{00000000-0005-0000-0000-0000C8030000}"/>
    <cellStyle name="Calculation 3 3 2 2 2 6" xfId="22966" xr:uid="{00000000-0005-0000-0000-0000C9030000}"/>
    <cellStyle name="Calculation 3 3 2 2 3" xfId="5197" xr:uid="{00000000-0005-0000-0000-0000CA030000}"/>
    <cellStyle name="Calculation 3 3 2 2 3 2" xfId="10148" xr:uid="{00000000-0005-0000-0000-0000CB030000}"/>
    <cellStyle name="Calculation 3 3 2 2 3 2 2" xfId="21045" xr:uid="{00000000-0005-0000-0000-0000CC030000}"/>
    <cellStyle name="Calculation 3 3 2 2 3 2 3" xfId="25175" xr:uid="{00000000-0005-0000-0000-0000CD030000}"/>
    <cellStyle name="Calculation 3 3 2 2 3 2 4" xfId="26692" xr:uid="{00000000-0005-0000-0000-0000CE030000}"/>
    <cellStyle name="Calculation 3 3 2 2 3 3" xfId="11143" xr:uid="{00000000-0005-0000-0000-0000CF030000}"/>
    <cellStyle name="Calculation 3 3 2 2 3 3 2" xfId="22040" xr:uid="{00000000-0005-0000-0000-0000D0030000}"/>
    <cellStyle name="Calculation 3 3 2 2 3 3 3" xfId="26170" xr:uid="{00000000-0005-0000-0000-0000D1030000}"/>
    <cellStyle name="Calculation 3 3 2 2 3 3 4" xfId="27687" xr:uid="{00000000-0005-0000-0000-0000D2030000}"/>
    <cellStyle name="Calculation 3 3 2 2 3 4" xfId="16094" xr:uid="{00000000-0005-0000-0000-0000D3030000}"/>
    <cellStyle name="Calculation 3 3 2 2 3 5" xfId="23486" xr:uid="{00000000-0005-0000-0000-0000D4030000}"/>
    <cellStyle name="Calculation 3 3 2 2 3 6" xfId="24701" xr:uid="{00000000-0005-0000-0000-0000D5030000}"/>
    <cellStyle name="Calculation 3 3 2 2 4" xfId="7205" xr:uid="{00000000-0005-0000-0000-0000D6030000}"/>
    <cellStyle name="Calculation 3 3 2 2 4 2" xfId="18102" xr:uid="{00000000-0005-0000-0000-0000D7030000}"/>
    <cellStyle name="Calculation 3 3 2 2 4 3" xfId="24107" xr:uid="{00000000-0005-0000-0000-0000D8030000}"/>
    <cellStyle name="Calculation 3 3 2 2 4 4" xfId="23941" xr:uid="{00000000-0005-0000-0000-0000D9030000}"/>
    <cellStyle name="Calculation 3 3 2 2 5" xfId="10475" xr:uid="{00000000-0005-0000-0000-0000DA030000}"/>
    <cellStyle name="Calculation 3 3 2 2 5 2" xfId="21372" xr:uid="{00000000-0005-0000-0000-0000DB030000}"/>
    <cellStyle name="Calculation 3 3 2 2 5 3" xfId="25502" xr:uid="{00000000-0005-0000-0000-0000DC030000}"/>
    <cellStyle name="Calculation 3 3 2 2 5 4" xfId="27019" xr:uid="{00000000-0005-0000-0000-0000DD030000}"/>
    <cellStyle name="Calculation 3 3 2 2 6" xfId="13169" xr:uid="{00000000-0005-0000-0000-0000DE030000}"/>
    <cellStyle name="Calculation 3 3 2 2 7" xfId="24855" xr:uid="{00000000-0005-0000-0000-0000DF030000}"/>
    <cellStyle name="Calculation 3 3 2 3" xfId="3421" xr:uid="{00000000-0005-0000-0000-0000E0030000}"/>
    <cellStyle name="Calculation 3 3 2 3 2" xfId="8372" xr:uid="{00000000-0005-0000-0000-0000E1030000}"/>
    <cellStyle name="Calculation 3 3 2 3 2 2" xfId="19269" xr:uid="{00000000-0005-0000-0000-0000E2030000}"/>
    <cellStyle name="Calculation 3 3 2 3 2 3" xfId="24457" xr:uid="{00000000-0005-0000-0000-0000E3030000}"/>
    <cellStyle name="Calculation 3 3 2 3 2 4" xfId="11658" xr:uid="{00000000-0005-0000-0000-0000E4030000}"/>
    <cellStyle name="Calculation 3 3 2 3 3" xfId="10657" xr:uid="{00000000-0005-0000-0000-0000E5030000}"/>
    <cellStyle name="Calculation 3 3 2 3 3 2" xfId="21554" xr:uid="{00000000-0005-0000-0000-0000E6030000}"/>
    <cellStyle name="Calculation 3 3 2 3 3 3" xfId="25684" xr:uid="{00000000-0005-0000-0000-0000E7030000}"/>
    <cellStyle name="Calculation 3 3 2 3 3 4" xfId="27201" xr:uid="{00000000-0005-0000-0000-0000E8030000}"/>
    <cellStyle name="Calculation 3 3 2 3 4" xfId="14318" xr:uid="{00000000-0005-0000-0000-0000E9030000}"/>
    <cellStyle name="Calculation 3 3 2 3 5" xfId="22766" xr:uid="{00000000-0005-0000-0000-0000EA030000}"/>
    <cellStyle name="Calculation 3 3 2 3 6" xfId="22543" xr:uid="{00000000-0005-0000-0000-0000EB030000}"/>
    <cellStyle name="Calculation 3 3 2 4" xfId="5038" xr:uid="{00000000-0005-0000-0000-0000EC030000}"/>
    <cellStyle name="Calculation 3 3 2 4 2" xfId="9989" xr:uid="{00000000-0005-0000-0000-0000ED030000}"/>
    <cellStyle name="Calculation 3 3 2 4 2 2" xfId="20886" xr:uid="{00000000-0005-0000-0000-0000EE030000}"/>
    <cellStyle name="Calculation 3 3 2 4 2 3" xfId="25016" xr:uid="{00000000-0005-0000-0000-0000EF030000}"/>
    <cellStyle name="Calculation 3 3 2 4 2 4" xfId="26533" xr:uid="{00000000-0005-0000-0000-0000F0030000}"/>
    <cellStyle name="Calculation 3 3 2 4 3" xfId="10984" xr:uid="{00000000-0005-0000-0000-0000F1030000}"/>
    <cellStyle name="Calculation 3 3 2 4 3 2" xfId="21881" xr:uid="{00000000-0005-0000-0000-0000F2030000}"/>
    <cellStyle name="Calculation 3 3 2 4 3 3" xfId="26011" xr:uid="{00000000-0005-0000-0000-0000F3030000}"/>
    <cellStyle name="Calculation 3 3 2 4 3 4" xfId="27528" xr:uid="{00000000-0005-0000-0000-0000F4030000}"/>
    <cellStyle name="Calculation 3 3 2 4 4" xfId="15935" xr:uid="{00000000-0005-0000-0000-0000F5030000}"/>
    <cellStyle name="Calculation 3 3 2 4 5" xfId="23327" xr:uid="{00000000-0005-0000-0000-0000F6030000}"/>
    <cellStyle name="Calculation 3 3 2 4 6" xfId="22753" xr:uid="{00000000-0005-0000-0000-0000F7030000}"/>
    <cellStyle name="Calculation 3 3 2 5" xfId="6060" xr:uid="{00000000-0005-0000-0000-0000F8030000}"/>
    <cellStyle name="Calculation 3 3 2 5 2" xfId="16957" xr:uid="{00000000-0005-0000-0000-0000F9030000}"/>
    <cellStyle name="Calculation 3 3 2 5 3" xfId="23781" xr:uid="{00000000-0005-0000-0000-0000FA030000}"/>
    <cellStyle name="Calculation 3 3 2 5 4" xfId="22411" xr:uid="{00000000-0005-0000-0000-0000FB030000}"/>
    <cellStyle name="Calculation 3 3 2 6" xfId="10316" xr:uid="{00000000-0005-0000-0000-0000FC030000}"/>
    <cellStyle name="Calculation 3 3 2 6 2" xfId="21213" xr:uid="{00000000-0005-0000-0000-0000FD030000}"/>
    <cellStyle name="Calculation 3 3 2 6 3" xfId="25343" xr:uid="{00000000-0005-0000-0000-0000FE030000}"/>
    <cellStyle name="Calculation 3 3 2 6 4" xfId="26860" xr:uid="{00000000-0005-0000-0000-0000FF030000}"/>
    <cellStyle name="Calculation 3 3 2 7" xfId="12051" xr:uid="{00000000-0005-0000-0000-000000040000}"/>
    <cellStyle name="Calculation 3 3 2 8" xfId="23206" xr:uid="{00000000-0005-0000-0000-000001040000}"/>
    <cellStyle name="Calculation 3 3 3" xfId="1379" xr:uid="{00000000-0005-0000-0000-000002040000}"/>
    <cellStyle name="Calculation 3 3 3 2" xfId="3703" xr:uid="{00000000-0005-0000-0000-000003040000}"/>
    <cellStyle name="Calculation 3 3 3 2 2" xfId="8654" xr:uid="{00000000-0005-0000-0000-000004040000}"/>
    <cellStyle name="Calculation 3 3 3 2 2 2" xfId="19551" xr:uid="{00000000-0005-0000-0000-000005040000}"/>
    <cellStyle name="Calculation 3 3 3 2 2 3" xfId="24548" xr:uid="{00000000-0005-0000-0000-000006040000}"/>
    <cellStyle name="Calculation 3 3 3 2 2 4" xfId="26266" xr:uid="{00000000-0005-0000-0000-000007040000}"/>
    <cellStyle name="Calculation 3 3 3 2 3" xfId="10717" xr:uid="{00000000-0005-0000-0000-000008040000}"/>
    <cellStyle name="Calculation 3 3 3 2 3 2" xfId="21614" xr:uid="{00000000-0005-0000-0000-000009040000}"/>
    <cellStyle name="Calculation 3 3 3 2 3 3" xfId="25744" xr:uid="{00000000-0005-0000-0000-00000A040000}"/>
    <cellStyle name="Calculation 3 3 3 2 3 4" xfId="27261" xr:uid="{00000000-0005-0000-0000-00000B040000}"/>
    <cellStyle name="Calculation 3 3 3 2 4" xfId="14600" xr:uid="{00000000-0005-0000-0000-00000C040000}"/>
    <cellStyle name="Calculation 3 3 3 2 5" xfId="22860" xr:uid="{00000000-0005-0000-0000-00000D040000}"/>
    <cellStyle name="Calculation 3 3 3 2 6" xfId="22431" xr:uid="{00000000-0005-0000-0000-00000E040000}"/>
    <cellStyle name="Calculation 3 3 3 3" xfId="5098" xr:uid="{00000000-0005-0000-0000-00000F040000}"/>
    <cellStyle name="Calculation 3 3 3 3 2" xfId="10049" xr:uid="{00000000-0005-0000-0000-000010040000}"/>
    <cellStyle name="Calculation 3 3 3 3 2 2" xfId="20946" xr:uid="{00000000-0005-0000-0000-000011040000}"/>
    <cellStyle name="Calculation 3 3 3 3 2 3" xfId="25076" xr:uid="{00000000-0005-0000-0000-000012040000}"/>
    <cellStyle name="Calculation 3 3 3 3 2 4" xfId="26593" xr:uid="{00000000-0005-0000-0000-000013040000}"/>
    <cellStyle name="Calculation 3 3 3 3 3" xfId="11044" xr:uid="{00000000-0005-0000-0000-000014040000}"/>
    <cellStyle name="Calculation 3 3 3 3 3 2" xfId="21941" xr:uid="{00000000-0005-0000-0000-000015040000}"/>
    <cellStyle name="Calculation 3 3 3 3 3 3" xfId="26071" xr:uid="{00000000-0005-0000-0000-000016040000}"/>
    <cellStyle name="Calculation 3 3 3 3 3 4" xfId="27588" xr:uid="{00000000-0005-0000-0000-000017040000}"/>
    <cellStyle name="Calculation 3 3 3 3 4" xfId="15995" xr:uid="{00000000-0005-0000-0000-000018040000}"/>
    <cellStyle name="Calculation 3 3 3 3 5" xfId="23387" xr:uid="{00000000-0005-0000-0000-000019040000}"/>
    <cellStyle name="Calculation 3 3 3 3 6" xfId="24299" xr:uid="{00000000-0005-0000-0000-00001A040000}"/>
    <cellStyle name="Calculation 3 3 3 4" xfId="6342" xr:uid="{00000000-0005-0000-0000-00001B040000}"/>
    <cellStyle name="Calculation 3 3 3 4 2" xfId="17239" xr:uid="{00000000-0005-0000-0000-00001C040000}"/>
    <cellStyle name="Calculation 3 3 3 4 3" xfId="23873" xr:uid="{00000000-0005-0000-0000-00001D040000}"/>
    <cellStyle name="Calculation 3 3 3 4 4" xfId="24204" xr:uid="{00000000-0005-0000-0000-00001E040000}"/>
    <cellStyle name="Calculation 3 3 3 5" xfId="10376" xr:uid="{00000000-0005-0000-0000-00001F040000}"/>
    <cellStyle name="Calculation 3 3 3 5 2" xfId="21273" xr:uid="{00000000-0005-0000-0000-000020040000}"/>
    <cellStyle name="Calculation 3 3 3 5 3" xfId="25403" xr:uid="{00000000-0005-0000-0000-000021040000}"/>
    <cellStyle name="Calculation 3 3 3 5 4" xfId="26920" xr:uid="{00000000-0005-0000-0000-000022040000}"/>
    <cellStyle name="Calculation 3 3 3 6" xfId="12325" xr:uid="{00000000-0005-0000-0000-000023040000}"/>
    <cellStyle name="Calculation 3 3 3 7" xfId="22266" xr:uid="{00000000-0005-0000-0000-000024040000}"/>
    <cellStyle name="Calculation 3 3 4" xfId="2889" xr:uid="{00000000-0005-0000-0000-000025040000}"/>
    <cellStyle name="Calculation 3 3 4 2" xfId="7840" xr:uid="{00000000-0005-0000-0000-000026040000}"/>
    <cellStyle name="Calculation 3 3 4 2 2" xfId="18737" xr:uid="{00000000-0005-0000-0000-000027040000}"/>
    <cellStyle name="Calculation 3 3 4 2 3" xfId="24305" xr:uid="{00000000-0005-0000-0000-000028040000}"/>
    <cellStyle name="Calculation 3 3 4 2 4" xfId="23685" xr:uid="{00000000-0005-0000-0000-000029040000}"/>
    <cellStyle name="Calculation 3 3 4 3" xfId="10577" xr:uid="{00000000-0005-0000-0000-00002A040000}"/>
    <cellStyle name="Calculation 3 3 4 3 2" xfId="21474" xr:uid="{00000000-0005-0000-0000-00002B040000}"/>
    <cellStyle name="Calculation 3 3 4 3 3" xfId="25604" xr:uid="{00000000-0005-0000-0000-00002C040000}"/>
    <cellStyle name="Calculation 3 3 4 3 4" xfId="27121" xr:uid="{00000000-0005-0000-0000-00002D040000}"/>
    <cellStyle name="Calculation 3 3 4 4" xfId="13786" xr:uid="{00000000-0005-0000-0000-00002E040000}"/>
    <cellStyle name="Calculation 3 3 4 5" xfId="22607" xr:uid="{00000000-0005-0000-0000-00002F040000}"/>
    <cellStyle name="Calculation 3 3 4 6" xfId="24366" xr:uid="{00000000-0005-0000-0000-000030040000}"/>
    <cellStyle name="Calculation 3 3 5" xfId="4958" xr:uid="{00000000-0005-0000-0000-000031040000}"/>
    <cellStyle name="Calculation 3 3 5 2" xfId="9909" xr:uid="{00000000-0005-0000-0000-000032040000}"/>
    <cellStyle name="Calculation 3 3 5 2 2" xfId="20806" xr:uid="{00000000-0005-0000-0000-000033040000}"/>
    <cellStyle name="Calculation 3 3 5 2 3" xfId="24936" xr:uid="{00000000-0005-0000-0000-000034040000}"/>
    <cellStyle name="Calculation 3 3 5 2 4" xfId="26453" xr:uid="{00000000-0005-0000-0000-000035040000}"/>
    <cellStyle name="Calculation 3 3 5 3" xfId="10904" xr:uid="{00000000-0005-0000-0000-000036040000}"/>
    <cellStyle name="Calculation 3 3 5 3 2" xfId="21801" xr:uid="{00000000-0005-0000-0000-000037040000}"/>
    <cellStyle name="Calculation 3 3 5 3 3" xfId="25931" xr:uid="{00000000-0005-0000-0000-000038040000}"/>
    <cellStyle name="Calculation 3 3 5 3 4" xfId="27448" xr:uid="{00000000-0005-0000-0000-000039040000}"/>
    <cellStyle name="Calculation 3 3 5 4" xfId="15855" xr:uid="{00000000-0005-0000-0000-00003A040000}"/>
    <cellStyle name="Calculation 3 3 5 5" xfId="23247" xr:uid="{00000000-0005-0000-0000-00003B040000}"/>
    <cellStyle name="Calculation 3 3 5 6" xfId="24468" xr:uid="{00000000-0005-0000-0000-00003C040000}"/>
    <cellStyle name="Calculation 3 3 6" xfId="5528" xr:uid="{00000000-0005-0000-0000-00003D040000}"/>
    <cellStyle name="Calculation 3 3 6 2" xfId="16425" xr:uid="{00000000-0005-0000-0000-00003E040000}"/>
    <cellStyle name="Calculation 3 3 6 3" xfId="23625" xr:uid="{00000000-0005-0000-0000-00003F040000}"/>
    <cellStyle name="Calculation 3 3 6 4" xfId="11275" xr:uid="{00000000-0005-0000-0000-000040040000}"/>
    <cellStyle name="Calculation 3 3 7" xfId="10236" xr:uid="{00000000-0005-0000-0000-000041040000}"/>
    <cellStyle name="Calculation 3 3 7 2" xfId="21133" xr:uid="{00000000-0005-0000-0000-000042040000}"/>
    <cellStyle name="Calculation 3 3 7 3" xfId="25263" xr:uid="{00000000-0005-0000-0000-000043040000}"/>
    <cellStyle name="Calculation 3 3 7 4" xfId="26780" xr:uid="{00000000-0005-0000-0000-000044040000}"/>
    <cellStyle name="Calculation 3 3 8" xfId="11530" xr:uid="{00000000-0005-0000-0000-000045040000}"/>
    <cellStyle name="Calculation 3 3 9" xfId="24168" xr:uid="{00000000-0005-0000-0000-000046040000}"/>
    <cellStyle name="Calculation 3 4" xfId="832" xr:uid="{00000000-0005-0000-0000-000047040000}"/>
    <cellStyle name="Calculation 3 4 2" xfId="1989" xr:uid="{00000000-0005-0000-0000-000048040000}"/>
    <cellStyle name="Calculation 3 4 2 2" xfId="4301" xr:uid="{00000000-0005-0000-0000-000049040000}"/>
    <cellStyle name="Calculation 3 4 2 2 2" xfId="9252" xr:uid="{00000000-0005-0000-0000-00004A040000}"/>
    <cellStyle name="Calculation 3 4 2 2 2 2" xfId="20149" xr:uid="{00000000-0005-0000-0000-00004B040000}"/>
    <cellStyle name="Calculation 3 4 2 2 2 3" xfId="24708" xr:uid="{00000000-0005-0000-0000-00004C040000}"/>
    <cellStyle name="Calculation 3 4 2 2 2 4" xfId="26326" xr:uid="{00000000-0005-0000-0000-00004D040000}"/>
    <cellStyle name="Calculation 3 4 2 2 3" xfId="10777" xr:uid="{00000000-0005-0000-0000-00004E040000}"/>
    <cellStyle name="Calculation 3 4 2 2 3 2" xfId="21674" xr:uid="{00000000-0005-0000-0000-00004F040000}"/>
    <cellStyle name="Calculation 3 4 2 2 3 3" xfId="25804" xr:uid="{00000000-0005-0000-0000-000050040000}"/>
    <cellStyle name="Calculation 3 4 2 2 3 4" xfId="27321" xr:uid="{00000000-0005-0000-0000-000051040000}"/>
    <cellStyle name="Calculation 3 4 2 2 4" xfId="15198" xr:uid="{00000000-0005-0000-0000-000052040000}"/>
    <cellStyle name="Calculation 3 4 2 2 5" xfId="23019" xr:uid="{00000000-0005-0000-0000-000053040000}"/>
    <cellStyle name="Calculation 3 4 2 2 6" xfId="22413" xr:uid="{00000000-0005-0000-0000-000054040000}"/>
    <cellStyle name="Calculation 3 4 2 3" xfId="5157" xr:uid="{00000000-0005-0000-0000-000055040000}"/>
    <cellStyle name="Calculation 3 4 2 3 2" xfId="10108" xr:uid="{00000000-0005-0000-0000-000056040000}"/>
    <cellStyle name="Calculation 3 4 2 3 2 2" xfId="21005" xr:uid="{00000000-0005-0000-0000-000057040000}"/>
    <cellStyle name="Calculation 3 4 2 3 2 3" xfId="25135" xr:uid="{00000000-0005-0000-0000-000058040000}"/>
    <cellStyle name="Calculation 3 4 2 3 2 4" xfId="26652" xr:uid="{00000000-0005-0000-0000-000059040000}"/>
    <cellStyle name="Calculation 3 4 2 3 3" xfId="11103" xr:uid="{00000000-0005-0000-0000-00005A040000}"/>
    <cellStyle name="Calculation 3 4 2 3 3 2" xfId="22000" xr:uid="{00000000-0005-0000-0000-00005B040000}"/>
    <cellStyle name="Calculation 3 4 2 3 3 3" xfId="26130" xr:uid="{00000000-0005-0000-0000-00005C040000}"/>
    <cellStyle name="Calculation 3 4 2 3 3 4" xfId="27647" xr:uid="{00000000-0005-0000-0000-00005D040000}"/>
    <cellStyle name="Calculation 3 4 2 3 4" xfId="16054" xr:uid="{00000000-0005-0000-0000-00005E040000}"/>
    <cellStyle name="Calculation 3 4 2 3 5" xfId="23446" xr:uid="{00000000-0005-0000-0000-00005F040000}"/>
    <cellStyle name="Calculation 3 4 2 3 6" xfId="24063" xr:uid="{00000000-0005-0000-0000-000060040000}"/>
    <cellStyle name="Calculation 3 4 2 4" xfId="6940" xr:uid="{00000000-0005-0000-0000-000061040000}"/>
    <cellStyle name="Calculation 3 4 2 4 2" xfId="17837" xr:uid="{00000000-0005-0000-0000-000062040000}"/>
    <cellStyle name="Calculation 3 4 2 4 3" xfId="24030" xr:uid="{00000000-0005-0000-0000-000063040000}"/>
    <cellStyle name="Calculation 3 4 2 4 4" xfId="22464" xr:uid="{00000000-0005-0000-0000-000064040000}"/>
    <cellStyle name="Calculation 3 4 2 5" xfId="10435" xr:uid="{00000000-0005-0000-0000-000065040000}"/>
    <cellStyle name="Calculation 3 4 2 5 2" xfId="21332" xr:uid="{00000000-0005-0000-0000-000066040000}"/>
    <cellStyle name="Calculation 3 4 2 5 3" xfId="25462" xr:uid="{00000000-0005-0000-0000-000067040000}"/>
    <cellStyle name="Calculation 3 4 2 5 4" xfId="26979" xr:uid="{00000000-0005-0000-0000-000068040000}"/>
    <cellStyle name="Calculation 3 4 2 6" xfId="12911" xr:uid="{00000000-0005-0000-0000-000069040000}"/>
    <cellStyle name="Calculation 3 4 2 7" xfId="24020" xr:uid="{00000000-0005-0000-0000-00006A040000}"/>
    <cellStyle name="Calculation 3 4 3" xfId="3156" xr:uid="{00000000-0005-0000-0000-00006B040000}"/>
    <cellStyle name="Calculation 3 4 3 2" xfId="8107" xr:uid="{00000000-0005-0000-0000-00006C040000}"/>
    <cellStyle name="Calculation 3 4 3 2 2" xfId="19004" xr:uid="{00000000-0005-0000-0000-00006D040000}"/>
    <cellStyle name="Calculation 3 4 3 2 3" xfId="24379" xr:uid="{00000000-0005-0000-0000-00006E040000}"/>
    <cellStyle name="Calculation 3 4 3 2 4" xfId="24846" xr:uid="{00000000-0005-0000-0000-00006F040000}"/>
    <cellStyle name="Calculation 3 4 3 3" xfId="10617" xr:uid="{00000000-0005-0000-0000-000070040000}"/>
    <cellStyle name="Calculation 3 4 3 3 2" xfId="21514" xr:uid="{00000000-0005-0000-0000-000071040000}"/>
    <cellStyle name="Calculation 3 4 3 3 3" xfId="25644" xr:uid="{00000000-0005-0000-0000-000072040000}"/>
    <cellStyle name="Calculation 3 4 3 3 4" xfId="27161" xr:uid="{00000000-0005-0000-0000-000073040000}"/>
    <cellStyle name="Calculation 3 4 3 4" xfId="14053" xr:uid="{00000000-0005-0000-0000-000074040000}"/>
    <cellStyle name="Calculation 3 4 3 5" xfId="22686" xr:uid="{00000000-0005-0000-0000-000075040000}"/>
    <cellStyle name="Calculation 3 4 3 6" xfId="23166" xr:uid="{00000000-0005-0000-0000-000076040000}"/>
    <cellStyle name="Calculation 3 4 4" xfId="4998" xr:uid="{00000000-0005-0000-0000-000077040000}"/>
    <cellStyle name="Calculation 3 4 4 2" xfId="9949" xr:uid="{00000000-0005-0000-0000-000078040000}"/>
    <cellStyle name="Calculation 3 4 4 2 2" xfId="20846" xr:uid="{00000000-0005-0000-0000-000079040000}"/>
    <cellStyle name="Calculation 3 4 4 2 3" xfId="24976" xr:uid="{00000000-0005-0000-0000-00007A040000}"/>
    <cellStyle name="Calculation 3 4 4 2 4" xfId="26493" xr:uid="{00000000-0005-0000-0000-00007B040000}"/>
    <cellStyle name="Calculation 3 4 4 3" xfId="10944" xr:uid="{00000000-0005-0000-0000-00007C040000}"/>
    <cellStyle name="Calculation 3 4 4 3 2" xfId="21841" xr:uid="{00000000-0005-0000-0000-00007D040000}"/>
    <cellStyle name="Calculation 3 4 4 3 3" xfId="25971" xr:uid="{00000000-0005-0000-0000-00007E040000}"/>
    <cellStyle name="Calculation 3 4 4 3 4" xfId="27488" xr:uid="{00000000-0005-0000-0000-00007F040000}"/>
    <cellStyle name="Calculation 3 4 4 4" xfId="15895" xr:uid="{00000000-0005-0000-0000-000080040000}"/>
    <cellStyle name="Calculation 3 4 4 5" xfId="23287" xr:uid="{00000000-0005-0000-0000-000081040000}"/>
    <cellStyle name="Calculation 3 4 4 6" xfId="23581" xr:uid="{00000000-0005-0000-0000-000082040000}"/>
    <cellStyle name="Calculation 3 4 5" xfId="5795" xr:uid="{00000000-0005-0000-0000-000083040000}"/>
    <cellStyle name="Calculation 3 4 5 2" xfId="16692" xr:uid="{00000000-0005-0000-0000-000084040000}"/>
    <cellStyle name="Calculation 3 4 5 3" xfId="23701" xr:uid="{00000000-0005-0000-0000-000085040000}"/>
    <cellStyle name="Calculation 3 4 5 4" xfId="24443" xr:uid="{00000000-0005-0000-0000-000086040000}"/>
    <cellStyle name="Calculation 3 4 6" xfId="10276" xr:uid="{00000000-0005-0000-0000-000087040000}"/>
    <cellStyle name="Calculation 3 4 6 2" xfId="21173" xr:uid="{00000000-0005-0000-0000-000088040000}"/>
    <cellStyle name="Calculation 3 4 6 3" xfId="25303" xr:uid="{00000000-0005-0000-0000-000089040000}"/>
    <cellStyle name="Calculation 3 4 6 4" xfId="26820" xr:uid="{00000000-0005-0000-0000-00008A040000}"/>
    <cellStyle name="Calculation 3 4 7" xfId="11793" xr:uid="{00000000-0005-0000-0000-00008B040000}"/>
    <cellStyle name="Calculation 3 4 8" xfId="22940" xr:uid="{00000000-0005-0000-0000-00008C040000}"/>
    <cellStyle name="Calculation 3 5" xfId="2621" xr:uid="{00000000-0005-0000-0000-00008D040000}"/>
    <cellStyle name="Calculation 3 5 2" xfId="7572" xr:uid="{00000000-0005-0000-0000-00008E040000}"/>
    <cellStyle name="Calculation 3 5 2 2" xfId="18469" xr:uid="{00000000-0005-0000-0000-00008F040000}"/>
    <cellStyle name="Calculation 3 5 2 3" xfId="24227" xr:uid="{00000000-0005-0000-0000-000090040000}"/>
    <cellStyle name="Calculation 3 5 2 4" xfId="23767" xr:uid="{00000000-0005-0000-0000-000091040000}"/>
    <cellStyle name="Calculation 3 5 3" xfId="10534" xr:uid="{00000000-0005-0000-0000-000092040000}"/>
    <cellStyle name="Calculation 3 5 3 2" xfId="21431" xr:uid="{00000000-0005-0000-0000-000093040000}"/>
    <cellStyle name="Calculation 3 5 3 3" xfId="25561" xr:uid="{00000000-0005-0000-0000-000094040000}"/>
    <cellStyle name="Calculation 3 5 3 4" xfId="27078" xr:uid="{00000000-0005-0000-0000-000095040000}"/>
    <cellStyle name="Calculation 3 5 4" xfId="13518" xr:uid="{00000000-0005-0000-0000-000096040000}"/>
    <cellStyle name="Calculation 3 5 5" xfId="22526" xr:uid="{00000000-0005-0000-0000-000097040000}"/>
    <cellStyle name="Calculation 3 5 6" xfId="24653" xr:uid="{00000000-0005-0000-0000-000098040000}"/>
    <cellStyle name="Calculation 3 6" xfId="2638" xr:uid="{00000000-0005-0000-0000-000099040000}"/>
    <cellStyle name="Calculation 3 6 2" xfId="7589" xr:uid="{00000000-0005-0000-0000-00009A040000}"/>
    <cellStyle name="Calculation 3 6 2 2" xfId="18486" xr:uid="{00000000-0005-0000-0000-00009B040000}"/>
    <cellStyle name="Calculation 3 6 2 3" xfId="24234" xr:uid="{00000000-0005-0000-0000-00009C040000}"/>
    <cellStyle name="Calculation 3 6 2 4" xfId="22827" xr:uid="{00000000-0005-0000-0000-00009D040000}"/>
    <cellStyle name="Calculation 3 6 3" xfId="10538" xr:uid="{00000000-0005-0000-0000-00009E040000}"/>
    <cellStyle name="Calculation 3 6 3 2" xfId="21435" xr:uid="{00000000-0005-0000-0000-00009F040000}"/>
    <cellStyle name="Calculation 3 6 3 3" xfId="25565" xr:uid="{00000000-0005-0000-0000-0000A0040000}"/>
    <cellStyle name="Calculation 3 6 3 4" xfId="27082" xr:uid="{00000000-0005-0000-0000-0000A1040000}"/>
    <cellStyle name="Calculation 3 6 4" xfId="13535" xr:uid="{00000000-0005-0000-0000-0000A2040000}"/>
    <cellStyle name="Calculation 3 6 5" xfId="22535" xr:uid="{00000000-0005-0000-0000-0000A3040000}"/>
    <cellStyle name="Calculation 3 6 6" xfId="22374" xr:uid="{00000000-0005-0000-0000-0000A4040000}"/>
    <cellStyle name="Calculation 3 7" xfId="5260" xr:uid="{00000000-0005-0000-0000-0000A5040000}"/>
    <cellStyle name="Calculation 3 7 2" xfId="16157" xr:uid="{00000000-0005-0000-0000-0000A6040000}"/>
    <cellStyle name="Calculation 3 7 3" xfId="23547" xr:uid="{00000000-0005-0000-0000-0000A7040000}"/>
    <cellStyle name="Calculation 3 7 4" xfId="22800" xr:uid="{00000000-0005-0000-0000-0000A8040000}"/>
    <cellStyle name="Calculation 3 8" xfId="6442" xr:uid="{00000000-0005-0000-0000-0000A9040000}"/>
    <cellStyle name="Calculation 3 8 2" xfId="17339" xr:uid="{00000000-0005-0000-0000-0000AA040000}"/>
    <cellStyle name="Calculation 3 8 3" xfId="23931" xr:uid="{00000000-0005-0000-0000-0000AB040000}"/>
    <cellStyle name="Calculation 3 8 4" xfId="22173" xr:uid="{00000000-0005-0000-0000-0000AC040000}"/>
    <cellStyle name="Calculation 3 9" xfId="11240" xr:uid="{00000000-0005-0000-0000-0000AD040000}"/>
    <cellStyle name="Calculation 4" xfId="157" xr:uid="{00000000-0005-0000-0000-0000AE040000}"/>
    <cellStyle name="Calculation 4 10" xfId="22798" xr:uid="{00000000-0005-0000-0000-0000AF040000}"/>
    <cellStyle name="Calculation 4 2" xfId="557" xr:uid="{00000000-0005-0000-0000-0000B0040000}"/>
    <cellStyle name="Calculation 4 2 10" xfId="22668" xr:uid="{00000000-0005-0000-0000-0000B1040000}"/>
    <cellStyle name="Calculation 4 2 2" xfId="822" xr:uid="{00000000-0005-0000-0000-0000B2040000}"/>
    <cellStyle name="Calculation 4 2 2 2" xfId="1354" xr:uid="{00000000-0005-0000-0000-0000B3040000}"/>
    <cellStyle name="Calculation 4 2 2 2 2" xfId="2511" xr:uid="{00000000-0005-0000-0000-0000B4040000}"/>
    <cellStyle name="Calculation 4 2 2 2 2 2" xfId="4823" xr:uid="{00000000-0005-0000-0000-0000B5040000}"/>
    <cellStyle name="Calculation 4 2 2 2 2 2 2" xfId="9774" xr:uid="{00000000-0005-0000-0000-0000B6040000}"/>
    <cellStyle name="Calculation 4 2 2 2 2 2 2 2" xfId="20671" xr:uid="{00000000-0005-0000-0000-0000B7040000}"/>
    <cellStyle name="Calculation 4 2 2 2 2 2 2 3" xfId="24860" xr:uid="{00000000-0005-0000-0000-0000B8040000}"/>
    <cellStyle name="Calculation 4 2 2 2 2 2 2 4" xfId="26402" xr:uid="{00000000-0005-0000-0000-0000B9040000}"/>
    <cellStyle name="Calculation 4 2 2 2 2 2 3" xfId="10853" xr:uid="{00000000-0005-0000-0000-0000BA040000}"/>
    <cellStyle name="Calculation 4 2 2 2 2 2 3 2" xfId="21750" xr:uid="{00000000-0005-0000-0000-0000BB040000}"/>
    <cellStyle name="Calculation 4 2 2 2 2 2 3 3" xfId="25880" xr:uid="{00000000-0005-0000-0000-0000BC040000}"/>
    <cellStyle name="Calculation 4 2 2 2 2 2 3 4" xfId="27397" xr:uid="{00000000-0005-0000-0000-0000BD040000}"/>
    <cellStyle name="Calculation 4 2 2 2 2 2 4" xfId="15720" xr:uid="{00000000-0005-0000-0000-0000BE040000}"/>
    <cellStyle name="Calculation 4 2 2 2 2 2 5" xfId="23174" xr:uid="{00000000-0005-0000-0000-0000BF040000}"/>
    <cellStyle name="Calculation 4 2 2 2 2 2 6" xfId="23635" xr:uid="{00000000-0005-0000-0000-0000C0040000}"/>
    <cellStyle name="Calculation 4 2 2 2 2 3" xfId="5233" xr:uid="{00000000-0005-0000-0000-0000C1040000}"/>
    <cellStyle name="Calculation 4 2 2 2 2 3 2" xfId="10184" xr:uid="{00000000-0005-0000-0000-0000C2040000}"/>
    <cellStyle name="Calculation 4 2 2 2 2 3 2 2" xfId="21081" xr:uid="{00000000-0005-0000-0000-0000C3040000}"/>
    <cellStyle name="Calculation 4 2 2 2 2 3 2 3" xfId="25211" xr:uid="{00000000-0005-0000-0000-0000C4040000}"/>
    <cellStyle name="Calculation 4 2 2 2 2 3 2 4" xfId="26728" xr:uid="{00000000-0005-0000-0000-0000C5040000}"/>
    <cellStyle name="Calculation 4 2 2 2 2 3 3" xfId="11179" xr:uid="{00000000-0005-0000-0000-0000C6040000}"/>
    <cellStyle name="Calculation 4 2 2 2 2 3 3 2" xfId="22076" xr:uid="{00000000-0005-0000-0000-0000C7040000}"/>
    <cellStyle name="Calculation 4 2 2 2 2 3 3 3" xfId="26206" xr:uid="{00000000-0005-0000-0000-0000C8040000}"/>
    <cellStyle name="Calculation 4 2 2 2 2 3 3 4" xfId="27723" xr:uid="{00000000-0005-0000-0000-0000C9040000}"/>
    <cellStyle name="Calculation 4 2 2 2 2 3 4" xfId="16130" xr:uid="{00000000-0005-0000-0000-0000CA040000}"/>
    <cellStyle name="Calculation 4 2 2 2 2 3 5" xfId="23522" xr:uid="{00000000-0005-0000-0000-0000CB040000}"/>
    <cellStyle name="Calculation 4 2 2 2 2 3 6" xfId="22947" xr:uid="{00000000-0005-0000-0000-0000CC040000}"/>
    <cellStyle name="Calculation 4 2 2 2 2 4" xfId="7462" xr:uid="{00000000-0005-0000-0000-0000CD040000}"/>
    <cellStyle name="Calculation 4 2 2 2 2 4 2" xfId="18359" xr:uid="{00000000-0005-0000-0000-0000CE040000}"/>
    <cellStyle name="Calculation 4 2 2 2 2 4 3" xfId="24182" xr:uid="{00000000-0005-0000-0000-0000CF040000}"/>
    <cellStyle name="Calculation 4 2 2 2 2 4 4" xfId="23927" xr:uid="{00000000-0005-0000-0000-0000D0040000}"/>
    <cellStyle name="Calculation 4 2 2 2 2 5" xfId="10511" xr:uid="{00000000-0005-0000-0000-0000D1040000}"/>
    <cellStyle name="Calculation 4 2 2 2 2 5 2" xfId="21408" xr:uid="{00000000-0005-0000-0000-0000D2040000}"/>
    <cellStyle name="Calculation 4 2 2 2 2 5 3" xfId="25538" xr:uid="{00000000-0005-0000-0000-0000D3040000}"/>
    <cellStyle name="Calculation 4 2 2 2 2 5 4" xfId="27055" xr:uid="{00000000-0005-0000-0000-0000D4040000}"/>
    <cellStyle name="Calculation 4 2 2 2 2 6" xfId="13422" xr:uid="{00000000-0005-0000-0000-0000D5040000}"/>
    <cellStyle name="Calculation 4 2 2 2 2 7" xfId="24854" xr:uid="{00000000-0005-0000-0000-0000D6040000}"/>
    <cellStyle name="Calculation 4 2 2 2 3" xfId="3678" xr:uid="{00000000-0005-0000-0000-0000D7040000}"/>
    <cellStyle name="Calculation 4 2 2 2 3 2" xfId="8629" xr:uid="{00000000-0005-0000-0000-0000D8040000}"/>
    <cellStyle name="Calculation 4 2 2 2 3 2 2" xfId="19526" xr:uid="{00000000-0005-0000-0000-0000D9040000}"/>
    <cellStyle name="Calculation 4 2 2 2 3 2 3" xfId="24524" xr:uid="{00000000-0005-0000-0000-0000DA040000}"/>
    <cellStyle name="Calculation 4 2 2 2 3 2 4" xfId="26242" xr:uid="{00000000-0005-0000-0000-0000DB040000}"/>
    <cellStyle name="Calculation 4 2 2 2 3 3" xfId="10693" xr:uid="{00000000-0005-0000-0000-0000DC040000}"/>
    <cellStyle name="Calculation 4 2 2 2 3 3 2" xfId="21590" xr:uid="{00000000-0005-0000-0000-0000DD040000}"/>
    <cellStyle name="Calculation 4 2 2 2 3 3 3" xfId="25720" xr:uid="{00000000-0005-0000-0000-0000DE040000}"/>
    <cellStyle name="Calculation 4 2 2 2 3 3 4" xfId="27237" xr:uid="{00000000-0005-0000-0000-0000DF040000}"/>
    <cellStyle name="Calculation 4 2 2 2 3 4" xfId="14575" xr:uid="{00000000-0005-0000-0000-0000E0040000}"/>
    <cellStyle name="Calculation 4 2 2 2 3 5" xfId="22836" xr:uid="{00000000-0005-0000-0000-0000E1040000}"/>
    <cellStyle name="Calculation 4 2 2 2 3 6" xfId="23946" xr:uid="{00000000-0005-0000-0000-0000E2040000}"/>
    <cellStyle name="Calculation 4 2 2 2 4" xfId="5074" xr:uid="{00000000-0005-0000-0000-0000E3040000}"/>
    <cellStyle name="Calculation 4 2 2 2 4 2" xfId="10025" xr:uid="{00000000-0005-0000-0000-0000E4040000}"/>
    <cellStyle name="Calculation 4 2 2 2 4 2 2" xfId="20922" xr:uid="{00000000-0005-0000-0000-0000E5040000}"/>
    <cellStyle name="Calculation 4 2 2 2 4 2 3" xfId="25052" xr:uid="{00000000-0005-0000-0000-0000E6040000}"/>
    <cellStyle name="Calculation 4 2 2 2 4 2 4" xfId="26569" xr:uid="{00000000-0005-0000-0000-0000E7040000}"/>
    <cellStyle name="Calculation 4 2 2 2 4 3" xfId="11020" xr:uid="{00000000-0005-0000-0000-0000E8040000}"/>
    <cellStyle name="Calculation 4 2 2 2 4 3 2" xfId="21917" xr:uid="{00000000-0005-0000-0000-0000E9040000}"/>
    <cellStyle name="Calculation 4 2 2 2 4 3 3" xfId="26047" xr:uid="{00000000-0005-0000-0000-0000EA040000}"/>
    <cellStyle name="Calculation 4 2 2 2 4 3 4" xfId="27564" xr:uid="{00000000-0005-0000-0000-0000EB040000}"/>
    <cellStyle name="Calculation 4 2 2 2 4 4" xfId="15971" xr:uid="{00000000-0005-0000-0000-0000EC040000}"/>
    <cellStyle name="Calculation 4 2 2 2 4 5" xfId="23363" xr:uid="{00000000-0005-0000-0000-0000ED040000}"/>
    <cellStyle name="Calculation 4 2 2 2 4 6" xfId="24414" xr:uid="{00000000-0005-0000-0000-0000EE040000}"/>
    <cellStyle name="Calculation 4 2 2 2 5" xfId="6317" xr:uid="{00000000-0005-0000-0000-0000EF040000}"/>
    <cellStyle name="Calculation 4 2 2 2 5 2" xfId="17214" xr:uid="{00000000-0005-0000-0000-0000F0040000}"/>
    <cellStyle name="Calculation 4 2 2 2 5 3" xfId="23849" xr:uid="{00000000-0005-0000-0000-0000F1040000}"/>
    <cellStyle name="Calculation 4 2 2 2 5 4" xfId="22911" xr:uid="{00000000-0005-0000-0000-0000F2040000}"/>
    <cellStyle name="Calculation 4 2 2 2 6" xfId="10352" xr:uid="{00000000-0005-0000-0000-0000F3040000}"/>
    <cellStyle name="Calculation 4 2 2 2 6 2" xfId="21249" xr:uid="{00000000-0005-0000-0000-0000F4040000}"/>
    <cellStyle name="Calculation 4 2 2 2 6 3" xfId="25379" xr:uid="{00000000-0005-0000-0000-0000F5040000}"/>
    <cellStyle name="Calculation 4 2 2 2 6 4" xfId="26896" xr:uid="{00000000-0005-0000-0000-0000F6040000}"/>
    <cellStyle name="Calculation 4 2 2 2 7" xfId="12304" xr:uid="{00000000-0005-0000-0000-0000F7040000}"/>
    <cellStyle name="Calculation 4 2 2 2 8" xfId="22498" xr:uid="{00000000-0005-0000-0000-0000F8040000}"/>
    <cellStyle name="Calculation 4 2 2 3" xfId="1415" xr:uid="{00000000-0005-0000-0000-0000F9040000}"/>
    <cellStyle name="Calculation 4 2 2 3 2" xfId="3739" xr:uid="{00000000-0005-0000-0000-0000FA040000}"/>
    <cellStyle name="Calculation 4 2 2 3 2 2" xfId="8690" xr:uid="{00000000-0005-0000-0000-0000FB040000}"/>
    <cellStyle name="Calculation 4 2 2 3 2 2 2" xfId="19587" xr:uid="{00000000-0005-0000-0000-0000FC040000}"/>
    <cellStyle name="Calculation 4 2 2 3 2 2 3" xfId="24584" xr:uid="{00000000-0005-0000-0000-0000FD040000}"/>
    <cellStyle name="Calculation 4 2 2 3 2 2 4" xfId="26302" xr:uid="{00000000-0005-0000-0000-0000FE040000}"/>
    <cellStyle name="Calculation 4 2 2 3 2 3" xfId="10753" xr:uid="{00000000-0005-0000-0000-0000FF040000}"/>
    <cellStyle name="Calculation 4 2 2 3 2 3 2" xfId="21650" xr:uid="{00000000-0005-0000-0000-000000050000}"/>
    <cellStyle name="Calculation 4 2 2 3 2 3 3" xfId="25780" xr:uid="{00000000-0005-0000-0000-000001050000}"/>
    <cellStyle name="Calculation 4 2 2 3 2 3 4" xfId="27297" xr:uid="{00000000-0005-0000-0000-000002050000}"/>
    <cellStyle name="Calculation 4 2 2 3 2 4" xfId="14636" xr:uid="{00000000-0005-0000-0000-000003050000}"/>
    <cellStyle name="Calculation 4 2 2 3 2 5" xfId="22896" xr:uid="{00000000-0005-0000-0000-000004050000}"/>
    <cellStyle name="Calculation 4 2 2 3 2 6" xfId="24262" xr:uid="{00000000-0005-0000-0000-000005050000}"/>
    <cellStyle name="Calculation 4 2 2 3 3" xfId="5134" xr:uid="{00000000-0005-0000-0000-000006050000}"/>
    <cellStyle name="Calculation 4 2 2 3 3 2" xfId="10085" xr:uid="{00000000-0005-0000-0000-000007050000}"/>
    <cellStyle name="Calculation 4 2 2 3 3 2 2" xfId="20982" xr:uid="{00000000-0005-0000-0000-000008050000}"/>
    <cellStyle name="Calculation 4 2 2 3 3 2 3" xfId="25112" xr:uid="{00000000-0005-0000-0000-000009050000}"/>
    <cellStyle name="Calculation 4 2 2 3 3 2 4" xfId="26629" xr:uid="{00000000-0005-0000-0000-00000A050000}"/>
    <cellStyle name="Calculation 4 2 2 3 3 3" xfId="11080" xr:uid="{00000000-0005-0000-0000-00000B050000}"/>
    <cellStyle name="Calculation 4 2 2 3 3 3 2" xfId="21977" xr:uid="{00000000-0005-0000-0000-00000C050000}"/>
    <cellStyle name="Calculation 4 2 2 3 3 3 3" xfId="26107" xr:uid="{00000000-0005-0000-0000-00000D050000}"/>
    <cellStyle name="Calculation 4 2 2 3 3 3 4" xfId="27624" xr:uid="{00000000-0005-0000-0000-00000E050000}"/>
    <cellStyle name="Calculation 4 2 2 3 3 4" xfId="16031" xr:uid="{00000000-0005-0000-0000-00000F050000}"/>
    <cellStyle name="Calculation 4 2 2 3 3 5" xfId="23423" xr:uid="{00000000-0005-0000-0000-000010050000}"/>
    <cellStyle name="Calculation 4 2 2 3 3 6" xfId="24215" xr:uid="{00000000-0005-0000-0000-000011050000}"/>
    <cellStyle name="Calculation 4 2 2 3 4" xfId="6378" xr:uid="{00000000-0005-0000-0000-000012050000}"/>
    <cellStyle name="Calculation 4 2 2 3 4 2" xfId="17275" xr:uid="{00000000-0005-0000-0000-000013050000}"/>
    <cellStyle name="Calculation 4 2 2 3 4 3" xfId="23909" xr:uid="{00000000-0005-0000-0000-000014050000}"/>
    <cellStyle name="Calculation 4 2 2 3 4 4" xfId="23655" xr:uid="{00000000-0005-0000-0000-000015050000}"/>
    <cellStyle name="Calculation 4 2 2 3 5" xfId="10412" xr:uid="{00000000-0005-0000-0000-000016050000}"/>
    <cellStyle name="Calculation 4 2 2 3 5 2" xfId="21309" xr:uid="{00000000-0005-0000-0000-000017050000}"/>
    <cellStyle name="Calculation 4 2 2 3 5 3" xfId="25439" xr:uid="{00000000-0005-0000-0000-000018050000}"/>
    <cellStyle name="Calculation 4 2 2 3 5 4" xfId="26956" xr:uid="{00000000-0005-0000-0000-000019050000}"/>
    <cellStyle name="Calculation 4 2 2 3 6" xfId="12355" xr:uid="{00000000-0005-0000-0000-00001A050000}"/>
    <cellStyle name="Calculation 4 2 2 3 7" xfId="24027" xr:uid="{00000000-0005-0000-0000-00001B050000}"/>
    <cellStyle name="Calculation 4 2 2 4" xfId="3146" xr:uid="{00000000-0005-0000-0000-00001C050000}"/>
    <cellStyle name="Calculation 4 2 2 4 2" xfId="8097" xr:uid="{00000000-0005-0000-0000-00001D050000}"/>
    <cellStyle name="Calculation 4 2 2 4 2 2" xfId="18994" xr:uid="{00000000-0005-0000-0000-00001E050000}"/>
    <cellStyle name="Calculation 4 2 2 4 2 3" xfId="24373" xr:uid="{00000000-0005-0000-0000-00001F050000}"/>
    <cellStyle name="Calculation 4 2 2 4 2 4" xfId="24363" xr:uid="{00000000-0005-0000-0000-000020050000}"/>
    <cellStyle name="Calculation 4 2 2 4 3" xfId="10613" xr:uid="{00000000-0005-0000-0000-000021050000}"/>
    <cellStyle name="Calculation 4 2 2 4 3 2" xfId="21510" xr:uid="{00000000-0005-0000-0000-000022050000}"/>
    <cellStyle name="Calculation 4 2 2 4 3 3" xfId="25640" xr:uid="{00000000-0005-0000-0000-000023050000}"/>
    <cellStyle name="Calculation 4 2 2 4 3 4" xfId="27157" xr:uid="{00000000-0005-0000-0000-000024050000}"/>
    <cellStyle name="Calculation 4 2 2 4 4" xfId="14043" xr:uid="{00000000-0005-0000-0000-000025050000}"/>
    <cellStyle name="Calculation 4 2 2 4 5" xfId="22680" xr:uid="{00000000-0005-0000-0000-000026050000}"/>
    <cellStyle name="Calculation 4 2 2 4 6" xfId="22672" xr:uid="{00000000-0005-0000-0000-000027050000}"/>
    <cellStyle name="Calculation 4 2 2 5" xfId="4994" xr:uid="{00000000-0005-0000-0000-000028050000}"/>
    <cellStyle name="Calculation 4 2 2 5 2" xfId="9945" xr:uid="{00000000-0005-0000-0000-000029050000}"/>
    <cellStyle name="Calculation 4 2 2 5 2 2" xfId="20842" xr:uid="{00000000-0005-0000-0000-00002A050000}"/>
    <cellStyle name="Calculation 4 2 2 5 2 3" xfId="24972" xr:uid="{00000000-0005-0000-0000-00002B050000}"/>
    <cellStyle name="Calculation 4 2 2 5 2 4" xfId="26489" xr:uid="{00000000-0005-0000-0000-00002C050000}"/>
    <cellStyle name="Calculation 4 2 2 5 3" xfId="10940" xr:uid="{00000000-0005-0000-0000-00002D050000}"/>
    <cellStyle name="Calculation 4 2 2 5 3 2" xfId="21837" xr:uid="{00000000-0005-0000-0000-00002E050000}"/>
    <cellStyle name="Calculation 4 2 2 5 3 3" xfId="25967" xr:uid="{00000000-0005-0000-0000-00002F050000}"/>
    <cellStyle name="Calculation 4 2 2 5 3 4" xfId="27484" xr:uid="{00000000-0005-0000-0000-000030050000}"/>
    <cellStyle name="Calculation 4 2 2 5 4" xfId="15891" xr:uid="{00000000-0005-0000-0000-000031050000}"/>
    <cellStyle name="Calculation 4 2 2 5 5" xfId="23283" xr:uid="{00000000-0005-0000-0000-000032050000}"/>
    <cellStyle name="Calculation 4 2 2 5 6" xfId="22453" xr:uid="{00000000-0005-0000-0000-000033050000}"/>
    <cellStyle name="Calculation 4 2 2 6" xfId="5785" xr:uid="{00000000-0005-0000-0000-000034050000}"/>
    <cellStyle name="Calculation 4 2 2 6 2" xfId="16682" xr:uid="{00000000-0005-0000-0000-000035050000}"/>
    <cellStyle name="Calculation 4 2 2 6 3" xfId="23695" xr:uid="{00000000-0005-0000-0000-000036050000}"/>
    <cellStyle name="Calculation 4 2 2 6 4" xfId="22224" xr:uid="{00000000-0005-0000-0000-000037050000}"/>
    <cellStyle name="Calculation 4 2 2 7" xfId="10272" xr:uid="{00000000-0005-0000-0000-000038050000}"/>
    <cellStyle name="Calculation 4 2 2 7 2" xfId="21169" xr:uid="{00000000-0005-0000-0000-000039050000}"/>
    <cellStyle name="Calculation 4 2 2 7 3" xfId="25299" xr:uid="{00000000-0005-0000-0000-00003A050000}"/>
    <cellStyle name="Calculation 4 2 2 7 4" xfId="26816" xr:uid="{00000000-0005-0000-0000-00003B050000}"/>
    <cellStyle name="Calculation 4 2 2 8" xfId="11783" xr:uid="{00000000-0005-0000-0000-00003C050000}"/>
    <cellStyle name="Calculation 4 2 2 9" xfId="22452" xr:uid="{00000000-0005-0000-0000-00003D050000}"/>
    <cellStyle name="Calculation 4 2 3" xfId="1089" xr:uid="{00000000-0005-0000-0000-00003E050000}"/>
    <cellStyle name="Calculation 4 2 3 2" xfId="2246" xr:uid="{00000000-0005-0000-0000-00003F050000}"/>
    <cellStyle name="Calculation 4 2 3 2 2" xfId="4558" xr:uid="{00000000-0005-0000-0000-000040050000}"/>
    <cellStyle name="Calculation 4 2 3 2 2 2" xfId="9509" xr:uid="{00000000-0005-0000-0000-000041050000}"/>
    <cellStyle name="Calculation 4 2 3 2 2 2 2" xfId="20406" xr:uid="{00000000-0005-0000-0000-000042050000}"/>
    <cellStyle name="Calculation 4 2 3 2 2 2 3" xfId="24775" xr:uid="{00000000-0005-0000-0000-000043050000}"/>
    <cellStyle name="Calculation 4 2 3 2 2 2 4" xfId="26362" xr:uid="{00000000-0005-0000-0000-000044050000}"/>
    <cellStyle name="Calculation 4 2 3 2 2 3" xfId="10813" xr:uid="{00000000-0005-0000-0000-000045050000}"/>
    <cellStyle name="Calculation 4 2 3 2 2 3 2" xfId="21710" xr:uid="{00000000-0005-0000-0000-000046050000}"/>
    <cellStyle name="Calculation 4 2 3 2 2 3 3" xfId="25840" xr:uid="{00000000-0005-0000-0000-000047050000}"/>
    <cellStyle name="Calculation 4 2 3 2 2 3 4" xfId="27357" xr:uid="{00000000-0005-0000-0000-000048050000}"/>
    <cellStyle name="Calculation 4 2 3 2 2 4" xfId="15455" xr:uid="{00000000-0005-0000-0000-000049050000}"/>
    <cellStyle name="Calculation 4 2 3 2 2 5" xfId="23088" xr:uid="{00000000-0005-0000-0000-00004A050000}"/>
    <cellStyle name="Calculation 4 2 3 2 2 6" xfId="22441" xr:uid="{00000000-0005-0000-0000-00004B050000}"/>
    <cellStyle name="Calculation 4 2 3 2 3" xfId="5193" xr:uid="{00000000-0005-0000-0000-00004C050000}"/>
    <cellStyle name="Calculation 4 2 3 2 3 2" xfId="10144" xr:uid="{00000000-0005-0000-0000-00004D050000}"/>
    <cellStyle name="Calculation 4 2 3 2 3 2 2" xfId="21041" xr:uid="{00000000-0005-0000-0000-00004E050000}"/>
    <cellStyle name="Calculation 4 2 3 2 3 2 3" xfId="25171" xr:uid="{00000000-0005-0000-0000-00004F050000}"/>
    <cellStyle name="Calculation 4 2 3 2 3 2 4" xfId="26688" xr:uid="{00000000-0005-0000-0000-000050050000}"/>
    <cellStyle name="Calculation 4 2 3 2 3 3" xfId="11139" xr:uid="{00000000-0005-0000-0000-000051050000}"/>
    <cellStyle name="Calculation 4 2 3 2 3 3 2" xfId="22036" xr:uid="{00000000-0005-0000-0000-000052050000}"/>
    <cellStyle name="Calculation 4 2 3 2 3 3 3" xfId="26166" xr:uid="{00000000-0005-0000-0000-000053050000}"/>
    <cellStyle name="Calculation 4 2 3 2 3 3 4" xfId="27683" xr:uid="{00000000-0005-0000-0000-000054050000}"/>
    <cellStyle name="Calculation 4 2 3 2 3 4" xfId="16090" xr:uid="{00000000-0005-0000-0000-000055050000}"/>
    <cellStyle name="Calculation 4 2 3 2 3 5" xfId="23482" xr:uid="{00000000-0005-0000-0000-000056050000}"/>
    <cellStyle name="Calculation 4 2 3 2 3 6" xfId="23693" xr:uid="{00000000-0005-0000-0000-000057050000}"/>
    <cellStyle name="Calculation 4 2 3 2 4" xfId="7197" xr:uid="{00000000-0005-0000-0000-000058050000}"/>
    <cellStyle name="Calculation 4 2 3 2 4 2" xfId="18094" xr:uid="{00000000-0005-0000-0000-000059050000}"/>
    <cellStyle name="Calculation 4 2 3 2 4 3" xfId="24101" xr:uid="{00000000-0005-0000-0000-00005A050000}"/>
    <cellStyle name="Calculation 4 2 3 2 4 4" xfId="22246" xr:uid="{00000000-0005-0000-0000-00005B050000}"/>
    <cellStyle name="Calculation 4 2 3 2 5" xfId="10471" xr:uid="{00000000-0005-0000-0000-00005C050000}"/>
    <cellStyle name="Calculation 4 2 3 2 5 2" xfId="21368" xr:uid="{00000000-0005-0000-0000-00005D050000}"/>
    <cellStyle name="Calculation 4 2 3 2 5 3" xfId="25498" xr:uid="{00000000-0005-0000-0000-00005E050000}"/>
    <cellStyle name="Calculation 4 2 3 2 5 4" xfId="27015" xr:uid="{00000000-0005-0000-0000-00005F050000}"/>
    <cellStyle name="Calculation 4 2 3 2 6" xfId="13163" xr:uid="{00000000-0005-0000-0000-000060050000}"/>
    <cellStyle name="Calculation 4 2 3 2 7" xfId="24019" xr:uid="{00000000-0005-0000-0000-000061050000}"/>
    <cellStyle name="Calculation 4 2 3 3" xfId="3413" xr:uid="{00000000-0005-0000-0000-000062050000}"/>
    <cellStyle name="Calculation 4 2 3 3 2" xfId="8364" xr:uid="{00000000-0005-0000-0000-000063050000}"/>
    <cellStyle name="Calculation 4 2 3 3 2 2" xfId="19261" xr:uid="{00000000-0005-0000-0000-000064050000}"/>
    <cellStyle name="Calculation 4 2 3 3 2 3" xfId="24451" xr:uid="{00000000-0005-0000-0000-000065050000}"/>
    <cellStyle name="Calculation 4 2 3 3 2 4" xfId="12387" xr:uid="{00000000-0005-0000-0000-000066050000}"/>
    <cellStyle name="Calculation 4 2 3 3 3" xfId="10653" xr:uid="{00000000-0005-0000-0000-000067050000}"/>
    <cellStyle name="Calculation 4 2 3 3 3 2" xfId="21550" xr:uid="{00000000-0005-0000-0000-000068050000}"/>
    <cellStyle name="Calculation 4 2 3 3 3 3" xfId="25680" xr:uid="{00000000-0005-0000-0000-000069050000}"/>
    <cellStyle name="Calculation 4 2 3 3 3 4" xfId="27197" xr:uid="{00000000-0005-0000-0000-00006A050000}"/>
    <cellStyle name="Calculation 4 2 3 3 4" xfId="14310" xr:uid="{00000000-0005-0000-0000-00006B050000}"/>
    <cellStyle name="Calculation 4 2 3 3 5" xfId="22760" xr:uid="{00000000-0005-0000-0000-00006C050000}"/>
    <cellStyle name="Calculation 4 2 3 3 6" xfId="22468" xr:uid="{00000000-0005-0000-0000-00006D050000}"/>
    <cellStyle name="Calculation 4 2 3 4" xfId="5034" xr:uid="{00000000-0005-0000-0000-00006E050000}"/>
    <cellStyle name="Calculation 4 2 3 4 2" xfId="9985" xr:uid="{00000000-0005-0000-0000-00006F050000}"/>
    <cellStyle name="Calculation 4 2 3 4 2 2" xfId="20882" xr:uid="{00000000-0005-0000-0000-000070050000}"/>
    <cellStyle name="Calculation 4 2 3 4 2 3" xfId="25012" xr:uid="{00000000-0005-0000-0000-000071050000}"/>
    <cellStyle name="Calculation 4 2 3 4 2 4" xfId="26529" xr:uid="{00000000-0005-0000-0000-000072050000}"/>
    <cellStyle name="Calculation 4 2 3 4 3" xfId="10980" xr:uid="{00000000-0005-0000-0000-000073050000}"/>
    <cellStyle name="Calculation 4 2 3 4 3 2" xfId="21877" xr:uid="{00000000-0005-0000-0000-000074050000}"/>
    <cellStyle name="Calculation 4 2 3 4 3 3" xfId="26007" xr:uid="{00000000-0005-0000-0000-000075050000}"/>
    <cellStyle name="Calculation 4 2 3 4 3 4" xfId="27524" xr:uid="{00000000-0005-0000-0000-000076050000}"/>
    <cellStyle name="Calculation 4 2 3 4 4" xfId="15931" xr:uid="{00000000-0005-0000-0000-000077050000}"/>
    <cellStyle name="Calculation 4 2 3 4 5" xfId="23323" xr:uid="{00000000-0005-0000-0000-000078050000}"/>
    <cellStyle name="Calculation 4 2 3 4 6" xfId="22965" xr:uid="{00000000-0005-0000-0000-000079050000}"/>
    <cellStyle name="Calculation 4 2 3 5" xfId="6052" xr:uid="{00000000-0005-0000-0000-00007A050000}"/>
    <cellStyle name="Calculation 4 2 3 5 2" xfId="16949" xr:uid="{00000000-0005-0000-0000-00007B050000}"/>
    <cellStyle name="Calculation 4 2 3 5 3" xfId="23776" xr:uid="{00000000-0005-0000-0000-00007C050000}"/>
    <cellStyle name="Calculation 4 2 3 5 4" xfId="22964" xr:uid="{00000000-0005-0000-0000-00007D050000}"/>
    <cellStyle name="Calculation 4 2 3 6" xfId="10312" xr:uid="{00000000-0005-0000-0000-00007E050000}"/>
    <cellStyle name="Calculation 4 2 3 6 2" xfId="21209" xr:uid="{00000000-0005-0000-0000-00007F050000}"/>
    <cellStyle name="Calculation 4 2 3 6 3" xfId="25339" xr:uid="{00000000-0005-0000-0000-000080050000}"/>
    <cellStyle name="Calculation 4 2 3 6 4" xfId="26856" xr:uid="{00000000-0005-0000-0000-000081050000}"/>
    <cellStyle name="Calculation 4 2 3 7" xfId="12045" xr:uid="{00000000-0005-0000-0000-000082050000}"/>
    <cellStyle name="Calculation 4 2 3 8" xfId="22516" xr:uid="{00000000-0005-0000-0000-000083050000}"/>
    <cellStyle name="Calculation 4 2 4" xfId="1375" xr:uid="{00000000-0005-0000-0000-000084050000}"/>
    <cellStyle name="Calculation 4 2 4 2" xfId="3699" xr:uid="{00000000-0005-0000-0000-000085050000}"/>
    <cellStyle name="Calculation 4 2 4 2 2" xfId="8650" xr:uid="{00000000-0005-0000-0000-000086050000}"/>
    <cellStyle name="Calculation 4 2 4 2 2 2" xfId="19547" xr:uid="{00000000-0005-0000-0000-000087050000}"/>
    <cellStyle name="Calculation 4 2 4 2 2 3" xfId="24544" xr:uid="{00000000-0005-0000-0000-000088050000}"/>
    <cellStyle name="Calculation 4 2 4 2 2 4" xfId="26262" xr:uid="{00000000-0005-0000-0000-000089050000}"/>
    <cellStyle name="Calculation 4 2 4 2 3" xfId="10713" xr:uid="{00000000-0005-0000-0000-00008A050000}"/>
    <cellStyle name="Calculation 4 2 4 2 3 2" xfId="21610" xr:uid="{00000000-0005-0000-0000-00008B050000}"/>
    <cellStyle name="Calculation 4 2 4 2 3 3" xfId="25740" xr:uid="{00000000-0005-0000-0000-00008C050000}"/>
    <cellStyle name="Calculation 4 2 4 2 3 4" xfId="27257" xr:uid="{00000000-0005-0000-0000-00008D050000}"/>
    <cellStyle name="Calculation 4 2 4 2 4" xfId="14596" xr:uid="{00000000-0005-0000-0000-00008E050000}"/>
    <cellStyle name="Calculation 4 2 4 2 5" xfId="22856" xr:uid="{00000000-0005-0000-0000-00008F050000}"/>
    <cellStyle name="Calculation 4 2 4 2 6" xfId="22779" xr:uid="{00000000-0005-0000-0000-000090050000}"/>
    <cellStyle name="Calculation 4 2 4 3" xfId="5094" xr:uid="{00000000-0005-0000-0000-000091050000}"/>
    <cellStyle name="Calculation 4 2 4 3 2" xfId="10045" xr:uid="{00000000-0005-0000-0000-000092050000}"/>
    <cellStyle name="Calculation 4 2 4 3 2 2" xfId="20942" xr:uid="{00000000-0005-0000-0000-000093050000}"/>
    <cellStyle name="Calculation 4 2 4 3 2 3" xfId="25072" xr:uid="{00000000-0005-0000-0000-000094050000}"/>
    <cellStyle name="Calculation 4 2 4 3 2 4" xfId="26589" xr:uid="{00000000-0005-0000-0000-000095050000}"/>
    <cellStyle name="Calculation 4 2 4 3 3" xfId="11040" xr:uid="{00000000-0005-0000-0000-000096050000}"/>
    <cellStyle name="Calculation 4 2 4 3 3 2" xfId="21937" xr:uid="{00000000-0005-0000-0000-000097050000}"/>
    <cellStyle name="Calculation 4 2 4 3 3 3" xfId="26067" xr:uid="{00000000-0005-0000-0000-000098050000}"/>
    <cellStyle name="Calculation 4 2 4 3 3 4" xfId="27584" xr:uid="{00000000-0005-0000-0000-000099050000}"/>
    <cellStyle name="Calculation 4 2 4 3 4" xfId="15991" xr:uid="{00000000-0005-0000-0000-00009A050000}"/>
    <cellStyle name="Calculation 4 2 4 3 5" xfId="23383" xr:uid="{00000000-0005-0000-0000-00009B050000}"/>
    <cellStyle name="Calculation 4 2 4 3 6" xfId="22445" xr:uid="{00000000-0005-0000-0000-00009C050000}"/>
    <cellStyle name="Calculation 4 2 4 4" xfId="6338" xr:uid="{00000000-0005-0000-0000-00009D050000}"/>
    <cellStyle name="Calculation 4 2 4 4 2" xfId="17235" xr:uid="{00000000-0005-0000-0000-00009E050000}"/>
    <cellStyle name="Calculation 4 2 4 4 3" xfId="23869" xr:uid="{00000000-0005-0000-0000-00009F050000}"/>
    <cellStyle name="Calculation 4 2 4 4 4" xfId="22272" xr:uid="{00000000-0005-0000-0000-0000A0050000}"/>
    <cellStyle name="Calculation 4 2 4 5" xfId="10372" xr:uid="{00000000-0005-0000-0000-0000A1050000}"/>
    <cellStyle name="Calculation 4 2 4 5 2" xfId="21269" xr:uid="{00000000-0005-0000-0000-0000A2050000}"/>
    <cellStyle name="Calculation 4 2 4 5 3" xfId="25399" xr:uid="{00000000-0005-0000-0000-0000A3050000}"/>
    <cellStyle name="Calculation 4 2 4 5 4" xfId="26916" xr:uid="{00000000-0005-0000-0000-0000A4050000}"/>
    <cellStyle name="Calculation 4 2 4 6" xfId="12323" xr:uid="{00000000-0005-0000-0000-0000A5050000}"/>
    <cellStyle name="Calculation 4 2 4 7" xfId="24201" xr:uid="{00000000-0005-0000-0000-0000A6050000}"/>
    <cellStyle name="Calculation 4 2 5" xfId="2881" xr:uid="{00000000-0005-0000-0000-0000A7050000}"/>
    <cellStyle name="Calculation 4 2 5 2" xfId="7832" xr:uid="{00000000-0005-0000-0000-0000A8050000}"/>
    <cellStyle name="Calculation 4 2 5 2 2" xfId="18729" xr:uid="{00000000-0005-0000-0000-0000A9050000}"/>
    <cellStyle name="Calculation 4 2 5 2 3" xfId="24300" xr:uid="{00000000-0005-0000-0000-0000AA050000}"/>
    <cellStyle name="Calculation 4 2 5 2 4" xfId="23768" xr:uid="{00000000-0005-0000-0000-0000AB050000}"/>
    <cellStyle name="Calculation 4 2 5 3" xfId="10573" xr:uid="{00000000-0005-0000-0000-0000AC050000}"/>
    <cellStyle name="Calculation 4 2 5 3 2" xfId="21470" xr:uid="{00000000-0005-0000-0000-0000AD050000}"/>
    <cellStyle name="Calculation 4 2 5 3 3" xfId="25600" xr:uid="{00000000-0005-0000-0000-0000AE050000}"/>
    <cellStyle name="Calculation 4 2 5 3 4" xfId="27117" xr:uid="{00000000-0005-0000-0000-0000AF050000}"/>
    <cellStyle name="Calculation 4 2 5 4" xfId="13778" xr:uid="{00000000-0005-0000-0000-0000B0050000}"/>
    <cellStyle name="Calculation 4 2 5 5" xfId="22602" xr:uid="{00000000-0005-0000-0000-0000B1050000}"/>
    <cellStyle name="Calculation 4 2 5 6" xfId="24447" xr:uid="{00000000-0005-0000-0000-0000B2050000}"/>
    <cellStyle name="Calculation 4 2 6" xfId="4954" xr:uid="{00000000-0005-0000-0000-0000B3050000}"/>
    <cellStyle name="Calculation 4 2 6 2" xfId="9905" xr:uid="{00000000-0005-0000-0000-0000B4050000}"/>
    <cellStyle name="Calculation 4 2 6 2 2" xfId="20802" xr:uid="{00000000-0005-0000-0000-0000B5050000}"/>
    <cellStyle name="Calculation 4 2 6 2 3" xfId="24932" xr:uid="{00000000-0005-0000-0000-0000B6050000}"/>
    <cellStyle name="Calculation 4 2 6 2 4" xfId="26449" xr:uid="{00000000-0005-0000-0000-0000B7050000}"/>
    <cellStyle name="Calculation 4 2 6 3" xfId="10900" xr:uid="{00000000-0005-0000-0000-0000B8050000}"/>
    <cellStyle name="Calculation 4 2 6 3 2" xfId="21797" xr:uid="{00000000-0005-0000-0000-0000B9050000}"/>
    <cellStyle name="Calculation 4 2 6 3 3" xfId="25927" xr:uid="{00000000-0005-0000-0000-0000BA050000}"/>
    <cellStyle name="Calculation 4 2 6 3 4" xfId="27444" xr:uid="{00000000-0005-0000-0000-0000BB050000}"/>
    <cellStyle name="Calculation 4 2 6 4" xfId="15851" xr:uid="{00000000-0005-0000-0000-0000BC050000}"/>
    <cellStyle name="Calculation 4 2 6 5" xfId="23243" xr:uid="{00000000-0005-0000-0000-0000BD050000}"/>
    <cellStyle name="Calculation 4 2 6 6" xfId="24665" xr:uid="{00000000-0005-0000-0000-0000BE050000}"/>
    <cellStyle name="Calculation 4 2 7" xfId="5520" xr:uid="{00000000-0005-0000-0000-0000BF050000}"/>
    <cellStyle name="Calculation 4 2 7 2" xfId="16417" xr:uid="{00000000-0005-0000-0000-0000C0050000}"/>
    <cellStyle name="Calculation 4 2 7 3" xfId="23620" xr:uid="{00000000-0005-0000-0000-0000C1050000}"/>
    <cellStyle name="Calculation 4 2 7 4" xfId="24172" xr:uid="{00000000-0005-0000-0000-0000C2050000}"/>
    <cellStyle name="Calculation 4 2 8" xfId="10232" xr:uid="{00000000-0005-0000-0000-0000C3050000}"/>
    <cellStyle name="Calculation 4 2 8 2" xfId="21129" xr:uid="{00000000-0005-0000-0000-0000C4050000}"/>
    <cellStyle name="Calculation 4 2 8 3" xfId="25259" xr:uid="{00000000-0005-0000-0000-0000C5050000}"/>
    <cellStyle name="Calculation 4 2 8 4" xfId="26776" xr:uid="{00000000-0005-0000-0000-0000C6050000}"/>
    <cellStyle name="Calculation 4 2 9" xfId="11522" xr:uid="{00000000-0005-0000-0000-0000C7050000}"/>
    <cellStyle name="Calculation 4 3" xfId="566" xr:uid="{00000000-0005-0000-0000-0000C8050000}"/>
    <cellStyle name="Calculation 4 3 2" xfId="1098" xr:uid="{00000000-0005-0000-0000-0000C9050000}"/>
    <cellStyle name="Calculation 4 3 2 2" xfId="2255" xr:uid="{00000000-0005-0000-0000-0000CA050000}"/>
    <cellStyle name="Calculation 4 3 2 2 2" xfId="4567" xr:uid="{00000000-0005-0000-0000-0000CB050000}"/>
    <cellStyle name="Calculation 4 3 2 2 2 2" xfId="9518" xr:uid="{00000000-0005-0000-0000-0000CC050000}"/>
    <cellStyle name="Calculation 4 3 2 2 2 2 2" xfId="20415" xr:uid="{00000000-0005-0000-0000-0000CD050000}"/>
    <cellStyle name="Calculation 4 3 2 2 2 2 3" xfId="24782" xr:uid="{00000000-0005-0000-0000-0000CE050000}"/>
    <cellStyle name="Calculation 4 3 2 2 2 2 4" xfId="26367" xr:uid="{00000000-0005-0000-0000-0000CF050000}"/>
    <cellStyle name="Calculation 4 3 2 2 2 3" xfId="10818" xr:uid="{00000000-0005-0000-0000-0000D0050000}"/>
    <cellStyle name="Calculation 4 3 2 2 2 3 2" xfId="21715" xr:uid="{00000000-0005-0000-0000-0000D1050000}"/>
    <cellStyle name="Calculation 4 3 2 2 2 3 3" xfId="25845" xr:uid="{00000000-0005-0000-0000-0000D2050000}"/>
    <cellStyle name="Calculation 4 3 2 2 2 3 4" xfId="27362" xr:uid="{00000000-0005-0000-0000-0000D3050000}"/>
    <cellStyle name="Calculation 4 3 2 2 2 4" xfId="15464" xr:uid="{00000000-0005-0000-0000-0000D4050000}"/>
    <cellStyle name="Calculation 4 3 2 2 2 5" xfId="23094" xr:uid="{00000000-0005-0000-0000-0000D5050000}"/>
    <cellStyle name="Calculation 4 3 2 2 2 6" xfId="22335" xr:uid="{00000000-0005-0000-0000-0000D6050000}"/>
    <cellStyle name="Calculation 4 3 2 2 3" xfId="5198" xr:uid="{00000000-0005-0000-0000-0000D7050000}"/>
    <cellStyle name="Calculation 4 3 2 2 3 2" xfId="10149" xr:uid="{00000000-0005-0000-0000-0000D8050000}"/>
    <cellStyle name="Calculation 4 3 2 2 3 2 2" xfId="21046" xr:uid="{00000000-0005-0000-0000-0000D9050000}"/>
    <cellStyle name="Calculation 4 3 2 2 3 2 3" xfId="25176" xr:uid="{00000000-0005-0000-0000-0000DA050000}"/>
    <cellStyle name="Calculation 4 3 2 2 3 2 4" xfId="26693" xr:uid="{00000000-0005-0000-0000-0000DB050000}"/>
    <cellStyle name="Calculation 4 3 2 2 3 3" xfId="11144" xr:uid="{00000000-0005-0000-0000-0000DC050000}"/>
    <cellStyle name="Calculation 4 3 2 2 3 3 2" xfId="22041" xr:uid="{00000000-0005-0000-0000-0000DD050000}"/>
    <cellStyle name="Calculation 4 3 2 2 3 3 3" xfId="26171" xr:uid="{00000000-0005-0000-0000-0000DE050000}"/>
    <cellStyle name="Calculation 4 3 2 2 3 3 4" xfId="27688" xr:uid="{00000000-0005-0000-0000-0000DF050000}"/>
    <cellStyle name="Calculation 4 3 2 2 3 4" xfId="16095" xr:uid="{00000000-0005-0000-0000-0000E0050000}"/>
    <cellStyle name="Calculation 4 3 2 2 3 5" xfId="23487" xr:uid="{00000000-0005-0000-0000-0000E1050000}"/>
    <cellStyle name="Calculation 4 3 2 2 3 6" xfId="23012" xr:uid="{00000000-0005-0000-0000-0000E2050000}"/>
    <cellStyle name="Calculation 4 3 2 2 4" xfId="7206" xr:uid="{00000000-0005-0000-0000-0000E3050000}"/>
    <cellStyle name="Calculation 4 3 2 2 4 2" xfId="18103" xr:uid="{00000000-0005-0000-0000-0000E4050000}"/>
    <cellStyle name="Calculation 4 3 2 2 4 3" xfId="24108" xr:uid="{00000000-0005-0000-0000-0000E5050000}"/>
    <cellStyle name="Calculation 4 3 2 2 4 4" xfId="24616" xr:uid="{00000000-0005-0000-0000-0000E6050000}"/>
    <cellStyle name="Calculation 4 3 2 2 5" xfId="10476" xr:uid="{00000000-0005-0000-0000-0000E7050000}"/>
    <cellStyle name="Calculation 4 3 2 2 5 2" xfId="21373" xr:uid="{00000000-0005-0000-0000-0000E8050000}"/>
    <cellStyle name="Calculation 4 3 2 2 5 3" xfId="25503" xr:uid="{00000000-0005-0000-0000-0000E9050000}"/>
    <cellStyle name="Calculation 4 3 2 2 5 4" xfId="27020" xr:uid="{00000000-0005-0000-0000-0000EA050000}"/>
    <cellStyle name="Calculation 4 3 2 2 6" xfId="13170" xr:uid="{00000000-0005-0000-0000-0000EB050000}"/>
    <cellStyle name="Calculation 4 3 2 2 7" xfId="23169" xr:uid="{00000000-0005-0000-0000-0000EC050000}"/>
    <cellStyle name="Calculation 4 3 2 3" xfId="3422" xr:uid="{00000000-0005-0000-0000-0000ED050000}"/>
    <cellStyle name="Calculation 4 3 2 3 2" xfId="8373" xr:uid="{00000000-0005-0000-0000-0000EE050000}"/>
    <cellStyle name="Calculation 4 3 2 3 2 2" xfId="19270" xr:uid="{00000000-0005-0000-0000-0000EF050000}"/>
    <cellStyle name="Calculation 4 3 2 3 2 3" xfId="24458" xr:uid="{00000000-0005-0000-0000-0000F0050000}"/>
    <cellStyle name="Calculation 4 3 2 3 2 4" xfId="12179" xr:uid="{00000000-0005-0000-0000-0000F1050000}"/>
    <cellStyle name="Calculation 4 3 2 3 3" xfId="10658" xr:uid="{00000000-0005-0000-0000-0000F2050000}"/>
    <cellStyle name="Calculation 4 3 2 3 3 2" xfId="21555" xr:uid="{00000000-0005-0000-0000-0000F3050000}"/>
    <cellStyle name="Calculation 4 3 2 3 3 3" xfId="25685" xr:uid="{00000000-0005-0000-0000-0000F4050000}"/>
    <cellStyle name="Calculation 4 3 2 3 3 4" xfId="27202" xr:uid="{00000000-0005-0000-0000-0000F5050000}"/>
    <cellStyle name="Calculation 4 3 2 3 4" xfId="14319" xr:uid="{00000000-0005-0000-0000-0000F6050000}"/>
    <cellStyle name="Calculation 4 3 2 3 5" xfId="22767" xr:uid="{00000000-0005-0000-0000-0000F7050000}"/>
    <cellStyle name="Calculation 4 3 2 3 6" xfId="23947" xr:uid="{00000000-0005-0000-0000-0000F8050000}"/>
    <cellStyle name="Calculation 4 3 2 4" xfId="5039" xr:uid="{00000000-0005-0000-0000-0000F9050000}"/>
    <cellStyle name="Calculation 4 3 2 4 2" xfId="9990" xr:uid="{00000000-0005-0000-0000-0000FA050000}"/>
    <cellStyle name="Calculation 4 3 2 4 2 2" xfId="20887" xr:uid="{00000000-0005-0000-0000-0000FB050000}"/>
    <cellStyle name="Calculation 4 3 2 4 2 3" xfId="25017" xr:uid="{00000000-0005-0000-0000-0000FC050000}"/>
    <cellStyle name="Calculation 4 3 2 4 2 4" xfId="26534" xr:uid="{00000000-0005-0000-0000-0000FD050000}"/>
    <cellStyle name="Calculation 4 3 2 4 3" xfId="10985" xr:uid="{00000000-0005-0000-0000-0000FE050000}"/>
    <cellStyle name="Calculation 4 3 2 4 3 2" xfId="21882" xr:uid="{00000000-0005-0000-0000-0000FF050000}"/>
    <cellStyle name="Calculation 4 3 2 4 3 3" xfId="26012" xr:uid="{00000000-0005-0000-0000-000000060000}"/>
    <cellStyle name="Calculation 4 3 2 4 3 4" xfId="27529" xr:uid="{00000000-0005-0000-0000-000001060000}"/>
    <cellStyle name="Calculation 4 3 2 4 4" xfId="15936" xr:uid="{00000000-0005-0000-0000-000002060000}"/>
    <cellStyle name="Calculation 4 3 2 4 5" xfId="23328" xr:uid="{00000000-0005-0000-0000-000003060000}"/>
    <cellStyle name="Calculation 4 3 2 4 6" xfId="24093" xr:uid="{00000000-0005-0000-0000-000004060000}"/>
    <cellStyle name="Calculation 4 3 2 5" xfId="6061" xr:uid="{00000000-0005-0000-0000-000005060000}"/>
    <cellStyle name="Calculation 4 3 2 5 2" xfId="16958" xr:uid="{00000000-0005-0000-0000-000006060000}"/>
    <cellStyle name="Calculation 4 3 2 5 3" xfId="23782" xr:uid="{00000000-0005-0000-0000-000007060000}"/>
    <cellStyle name="Calculation 4 3 2 5 4" xfId="22200" xr:uid="{00000000-0005-0000-0000-000008060000}"/>
    <cellStyle name="Calculation 4 3 2 6" xfId="10317" xr:uid="{00000000-0005-0000-0000-000009060000}"/>
    <cellStyle name="Calculation 4 3 2 6 2" xfId="21214" xr:uid="{00000000-0005-0000-0000-00000A060000}"/>
    <cellStyle name="Calculation 4 3 2 6 3" xfId="25344" xr:uid="{00000000-0005-0000-0000-00000B060000}"/>
    <cellStyle name="Calculation 4 3 2 6 4" xfId="26861" xr:uid="{00000000-0005-0000-0000-00000C060000}"/>
    <cellStyle name="Calculation 4 3 2 7" xfId="12052" xr:uid="{00000000-0005-0000-0000-00000D060000}"/>
    <cellStyle name="Calculation 4 3 2 8" xfId="22512" xr:uid="{00000000-0005-0000-0000-00000E060000}"/>
    <cellStyle name="Calculation 4 3 3" xfId="1380" xr:uid="{00000000-0005-0000-0000-00000F060000}"/>
    <cellStyle name="Calculation 4 3 3 2" xfId="3704" xr:uid="{00000000-0005-0000-0000-000010060000}"/>
    <cellStyle name="Calculation 4 3 3 2 2" xfId="8655" xr:uid="{00000000-0005-0000-0000-000011060000}"/>
    <cellStyle name="Calculation 4 3 3 2 2 2" xfId="19552" xr:uid="{00000000-0005-0000-0000-000012060000}"/>
    <cellStyle name="Calculation 4 3 3 2 2 3" xfId="24549" xr:uid="{00000000-0005-0000-0000-000013060000}"/>
    <cellStyle name="Calculation 4 3 3 2 2 4" xfId="26267" xr:uid="{00000000-0005-0000-0000-000014060000}"/>
    <cellStyle name="Calculation 4 3 3 2 3" xfId="10718" xr:uid="{00000000-0005-0000-0000-000015060000}"/>
    <cellStyle name="Calculation 4 3 3 2 3 2" xfId="21615" xr:uid="{00000000-0005-0000-0000-000016060000}"/>
    <cellStyle name="Calculation 4 3 3 2 3 3" xfId="25745" xr:uid="{00000000-0005-0000-0000-000017060000}"/>
    <cellStyle name="Calculation 4 3 3 2 3 4" xfId="27262" xr:uid="{00000000-0005-0000-0000-000018060000}"/>
    <cellStyle name="Calculation 4 3 3 2 4" xfId="14601" xr:uid="{00000000-0005-0000-0000-000019060000}"/>
    <cellStyle name="Calculation 4 3 3 2 5" xfId="22861" xr:uid="{00000000-0005-0000-0000-00001A060000}"/>
    <cellStyle name="Calculation 4 3 3 2 6" xfId="22217" xr:uid="{00000000-0005-0000-0000-00001B060000}"/>
    <cellStyle name="Calculation 4 3 3 3" xfId="5099" xr:uid="{00000000-0005-0000-0000-00001C060000}"/>
    <cellStyle name="Calculation 4 3 3 3 2" xfId="10050" xr:uid="{00000000-0005-0000-0000-00001D060000}"/>
    <cellStyle name="Calculation 4 3 3 3 2 2" xfId="20947" xr:uid="{00000000-0005-0000-0000-00001E060000}"/>
    <cellStyle name="Calculation 4 3 3 3 2 3" xfId="25077" xr:uid="{00000000-0005-0000-0000-00001F060000}"/>
    <cellStyle name="Calculation 4 3 3 3 2 4" xfId="26594" xr:uid="{00000000-0005-0000-0000-000020060000}"/>
    <cellStyle name="Calculation 4 3 3 3 3" xfId="11045" xr:uid="{00000000-0005-0000-0000-000021060000}"/>
    <cellStyle name="Calculation 4 3 3 3 3 2" xfId="21942" xr:uid="{00000000-0005-0000-0000-000022060000}"/>
    <cellStyle name="Calculation 4 3 3 3 3 3" xfId="26072" xr:uid="{00000000-0005-0000-0000-000023060000}"/>
    <cellStyle name="Calculation 4 3 3 3 3 4" xfId="27589" xr:uid="{00000000-0005-0000-0000-000024060000}"/>
    <cellStyle name="Calculation 4 3 3 3 4" xfId="15996" xr:uid="{00000000-0005-0000-0000-000025060000}"/>
    <cellStyle name="Calculation 4 3 3 3 5" xfId="23388" xr:uid="{00000000-0005-0000-0000-000026060000}"/>
    <cellStyle name="Calculation 4 3 3 3 6" xfId="22601" xr:uid="{00000000-0005-0000-0000-000027060000}"/>
    <cellStyle name="Calculation 4 3 3 4" xfId="6343" xr:uid="{00000000-0005-0000-0000-000028060000}"/>
    <cellStyle name="Calculation 4 3 3 4 2" xfId="17240" xr:uid="{00000000-0005-0000-0000-000029060000}"/>
    <cellStyle name="Calculation 4 3 3 4 3" xfId="23874" xr:uid="{00000000-0005-0000-0000-00002A060000}"/>
    <cellStyle name="Calculation 4 3 3 4 4" xfId="24881" xr:uid="{00000000-0005-0000-0000-00002B060000}"/>
    <cellStyle name="Calculation 4 3 3 5" xfId="10377" xr:uid="{00000000-0005-0000-0000-00002C060000}"/>
    <cellStyle name="Calculation 4 3 3 5 2" xfId="21274" xr:uid="{00000000-0005-0000-0000-00002D060000}"/>
    <cellStyle name="Calculation 4 3 3 5 3" xfId="25404" xr:uid="{00000000-0005-0000-0000-00002E060000}"/>
    <cellStyle name="Calculation 4 3 3 5 4" xfId="26921" xr:uid="{00000000-0005-0000-0000-00002F060000}"/>
    <cellStyle name="Calculation 4 3 3 6" xfId="12326" xr:uid="{00000000-0005-0000-0000-000030060000}"/>
    <cellStyle name="Calculation 4 3 3 7" xfId="23912" xr:uid="{00000000-0005-0000-0000-000031060000}"/>
    <cellStyle name="Calculation 4 3 4" xfId="2890" xr:uid="{00000000-0005-0000-0000-000032060000}"/>
    <cellStyle name="Calculation 4 3 4 2" xfId="7841" xr:uid="{00000000-0005-0000-0000-000033060000}"/>
    <cellStyle name="Calculation 4 3 4 2 2" xfId="18738" xr:uid="{00000000-0005-0000-0000-000034060000}"/>
    <cellStyle name="Calculation 4 3 4 2 3" xfId="24306" xr:uid="{00000000-0005-0000-0000-000035060000}"/>
    <cellStyle name="Calculation 4 3 4 2 4" xfId="24364" xr:uid="{00000000-0005-0000-0000-000036060000}"/>
    <cellStyle name="Calculation 4 3 4 3" xfId="10578" xr:uid="{00000000-0005-0000-0000-000037060000}"/>
    <cellStyle name="Calculation 4 3 4 3 2" xfId="21475" xr:uid="{00000000-0005-0000-0000-000038060000}"/>
    <cellStyle name="Calculation 4 3 4 3 3" xfId="25605" xr:uid="{00000000-0005-0000-0000-000039060000}"/>
    <cellStyle name="Calculation 4 3 4 3 4" xfId="27122" xr:uid="{00000000-0005-0000-0000-00003A060000}"/>
    <cellStyle name="Calculation 4 3 4 4" xfId="13787" xr:uid="{00000000-0005-0000-0000-00003B060000}"/>
    <cellStyle name="Calculation 4 3 4 5" xfId="22608" xr:uid="{00000000-0005-0000-0000-00003C060000}"/>
    <cellStyle name="Calculation 4 3 4 6" xfId="22673" xr:uid="{00000000-0005-0000-0000-00003D060000}"/>
    <cellStyle name="Calculation 4 3 5" xfId="4959" xr:uid="{00000000-0005-0000-0000-00003E060000}"/>
    <cellStyle name="Calculation 4 3 5 2" xfId="9910" xr:uid="{00000000-0005-0000-0000-00003F060000}"/>
    <cellStyle name="Calculation 4 3 5 2 2" xfId="20807" xr:uid="{00000000-0005-0000-0000-000040060000}"/>
    <cellStyle name="Calculation 4 3 5 2 3" xfId="24937" xr:uid="{00000000-0005-0000-0000-000041060000}"/>
    <cellStyle name="Calculation 4 3 5 2 4" xfId="26454" xr:uid="{00000000-0005-0000-0000-000042060000}"/>
    <cellStyle name="Calculation 4 3 5 3" xfId="10905" xr:uid="{00000000-0005-0000-0000-000043060000}"/>
    <cellStyle name="Calculation 4 3 5 3 2" xfId="21802" xr:uid="{00000000-0005-0000-0000-000044060000}"/>
    <cellStyle name="Calculation 4 3 5 3 3" xfId="25932" xr:uid="{00000000-0005-0000-0000-000045060000}"/>
    <cellStyle name="Calculation 4 3 5 3 4" xfId="27449" xr:uid="{00000000-0005-0000-0000-000046060000}"/>
    <cellStyle name="Calculation 4 3 5 4" xfId="15856" xr:uid="{00000000-0005-0000-0000-000047060000}"/>
    <cellStyle name="Calculation 4 3 5 5" xfId="23248" xr:uid="{00000000-0005-0000-0000-000048060000}"/>
    <cellStyle name="Calculation 4 3 5 6" xfId="22778" xr:uid="{00000000-0005-0000-0000-000049060000}"/>
    <cellStyle name="Calculation 4 3 6" xfId="5529" xr:uid="{00000000-0005-0000-0000-00004A060000}"/>
    <cellStyle name="Calculation 4 3 6 2" xfId="16426" xr:uid="{00000000-0005-0000-0000-00004B060000}"/>
    <cellStyle name="Calculation 4 3 6 3" xfId="23626" xr:uid="{00000000-0005-0000-0000-00004C060000}"/>
    <cellStyle name="Calculation 4 3 6 4" xfId="11276" xr:uid="{00000000-0005-0000-0000-00004D060000}"/>
    <cellStyle name="Calculation 4 3 7" xfId="10237" xr:uid="{00000000-0005-0000-0000-00004E060000}"/>
    <cellStyle name="Calculation 4 3 7 2" xfId="21134" xr:uid="{00000000-0005-0000-0000-00004F060000}"/>
    <cellStyle name="Calculation 4 3 7 3" xfId="25264" xr:uid="{00000000-0005-0000-0000-000050060000}"/>
    <cellStyle name="Calculation 4 3 7 4" xfId="26781" xr:uid="{00000000-0005-0000-0000-000051060000}"/>
    <cellStyle name="Calculation 4 3 8" xfId="11531" xr:uid="{00000000-0005-0000-0000-000052060000}"/>
    <cellStyle name="Calculation 4 3 9" xfId="24844" xr:uid="{00000000-0005-0000-0000-000053060000}"/>
    <cellStyle name="Calculation 4 4" xfId="833" xr:uid="{00000000-0005-0000-0000-000054060000}"/>
    <cellStyle name="Calculation 4 4 2" xfId="1990" xr:uid="{00000000-0005-0000-0000-000055060000}"/>
    <cellStyle name="Calculation 4 4 2 2" xfId="4302" xr:uid="{00000000-0005-0000-0000-000056060000}"/>
    <cellStyle name="Calculation 4 4 2 2 2" xfId="9253" xr:uid="{00000000-0005-0000-0000-000057060000}"/>
    <cellStyle name="Calculation 4 4 2 2 2 2" xfId="20150" xr:uid="{00000000-0005-0000-0000-000058060000}"/>
    <cellStyle name="Calculation 4 4 2 2 2 3" xfId="24709" xr:uid="{00000000-0005-0000-0000-000059060000}"/>
    <cellStyle name="Calculation 4 4 2 2 2 4" xfId="26327" xr:uid="{00000000-0005-0000-0000-00005A060000}"/>
    <cellStyle name="Calculation 4 4 2 2 3" xfId="10778" xr:uid="{00000000-0005-0000-0000-00005B060000}"/>
    <cellStyle name="Calculation 4 4 2 2 3 2" xfId="21675" xr:uid="{00000000-0005-0000-0000-00005C060000}"/>
    <cellStyle name="Calculation 4 4 2 2 3 3" xfId="25805" xr:uid="{00000000-0005-0000-0000-00005D060000}"/>
    <cellStyle name="Calculation 4 4 2 2 3 4" xfId="27322" xr:uid="{00000000-0005-0000-0000-00005E060000}"/>
    <cellStyle name="Calculation 4 4 2 2 4" xfId="15199" xr:uid="{00000000-0005-0000-0000-00005F060000}"/>
    <cellStyle name="Calculation 4 4 2 2 5" xfId="23020" xr:uid="{00000000-0005-0000-0000-000060060000}"/>
    <cellStyle name="Calculation 4 4 2 2 6" xfId="22202" xr:uid="{00000000-0005-0000-0000-000061060000}"/>
    <cellStyle name="Calculation 4 4 2 3" xfId="5158" xr:uid="{00000000-0005-0000-0000-000062060000}"/>
    <cellStyle name="Calculation 4 4 2 3 2" xfId="10109" xr:uid="{00000000-0005-0000-0000-000063060000}"/>
    <cellStyle name="Calculation 4 4 2 3 2 2" xfId="21006" xr:uid="{00000000-0005-0000-0000-000064060000}"/>
    <cellStyle name="Calculation 4 4 2 3 2 3" xfId="25136" xr:uid="{00000000-0005-0000-0000-000065060000}"/>
    <cellStyle name="Calculation 4 4 2 3 2 4" xfId="26653" xr:uid="{00000000-0005-0000-0000-000066060000}"/>
    <cellStyle name="Calculation 4 4 2 3 3" xfId="11104" xr:uid="{00000000-0005-0000-0000-000067060000}"/>
    <cellStyle name="Calculation 4 4 2 3 3 2" xfId="22001" xr:uid="{00000000-0005-0000-0000-000068060000}"/>
    <cellStyle name="Calculation 4 4 2 3 3 3" xfId="26131" xr:uid="{00000000-0005-0000-0000-000069060000}"/>
    <cellStyle name="Calculation 4 4 2 3 3 4" xfId="27648" xr:uid="{00000000-0005-0000-0000-00006A060000}"/>
    <cellStyle name="Calculation 4 4 2 3 4" xfId="16055" xr:uid="{00000000-0005-0000-0000-00006B060000}"/>
    <cellStyle name="Calculation 4 4 2 3 5" xfId="23447" xr:uid="{00000000-0005-0000-0000-00006C060000}"/>
    <cellStyle name="Calculation 4 4 2 3 6" xfId="24741" xr:uid="{00000000-0005-0000-0000-00006D060000}"/>
    <cellStyle name="Calculation 4 4 2 4" xfId="6941" xr:uid="{00000000-0005-0000-0000-00006E060000}"/>
    <cellStyle name="Calculation 4 4 2 4 2" xfId="17838" xr:uid="{00000000-0005-0000-0000-00006F060000}"/>
    <cellStyle name="Calculation 4 4 2 4 3" xfId="24031" xr:uid="{00000000-0005-0000-0000-000070060000}"/>
    <cellStyle name="Calculation 4 4 2 4 4" xfId="22247" xr:uid="{00000000-0005-0000-0000-000071060000}"/>
    <cellStyle name="Calculation 4 4 2 5" xfId="10436" xr:uid="{00000000-0005-0000-0000-000072060000}"/>
    <cellStyle name="Calculation 4 4 2 5 2" xfId="21333" xr:uid="{00000000-0005-0000-0000-000073060000}"/>
    <cellStyle name="Calculation 4 4 2 5 3" xfId="25463" xr:uid="{00000000-0005-0000-0000-000074060000}"/>
    <cellStyle name="Calculation 4 4 2 5 4" xfId="26980" xr:uid="{00000000-0005-0000-0000-000075060000}"/>
    <cellStyle name="Calculation 4 4 2 6" xfId="12912" xr:uid="{00000000-0005-0000-0000-000076060000}"/>
    <cellStyle name="Calculation 4 4 2 7" xfId="24698" xr:uid="{00000000-0005-0000-0000-000077060000}"/>
    <cellStyle name="Calculation 4 4 3" xfId="3157" xr:uid="{00000000-0005-0000-0000-000078060000}"/>
    <cellStyle name="Calculation 4 4 3 2" xfId="8108" xr:uid="{00000000-0005-0000-0000-000079060000}"/>
    <cellStyle name="Calculation 4 4 3 2 2" xfId="19005" xr:uid="{00000000-0005-0000-0000-00007A060000}"/>
    <cellStyle name="Calculation 4 4 3 2 3" xfId="24380" xr:uid="{00000000-0005-0000-0000-00007B060000}"/>
    <cellStyle name="Calculation 4 4 3 2 4" xfId="23158" xr:uid="{00000000-0005-0000-0000-00007C060000}"/>
    <cellStyle name="Calculation 4 4 3 3" xfId="10618" xr:uid="{00000000-0005-0000-0000-00007D060000}"/>
    <cellStyle name="Calculation 4 4 3 3 2" xfId="21515" xr:uid="{00000000-0005-0000-0000-00007E060000}"/>
    <cellStyle name="Calculation 4 4 3 3 3" xfId="25645" xr:uid="{00000000-0005-0000-0000-00007F060000}"/>
    <cellStyle name="Calculation 4 4 3 3 4" xfId="27162" xr:uid="{00000000-0005-0000-0000-000080060000}"/>
    <cellStyle name="Calculation 4 4 3 4" xfId="14054" xr:uid="{00000000-0005-0000-0000-000081060000}"/>
    <cellStyle name="Calculation 4 4 3 5" xfId="22687" xr:uid="{00000000-0005-0000-0000-000082060000}"/>
    <cellStyle name="Calculation 4 4 3 6" xfId="22469" xr:uid="{00000000-0005-0000-0000-000083060000}"/>
    <cellStyle name="Calculation 4 4 4" xfId="4999" xr:uid="{00000000-0005-0000-0000-000084060000}"/>
    <cellStyle name="Calculation 4 4 4 2" xfId="9950" xr:uid="{00000000-0005-0000-0000-000085060000}"/>
    <cellStyle name="Calculation 4 4 4 2 2" xfId="20847" xr:uid="{00000000-0005-0000-0000-000086060000}"/>
    <cellStyle name="Calculation 4 4 4 2 3" xfId="24977" xr:uid="{00000000-0005-0000-0000-000087060000}"/>
    <cellStyle name="Calculation 4 4 4 2 4" xfId="26494" xr:uid="{00000000-0005-0000-0000-000088060000}"/>
    <cellStyle name="Calculation 4 4 4 3" xfId="10945" xr:uid="{00000000-0005-0000-0000-000089060000}"/>
    <cellStyle name="Calculation 4 4 4 3 2" xfId="21842" xr:uid="{00000000-0005-0000-0000-00008A060000}"/>
    <cellStyle name="Calculation 4 4 4 3 3" xfId="25972" xr:uid="{00000000-0005-0000-0000-00008B060000}"/>
    <cellStyle name="Calculation 4 4 4 3 4" xfId="27489" xr:uid="{00000000-0005-0000-0000-00008C060000}"/>
    <cellStyle name="Calculation 4 4 4 4" xfId="15896" xr:uid="{00000000-0005-0000-0000-00008D060000}"/>
    <cellStyle name="Calculation 4 4 4 5" xfId="23288" xr:uid="{00000000-0005-0000-0000-00008E060000}"/>
    <cellStyle name="Calculation 4 4 4 6" xfId="24260" xr:uid="{00000000-0005-0000-0000-00008F060000}"/>
    <cellStyle name="Calculation 4 4 5" xfId="5796" xr:uid="{00000000-0005-0000-0000-000090060000}"/>
    <cellStyle name="Calculation 4 4 5 2" xfId="16693" xr:uid="{00000000-0005-0000-0000-000091060000}"/>
    <cellStyle name="Calculation 4 4 5 3" xfId="23702" xr:uid="{00000000-0005-0000-0000-000092060000}"/>
    <cellStyle name="Calculation 4 4 5 4" xfId="22749" xr:uid="{00000000-0005-0000-0000-000093060000}"/>
    <cellStyle name="Calculation 4 4 6" xfId="10277" xr:uid="{00000000-0005-0000-0000-000094060000}"/>
    <cellStyle name="Calculation 4 4 6 2" xfId="21174" xr:uid="{00000000-0005-0000-0000-000095060000}"/>
    <cellStyle name="Calculation 4 4 6 3" xfId="25304" xr:uid="{00000000-0005-0000-0000-000096060000}"/>
    <cellStyle name="Calculation 4 4 6 4" xfId="26821" xr:uid="{00000000-0005-0000-0000-000097060000}"/>
    <cellStyle name="Calculation 4 4 7" xfId="11794" xr:uid="{00000000-0005-0000-0000-000098060000}"/>
    <cellStyle name="Calculation 4 4 8" xfId="22308" xr:uid="{00000000-0005-0000-0000-000099060000}"/>
    <cellStyle name="Calculation 4 5" xfId="2622" xr:uid="{00000000-0005-0000-0000-00009A060000}"/>
    <cellStyle name="Calculation 4 5 2" xfId="7573" xr:uid="{00000000-0005-0000-0000-00009B060000}"/>
    <cellStyle name="Calculation 4 5 2 2" xfId="18470" xr:uid="{00000000-0005-0000-0000-00009C060000}"/>
    <cellStyle name="Calculation 4 5 2 3" xfId="24228" xr:uid="{00000000-0005-0000-0000-00009D060000}"/>
    <cellStyle name="Calculation 4 5 2 4" xfId="24444" xr:uid="{00000000-0005-0000-0000-00009E060000}"/>
    <cellStyle name="Calculation 4 5 3" xfId="10535" xr:uid="{00000000-0005-0000-0000-00009F060000}"/>
    <cellStyle name="Calculation 4 5 3 2" xfId="21432" xr:uid="{00000000-0005-0000-0000-0000A0060000}"/>
    <cellStyle name="Calculation 4 5 3 3" xfId="25562" xr:uid="{00000000-0005-0000-0000-0000A1060000}"/>
    <cellStyle name="Calculation 4 5 3 4" xfId="27079" xr:uid="{00000000-0005-0000-0000-0000A2060000}"/>
    <cellStyle name="Calculation 4 5 4" xfId="13519" xr:uid="{00000000-0005-0000-0000-0000A3060000}"/>
    <cellStyle name="Calculation 4 5 5" xfId="22527" xr:uid="{00000000-0005-0000-0000-0000A4060000}"/>
    <cellStyle name="Calculation 4 5 6" xfId="22968" xr:uid="{00000000-0005-0000-0000-0000A5060000}"/>
    <cellStyle name="Calculation 4 6" xfId="2636" xr:uid="{00000000-0005-0000-0000-0000A6060000}"/>
    <cellStyle name="Calculation 4 6 2" xfId="7587" xr:uid="{00000000-0005-0000-0000-0000A7060000}"/>
    <cellStyle name="Calculation 4 6 2 2" xfId="18484" xr:uid="{00000000-0005-0000-0000-0000A8060000}"/>
    <cellStyle name="Calculation 4 6 2 3" xfId="24233" xr:uid="{00000000-0005-0000-0000-0000A9060000}"/>
    <cellStyle name="Calculation 4 6 2 4" xfId="23840" xr:uid="{00000000-0005-0000-0000-0000AA060000}"/>
    <cellStyle name="Calculation 4 6 3" xfId="10537" xr:uid="{00000000-0005-0000-0000-0000AB060000}"/>
    <cellStyle name="Calculation 4 6 3 2" xfId="21434" xr:uid="{00000000-0005-0000-0000-0000AC060000}"/>
    <cellStyle name="Calculation 4 6 3 3" xfId="25564" xr:uid="{00000000-0005-0000-0000-0000AD060000}"/>
    <cellStyle name="Calculation 4 6 3 4" xfId="27081" xr:uid="{00000000-0005-0000-0000-0000AE060000}"/>
    <cellStyle name="Calculation 4 6 4" xfId="13533" xr:uid="{00000000-0005-0000-0000-0000AF060000}"/>
    <cellStyle name="Calculation 4 6 5" xfId="22534" xr:uid="{00000000-0005-0000-0000-0000B0060000}"/>
    <cellStyle name="Calculation 4 6 6" xfId="24696" xr:uid="{00000000-0005-0000-0000-0000B1060000}"/>
    <cellStyle name="Calculation 4 7" xfId="5261" xr:uid="{00000000-0005-0000-0000-0000B2060000}"/>
    <cellStyle name="Calculation 4 7 2" xfId="16158" xr:uid="{00000000-0005-0000-0000-0000B3060000}"/>
    <cellStyle name="Calculation 4 7 3" xfId="23548" xr:uid="{00000000-0005-0000-0000-0000B4060000}"/>
    <cellStyle name="Calculation 4 7 4" xfId="24140" xr:uid="{00000000-0005-0000-0000-0000B5060000}"/>
    <cellStyle name="Calculation 4 8" xfId="5276" xr:uid="{00000000-0005-0000-0000-0000B6060000}"/>
    <cellStyle name="Calculation 4 8 2" xfId="16173" xr:uid="{00000000-0005-0000-0000-0000B7060000}"/>
    <cellStyle name="Calculation 4 8 3" xfId="23553" xr:uid="{00000000-0005-0000-0000-0000B8060000}"/>
    <cellStyle name="Calculation 4 8 4" xfId="22757" xr:uid="{00000000-0005-0000-0000-0000B9060000}"/>
    <cellStyle name="Calculation 4 9" xfId="11241" xr:uid="{00000000-0005-0000-0000-0000BA060000}"/>
    <cellStyle name="Calculation 5" xfId="158" xr:uid="{00000000-0005-0000-0000-0000BB060000}"/>
    <cellStyle name="Calculation 5 10" xfId="24139" xr:uid="{00000000-0005-0000-0000-0000BC060000}"/>
    <cellStyle name="Calculation 5 2" xfId="435" xr:uid="{00000000-0005-0000-0000-0000BD060000}"/>
    <cellStyle name="Calculation 5 2 10" xfId="23692" xr:uid="{00000000-0005-0000-0000-0000BE060000}"/>
    <cellStyle name="Calculation 5 2 2" xfId="700" xr:uid="{00000000-0005-0000-0000-0000BF060000}"/>
    <cellStyle name="Calculation 5 2 2 2" xfId="1232" xr:uid="{00000000-0005-0000-0000-0000C0060000}"/>
    <cellStyle name="Calculation 5 2 2 2 2" xfId="2389" xr:uid="{00000000-0005-0000-0000-0000C1060000}"/>
    <cellStyle name="Calculation 5 2 2 2 2 2" xfId="4701" xr:uid="{00000000-0005-0000-0000-0000C2060000}"/>
    <cellStyle name="Calculation 5 2 2 2 2 2 2" xfId="9652" xr:uid="{00000000-0005-0000-0000-0000C3060000}"/>
    <cellStyle name="Calculation 5 2 2 2 2 2 2 2" xfId="20549" xr:uid="{00000000-0005-0000-0000-0000C4060000}"/>
    <cellStyle name="Calculation 5 2 2 2 2 2 2 3" xfId="24820" xr:uid="{00000000-0005-0000-0000-0000C5060000}"/>
    <cellStyle name="Calculation 5 2 2 2 2 2 2 4" xfId="26389" xr:uid="{00000000-0005-0000-0000-0000C6060000}"/>
    <cellStyle name="Calculation 5 2 2 2 2 2 3" xfId="10840" xr:uid="{00000000-0005-0000-0000-0000C7060000}"/>
    <cellStyle name="Calculation 5 2 2 2 2 2 3 2" xfId="21737" xr:uid="{00000000-0005-0000-0000-0000C8060000}"/>
    <cellStyle name="Calculation 5 2 2 2 2 2 3 3" xfId="25867" xr:uid="{00000000-0005-0000-0000-0000C9060000}"/>
    <cellStyle name="Calculation 5 2 2 2 2 2 3 4" xfId="27384" xr:uid="{00000000-0005-0000-0000-0000CA060000}"/>
    <cellStyle name="Calculation 5 2 2 2 2 2 4" xfId="15598" xr:uid="{00000000-0005-0000-0000-0000CB060000}"/>
    <cellStyle name="Calculation 5 2 2 2 2 2 5" xfId="23133" xr:uid="{00000000-0005-0000-0000-0000CC060000}"/>
    <cellStyle name="Calculation 5 2 2 2 2 2 6" xfId="22325" xr:uid="{00000000-0005-0000-0000-0000CD060000}"/>
    <cellStyle name="Calculation 5 2 2 2 2 3" xfId="5220" xr:uid="{00000000-0005-0000-0000-0000CE060000}"/>
    <cellStyle name="Calculation 5 2 2 2 2 3 2" xfId="10171" xr:uid="{00000000-0005-0000-0000-0000CF060000}"/>
    <cellStyle name="Calculation 5 2 2 2 2 3 2 2" xfId="21068" xr:uid="{00000000-0005-0000-0000-0000D0060000}"/>
    <cellStyle name="Calculation 5 2 2 2 2 3 2 3" xfId="25198" xr:uid="{00000000-0005-0000-0000-0000D1060000}"/>
    <cellStyle name="Calculation 5 2 2 2 2 3 2 4" xfId="26715" xr:uid="{00000000-0005-0000-0000-0000D2060000}"/>
    <cellStyle name="Calculation 5 2 2 2 2 3 3" xfId="11166" xr:uid="{00000000-0005-0000-0000-0000D3060000}"/>
    <cellStyle name="Calculation 5 2 2 2 2 3 3 2" xfId="22063" xr:uid="{00000000-0005-0000-0000-0000D4060000}"/>
    <cellStyle name="Calculation 5 2 2 2 2 3 3 3" xfId="26193" xr:uid="{00000000-0005-0000-0000-0000D5060000}"/>
    <cellStyle name="Calculation 5 2 2 2 2 3 3 4" xfId="27710" xr:uid="{00000000-0005-0000-0000-0000D6060000}"/>
    <cellStyle name="Calculation 5 2 2 2 2 3 4" xfId="16117" xr:uid="{00000000-0005-0000-0000-0000D7060000}"/>
    <cellStyle name="Calculation 5 2 2 2 2 3 5" xfId="23509" xr:uid="{00000000-0005-0000-0000-0000D8060000}"/>
    <cellStyle name="Calculation 5 2 2 2 2 3 6" xfId="23930" xr:uid="{00000000-0005-0000-0000-0000D9060000}"/>
    <cellStyle name="Calculation 5 2 2 2 2 4" xfId="7340" xr:uid="{00000000-0005-0000-0000-0000DA060000}"/>
    <cellStyle name="Calculation 5 2 2 2 2 4 2" xfId="18237" xr:uid="{00000000-0005-0000-0000-0000DB060000}"/>
    <cellStyle name="Calculation 5 2 2 2 2 4 3" xfId="24147" xr:uid="{00000000-0005-0000-0000-0000DC060000}"/>
    <cellStyle name="Calculation 5 2 2 2 2 4 4" xfId="24036" xr:uid="{00000000-0005-0000-0000-0000DD060000}"/>
    <cellStyle name="Calculation 5 2 2 2 2 5" xfId="10498" xr:uid="{00000000-0005-0000-0000-0000DE060000}"/>
    <cellStyle name="Calculation 5 2 2 2 2 5 2" xfId="21395" xr:uid="{00000000-0005-0000-0000-0000DF060000}"/>
    <cellStyle name="Calculation 5 2 2 2 2 5 3" xfId="25525" xr:uid="{00000000-0005-0000-0000-0000E0060000}"/>
    <cellStyle name="Calculation 5 2 2 2 2 5 4" xfId="27042" xr:uid="{00000000-0005-0000-0000-0000E1060000}"/>
    <cellStyle name="Calculation 5 2 2 2 2 6" xfId="13300" xr:uid="{00000000-0005-0000-0000-0000E2060000}"/>
    <cellStyle name="Calculation 5 2 2 2 2 7" xfId="11204" xr:uid="{00000000-0005-0000-0000-0000E3060000}"/>
    <cellStyle name="Calculation 5 2 2 2 3" xfId="3556" xr:uid="{00000000-0005-0000-0000-0000E4060000}"/>
    <cellStyle name="Calculation 5 2 2 2 3 2" xfId="8507" xr:uid="{00000000-0005-0000-0000-0000E5060000}"/>
    <cellStyle name="Calculation 5 2 2 2 3 2 2" xfId="19404" xr:uid="{00000000-0005-0000-0000-0000E6060000}"/>
    <cellStyle name="Calculation 5 2 2 2 3 2 3" xfId="24496" xr:uid="{00000000-0005-0000-0000-0000E7060000}"/>
    <cellStyle name="Calculation 5 2 2 2 3 2 4" xfId="26229" xr:uid="{00000000-0005-0000-0000-0000E8060000}"/>
    <cellStyle name="Calculation 5 2 2 2 3 3" xfId="10680" xr:uid="{00000000-0005-0000-0000-0000E9060000}"/>
    <cellStyle name="Calculation 5 2 2 2 3 3 2" xfId="21577" xr:uid="{00000000-0005-0000-0000-0000EA060000}"/>
    <cellStyle name="Calculation 5 2 2 2 3 3 3" xfId="25707" xr:uid="{00000000-0005-0000-0000-0000EB060000}"/>
    <cellStyle name="Calculation 5 2 2 2 3 3 4" xfId="27224" xr:uid="{00000000-0005-0000-0000-0000EC060000}"/>
    <cellStyle name="Calculation 5 2 2 2 3 4" xfId="14453" xr:uid="{00000000-0005-0000-0000-0000ED060000}"/>
    <cellStyle name="Calculation 5 2 2 2 3 5" xfId="22807" xr:uid="{00000000-0005-0000-0000-0000EE060000}"/>
    <cellStyle name="Calculation 5 2 2 2 3 6" xfId="22701" xr:uid="{00000000-0005-0000-0000-0000EF060000}"/>
    <cellStyle name="Calculation 5 2 2 2 4" xfId="5061" xr:uid="{00000000-0005-0000-0000-0000F0060000}"/>
    <cellStyle name="Calculation 5 2 2 2 4 2" xfId="10012" xr:uid="{00000000-0005-0000-0000-0000F1060000}"/>
    <cellStyle name="Calculation 5 2 2 2 4 2 2" xfId="20909" xr:uid="{00000000-0005-0000-0000-0000F2060000}"/>
    <cellStyle name="Calculation 5 2 2 2 4 2 3" xfId="25039" xr:uid="{00000000-0005-0000-0000-0000F3060000}"/>
    <cellStyle name="Calculation 5 2 2 2 4 2 4" xfId="26556" xr:uid="{00000000-0005-0000-0000-0000F4060000}"/>
    <cellStyle name="Calculation 5 2 2 2 4 3" xfId="11007" xr:uid="{00000000-0005-0000-0000-0000F5060000}"/>
    <cellStyle name="Calculation 5 2 2 2 4 3 2" xfId="21904" xr:uid="{00000000-0005-0000-0000-0000F6060000}"/>
    <cellStyle name="Calculation 5 2 2 2 4 3 3" xfId="26034" xr:uid="{00000000-0005-0000-0000-0000F7060000}"/>
    <cellStyle name="Calculation 5 2 2 2 4 3 4" xfId="27551" xr:uid="{00000000-0005-0000-0000-0000F8060000}"/>
    <cellStyle name="Calculation 5 2 2 2 4 4" xfId="15958" xr:uid="{00000000-0005-0000-0000-0000F9060000}"/>
    <cellStyle name="Calculation 5 2 2 2 4 5" xfId="23350" xr:uid="{00000000-0005-0000-0000-0000FA060000}"/>
    <cellStyle name="Calculation 5 2 2 2 4 6" xfId="11208" xr:uid="{00000000-0005-0000-0000-0000FB060000}"/>
    <cellStyle name="Calculation 5 2 2 2 5" xfId="6195" xr:uid="{00000000-0005-0000-0000-0000FC060000}"/>
    <cellStyle name="Calculation 5 2 2 2 5 2" xfId="17092" xr:uid="{00000000-0005-0000-0000-0000FD060000}"/>
    <cellStyle name="Calculation 5 2 2 2 5 3" xfId="23821" xr:uid="{00000000-0005-0000-0000-0000FE060000}"/>
    <cellStyle name="Calculation 5 2 2 2 5 4" xfId="24649" xr:uid="{00000000-0005-0000-0000-0000FF060000}"/>
    <cellStyle name="Calculation 5 2 2 2 6" xfId="10339" xr:uid="{00000000-0005-0000-0000-000000070000}"/>
    <cellStyle name="Calculation 5 2 2 2 6 2" xfId="21236" xr:uid="{00000000-0005-0000-0000-000001070000}"/>
    <cellStyle name="Calculation 5 2 2 2 6 3" xfId="25366" xr:uid="{00000000-0005-0000-0000-000002070000}"/>
    <cellStyle name="Calculation 5 2 2 2 6 4" xfId="26883" xr:uid="{00000000-0005-0000-0000-000003070000}"/>
    <cellStyle name="Calculation 5 2 2 2 7" xfId="12182" xr:uid="{00000000-0005-0000-0000-000004070000}"/>
    <cellStyle name="Calculation 5 2 2 2 8" xfId="22241" xr:uid="{00000000-0005-0000-0000-000005070000}"/>
    <cellStyle name="Calculation 5 2 2 3" xfId="1402" xr:uid="{00000000-0005-0000-0000-000006070000}"/>
    <cellStyle name="Calculation 5 2 2 3 2" xfId="3726" xr:uid="{00000000-0005-0000-0000-000007070000}"/>
    <cellStyle name="Calculation 5 2 2 3 2 2" xfId="8677" xr:uid="{00000000-0005-0000-0000-000008070000}"/>
    <cellStyle name="Calculation 5 2 2 3 2 2 2" xfId="19574" xr:uid="{00000000-0005-0000-0000-000009070000}"/>
    <cellStyle name="Calculation 5 2 2 3 2 2 3" xfId="24571" xr:uid="{00000000-0005-0000-0000-00000A070000}"/>
    <cellStyle name="Calculation 5 2 2 3 2 2 4" xfId="26289" xr:uid="{00000000-0005-0000-0000-00000B070000}"/>
    <cellStyle name="Calculation 5 2 2 3 2 3" xfId="10740" xr:uid="{00000000-0005-0000-0000-00000C070000}"/>
    <cellStyle name="Calculation 5 2 2 3 2 3 2" xfId="21637" xr:uid="{00000000-0005-0000-0000-00000D070000}"/>
    <cellStyle name="Calculation 5 2 2 3 2 3 3" xfId="25767" xr:uid="{00000000-0005-0000-0000-00000E070000}"/>
    <cellStyle name="Calculation 5 2 2 3 2 3 4" xfId="27284" xr:uid="{00000000-0005-0000-0000-00000F070000}"/>
    <cellStyle name="Calculation 5 2 2 3 2 4" xfId="14623" xr:uid="{00000000-0005-0000-0000-000010070000}"/>
    <cellStyle name="Calculation 5 2 2 3 2 5" xfId="22883" xr:uid="{00000000-0005-0000-0000-000011070000}"/>
    <cellStyle name="Calculation 5 2 2 3 2 6" xfId="23002" xr:uid="{00000000-0005-0000-0000-000012070000}"/>
    <cellStyle name="Calculation 5 2 2 3 3" xfId="5121" xr:uid="{00000000-0005-0000-0000-000013070000}"/>
    <cellStyle name="Calculation 5 2 2 3 3 2" xfId="10072" xr:uid="{00000000-0005-0000-0000-000014070000}"/>
    <cellStyle name="Calculation 5 2 2 3 3 2 2" xfId="20969" xr:uid="{00000000-0005-0000-0000-000015070000}"/>
    <cellStyle name="Calculation 5 2 2 3 3 2 3" xfId="25099" xr:uid="{00000000-0005-0000-0000-000016070000}"/>
    <cellStyle name="Calculation 5 2 2 3 3 2 4" xfId="26616" xr:uid="{00000000-0005-0000-0000-000017070000}"/>
    <cellStyle name="Calculation 5 2 2 3 3 3" xfId="11067" xr:uid="{00000000-0005-0000-0000-000018070000}"/>
    <cellStyle name="Calculation 5 2 2 3 3 3 2" xfId="21964" xr:uid="{00000000-0005-0000-0000-000019070000}"/>
    <cellStyle name="Calculation 5 2 2 3 3 3 3" xfId="26094" xr:uid="{00000000-0005-0000-0000-00001A070000}"/>
    <cellStyle name="Calculation 5 2 2 3 3 3 4" xfId="27611" xr:uid="{00000000-0005-0000-0000-00001B070000}"/>
    <cellStyle name="Calculation 5 2 2 3 3 4" xfId="16018" xr:uid="{00000000-0005-0000-0000-00001C070000}"/>
    <cellStyle name="Calculation 5 2 2 3 3 5" xfId="23410" xr:uid="{00000000-0005-0000-0000-00001D070000}"/>
    <cellStyle name="Calculation 5 2 2 3 3 6" xfId="22835" xr:uid="{00000000-0005-0000-0000-00001E070000}"/>
    <cellStyle name="Calculation 5 2 2 3 4" xfId="6365" xr:uid="{00000000-0005-0000-0000-00001F070000}"/>
    <cellStyle name="Calculation 5 2 2 3 4 2" xfId="17262" xr:uid="{00000000-0005-0000-0000-000020070000}"/>
    <cellStyle name="Calculation 5 2 2 3 4 3" xfId="23896" xr:uid="{00000000-0005-0000-0000-000021070000}"/>
    <cellStyle name="Calculation 5 2 2 3 4 4" xfId="22564" xr:uid="{00000000-0005-0000-0000-000022070000}"/>
    <cellStyle name="Calculation 5 2 2 3 5" xfId="10399" xr:uid="{00000000-0005-0000-0000-000023070000}"/>
    <cellStyle name="Calculation 5 2 2 3 5 2" xfId="21296" xr:uid="{00000000-0005-0000-0000-000024070000}"/>
    <cellStyle name="Calculation 5 2 2 3 5 3" xfId="25426" xr:uid="{00000000-0005-0000-0000-000025070000}"/>
    <cellStyle name="Calculation 5 2 2 3 5 4" xfId="26943" xr:uid="{00000000-0005-0000-0000-000026070000}"/>
    <cellStyle name="Calculation 5 2 2 3 6" xfId="12342" xr:uid="{00000000-0005-0000-0000-000027070000}"/>
    <cellStyle name="Calculation 5 2 2 3 7" xfId="22973" xr:uid="{00000000-0005-0000-0000-000028070000}"/>
    <cellStyle name="Calculation 5 2 2 4" xfId="3024" xr:uid="{00000000-0005-0000-0000-000029070000}"/>
    <cellStyle name="Calculation 5 2 2 4 2" xfId="7975" xr:uid="{00000000-0005-0000-0000-00002A070000}"/>
    <cellStyle name="Calculation 5 2 2 4 2 2" xfId="18872" xr:uid="{00000000-0005-0000-0000-00002B070000}"/>
    <cellStyle name="Calculation 5 2 2 4 2 3" xfId="24341" xr:uid="{00000000-0005-0000-0000-00002C070000}"/>
    <cellStyle name="Calculation 5 2 2 4 2 4" xfId="23841" xr:uid="{00000000-0005-0000-0000-00002D070000}"/>
    <cellStyle name="Calculation 5 2 2 4 3" xfId="10600" xr:uid="{00000000-0005-0000-0000-00002E070000}"/>
    <cellStyle name="Calculation 5 2 2 4 3 2" xfId="21497" xr:uid="{00000000-0005-0000-0000-00002F070000}"/>
    <cellStyle name="Calculation 5 2 2 4 3 3" xfId="25627" xr:uid="{00000000-0005-0000-0000-000030070000}"/>
    <cellStyle name="Calculation 5 2 2 4 3 4" xfId="27144" xr:uid="{00000000-0005-0000-0000-000031070000}"/>
    <cellStyle name="Calculation 5 2 2 4 4" xfId="13921" xr:uid="{00000000-0005-0000-0000-000032070000}"/>
    <cellStyle name="Calculation 5 2 2 4 5" xfId="22645" xr:uid="{00000000-0005-0000-0000-000033070000}"/>
    <cellStyle name="Calculation 5 2 2 4 6" xfId="24520" xr:uid="{00000000-0005-0000-0000-000034070000}"/>
    <cellStyle name="Calculation 5 2 2 5" xfId="4981" xr:uid="{00000000-0005-0000-0000-000035070000}"/>
    <cellStyle name="Calculation 5 2 2 5 2" xfId="9932" xr:uid="{00000000-0005-0000-0000-000036070000}"/>
    <cellStyle name="Calculation 5 2 2 5 2 2" xfId="20829" xr:uid="{00000000-0005-0000-0000-000037070000}"/>
    <cellStyle name="Calculation 5 2 2 5 2 3" xfId="24959" xr:uid="{00000000-0005-0000-0000-000038070000}"/>
    <cellStyle name="Calculation 5 2 2 5 2 4" xfId="26476" xr:uid="{00000000-0005-0000-0000-000039070000}"/>
    <cellStyle name="Calculation 5 2 2 5 3" xfId="10927" xr:uid="{00000000-0005-0000-0000-00003A070000}"/>
    <cellStyle name="Calculation 5 2 2 5 3 2" xfId="21824" xr:uid="{00000000-0005-0000-0000-00003B070000}"/>
    <cellStyle name="Calculation 5 2 2 5 3 3" xfId="25954" xr:uid="{00000000-0005-0000-0000-00003C070000}"/>
    <cellStyle name="Calculation 5 2 2 5 3 4" xfId="27471" xr:uid="{00000000-0005-0000-0000-00003D070000}"/>
    <cellStyle name="Calculation 5 2 2 5 4" xfId="15878" xr:uid="{00000000-0005-0000-0000-00003E070000}"/>
    <cellStyle name="Calculation 5 2 2 5 5" xfId="23270" xr:uid="{00000000-0005-0000-0000-00003F070000}"/>
    <cellStyle name="Calculation 5 2 2 5 6" xfId="23674" xr:uid="{00000000-0005-0000-0000-000040070000}"/>
    <cellStyle name="Calculation 5 2 2 6" xfId="5663" xr:uid="{00000000-0005-0000-0000-000041070000}"/>
    <cellStyle name="Calculation 5 2 2 6 2" xfId="16560" xr:uid="{00000000-0005-0000-0000-000042070000}"/>
    <cellStyle name="Calculation 5 2 2 6 3" xfId="23663" xr:uid="{00000000-0005-0000-0000-000043070000}"/>
    <cellStyle name="Calculation 5 2 2 6 4" xfId="23935" xr:uid="{00000000-0005-0000-0000-000044070000}"/>
    <cellStyle name="Calculation 5 2 2 7" xfId="10259" xr:uid="{00000000-0005-0000-0000-000045070000}"/>
    <cellStyle name="Calculation 5 2 2 7 2" xfId="21156" xr:uid="{00000000-0005-0000-0000-000046070000}"/>
    <cellStyle name="Calculation 5 2 2 7 3" xfId="25286" xr:uid="{00000000-0005-0000-0000-000047070000}"/>
    <cellStyle name="Calculation 5 2 2 7 4" xfId="26803" xr:uid="{00000000-0005-0000-0000-000048070000}"/>
    <cellStyle name="Calculation 5 2 2 8" xfId="11661" xr:uid="{00000000-0005-0000-0000-000049070000}"/>
    <cellStyle name="Calculation 5 2 2 9" xfId="22107" xr:uid="{00000000-0005-0000-0000-00004A070000}"/>
    <cellStyle name="Calculation 5 2 3" xfId="967" xr:uid="{00000000-0005-0000-0000-00004B070000}"/>
    <cellStyle name="Calculation 5 2 3 2" xfId="2124" xr:uid="{00000000-0005-0000-0000-00004C070000}"/>
    <cellStyle name="Calculation 5 2 3 2 2" xfId="4436" xr:uid="{00000000-0005-0000-0000-00004D070000}"/>
    <cellStyle name="Calculation 5 2 3 2 2 2" xfId="9387" xr:uid="{00000000-0005-0000-0000-00004E070000}"/>
    <cellStyle name="Calculation 5 2 3 2 2 2 2" xfId="20284" xr:uid="{00000000-0005-0000-0000-00004F070000}"/>
    <cellStyle name="Calculation 5 2 3 2 2 2 3" xfId="24748" xr:uid="{00000000-0005-0000-0000-000050070000}"/>
    <cellStyle name="Calculation 5 2 3 2 2 2 4" xfId="26349" xr:uid="{00000000-0005-0000-0000-000051070000}"/>
    <cellStyle name="Calculation 5 2 3 2 2 3" xfId="10800" xr:uid="{00000000-0005-0000-0000-000052070000}"/>
    <cellStyle name="Calculation 5 2 3 2 2 3 2" xfId="21697" xr:uid="{00000000-0005-0000-0000-000053070000}"/>
    <cellStyle name="Calculation 5 2 3 2 2 3 3" xfId="25827" xr:uid="{00000000-0005-0000-0000-000054070000}"/>
    <cellStyle name="Calculation 5 2 3 2 2 3 4" xfId="27344" xr:uid="{00000000-0005-0000-0000-000055070000}"/>
    <cellStyle name="Calculation 5 2 3 2 2 4" xfId="15333" xr:uid="{00000000-0005-0000-0000-000056070000}"/>
    <cellStyle name="Calculation 5 2 3 2 2 5" xfId="23058" xr:uid="{00000000-0005-0000-0000-000057070000}"/>
    <cellStyle name="Calculation 5 2 3 2 2 6" xfId="24090" xr:uid="{00000000-0005-0000-0000-000058070000}"/>
    <cellStyle name="Calculation 5 2 3 2 3" xfId="5180" xr:uid="{00000000-0005-0000-0000-000059070000}"/>
    <cellStyle name="Calculation 5 2 3 2 3 2" xfId="10131" xr:uid="{00000000-0005-0000-0000-00005A070000}"/>
    <cellStyle name="Calculation 5 2 3 2 3 2 2" xfId="21028" xr:uid="{00000000-0005-0000-0000-00005B070000}"/>
    <cellStyle name="Calculation 5 2 3 2 3 2 3" xfId="25158" xr:uid="{00000000-0005-0000-0000-00005C070000}"/>
    <cellStyle name="Calculation 5 2 3 2 3 2 4" xfId="26675" xr:uid="{00000000-0005-0000-0000-00005D070000}"/>
    <cellStyle name="Calculation 5 2 3 2 3 3" xfId="11126" xr:uid="{00000000-0005-0000-0000-00005E070000}"/>
    <cellStyle name="Calculation 5 2 3 2 3 3 2" xfId="22023" xr:uid="{00000000-0005-0000-0000-00005F070000}"/>
    <cellStyle name="Calculation 5 2 3 2 3 3 3" xfId="26153" xr:uid="{00000000-0005-0000-0000-000060070000}"/>
    <cellStyle name="Calculation 5 2 3 2 3 3 4" xfId="27670" xr:uid="{00000000-0005-0000-0000-000061070000}"/>
    <cellStyle name="Calculation 5 2 3 2 3 4" xfId="16077" xr:uid="{00000000-0005-0000-0000-000062070000}"/>
    <cellStyle name="Calculation 5 2 3 2 3 5" xfId="23469" xr:uid="{00000000-0005-0000-0000-000063070000}"/>
    <cellStyle name="Calculation 5 2 3 2 3 6" xfId="22600" xr:uid="{00000000-0005-0000-0000-000064070000}"/>
    <cellStyle name="Calculation 5 2 3 2 4" xfId="7075" xr:uid="{00000000-0005-0000-0000-000065070000}"/>
    <cellStyle name="Calculation 5 2 3 2 4 2" xfId="17972" xr:uid="{00000000-0005-0000-0000-000066070000}"/>
    <cellStyle name="Calculation 5 2 3 2 4 3" xfId="24070" xr:uid="{00000000-0005-0000-0000-000067070000}"/>
    <cellStyle name="Calculation 5 2 3 2 4 4" xfId="24232" xr:uid="{00000000-0005-0000-0000-000068070000}"/>
    <cellStyle name="Calculation 5 2 3 2 5" xfId="10458" xr:uid="{00000000-0005-0000-0000-000069070000}"/>
    <cellStyle name="Calculation 5 2 3 2 5 2" xfId="21355" xr:uid="{00000000-0005-0000-0000-00006A070000}"/>
    <cellStyle name="Calculation 5 2 3 2 5 3" xfId="25485" xr:uid="{00000000-0005-0000-0000-00006B070000}"/>
    <cellStyle name="Calculation 5 2 3 2 5 4" xfId="27002" xr:uid="{00000000-0005-0000-0000-00006C070000}"/>
    <cellStyle name="Calculation 5 2 3 2 6" xfId="13041" xr:uid="{00000000-0005-0000-0000-00006D070000}"/>
    <cellStyle name="Calculation 5 2 3 2 7" xfId="24178" xr:uid="{00000000-0005-0000-0000-00006E070000}"/>
    <cellStyle name="Calculation 5 2 3 3" xfId="3291" xr:uid="{00000000-0005-0000-0000-00006F070000}"/>
    <cellStyle name="Calculation 5 2 3 3 2" xfId="8242" xr:uid="{00000000-0005-0000-0000-000070070000}"/>
    <cellStyle name="Calculation 5 2 3 3 2 2" xfId="19139" xr:uid="{00000000-0005-0000-0000-000071070000}"/>
    <cellStyle name="Calculation 5 2 3 3 2 3" xfId="24419" xr:uid="{00000000-0005-0000-0000-000072070000}"/>
    <cellStyle name="Calculation 5 2 3 3 2 4" xfId="22156" xr:uid="{00000000-0005-0000-0000-000073070000}"/>
    <cellStyle name="Calculation 5 2 3 3 3" xfId="10640" xr:uid="{00000000-0005-0000-0000-000074070000}"/>
    <cellStyle name="Calculation 5 2 3 3 3 2" xfId="21537" xr:uid="{00000000-0005-0000-0000-000075070000}"/>
    <cellStyle name="Calculation 5 2 3 3 3 3" xfId="25667" xr:uid="{00000000-0005-0000-0000-000076070000}"/>
    <cellStyle name="Calculation 5 2 3 3 3 4" xfId="27184" xr:uid="{00000000-0005-0000-0000-000077070000}"/>
    <cellStyle name="Calculation 5 2 3 3 4" xfId="14188" xr:uid="{00000000-0005-0000-0000-000078070000}"/>
    <cellStyle name="Calculation 5 2 3 3 5" xfId="22728" xr:uid="{00000000-0005-0000-0000-000079070000}"/>
    <cellStyle name="Calculation 5 2 3 3 6" xfId="23563" xr:uid="{00000000-0005-0000-0000-00007A070000}"/>
    <cellStyle name="Calculation 5 2 3 4" xfId="5021" xr:uid="{00000000-0005-0000-0000-00007B070000}"/>
    <cellStyle name="Calculation 5 2 3 4 2" xfId="9972" xr:uid="{00000000-0005-0000-0000-00007C070000}"/>
    <cellStyle name="Calculation 5 2 3 4 2 2" xfId="20869" xr:uid="{00000000-0005-0000-0000-00007D070000}"/>
    <cellStyle name="Calculation 5 2 3 4 2 3" xfId="24999" xr:uid="{00000000-0005-0000-0000-00007E070000}"/>
    <cellStyle name="Calculation 5 2 3 4 2 4" xfId="26516" xr:uid="{00000000-0005-0000-0000-00007F070000}"/>
    <cellStyle name="Calculation 5 2 3 4 3" xfId="10967" xr:uid="{00000000-0005-0000-0000-000080070000}"/>
    <cellStyle name="Calculation 5 2 3 4 3 2" xfId="21864" xr:uid="{00000000-0005-0000-0000-000081070000}"/>
    <cellStyle name="Calculation 5 2 3 4 3 3" xfId="25994" xr:uid="{00000000-0005-0000-0000-000082070000}"/>
    <cellStyle name="Calculation 5 2 3 4 3 4" xfId="27511" xr:uid="{00000000-0005-0000-0000-000083070000}"/>
    <cellStyle name="Calculation 5 2 3 4 4" xfId="15918" xr:uid="{00000000-0005-0000-0000-000084070000}"/>
    <cellStyle name="Calculation 5 2 3 4 5" xfId="23310" xr:uid="{00000000-0005-0000-0000-000085070000}"/>
    <cellStyle name="Calculation 5 2 3 4 6" xfId="24487" xr:uid="{00000000-0005-0000-0000-000086070000}"/>
    <cellStyle name="Calculation 5 2 3 5" xfId="5930" xr:uid="{00000000-0005-0000-0000-000087070000}"/>
    <cellStyle name="Calculation 5 2 3 5 2" xfId="16827" xr:uid="{00000000-0005-0000-0000-000088070000}"/>
    <cellStyle name="Calculation 5 2 3 5 3" xfId="23741" xr:uid="{00000000-0005-0000-0000-000089070000}"/>
    <cellStyle name="Calculation 5 2 3 5 4" xfId="24097" xr:uid="{00000000-0005-0000-0000-00008A070000}"/>
    <cellStyle name="Calculation 5 2 3 6" xfId="10299" xr:uid="{00000000-0005-0000-0000-00008B070000}"/>
    <cellStyle name="Calculation 5 2 3 6 2" xfId="21196" xr:uid="{00000000-0005-0000-0000-00008C070000}"/>
    <cellStyle name="Calculation 5 2 3 6 3" xfId="25326" xr:uid="{00000000-0005-0000-0000-00008D070000}"/>
    <cellStyle name="Calculation 5 2 3 6 4" xfId="26843" xr:uid="{00000000-0005-0000-0000-00008E070000}"/>
    <cellStyle name="Calculation 5 2 3 7" xfId="11923" xr:uid="{00000000-0005-0000-0000-00008F070000}"/>
    <cellStyle name="Calculation 5 2 3 8" xfId="22260" xr:uid="{00000000-0005-0000-0000-000090070000}"/>
    <cellStyle name="Calculation 5 2 4" xfId="1362" xr:uid="{00000000-0005-0000-0000-000091070000}"/>
    <cellStyle name="Calculation 5 2 4 2" xfId="3686" xr:uid="{00000000-0005-0000-0000-000092070000}"/>
    <cellStyle name="Calculation 5 2 4 2 2" xfId="8637" xr:uid="{00000000-0005-0000-0000-000093070000}"/>
    <cellStyle name="Calculation 5 2 4 2 2 2" xfId="19534" xr:uid="{00000000-0005-0000-0000-000094070000}"/>
    <cellStyle name="Calculation 5 2 4 2 2 3" xfId="24531" xr:uid="{00000000-0005-0000-0000-000095070000}"/>
    <cellStyle name="Calculation 5 2 4 2 2 4" xfId="26249" xr:uid="{00000000-0005-0000-0000-000096070000}"/>
    <cellStyle name="Calculation 5 2 4 2 3" xfId="10700" xr:uid="{00000000-0005-0000-0000-000097070000}"/>
    <cellStyle name="Calculation 5 2 4 2 3 2" xfId="21597" xr:uid="{00000000-0005-0000-0000-000098070000}"/>
    <cellStyle name="Calculation 5 2 4 2 3 3" xfId="25727" xr:uid="{00000000-0005-0000-0000-000099070000}"/>
    <cellStyle name="Calculation 5 2 4 2 3 4" xfId="27244" xr:uid="{00000000-0005-0000-0000-00009A070000}"/>
    <cellStyle name="Calculation 5 2 4 2 4" xfId="14583" xr:uid="{00000000-0005-0000-0000-00009B070000}"/>
    <cellStyle name="Calculation 5 2 4 2 5" xfId="22843" xr:uid="{00000000-0005-0000-0000-00009C070000}"/>
    <cellStyle name="Calculation 5 2 4 2 6" xfId="24720" xr:uid="{00000000-0005-0000-0000-00009D070000}"/>
    <cellStyle name="Calculation 5 2 4 3" xfId="5081" xr:uid="{00000000-0005-0000-0000-00009E070000}"/>
    <cellStyle name="Calculation 5 2 4 3 2" xfId="10032" xr:uid="{00000000-0005-0000-0000-00009F070000}"/>
    <cellStyle name="Calculation 5 2 4 3 2 2" xfId="20929" xr:uid="{00000000-0005-0000-0000-0000A0070000}"/>
    <cellStyle name="Calculation 5 2 4 3 2 3" xfId="25059" xr:uid="{00000000-0005-0000-0000-0000A1070000}"/>
    <cellStyle name="Calculation 5 2 4 3 2 4" xfId="26576" xr:uid="{00000000-0005-0000-0000-0000A2070000}"/>
    <cellStyle name="Calculation 5 2 4 3 3" xfId="11027" xr:uid="{00000000-0005-0000-0000-0000A3070000}"/>
    <cellStyle name="Calculation 5 2 4 3 3 2" xfId="21924" xr:uid="{00000000-0005-0000-0000-0000A4070000}"/>
    <cellStyle name="Calculation 5 2 4 3 3 3" xfId="26054" xr:uid="{00000000-0005-0000-0000-0000A5070000}"/>
    <cellStyle name="Calculation 5 2 4 3 3 4" xfId="27571" xr:uid="{00000000-0005-0000-0000-0000A6070000}"/>
    <cellStyle name="Calculation 5 2 4 3 4" xfId="15978" xr:uid="{00000000-0005-0000-0000-0000A7070000}"/>
    <cellStyle name="Calculation 5 2 4 3 5" xfId="23370" xr:uid="{00000000-0005-0000-0000-0000A8070000}"/>
    <cellStyle name="Calculation 5 2 4 3 6" xfId="23658" xr:uid="{00000000-0005-0000-0000-0000A9070000}"/>
    <cellStyle name="Calculation 5 2 4 4" xfId="6325" xr:uid="{00000000-0005-0000-0000-0000AA070000}"/>
    <cellStyle name="Calculation 5 2 4 4 2" xfId="17222" xr:uid="{00000000-0005-0000-0000-0000AB070000}"/>
    <cellStyle name="Calculation 5 2 4 4 3" xfId="23856" xr:uid="{00000000-0005-0000-0000-0000AC070000}"/>
    <cellStyle name="Calculation 5 2 4 4 4" xfId="22910" xr:uid="{00000000-0005-0000-0000-0000AD070000}"/>
    <cellStyle name="Calculation 5 2 4 5" xfId="10359" xr:uid="{00000000-0005-0000-0000-0000AE070000}"/>
    <cellStyle name="Calculation 5 2 4 5 2" xfId="21256" xr:uid="{00000000-0005-0000-0000-0000AF070000}"/>
    <cellStyle name="Calculation 5 2 4 5 3" xfId="25386" xr:uid="{00000000-0005-0000-0000-0000B0070000}"/>
    <cellStyle name="Calculation 5 2 4 5 4" xfId="26903" xr:uid="{00000000-0005-0000-0000-0000B1070000}"/>
    <cellStyle name="Calculation 5 2 4 6" xfId="12310" xr:uid="{00000000-0005-0000-0000-0000B2070000}"/>
    <cellStyle name="Calculation 5 2 4 7" xfId="22497" xr:uid="{00000000-0005-0000-0000-0000B3070000}"/>
    <cellStyle name="Calculation 5 2 5" xfId="2759" xr:uid="{00000000-0005-0000-0000-0000B4070000}"/>
    <cellStyle name="Calculation 5 2 5 2" xfId="7710" xr:uid="{00000000-0005-0000-0000-0000B5070000}"/>
    <cellStyle name="Calculation 5 2 5 2 2" xfId="18607" xr:uid="{00000000-0005-0000-0000-0000B6070000}"/>
    <cellStyle name="Calculation 5 2 5 2 3" xfId="24273" xr:uid="{00000000-0005-0000-0000-0000B7070000}"/>
    <cellStyle name="Calculation 5 2 5 2 4" xfId="22410" xr:uid="{00000000-0005-0000-0000-0000B8070000}"/>
    <cellStyle name="Calculation 5 2 5 3" xfId="10560" xr:uid="{00000000-0005-0000-0000-0000B9070000}"/>
    <cellStyle name="Calculation 5 2 5 3 2" xfId="21457" xr:uid="{00000000-0005-0000-0000-0000BA070000}"/>
    <cellStyle name="Calculation 5 2 5 3 3" xfId="25587" xr:uid="{00000000-0005-0000-0000-0000BB070000}"/>
    <cellStyle name="Calculation 5 2 5 3 4" xfId="27104" xr:uid="{00000000-0005-0000-0000-0000BC070000}"/>
    <cellStyle name="Calculation 5 2 5 4" xfId="13656" xr:uid="{00000000-0005-0000-0000-0000BD070000}"/>
    <cellStyle name="Calculation 5 2 5 5" xfId="22573" xr:uid="{00000000-0005-0000-0000-0000BE070000}"/>
    <cellStyle name="Calculation 5 2 5 6" xfId="22203" xr:uid="{00000000-0005-0000-0000-0000BF070000}"/>
    <cellStyle name="Calculation 5 2 6" xfId="4941" xr:uid="{00000000-0005-0000-0000-0000C0070000}"/>
    <cellStyle name="Calculation 5 2 6 2" xfId="9892" xr:uid="{00000000-0005-0000-0000-0000C1070000}"/>
    <cellStyle name="Calculation 5 2 6 2 2" xfId="20789" xr:uid="{00000000-0005-0000-0000-0000C2070000}"/>
    <cellStyle name="Calculation 5 2 6 2 3" xfId="24919" xr:uid="{00000000-0005-0000-0000-0000C3070000}"/>
    <cellStyle name="Calculation 5 2 6 2 4" xfId="26436" xr:uid="{00000000-0005-0000-0000-0000C4070000}"/>
    <cellStyle name="Calculation 5 2 6 3" xfId="10887" xr:uid="{00000000-0005-0000-0000-0000C5070000}"/>
    <cellStyle name="Calculation 5 2 6 3 2" xfId="21784" xr:uid="{00000000-0005-0000-0000-0000C6070000}"/>
    <cellStyle name="Calculation 5 2 6 3 3" xfId="25914" xr:uid="{00000000-0005-0000-0000-0000C7070000}"/>
    <cellStyle name="Calculation 5 2 6 3 4" xfId="27431" xr:uid="{00000000-0005-0000-0000-0000C8070000}"/>
    <cellStyle name="Calculation 5 2 6 4" xfId="15838" xr:uid="{00000000-0005-0000-0000-0000C9070000}"/>
    <cellStyle name="Calculation 5 2 6 5" xfId="23230" xr:uid="{00000000-0005-0000-0000-0000CA070000}"/>
    <cellStyle name="Calculation 5 2 6 6" xfId="22300" xr:uid="{00000000-0005-0000-0000-0000CB070000}"/>
    <cellStyle name="Calculation 5 2 7" xfId="5398" xr:uid="{00000000-0005-0000-0000-0000CC070000}"/>
    <cellStyle name="Calculation 5 2 7 2" xfId="16295" xr:uid="{00000000-0005-0000-0000-0000CD070000}"/>
    <cellStyle name="Calculation 5 2 7 3" xfId="23592" xr:uid="{00000000-0005-0000-0000-0000CE070000}"/>
    <cellStyle name="Calculation 5 2 7 4" xfId="11273" xr:uid="{00000000-0005-0000-0000-0000CF070000}"/>
    <cellStyle name="Calculation 5 2 8" xfId="10219" xr:uid="{00000000-0005-0000-0000-0000D0070000}"/>
    <cellStyle name="Calculation 5 2 8 2" xfId="21116" xr:uid="{00000000-0005-0000-0000-0000D1070000}"/>
    <cellStyle name="Calculation 5 2 8 3" xfId="25246" xr:uid="{00000000-0005-0000-0000-0000D2070000}"/>
    <cellStyle name="Calculation 5 2 8 4" xfId="26763" xr:uid="{00000000-0005-0000-0000-0000D3070000}"/>
    <cellStyle name="Calculation 5 2 9" xfId="11400" xr:uid="{00000000-0005-0000-0000-0000D4070000}"/>
    <cellStyle name="Calculation 5 3" xfId="567" xr:uid="{00000000-0005-0000-0000-0000D5070000}"/>
    <cellStyle name="Calculation 5 3 2" xfId="1099" xr:uid="{00000000-0005-0000-0000-0000D6070000}"/>
    <cellStyle name="Calculation 5 3 2 2" xfId="2256" xr:uid="{00000000-0005-0000-0000-0000D7070000}"/>
    <cellStyle name="Calculation 5 3 2 2 2" xfId="4568" xr:uid="{00000000-0005-0000-0000-0000D8070000}"/>
    <cellStyle name="Calculation 5 3 2 2 2 2" xfId="9519" xr:uid="{00000000-0005-0000-0000-0000D9070000}"/>
    <cellStyle name="Calculation 5 3 2 2 2 2 2" xfId="20416" xr:uid="{00000000-0005-0000-0000-0000DA070000}"/>
    <cellStyle name="Calculation 5 3 2 2 2 2 3" xfId="24783" xr:uid="{00000000-0005-0000-0000-0000DB070000}"/>
    <cellStyle name="Calculation 5 3 2 2 2 2 4" xfId="26368" xr:uid="{00000000-0005-0000-0000-0000DC070000}"/>
    <cellStyle name="Calculation 5 3 2 2 2 3" xfId="10819" xr:uid="{00000000-0005-0000-0000-0000DD070000}"/>
    <cellStyle name="Calculation 5 3 2 2 2 3 2" xfId="21716" xr:uid="{00000000-0005-0000-0000-0000DE070000}"/>
    <cellStyle name="Calculation 5 3 2 2 2 3 3" xfId="25846" xr:uid="{00000000-0005-0000-0000-0000DF070000}"/>
    <cellStyle name="Calculation 5 3 2 2 2 3 4" xfId="27363" xr:uid="{00000000-0005-0000-0000-0000E0070000}"/>
    <cellStyle name="Calculation 5 3 2 2 2 4" xfId="15465" xr:uid="{00000000-0005-0000-0000-0000E1070000}"/>
    <cellStyle name="Calculation 5 3 2 2 2 5" xfId="23095" xr:uid="{00000000-0005-0000-0000-0000E2070000}"/>
    <cellStyle name="Calculation 5 3 2 2 2 6" xfId="23771" xr:uid="{00000000-0005-0000-0000-0000E3070000}"/>
    <cellStyle name="Calculation 5 3 2 2 3" xfId="5199" xr:uid="{00000000-0005-0000-0000-0000E4070000}"/>
    <cellStyle name="Calculation 5 3 2 2 3 2" xfId="10150" xr:uid="{00000000-0005-0000-0000-0000E5070000}"/>
    <cellStyle name="Calculation 5 3 2 2 3 2 2" xfId="21047" xr:uid="{00000000-0005-0000-0000-0000E6070000}"/>
    <cellStyle name="Calculation 5 3 2 2 3 2 3" xfId="25177" xr:uid="{00000000-0005-0000-0000-0000E7070000}"/>
    <cellStyle name="Calculation 5 3 2 2 3 2 4" xfId="26694" xr:uid="{00000000-0005-0000-0000-0000E8070000}"/>
    <cellStyle name="Calculation 5 3 2 2 3 3" xfId="11145" xr:uid="{00000000-0005-0000-0000-0000E9070000}"/>
    <cellStyle name="Calculation 5 3 2 2 3 3 2" xfId="22042" xr:uid="{00000000-0005-0000-0000-0000EA070000}"/>
    <cellStyle name="Calculation 5 3 2 2 3 3 3" xfId="26172" xr:uid="{00000000-0005-0000-0000-0000EB070000}"/>
    <cellStyle name="Calculation 5 3 2 2 3 3 4" xfId="27689" xr:uid="{00000000-0005-0000-0000-0000EC070000}"/>
    <cellStyle name="Calculation 5 3 2 2 3 4" xfId="16096" xr:uid="{00000000-0005-0000-0000-0000ED070000}"/>
    <cellStyle name="Calculation 5 3 2 2 3 5" xfId="23488" xr:uid="{00000000-0005-0000-0000-0000EE070000}"/>
    <cellStyle name="Calculation 5 3 2 2 3 6" xfId="22376" xr:uid="{00000000-0005-0000-0000-0000EF070000}"/>
    <cellStyle name="Calculation 5 3 2 2 4" xfId="7207" xr:uid="{00000000-0005-0000-0000-0000F0070000}"/>
    <cellStyle name="Calculation 5 3 2 2 4 2" xfId="18104" xr:uid="{00000000-0005-0000-0000-0000F1070000}"/>
    <cellStyle name="Calculation 5 3 2 2 4 3" xfId="24109" xr:uid="{00000000-0005-0000-0000-0000F2070000}"/>
    <cellStyle name="Calculation 5 3 2 2 4 4" xfId="22928" xr:uid="{00000000-0005-0000-0000-0000F3070000}"/>
    <cellStyle name="Calculation 5 3 2 2 5" xfId="10477" xr:uid="{00000000-0005-0000-0000-0000F4070000}"/>
    <cellStyle name="Calculation 5 3 2 2 5 2" xfId="21374" xr:uid="{00000000-0005-0000-0000-0000F5070000}"/>
    <cellStyle name="Calculation 5 3 2 2 5 3" xfId="25504" xr:uid="{00000000-0005-0000-0000-0000F6070000}"/>
    <cellStyle name="Calculation 5 3 2 2 5 4" xfId="27021" xr:uid="{00000000-0005-0000-0000-0000F7070000}"/>
    <cellStyle name="Calculation 5 3 2 2 6" xfId="13171" xr:uid="{00000000-0005-0000-0000-0000F8070000}"/>
    <cellStyle name="Calculation 5 3 2 2 7" xfId="22473" xr:uid="{00000000-0005-0000-0000-0000F9070000}"/>
    <cellStyle name="Calculation 5 3 2 3" xfId="3423" xr:uid="{00000000-0005-0000-0000-0000FA070000}"/>
    <cellStyle name="Calculation 5 3 2 3 2" xfId="8374" xr:uid="{00000000-0005-0000-0000-0000FB070000}"/>
    <cellStyle name="Calculation 5 3 2 3 2 2" xfId="19271" xr:uid="{00000000-0005-0000-0000-0000FC070000}"/>
    <cellStyle name="Calculation 5 3 2 3 2 3" xfId="24459" xr:uid="{00000000-0005-0000-0000-0000FD070000}"/>
    <cellStyle name="Calculation 5 3 2 3 2 4" xfId="13297" xr:uid="{00000000-0005-0000-0000-0000FE070000}"/>
    <cellStyle name="Calculation 5 3 2 3 3" xfId="10659" xr:uid="{00000000-0005-0000-0000-0000FF070000}"/>
    <cellStyle name="Calculation 5 3 2 3 3 2" xfId="21556" xr:uid="{00000000-0005-0000-0000-000000080000}"/>
    <cellStyle name="Calculation 5 3 2 3 3 3" xfId="25686" xr:uid="{00000000-0005-0000-0000-000001080000}"/>
    <cellStyle name="Calculation 5 3 2 3 3 4" xfId="27203" xr:uid="{00000000-0005-0000-0000-000002080000}"/>
    <cellStyle name="Calculation 5 3 2 3 4" xfId="14320" xr:uid="{00000000-0005-0000-0000-000003080000}"/>
    <cellStyle name="Calculation 5 3 2 3 5" xfId="22768" xr:uid="{00000000-0005-0000-0000-000004080000}"/>
    <cellStyle name="Calculation 5 3 2 3 6" xfId="24620" xr:uid="{00000000-0005-0000-0000-000005080000}"/>
    <cellStyle name="Calculation 5 3 2 4" xfId="5040" xr:uid="{00000000-0005-0000-0000-000006080000}"/>
    <cellStyle name="Calculation 5 3 2 4 2" xfId="9991" xr:uid="{00000000-0005-0000-0000-000007080000}"/>
    <cellStyle name="Calculation 5 3 2 4 2 2" xfId="20888" xr:uid="{00000000-0005-0000-0000-000008080000}"/>
    <cellStyle name="Calculation 5 3 2 4 2 3" xfId="25018" xr:uid="{00000000-0005-0000-0000-000009080000}"/>
    <cellStyle name="Calculation 5 3 2 4 2 4" xfId="26535" xr:uid="{00000000-0005-0000-0000-00000A080000}"/>
    <cellStyle name="Calculation 5 3 2 4 3" xfId="10986" xr:uid="{00000000-0005-0000-0000-00000B080000}"/>
    <cellStyle name="Calculation 5 3 2 4 3 2" xfId="21883" xr:uid="{00000000-0005-0000-0000-00000C080000}"/>
    <cellStyle name="Calculation 5 3 2 4 3 3" xfId="26013" xr:uid="{00000000-0005-0000-0000-00000D080000}"/>
    <cellStyle name="Calculation 5 3 2 4 3 4" xfId="27530" xr:uid="{00000000-0005-0000-0000-00000E080000}"/>
    <cellStyle name="Calculation 5 3 2 4 4" xfId="15937" xr:uid="{00000000-0005-0000-0000-00000F080000}"/>
    <cellStyle name="Calculation 5 3 2 4 5" xfId="23329" xr:uid="{00000000-0005-0000-0000-000010080000}"/>
    <cellStyle name="Calculation 5 3 2 4 6" xfId="24768" xr:uid="{00000000-0005-0000-0000-000011080000}"/>
    <cellStyle name="Calculation 5 3 2 5" xfId="6062" xr:uid="{00000000-0005-0000-0000-000012080000}"/>
    <cellStyle name="Calculation 5 3 2 5 2" xfId="16959" xr:uid="{00000000-0005-0000-0000-000013080000}"/>
    <cellStyle name="Calculation 5 3 2 5 3" xfId="23783" xr:uid="{00000000-0005-0000-0000-000014080000}"/>
    <cellStyle name="Calculation 5 3 2 5 4" xfId="23687" xr:uid="{00000000-0005-0000-0000-000015080000}"/>
    <cellStyle name="Calculation 5 3 2 6" xfId="10318" xr:uid="{00000000-0005-0000-0000-000016080000}"/>
    <cellStyle name="Calculation 5 3 2 6 2" xfId="21215" xr:uid="{00000000-0005-0000-0000-000017080000}"/>
    <cellStyle name="Calculation 5 3 2 6 3" xfId="25345" xr:uid="{00000000-0005-0000-0000-000018080000}"/>
    <cellStyle name="Calculation 5 3 2 6 4" xfId="26862" xr:uid="{00000000-0005-0000-0000-000019080000}"/>
    <cellStyle name="Calculation 5 3 2 7" xfId="12053" xr:uid="{00000000-0005-0000-0000-00001A080000}"/>
    <cellStyle name="Calculation 5 3 2 8" xfId="22284" xr:uid="{00000000-0005-0000-0000-00001B080000}"/>
    <cellStyle name="Calculation 5 3 3" xfId="1381" xr:uid="{00000000-0005-0000-0000-00001C080000}"/>
    <cellStyle name="Calculation 5 3 3 2" xfId="3705" xr:uid="{00000000-0005-0000-0000-00001D080000}"/>
    <cellStyle name="Calculation 5 3 3 2 2" xfId="8656" xr:uid="{00000000-0005-0000-0000-00001E080000}"/>
    <cellStyle name="Calculation 5 3 3 2 2 2" xfId="19553" xr:uid="{00000000-0005-0000-0000-00001F080000}"/>
    <cellStyle name="Calculation 5 3 3 2 2 3" xfId="24550" xr:uid="{00000000-0005-0000-0000-000020080000}"/>
    <cellStyle name="Calculation 5 3 3 2 2 4" xfId="26268" xr:uid="{00000000-0005-0000-0000-000021080000}"/>
    <cellStyle name="Calculation 5 3 3 2 3" xfId="10719" xr:uid="{00000000-0005-0000-0000-000022080000}"/>
    <cellStyle name="Calculation 5 3 3 2 3 2" xfId="21616" xr:uid="{00000000-0005-0000-0000-000023080000}"/>
    <cellStyle name="Calculation 5 3 3 2 3 3" xfId="25746" xr:uid="{00000000-0005-0000-0000-000024080000}"/>
    <cellStyle name="Calculation 5 3 3 2 3 4" xfId="27263" xr:uid="{00000000-0005-0000-0000-000025080000}"/>
    <cellStyle name="Calculation 5 3 3 2 4" xfId="14602" xr:uid="{00000000-0005-0000-0000-000026080000}"/>
    <cellStyle name="Calculation 5 3 3 2 5" xfId="22862" xr:uid="{00000000-0005-0000-0000-000027080000}"/>
    <cellStyle name="Calculation 5 3 3 2 6" xfId="22130" xr:uid="{00000000-0005-0000-0000-000028080000}"/>
    <cellStyle name="Calculation 5 3 3 3" xfId="5100" xr:uid="{00000000-0005-0000-0000-000029080000}"/>
    <cellStyle name="Calculation 5 3 3 3 2" xfId="10051" xr:uid="{00000000-0005-0000-0000-00002A080000}"/>
    <cellStyle name="Calculation 5 3 3 3 2 2" xfId="20948" xr:uid="{00000000-0005-0000-0000-00002B080000}"/>
    <cellStyle name="Calculation 5 3 3 3 2 3" xfId="25078" xr:uid="{00000000-0005-0000-0000-00002C080000}"/>
    <cellStyle name="Calculation 5 3 3 3 2 4" xfId="26595" xr:uid="{00000000-0005-0000-0000-00002D080000}"/>
    <cellStyle name="Calculation 5 3 3 3 3" xfId="11046" xr:uid="{00000000-0005-0000-0000-00002E080000}"/>
    <cellStyle name="Calculation 5 3 3 3 3 2" xfId="21943" xr:uid="{00000000-0005-0000-0000-00002F080000}"/>
    <cellStyle name="Calculation 5 3 3 3 3 3" xfId="26073" xr:uid="{00000000-0005-0000-0000-000030080000}"/>
    <cellStyle name="Calculation 5 3 3 3 3 4" xfId="27590" xr:uid="{00000000-0005-0000-0000-000031080000}"/>
    <cellStyle name="Calculation 5 3 3 3 4" xfId="15997" xr:uid="{00000000-0005-0000-0000-000032080000}"/>
    <cellStyle name="Calculation 5 3 3 3 5" xfId="23389" xr:uid="{00000000-0005-0000-0000-000033080000}"/>
    <cellStyle name="Calculation 5 3 3 3 6" xfId="23979" xr:uid="{00000000-0005-0000-0000-000034080000}"/>
    <cellStyle name="Calculation 5 3 3 4" xfId="6344" xr:uid="{00000000-0005-0000-0000-000035080000}"/>
    <cellStyle name="Calculation 5 3 3 4 2" xfId="17241" xr:uid="{00000000-0005-0000-0000-000036080000}"/>
    <cellStyle name="Calculation 5 3 3 4 3" xfId="23875" xr:uid="{00000000-0005-0000-0000-000037080000}"/>
    <cellStyle name="Calculation 5 3 3 4 4" xfId="23195" xr:uid="{00000000-0005-0000-0000-000038080000}"/>
    <cellStyle name="Calculation 5 3 3 5" xfId="10378" xr:uid="{00000000-0005-0000-0000-000039080000}"/>
    <cellStyle name="Calculation 5 3 3 5 2" xfId="21275" xr:uid="{00000000-0005-0000-0000-00003A080000}"/>
    <cellStyle name="Calculation 5 3 3 5 3" xfId="25405" xr:uid="{00000000-0005-0000-0000-00003B080000}"/>
    <cellStyle name="Calculation 5 3 3 5 4" xfId="26922" xr:uid="{00000000-0005-0000-0000-00003C080000}"/>
    <cellStyle name="Calculation 5 3 3 6" xfId="12327" xr:uid="{00000000-0005-0000-0000-00003D080000}"/>
    <cellStyle name="Calculation 5 3 3 7" xfId="24587" xr:uid="{00000000-0005-0000-0000-00003E080000}"/>
    <cellStyle name="Calculation 5 3 4" xfId="2891" xr:uid="{00000000-0005-0000-0000-00003F080000}"/>
    <cellStyle name="Calculation 5 3 4 2" xfId="7842" xr:uid="{00000000-0005-0000-0000-000040080000}"/>
    <cellStyle name="Calculation 5 3 4 2 2" xfId="18739" xr:uid="{00000000-0005-0000-0000-000041080000}"/>
    <cellStyle name="Calculation 5 3 4 2 3" xfId="24307" xr:uid="{00000000-0005-0000-0000-000042080000}"/>
    <cellStyle name="Calculation 5 3 4 2 4" xfId="22670" xr:uid="{00000000-0005-0000-0000-000043080000}"/>
    <cellStyle name="Calculation 5 3 4 3" xfId="10579" xr:uid="{00000000-0005-0000-0000-000044080000}"/>
    <cellStyle name="Calculation 5 3 4 3 2" xfId="21476" xr:uid="{00000000-0005-0000-0000-000045080000}"/>
    <cellStyle name="Calculation 5 3 4 3 3" xfId="25606" xr:uid="{00000000-0005-0000-0000-000046080000}"/>
    <cellStyle name="Calculation 5 3 4 3 4" xfId="27123" xr:uid="{00000000-0005-0000-0000-000047080000}"/>
    <cellStyle name="Calculation 5 3 4 4" xfId="13788" xr:uid="{00000000-0005-0000-0000-000048080000}"/>
    <cellStyle name="Calculation 5 3 4 5" xfId="22609" xr:uid="{00000000-0005-0000-0000-000049080000}"/>
    <cellStyle name="Calculation 5 3 4 6" xfId="24018" xr:uid="{00000000-0005-0000-0000-00004A080000}"/>
    <cellStyle name="Calculation 5 3 5" xfId="4960" xr:uid="{00000000-0005-0000-0000-00004B080000}"/>
    <cellStyle name="Calculation 5 3 5 2" xfId="9911" xr:uid="{00000000-0005-0000-0000-00004C080000}"/>
    <cellStyle name="Calculation 5 3 5 2 2" xfId="20808" xr:uid="{00000000-0005-0000-0000-00004D080000}"/>
    <cellStyle name="Calculation 5 3 5 2 3" xfId="24938" xr:uid="{00000000-0005-0000-0000-00004E080000}"/>
    <cellStyle name="Calculation 5 3 5 2 4" xfId="26455" xr:uid="{00000000-0005-0000-0000-00004F080000}"/>
    <cellStyle name="Calculation 5 3 5 3" xfId="10906" xr:uid="{00000000-0005-0000-0000-000050080000}"/>
    <cellStyle name="Calculation 5 3 5 3 2" xfId="21803" xr:uid="{00000000-0005-0000-0000-000051080000}"/>
    <cellStyle name="Calculation 5 3 5 3 3" xfId="25933" xr:uid="{00000000-0005-0000-0000-000052080000}"/>
    <cellStyle name="Calculation 5 3 5 3 4" xfId="27450" xr:uid="{00000000-0005-0000-0000-000053080000}"/>
    <cellStyle name="Calculation 5 3 5 4" xfId="15857" xr:uid="{00000000-0005-0000-0000-000054080000}"/>
    <cellStyle name="Calculation 5 3 5 5" xfId="23249" xr:uid="{00000000-0005-0000-0000-000055080000}"/>
    <cellStyle name="Calculation 5 3 5 6" xfId="24117" xr:uid="{00000000-0005-0000-0000-000056080000}"/>
    <cellStyle name="Calculation 5 3 6" xfId="5530" xr:uid="{00000000-0005-0000-0000-000057080000}"/>
    <cellStyle name="Calculation 5 3 6 2" xfId="16427" xr:uid="{00000000-0005-0000-0000-000058080000}"/>
    <cellStyle name="Calculation 5 3 6 3" xfId="23627" xr:uid="{00000000-0005-0000-0000-000059080000}"/>
    <cellStyle name="Calculation 5 3 6 4" xfId="11277" xr:uid="{00000000-0005-0000-0000-00005A080000}"/>
    <cellStyle name="Calculation 5 3 7" xfId="10238" xr:uid="{00000000-0005-0000-0000-00005B080000}"/>
    <cellStyle name="Calculation 5 3 7 2" xfId="21135" xr:uid="{00000000-0005-0000-0000-00005C080000}"/>
    <cellStyle name="Calculation 5 3 7 3" xfId="25265" xr:uid="{00000000-0005-0000-0000-00005D080000}"/>
    <cellStyle name="Calculation 5 3 7 4" xfId="26782" xr:uid="{00000000-0005-0000-0000-00005E080000}"/>
    <cellStyle name="Calculation 5 3 8" xfId="11532" xr:uid="{00000000-0005-0000-0000-00005F080000}"/>
    <cellStyle name="Calculation 5 3 9" xfId="23156" xr:uid="{00000000-0005-0000-0000-000060080000}"/>
    <cellStyle name="Calculation 5 4" xfId="834" xr:uid="{00000000-0005-0000-0000-000061080000}"/>
    <cellStyle name="Calculation 5 4 2" xfId="1991" xr:uid="{00000000-0005-0000-0000-000062080000}"/>
    <cellStyle name="Calculation 5 4 2 2" xfId="4303" xr:uid="{00000000-0005-0000-0000-000063080000}"/>
    <cellStyle name="Calculation 5 4 2 2 2" xfId="9254" xr:uid="{00000000-0005-0000-0000-000064080000}"/>
    <cellStyle name="Calculation 5 4 2 2 2 2" xfId="20151" xr:uid="{00000000-0005-0000-0000-000065080000}"/>
    <cellStyle name="Calculation 5 4 2 2 2 3" xfId="24710" xr:uid="{00000000-0005-0000-0000-000066080000}"/>
    <cellStyle name="Calculation 5 4 2 2 2 4" xfId="26328" xr:uid="{00000000-0005-0000-0000-000067080000}"/>
    <cellStyle name="Calculation 5 4 2 2 3" xfId="10779" xr:uid="{00000000-0005-0000-0000-000068080000}"/>
    <cellStyle name="Calculation 5 4 2 2 3 2" xfId="21676" xr:uid="{00000000-0005-0000-0000-000069080000}"/>
    <cellStyle name="Calculation 5 4 2 2 3 3" xfId="25806" xr:uid="{00000000-0005-0000-0000-00006A080000}"/>
    <cellStyle name="Calculation 5 4 2 2 3 4" xfId="27323" xr:uid="{00000000-0005-0000-0000-00006B080000}"/>
    <cellStyle name="Calculation 5 4 2 2 4" xfId="15200" xr:uid="{00000000-0005-0000-0000-00006C080000}"/>
    <cellStyle name="Calculation 5 4 2 2 5" xfId="23021" xr:uid="{00000000-0005-0000-0000-00006D080000}"/>
    <cellStyle name="Calculation 5 4 2 2 6" xfId="23689" xr:uid="{00000000-0005-0000-0000-00006E080000}"/>
    <cellStyle name="Calculation 5 4 2 3" xfId="5159" xr:uid="{00000000-0005-0000-0000-00006F080000}"/>
    <cellStyle name="Calculation 5 4 2 3 2" xfId="10110" xr:uid="{00000000-0005-0000-0000-000070080000}"/>
    <cellStyle name="Calculation 5 4 2 3 2 2" xfId="21007" xr:uid="{00000000-0005-0000-0000-000071080000}"/>
    <cellStyle name="Calculation 5 4 2 3 2 3" xfId="25137" xr:uid="{00000000-0005-0000-0000-000072080000}"/>
    <cellStyle name="Calculation 5 4 2 3 2 4" xfId="26654" xr:uid="{00000000-0005-0000-0000-000073080000}"/>
    <cellStyle name="Calculation 5 4 2 3 3" xfId="11105" xr:uid="{00000000-0005-0000-0000-000074080000}"/>
    <cellStyle name="Calculation 5 4 2 3 3 2" xfId="22002" xr:uid="{00000000-0005-0000-0000-000075080000}"/>
    <cellStyle name="Calculation 5 4 2 3 3 3" xfId="26132" xr:uid="{00000000-0005-0000-0000-000076080000}"/>
    <cellStyle name="Calculation 5 4 2 3 3 4" xfId="27649" xr:uid="{00000000-0005-0000-0000-000077080000}"/>
    <cellStyle name="Calculation 5 4 2 3 4" xfId="16056" xr:uid="{00000000-0005-0000-0000-000078080000}"/>
    <cellStyle name="Calculation 5 4 2 3 5" xfId="23448" xr:uid="{00000000-0005-0000-0000-000079080000}"/>
    <cellStyle name="Calculation 5 4 2 3 6" xfId="23051" xr:uid="{00000000-0005-0000-0000-00007A080000}"/>
    <cellStyle name="Calculation 5 4 2 4" xfId="6942" xr:uid="{00000000-0005-0000-0000-00007B080000}"/>
    <cellStyle name="Calculation 5 4 2 4 2" xfId="17839" xr:uid="{00000000-0005-0000-0000-00007C080000}"/>
    <cellStyle name="Calculation 5 4 2 4 3" xfId="24032" xr:uid="{00000000-0005-0000-0000-00007D080000}"/>
    <cellStyle name="Calculation 5 4 2 4 4" xfId="22158" xr:uid="{00000000-0005-0000-0000-00007E080000}"/>
    <cellStyle name="Calculation 5 4 2 5" xfId="10437" xr:uid="{00000000-0005-0000-0000-00007F080000}"/>
    <cellStyle name="Calculation 5 4 2 5 2" xfId="21334" xr:uid="{00000000-0005-0000-0000-000080080000}"/>
    <cellStyle name="Calculation 5 4 2 5 3" xfId="25464" xr:uid="{00000000-0005-0000-0000-000081080000}"/>
    <cellStyle name="Calculation 5 4 2 5 4" xfId="26981" xr:uid="{00000000-0005-0000-0000-000082080000}"/>
    <cellStyle name="Calculation 5 4 2 6" xfId="12913" xr:uid="{00000000-0005-0000-0000-000083080000}"/>
    <cellStyle name="Calculation 5 4 2 7" xfId="23011" xr:uid="{00000000-0005-0000-0000-000084080000}"/>
    <cellStyle name="Calculation 5 4 3" xfId="3158" xr:uid="{00000000-0005-0000-0000-000085080000}"/>
    <cellStyle name="Calculation 5 4 3 2" xfId="8109" xr:uid="{00000000-0005-0000-0000-000086080000}"/>
    <cellStyle name="Calculation 5 4 3 2 2" xfId="19006" xr:uid="{00000000-0005-0000-0000-000087080000}"/>
    <cellStyle name="Calculation 5 4 3 2 3" xfId="24381" xr:uid="{00000000-0005-0000-0000-000088080000}"/>
    <cellStyle name="Calculation 5 4 3 2 4" xfId="22463" xr:uid="{00000000-0005-0000-0000-000089080000}"/>
    <cellStyle name="Calculation 5 4 3 3" xfId="10619" xr:uid="{00000000-0005-0000-0000-00008A080000}"/>
    <cellStyle name="Calculation 5 4 3 3 2" xfId="21516" xr:uid="{00000000-0005-0000-0000-00008B080000}"/>
    <cellStyle name="Calculation 5 4 3 3 3" xfId="25646" xr:uid="{00000000-0005-0000-0000-00008C080000}"/>
    <cellStyle name="Calculation 5 4 3 3 4" xfId="27163" xr:uid="{00000000-0005-0000-0000-00008D080000}"/>
    <cellStyle name="Calculation 5 4 3 4" xfId="14055" xr:uid="{00000000-0005-0000-0000-00008E080000}"/>
    <cellStyle name="Calculation 5 4 3 5" xfId="22688" xr:uid="{00000000-0005-0000-0000-00008F080000}"/>
    <cellStyle name="Calculation 5 4 3 6" xfId="22251" xr:uid="{00000000-0005-0000-0000-000090080000}"/>
    <cellStyle name="Calculation 5 4 4" xfId="5000" xr:uid="{00000000-0005-0000-0000-000091080000}"/>
    <cellStyle name="Calculation 5 4 4 2" xfId="9951" xr:uid="{00000000-0005-0000-0000-000092080000}"/>
    <cellStyle name="Calculation 5 4 4 2 2" xfId="20848" xr:uid="{00000000-0005-0000-0000-000093080000}"/>
    <cellStyle name="Calculation 5 4 4 2 3" xfId="24978" xr:uid="{00000000-0005-0000-0000-000094080000}"/>
    <cellStyle name="Calculation 5 4 4 2 4" xfId="26495" xr:uid="{00000000-0005-0000-0000-000095080000}"/>
    <cellStyle name="Calculation 5 4 4 3" xfId="10946" xr:uid="{00000000-0005-0000-0000-000096080000}"/>
    <cellStyle name="Calculation 5 4 4 3 2" xfId="21843" xr:uid="{00000000-0005-0000-0000-000097080000}"/>
    <cellStyle name="Calculation 5 4 4 3 3" xfId="25973" xr:uid="{00000000-0005-0000-0000-000098080000}"/>
    <cellStyle name="Calculation 5 4 4 3 4" xfId="27490" xr:uid="{00000000-0005-0000-0000-000099080000}"/>
    <cellStyle name="Calculation 5 4 4 4" xfId="15897" xr:uid="{00000000-0005-0000-0000-00009A080000}"/>
    <cellStyle name="Calculation 5 4 4 5" xfId="23289" xr:uid="{00000000-0005-0000-0000-00009B080000}"/>
    <cellStyle name="Calculation 5 4 4 6" xfId="22560" xr:uid="{00000000-0005-0000-0000-00009C080000}"/>
    <cellStyle name="Calculation 5 4 5" xfId="5797" xr:uid="{00000000-0005-0000-0000-00009D080000}"/>
    <cellStyle name="Calculation 5 4 5 2" xfId="16694" xr:uid="{00000000-0005-0000-0000-00009E080000}"/>
    <cellStyle name="Calculation 5 4 5 3" xfId="23703" xr:uid="{00000000-0005-0000-0000-00009F080000}"/>
    <cellStyle name="Calculation 5 4 5 4" xfId="24091" xr:uid="{00000000-0005-0000-0000-0000A0080000}"/>
    <cellStyle name="Calculation 5 4 6" xfId="10278" xr:uid="{00000000-0005-0000-0000-0000A1080000}"/>
    <cellStyle name="Calculation 5 4 6 2" xfId="21175" xr:uid="{00000000-0005-0000-0000-0000A2080000}"/>
    <cellStyle name="Calculation 5 4 6 3" xfId="25305" xr:uid="{00000000-0005-0000-0000-0000A3080000}"/>
    <cellStyle name="Calculation 5 4 6 4" xfId="26822" xr:uid="{00000000-0005-0000-0000-0000A4080000}"/>
    <cellStyle name="Calculation 5 4 7" xfId="11795" xr:uid="{00000000-0005-0000-0000-0000A5080000}"/>
    <cellStyle name="Calculation 5 4 8" xfId="23720" xr:uid="{00000000-0005-0000-0000-0000A6080000}"/>
    <cellStyle name="Calculation 5 5" xfId="2623" xr:uid="{00000000-0005-0000-0000-0000A7080000}"/>
    <cellStyle name="Calculation 5 5 2" xfId="7574" xr:uid="{00000000-0005-0000-0000-0000A8080000}"/>
    <cellStyle name="Calculation 5 5 2 2" xfId="18471" xr:uid="{00000000-0005-0000-0000-0000A9080000}"/>
    <cellStyle name="Calculation 5 5 2 3" xfId="24229" xr:uid="{00000000-0005-0000-0000-0000AA080000}"/>
    <cellStyle name="Calculation 5 5 2 4" xfId="22750" xr:uid="{00000000-0005-0000-0000-0000AB080000}"/>
    <cellStyle name="Calculation 5 5 3" xfId="10536" xr:uid="{00000000-0005-0000-0000-0000AC080000}"/>
    <cellStyle name="Calculation 5 5 3 2" xfId="21433" xr:uid="{00000000-0005-0000-0000-0000AD080000}"/>
    <cellStyle name="Calculation 5 5 3 3" xfId="25563" xr:uid="{00000000-0005-0000-0000-0000AE080000}"/>
    <cellStyle name="Calculation 5 5 3 4" xfId="27080" xr:uid="{00000000-0005-0000-0000-0000AF080000}"/>
    <cellStyle name="Calculation 5 5 4" xfId="13520" xr:uid="{00000000-0005-0000-0000-0000B0080000}"/>
    <cellStyle name="Calculation 5 5 5" xfId="22528" xr:uid="{00000000-0005-0000-0000-0000B1080000}"/>
    <cellStyle name="Calculation 5 5 6" xfId="22336" xr:uid="{00000000-0005-0000-0000-0000B2080000}"/>
    <cellStyle name="Calculation 5 6" xfId="3803" xr:uid="{00000000-0005-0000-0000-0000B3080000}"/>
    <cellStyle name="Calculation 5 6 2" xfId="8754" xr:uid="{00000000-0005-0000-0000-0000B4080000}"/>
    <cellStyle name="Calculation 5 6 2 2" xfId="19651" xr:uid="{00000000-0005-0000-0000-0000B5080000}"/>
    <cellStyle name="Calculation 5 6 2 3" xfId="24606" xr:uid="{00000000-0005-0000-0000-0000B6080000}"/>
    <cellStyle name="Calculation 5 6 2 4" xfId="26305" xr:uid="{00000000-0005-0000-0000-0000B7080000}"/>
    <cellStyle name="Calculation 5 6 3" xfId="10756" xr:uid="{00000000-0005-0000-0000-0000B8080000}"/>
    <cellStyle name="Calculation 5 6 3 2" xfId="21653" xr:uid="{00000000-0005-0000-0000-0000B9080000}"/>
    <cellStyle name="Calculation 5 6 3 3" xfId="25783" xr:uid="{00000000-0005-0000-0000-0000BA080000}"/>
    <cellStyle name="Calculation 5 6 3 4" xfId="27300" xr:uid="{00000000-0005-0000-0000-0000BB080000}"/>
    <cellStyle name="Calculation 5 6 4" xfId="14700" xr:uid="{00000000-0005-0000-0000-0000BC080000}"/>
    <cellStyle name="Calculation 5 6 5" xfId="22920" xr:uid="{00000000-0005-0000-0000-0000BD080000}"/>
    <cellStyle name="Calculation 5 6 6" xfId="11230" xr:uid="{00000000-0005-0000-0000-0000BE080000}"/>
    <cellStyle name="Calculation 5 7" xfId="5262" xr:uid="{00000000-0005-0000-0000-0000BF080000}"/>
    <cellStyle name="Calculation 5 7 2" xfId="16159" xr:uid="{00000000-0005-0000-0000-0000C0080000}"/>
    <cellStyle name="Calculation 5 7 3" xfId="23549" xr:uid="{00000000-0005-0000-0000-0000C1080000}"/>
    <cellStyle name="Calculation 5 7 4" xfId="24813" xr:uid="{00000000-0005-0000-0000-0000C2080000}"/>
    <cellStyle name="Calculation 5 8" xfId="5274" xr:uid="{00000000-0005-0000-0000-0000C3080000}"/>
    <cellStyle name="Calculation 5 8 2" xfId="16171" xr:uid="{00000000-0005-0000-0000-0000C4080000}"/>
    <cellStyle name="Calculation 5 8 3" xfId="23552" xr:uid="{00000000-0005-0000-0000-0000C5080000}"/>
    <cellStyle name="Calculation 5 8 4" xfId="23773" xr:uid="{00000000-0005-0000-0000-0000C6080000}"/>
    <cellStyle name="Calculation 5 9" xfId="11242" xr:uid="{00000000-0005-0000-0000-0000C7080000}"/>
    <cellStyle name="Check Cell 2" xfId="159" xr:uid="{00000000-0005-0000-0000-0000C8080000}"/>
    <cellStyle name="Check Cell 3" xfId="160" xr:uid="{00000000-0005-0000-0000-0000C9080000}"/>
    <cellStyle name="Check Cell 4" xfId="161" xr:uid="{00000000-0005-0000-0000-0000CA080000}"/>
    <cellStyle name="Check Cell 5" xfId="162" xr:uid="{00000000-0005-0000-0000-0000CB080000}"/>
    <cellStyle name="Comma" xfId="1" builtinId="3"/>
    <cellStyle name="Comma 10" xfId="163" xr:uid="{00000000-0005-0000-0000-0000CD080000}"/>
    <cellStyle name="Comma 10 2" xfId="1471" xr:uid="{00000000-0005-0000-0000-0000CE080000}"/>
    <cellStyle name="Comma 10 2 2" xfId="2577" xr:uid="{00000000-0005-0000-0000-0000CF080000}"/>
    <cellStyle name="Comma 10 2 2 2" xfId="4889" xr:uid="{00000000-0005-0000-0000-0000D0080000}"/>
    <cellStyle name="Comma 10 2 2 2 2" xfId="9840" xr:uid="{00000000-0005-0000-0000-0000D1080000}"/>
    <cellStyle name="Comma 10 2 2 2 2 2" xfId="20737" xr:uid="{00000000-0005-0000-0000-0000D2080000}"/>
    <cellStyle name="Comma 10 2 2 2 3" xfId="15786" xr:uid="{00000000-0005-0000-0000-0000D3080000}"/>
    <cellStyle name="Comma 10 2 2 3" xfId="7528" xr:uid="{00000000-0005-0000-0000-0000D4080000}"/>
    <cellStyle name="Comma 10 2 2 3 2" xfId="18425" xr:uid="{00000000-0005-0000-0000-0000D5080000}"/>
    <cellStyle name="Comma 10 2 2 4" xfId="13474" xr:uid="{00000000-0005-0000-0000-0000D6080000}"/>
    <cellStyle name="Comma 10 2 3" xfId="3792" xr:uid="{00000000-0005-0000-0000-0000D7080000}"/>
    <cellStyle name="Comma 10 2 3 2" xfId="8743" xr:uid="{00000000-0005-0000-0000-0000D8080000}"/>
    <cellStyle name="Comma 10 2 3 2 2" xfId="19640" xr:uid="{00000000-0005-0000-0000-0000D9080000}"/>
    <cellStyle name="Comma 10 2 3 3" xfId="14689" xr:uid="{00000000-0005-0000-0000-0000DA080000}"/>
    <cellStyle name="Comma 10 2 4" xfId="6431" xr:uid="{00000000-0005-0000-0000-0000DB080000}"/>
    <cellStyle name="Comma 10 2 4 2" xfId="17328" xr:uid="{00000000-0005-0000-0000-0000DC080000}"/>
    <cellStyle name="Comma 10 2 5" xfId="12410" xr:uid="{00000000-0005-0000-0000-0000DD080000}"/>
    <cellStyle name="Comma 11" xfId="164" xr:uid="{00000000-0005-0000-0000-0000DE080000}"/>
    <cellStyle name="Comma 12" xfId="165" xr:uid="{00000000-0005-0000-0000-0000DF080000}"/>
    <cellStyle name="Comma 13" xfId="166" xr:uid="{00000000-0005-0000-0000-0000E0080000}"/>
    <cellStyle name="Comma 13 2" xfId="369" xr:uid="{00000000-0005-0000-0000-0000E1080000}"/>
    <cellStyle name="Comma 13 2 2" xfId="499" xr:uid="{00000000-0005-0000-0000-0000E2080000}"/>
    <cellStyle name="Comma 13 2 2 2" xfId="764" xr:uid="{00000000-0005-0000-0000-0000E3080000}"/>
    <cellStyle name="Comma 13 2 2 2 2" xfId="1296" xr:uid="{00000000-0005-0000-0000-0000E4080000}"/>
    <cellStyle name="Comma 13 2 2 2 2 2" xfId="2453" xr:uid="{00000000-0005-0000-0000-0000E5080000}"/>
    <cellStyle name="Comma 13 2 2 2 2 2 2" xfId="4765" xr:uid="{00000000-0005-0000-0000-0000E6080000}"/>
    <cellStyle name="Comma 13 2 2 2 2 2 2 2" xfId="9716" xr:uid="{00000000-0005-0000-0000-0000E7080000}"/>
    <cellStyle name="Comma 13 2 2 2 2 2 2 2 2" xfId="20613" xr:uid="{00000000-0005-0000-0000-0000E8080000}"/>
    <cellStyle name="Comma 13 2 2 2 2 2 2 3" xfId="15662" xr:uid="{00000000-0005-0000-0000-0000E9080000}"/>
    <cellStyle name="Comma 13 2 2 2 2 2 3" xfId="7404" xr:uid="{00000000-0005-0000-0000-0000EA080000}"/>
    <cellStyle name="Comma 13 2 2 2 2 2 3 2" xfId="18301" xr:uid="{00000000-0005-0000-0000-0000EB080000}"/>
    <cellStyle name="Comma 13 2 2 2 2 2 4" xfId="13364" xr:uid="{00000000-0005-0000-0000-0000EC080000}"/>
    <cellStyle name="Comma 13 2 2 2 2 3" xfId="3620" xr:uid="{00000000-0005-0000-0000-0000ED080000}"/>
    <cellStyle name="Comma 13 2 2 2 2 3 2" xfId="8571" xr:uid="{00000000-0005-0000-0000-0000EE080000}"/>
    <cellStyle name="Comma 13 2 2 2 2 3 2 2" xfId="19468" xr:uid="{00000000-0005-0000-0000-0000EF080000}"/>
    <cellStyle name="Comma 13 2 2 2 2 3 3" xfId="14517" xr:uid="{00000000-0005-0000-0000-0000F0080000}"/>
    <cellStyle name="Comma 13 2 2 2 2 4" xfId="6259" xr:uid="{00000000-0005-0000-0000-0000F1080000}"/>
    <cellStyle name="Comma 13 2 2 2 2 4 2" xfId="17156" xr:uid="{00000000-0005-0000-0000-0000F2080000}"/>
    <cellStyle name="Comma 13 2 2 2 2 5" xfId="12246" xr:uid="{00000000-0005-0000-0000-0000F3080000}"/>
    <cellStyle name="Comma 13 2 2 2 3" xfId="1922" xr:uid="{00000000-0005-0000-0000-0000F4080000}"/>
    <cellStyle name="Comma 13 2 2 2 3 2" xfId="4234" xr:uid="{00000000-0005-0000-0000-0000F5080000}"/>
    <cellStyle name="Comma 13 2 2 2 3 2 2" xfId="9185" xr:uid="{00000000-0005-0000-0000-0000F6080000}"/>
    <cellStyle name="Comma 13 2 2 2 3 2 2 2" xfId="20082" xr:uid="{00000000-0005-0000-0000-0000F7080000}"/>
    <cellStyle name="Comma 13 2 2 2 3 2 3" xfId="15131" xr:uid="{00000000-0005-0000-0000-0000F8080000}"/>
    <cellStyle name="Comma 13 2 2 2 3 3" xfId="6873" xr:uid="{00000000-0005-0000-0000-0000F9080000}"/>
    <cellStyle name="Comma 13 2 2 2 3 3 2" xfId="17770" xr:uid="{00000000-0005-0000-0000-0000FA080000}"/>
    <cellStyle name="Comma 13 2 2 2 3 4" xfId="12846" xr:uid="{00000000-0005-0000-0000-0000FB080000}"/>
    <cellStyle name="Comma 13 2 2 2 4" xfId="3088" xr:uid="{00000000-0005-0000-0000-0000FC080000}"/>
    <cellStyle name="Comma 13 2 2 2 4 2" xfId="8039" xr:uid="{00000000-0005-0000-0000-0000FD080000}"/>
    <cellStyle name="Comma 13 2 2 2 4 2 2" xfId="18936" xr:uid="{00000000-0005-0000-0000-0000FE080000}"/>
    <cellStyle name="Comma 13 2 2 2 4 3" xfId="13985" xr:uid="{00000000-0005-0000-0000-0000FF080000}"/>
    <cellStyle name="Comma 13 2 2 2 5" xfId="5727" xr:uid="{00000000-0005-0000-0000-000000090000}"/>
    <cellStyle name="Comma 13 2 2 2 5 2" xfId="16624" xr:uid="{00000000-0005-0000-0000-000001090000}"/>
    <cellStyle name="Comma 13 2 2 2 6" xfId="11725" xr:uid="{00000000-0005-0000-0000-000002090000}"/>
    <cellStyle name="Comma 13 2 2 3" xfId="1031" xr:uid="{00000000-0005-0000-0000-000003090000}"/>
    <cellStyle name="Comma 13 2 2 3 2" xfId="2188" xr:uid="{00000000-0005-0000-0000-000004090000}"/>
    <cellStyle name="Comma 13 2 2 3 2 2" xfId="4500" xr:uid="{00000000-0005-0000-0000-000005090000}"/>
    <cellStyle name="Comma 13 2 2 3 2 2 2" xfId="9451" xr:uid="{00000000-0005-0000-0000-000006090000}"/>
    <cellStyle name="Comma 13 2 2 3 2 2 2 2" xfId="20348" xr:uid="{00000000-0005-0000-0000-000007090000}"/>
    <cellStyle name="Comma 13 2 2 3 2 2 3" xfId="15397" xr:uid="{00000000-0005-0000-0000-000008090000}"/>
    <cellStyle name="Comma 13 2 2 3 2 3" xfId="7139" xr:uid="{00000000-0005-0000-0000-000009090000}"/>
    <cellStyle name="Comma 13 2 2 3 2 3 2" xfId="18036" xr:uid="{00000000-0005-0000-0000-00000A090000}"/>
    <cellStyle name="Comma 13 2 2 3 2 4" xfId="13105" xr:uid="{00000000-0005-0000-0000-00000B090000}"/>
    <cellStyle name="Comma 13 2 2 3 3" xfId="3355" xr:uid="{00000000-0005-0000-0000-00000C090000}"/>
    <cellStyle name="Comma 13 2 2 3 3 2" xfId="8306" xr:uid="{00000000-0005-0000-0000-00000D090000}"/>
    <cellStyle name="Comma 13 2 2 3 3 2 2" xfId="19203" xr:uid="{00000000-0005-0000-0000-00000E090000}"/>
    <cellStyle name="Comma 13 2 2 3 3 3" xfId="14252" xr:uid="{00000000-0005-0000-0000-00000F090000}"/>
    <cellStyle name="Comma 13 2 2 3 4" xfId="5994" xr:uid="{00000000-0005-0000-0000-000010090000}"/>
    <cellStyle name="Comma 13 2 2 3 4 2" xfId="16891" xr:uid="{00000000-0005-0000-0000-000011090000}"/>
    <cellStyle name="Comma 13 2 2 3 5" xfId="11987" xr:uid="{00000000-0005-0000-0000-000012090000}"/>
    <cellStyle name="Comma 13 2 2 4" xfId="1689" xr:uid="{00000000-0005-0000-0000-000013090000}"/>
    <cellStyle name="Comma 13 2 2 4 2" xfId="4001" xr:uid="{00000000-0005-0000-0000-000014090000}"/>
    <cellStyle name="Comma 13 2 2 4 2 2" xfId="8952" xr:uid="{00000000-0005-0000-0000-000015090000}"/>
    <cellStyle name="Comma 13 2 2 4 2 2 2" xfId="19849" xr:uid="{00000000-0005-0000-0000-000016090000}"/>
    <cellStyle name="Comma 13 2 2 4 2 3" xfId="14898" xr:uid="{00000000-0005-0000-0000-000017090000}"/>
    <cellStyle name="Comma 13 2 2 4 3" xfId="6640" xr:uid="{00000000-0005-0000-0000-000018090000}"/>
    <cellStyle name="Comma 13 2 2 4 3 2" xfId="17537" xr:uid="{00000000-0005-0000-0000-000019090000}"/>
    <cellStyle name="Comma 13 2 2 4 4" xfId="12620" xr:uid="{00000000-0005-0000-0000-00001A090000}"/>
    <cellStyle name="Comma 13 2 2 5" xfId="2823" xr:uid="{00000000-0005-0000-0000-00001B090000}"/>
    <cellStyle name="Comma 13 2 2 5 2" xfId="7774" xr:uid="{00000000-0005-0000-0000-00001C090000}"/>
    <cellStyle name="Comma 13 2 2 5 2 2" xfId="18671" xr:uid="{00000000-0005-0000-0000-00001D090000}"/>
    <cellStyle name="Comma 13 2 2 5 3" xfId="13720" xr:uid="{00000000-0005-0000-0000-00001E090000}"/>
    <cellStyle name="Comma 13 2 2 6" xfId="5462" xr:uid="{00000000-0005-0000-0000-00001F090000}"/>
    <cellStyle name="Comma 13 2 2 6 2" xfId="16359" xr:uid="{00000000-0005-0000-0000-000020090000}"/>
    <cellStyle name="Comma 13 2 2 7" xfId="11464" xr:uid="{00000000-0005-0000-0000-000021090000}"/>
    <cellStyle name="Comma 13 2 3" xfId="635" xr:uid="{00000000-0005-0000-0000-000022090000}"/>
    <cellStyle name="Comma 13 2 3 2" xfId="1167" xr:uid="{00000000-0005-0000-0000-000023090000}"/>
    <cellStyle name="Comma 13 2 3 2 2" xfId="2324" xr:uid="{00000000-0005-0000-0000-000024090000}"/>
    <cellStyle name="Comma 13 2 3 2 2 2" xfId="4636" xr:uid="{00000000-0005-0000-0000-000025090000}"/>
    <cellStyle name="Comma 13 2 3 2 2 2 2" xfId="9587" xr:uid="{00000000-0005-0000-0000-000026090000}"/>
    <cellStyle name="Comma 13 2 3 2 2 2 2 2" xfId="20484" xr:uid="{00000000-0005-0000-0000-000027090000}"/>
    <cellStyle name="Comma 13 2 3 2 2 2 3" xfId="15533" xr:uid="{00000000-0005-0000-0000-000028090000}"/>
    <cellStyle name="Comma 13 2 3 2 2 3" xfId="7275" xr:uid="{00000000-0005-0000-0000-000029090000}"/>
    <cellStyle name="Comma 13 2 3 2 2 3 2" xfId="18172" xr:uid="{00000000-0005-0000-0000-00002A090000}"/>
    <cellStyle name="Comma 13 2 3 2 2 4" xfId="13236" xr:uid="{00000000-0005-0000-0000-00002B090000}"/>
    <cellStyle name="Comma 13 2 3 2 3" xfId="3491" xr:uid="{00000000-0005-0000-0000-00002C090000}"/>
    <cellStyle name="Comma 13 2 3 2 3 2" xfId="8442" xr:uid="{00000000-0005-0000-0000-00002D090000}"/>
    <cellStyle name="Comma 13 2 3 2 3 2 2" xfId="19339" xr:uid="{00000000-0005-0000-0000-00002E090000}"/>
    <cellStyle name="Comma 13 2 3 2 3 3" xfId="14388" xr:uid="{00000000-0005-0000-0000-00002F090000}"/>
    <cellStyle name="Comma 13 2 3 2 4" xfId="6130" xr:uid="{00000000-0005-0000-0000-000030090000}"/>
    <cellStyle name="Comma 13 2 3 2 4 2" xfId="17027" xr:uid="{00000000-0005-0000-0000-000031090000}"/>
    <cellStyle name="Comma 13 2 3 2 5" xfId="12118" xr:uid="{00000000-0005-0000-0000-000032090000}"/>
    <cellStyle name="Comma 13 2 3 3" xfId="1808" xr:uid="{00000000-0005-0000-0000-000033090000}"/>
    <cellStyle name="Comma 13 2 3 3 2" xfId="4120" xr:uid="{00000000-0005-0000-0000-000034090000}"/>
    <cellStyle name="Comma 13 2 3 3 2 2" xfId="9071" xr:uid="{00000000-0005-0000-0000-000035090000}"/>
    <cellStyle name="Comma 13 2 3 3 2 2 2" xfId="19968" xr:uid="{00000000-0005-0000-0000-000036090000}"/>
    <cellStyle name="Comma 13 2 3 3 2 3" xfId="15017" xr:uid="{00000000-0005-0000-0000-000037090000}"/>
    <cellStyle name="Comma 13 2 3 3 3" xfId="6759" xr:uid="{00000000-0005-0000-0000-000038090000}"/>
    <cellStyle name="Comma 13 2 3 3 3 2" xfId="17656" xr:uid="{00000000-0005-0000-0000-000039090000}"/>
    <cellStyle name="Comma 13 2 3 3 4" xfId="12733" xr:uid="{00000000-0005-0000-0000-00003A090000}"/>
    <cellStyle name="Comma 13 2 3 4" xfId="2959" xr:uid="{00000000-0005-0000-0000-00003B090000}"/>
    <cellStyle name="Comma 13 2 3 4 2" xfId="7910" xr:uid="{00000000-0005-0000-0000-00003C090000}"/>
    <cellStyle name="Comma 13 2 3 4 2 2" xfId="18807" xr:uid="{00000000-0005-0000-0000-00003D090000}"/>
    <cellStyle name="Comma 13 2 3 4 3" xfId="13856" xr:uid="{00000000-0005-0000-0000-00003E090000}"/>
    <cellStyle name="Comma 13 2 3 5" xfId="5598" xr:uid="{00000000-0005-0000-0000-00003F090000}"/>
    <cellStyle name="Comma 13 2 3 5 2" xfId="16495" xr:uid="{00000000-0005-0000-0000-000040090000}"/>
    <cellStyle name="Comma 13 2 3 6" xfId="11597" xr:uid="{00000000-0005-0000-0000-000041090000}"/>
    <cellStyle name="Comma 13 2 4" xfId="902" xr:uid="{00000000-0005-0000-0000-000042090000}"/>
    <cellStyle name="Comma 13 2 4 2" xfId="2059" xr:uid="{00000000-0005-0000-0000-000043090000}"/>
    <cellStyle name="Comma 13 2 4 2 2" xfId="4371" xr:uid="{00000000-0005-0000-0000-000044090000}"/>
    <cellStyle name="Comma 13 2 4 2 2 2" xfId="9322" xr:uid="{00000000-0005-0000-0000-000045090000}"/>
    <cellStyle name="Comma 13 2 4 2 2 2 2" xfId="20219" xr:uid="{00000000-0005-0000-0000-000046090000}"/>
    <cellStyle name="Comma 13 2 4 2 2 3" xfId="15268" xr:uid="{00000000-0005-0000-0000-000047090000}"/>
    <cellStyle name="Comma 13 2 4 2 3" xfId="7010" xr:uid="{00000000-0005-0000-0000-000048090000}"/>
    <cellStyle name="Comma 13 2 4 2 3 2" xfId="17907" xr:uid="{00000000-0005-0000-0000-000049090000}"/>
    <cellStyle name="Comma 13 2 4 2 4" xfId="12977" xr:uid="{00000000-0005-0000-0000-00004A090000}"/>
    <cellStyle name="Comma 13 2 4 3" xfId="3226" xr:uid="{00000000-0005-0000-0000-00004B090000}"/>
    <cellStyle name="Comma 13 2 4 3 2" xfId="8177" xr:uid="{00000000-0005-0000-0000-00004C090000}"/>
    <cellStyle name="Comma 13 2 4 3 2 2" xfId="19074" xr:uid="{00000000-0005-0000-0000-00004D090000}"/>
    <cellStyle name="Comma 13 2 4 3 3" xfId="14123" xr:uid="{00000000-0005-0000-0000-00004E090000}"/>
    <cellStyle name="Comma 13 2 4 4" xfId="5865" xr:uid="{00000000-0005-0000-0000-00004F090000}"/>
    <cellStyle name="Comma 13 2 4 4 2" xfId="16762" xr:uid="{00000000-0005-0000-0000-000050090000}"/>
    <cellStyle name="Comma 13 2 4 5" xfId="11859" xr:uid="{00000000-0005-0000-0000-000051090000}"/>
    <cellStyle name="Comma 13 2 5" xfId="1575" xr:uid="{00000000-0005-0000-0000-000052090000}"/>
    <cellStyle name="Comma 13 2 5 2" xfId="3887" xr:uid="{00000000-0005-0000-0000-000053090000}"/>
    <cellStyle name="Comma 13 2 5 2 2" xfId="8838" xr:uid="{00000000-0005-0000-0000-000054090000}"/>
    <cellStyle name="Comma 13 2 5 2 2 2" xfId="19735" xr:uid="{00000000-0005-0000-0000-000055090000}"/>
    <cellStyle name="Comma 13 2 5 2 3" xfId="14784" xr:uid="{00000000-0005-0000-0000-000056090000}"/>
    <cellStyle name="Comma 13 2 5 3" xfId="6526" xr:uid="{00000000-0005-0000-0000-000057090000}"/>
    <cellStyle name="Comma 13 2 5 3 2" xfId="17423" xr:uid="{00000000-0005-0000-0000-000058090000}"/>
    <cellStyle name="Comma 13 2 5 4" xfId="12507" xr:uid="{00000000-0005-0000-0000-000059090000}"/>
    <cellStyle name="Comma 13 2 6" xfId="2694" xr:uid="{00000000-0005-0000-0000-00005A090000}"/>
    <cellStyle name="Comma 13 2 6 2" xfId="7645" xr:uid="{00000000-0005-0000-0000-00005B090000}"/>
    <cellStyle name="Comma 13 2 6 2 2" xfId="18542" xr:uid="{00000000-0005-0000-0000-00005C090000}"/>
    <cellStyle name="Comma 13 2 6 3" xfId="13591" xr:uid="{00000000-0005-0000-0000-00005D090000}"/>
    <cellStyle name="Comma 13 2 7" xfId="5333" xr:uid="{00000000-0005-0000-0000-00005E090000}"/>
    <cellStyle name="Comma 13 2 7 2" xfId="16230" xr:uid="{00000000-0005-0000-0000-00005F090000}"/>
    <cellStyle name="Comma 13 2 8" xfId="11336" xr:uid="{00000000-0005-0000-0000-000060090000}"/>
    <cellStyle name="Comma 13 3" xfId="438" xr:uid="{00000000-0005-0000-0000-000061090000}"/>
    <cellStyle name="Comma 13 3 2" xfId="703" xr:uid="{00000000-0005-0000-0000-000062090000}"/>
    <cellStyle name="Comma 13 3 2 2" xfId="1235" xr:uid="{00000000-0005-0000-0000-000063090000}"/>
    <cellStyle name="Comma 13 3 2 2 2" xfId="2392" xr:uid="{00000000-0005-0000-0000-000064090000}"/>
    <cellStyle name="Comma 13 3 2 2 2 2" xfId="4704" xr:uid="{00000000-0005-0000-0000-000065090000}"/>
    <cellStyle name="Comma 13 3 2 2 2 2 2" xfId="9655" xr:uid="{00000000-0005-0000-0000-000066090000}"/>
    <cellStyle name="Comma 13 3 2 2 2 2 2 2" xfId="20552" xr:uid="{00000000-0005-0000-0000-000067090000}"/>
    <cellStyle name="Comma 13 3 2 2 2 2 3" xfId="15601" xr:uid="{00000000-0005-0000-0000-000068090000}"/>
    <cellStyle name="Comma 13 3 2 2 2 3" xfId="7343" xr:uid="{00000000-0005-0000-0000-000069090000}"/>
    <cellStyle name="Comma 13 3 2 2 2 3 2" xfId="18240" xr:uid="{00000000-0005-0000-0000-00006A090000}"/>
    <cellStyle name="Comma 13 3 2 2 2 4" xfId="13303" xr:uid="{00000000-0005-0000-0000-00006B090000}"/>
    <cellStyle name="Comma 13 3 2 2 3" xfId="3559" xr:uid="{00000000-0005-0000-0000-00006C090000}"/>
    <cellStyle name="Comma 13 3 2 2 3 2" xfId="8510" xr:uid="{00000000-0005-0000-0000-00006D090000}"/>
    <cellStyle name="Comma 13 3 2 2 3 2 2" xfId="19407" xr:uid="{00000000-0005-0000-0000-00006E090000}"/>
    <cellStyle name="Comma 13 3 2 2 3 3" xfId="14456" xr:uid="{00000000-0005-0000-0000-00006F090000}"/>
    <cellStyle name="Comma 13 3 2 2 4" xfId="6198" xr:uid="{00000000-0005-0000-0000-000070090000}"/>
    <cellStyle name="Comma 13 3 2 2 4 2" xfId="17095" xr:uid="{00000000-0005-0000-0000-000071090000}"/>
    <cellStyle name="Comma 13 3 2 2 5" xfId="12185" xr:uid="{00000000-0005-0000-0000-000072090000}"/>
    <cellStyle name="Comma 13 3 2 3" xfId="1871" xr:uid="{00000000-0005-0000-0000-000073090000}"/>
    <cellStyle name="Comma 13 3 2 3 2" xfId="4183" xr:uid="{00000000-0005-0000-0000-000074090000}"/>
    <cellStyle name="Comma 13 3 2 3 2 2" xfId="9134" xr:uid="{00000000-0005-0000-0000-000075090000}"/>
    <cellStyle name="Comma 13 3 2 3 2 2 2" xfId="20031" xr:uid="{00000000-0005-0000-0000-000076090000}"/>
    <cellStyle name="Comma 13 3 2 3 2 3" xfId="15080" xr:uid="{00000000-0005-0000-0000-000077090000}"/>
    <cellStyle name="Comma 13 3 2 3 3" xfId="6822" xr:uid="{00000000-0005-0000-0000-000078090000}"/>
    <cellStyle name="Comma 13 3 2 3 3 2" xfId="17719" xr:uid="{00000000-0005-0000-0000-000079090000}"/>
    <cellStyle name="Comma 13 3 2 3 4" xfId="12795" xr:uid="{00000000-0005-0000-0000-00007A090000}"/>
    <cellStyle name="Comma 13 3 2 4" xfId="3027" xr:uid="{00000000-0005-0000-0000-00007B090000}"/>
    <cellStyle name="Comma 13 3 2 4 2" xfId="7978" xr:uid="{00000000-0005-0000-0000-00007C090000}"/>
    <cellStyle name="Comma 13 3 2 4 2 2" xfId="18875" xr:uid="{00000000-0005-0000-0000-00007D090000}"/>
    <cellStyle name="Comma 13 3 2 4 3" xfId="13924" xr:uid="{00000000-0005-0000-0000-00007E090000}"/>
    <cellStyle name="Comma 13 3 2 5" xfId="5666" xr:uid="{00000000-0005-0000-0000-00007F090000}"/>
    <cellStyle name="Comma 13 3 2 5 2" xfId="16563" xr:uid="{00000000-0005-0000-0000-000080090000}"/>
    <cellStyle name="Comma 13 3 2 6" xfId="11664" xr:uid="{00000000-0005-0000-0000-000081090000}"/>
    <cellStyle name="Comma 13 3 3" xfId="970" xr:uid="{00000000-0005-0000-0000-000082090000}"/>
    <cellStyle name="Comma 13 3 3 2" xfId="2127" xr:uid="{00000000-0005-0000-0000-000083090000}"/>
    <cellStyle name="Comma 13 3 3 2 2" xfId="4439" xr:uid="{00000000-0005-0000-0000-000084090000}"/>
    <cellStyle name="Comma 13 3 3 2 2 2" xfId="9390" xr:uid="{00000000-0005-0000-0000-000085090000}"/>
    <cellStyle name="Comma 13 3 3 2 2 2 2" xfId="20287" xr:uid="{00000000-0005-0000-0000-000086090000}"/>
    <cellStyle name="Comma 13 3 3 2 2 3" xfId="15336" xr:uid="{00000000-0005-0000-0000-000087090000}"/>
    <cellStyle name="Comma 13 3 3 2 3" xfId="7078" xr:uid="{00000000-0005-0000-0000-000088090000}"/>
    <cellStyle name="Comma 13 3 3 2 3 2" xfId="17975" xr:uid="{00000000-0005-0000-0000-000089090000}"/>
    <cellStyle name="Comma 13 3 3 2 4" xfId="13044" xr:uid="{00000000-0005-0000-0000-00008A090000}"/>
    <cellStyle name="Comma 13 3 3 3" xfId="3294" xr:uid="{00000000-0005-0000-0000-00008B090000}"/>
    <cellStyle name="Comma 13 3 3 3 2" xfId="8245" xr:uid="{00000000-0005-0000-0000-00008C090000}"/>
    <cellStyle name="Comma 13 3 3 3 2 2" xfId="19142" xr:uid="{00000000-0005-0000-0000-00008D090000}"/>
    <cellStyle name="Comma 13 3 3 3 3" xfId="14191" xr:uid="{00000000-0005-0000-0000-00008E090000}"/>
    <cellStyle name="Comma 13 3 3 4" xfId="5933" xr:uid="{00000000-0005-0000-0000-00008F090000}"/>
    <cellStyle name="Comma 13 3 3 4 2" xfId="16830" xr:uid="{00000000-0005-0000-0000-000090090000}"/>
    <cellStyle name="Comma 13 3 3 5" xfId="11926" xr:uid="{00000000-0005-0000-0000-000091090000}"/>
    <cellStyle name="Comma 13 3 4" xfId="1638" xr:uid="{00000000-0005-0000-0000-000092090000}"/>
    <cellStyle name="Comma 13 3 4 2" xfId="3950" xr:uid="{00000000-0005-0000-0000-000093090000}"/>
    <cellStyle name="Comma 13 3 4 2 2" xfId="8901" xr:uid="{00000000-0005-0000-0000-000094090000}"/>
    <cellStyle name="Comma 13 3 4 2 2 2" xfId="19798" xr:uid="{00000000-0005-0000-0000-000095090000}"/>
    <cellStyle name="Comma 13 3 4 2 3" xfId="14847" xr:uid="{00000000-0005-0000-0000-000096090000}"/>
    <cellStyle name="Comma 13 3 4 3" xfId="6589" xr:uid="{00000000-0005-0000-0000-000097090000}"/>
    <cellStyle name="Comma 13 3 4 3 2" xfId="17486" xr:uid="{00000000-0005-0000-0000-000098090000}"/>
    <cellStyle name="Comma 13 3 4 4" xfId="12569" xr:uid="{00000000-0005-0000-0000-000099090000}"/>
    <cellStyle name="Comma 13 3 5" xfId="2762" xr:uid="{00000000-0005-0000-0000-00009A090000}"/>
    <cellStyle name="Comma 13 3 5 2" xfId="7713" xr:uid="{00000000-0005-0000-0000-00009B090000}"/>
    <cellStyle name="Comma 13 3 5 2 2" xfId="18610" xr:uid="{00000000-0005-0000-0000-00009C090000}"/>
    <cellStyle name="Comma 13 3 5 3" xfId="13659" xr:uid="{00000000-0005-0000-0000-00009D090000}"/>
    <cellStyle name="Comma 13 3 6" xfId="5401" xr:uid="{00000000-0005-0000-0000-00009E090000}"/>
    <cellStyle name="Comma 13 3 6 2" xfId="16298" xr:uid="{00000000-0005-0000-0000-00009F090000}"/>
    <cellStyle name="Comma 13 3 7" xfId="11403" xr:uid="{00000000-0005-0000-0000-0000A0090000}"/>
    <cellStyle name="Comma 13 4" xfId="568" xr:uid="{00000000-0005-0000-0000-0000A1090000}"/>
    <cellStyle name="Comma 13 4 2" xfId="1100" xr:uid="{00000000-0005-0000-0000-0000A2090000}"/>
    <cellStyle name="Comma 13 4 2 2" xfId="2257" xr:uid="{00000000-0005-0000-0000-0000A3090000}"/>
    <cellStyle name="Comma 13 4 2 2 2" xfId="4569" xr:uid="{00000000-0005-0000-0000-0000A4090000}"/>
    <cellStyle name="Comma 13 4 2 2 2 2" xfId="9520" xr:uid="{00000000-0005-0000-0000-0000A5090000}"/>
    <cellStyle name="Comma 13 4 2 2 2 2 2" xfId="20417" xr:uid="{00000000-0005-0000-0000-0000A6090000}"/>
    <cellStyle name="Comma 13 4 2 2 2 3" xfId="15466" xr:uid="{00000000-0005-0000-0000-0000A7090000}"/>
    <cellStyle name="Comma 13 4 2 2 3" xfId="7208" xr:uid="{00000000-0005-0000-0000-0000A8090000}"/>
    <cellStyle name="Comma 13 4 2 2 3 2" xfId="18105" xr:uid="{00000000-0005-0000-0000-0000A9090000}"/>
    <cellStyle name="Comma 13 4 2 2 4" xfId="13172" xr:uid="{00000000-0005-0000-0000-0000AA090000}"/>
    <cellStyle name="Comma 13 4 2 3" xfId="3424" xr:uid="{00000000-0005-0000-0000-0000AB090000}"/>
    <cellStyle name="Comma 13 4 2 3 2" xfId="8375" xr:uid="{00000000-0005-0000-0000-0000AC090000}"/>
    <cellStyle name="Comma 13 4 2 3 2 2" xfId="19272" xr:uid="{00000000-0005-0000-0000-0000AD090000}"/>
    <cellStyle name="Comma 13 4 2 3 3" xfId="14321" xr:uid="{00000000-0005-0000-0000-0000AE090000}"/>
    <cellStyle name="Comma 13 4 2 4" xfId="6063" xr:uid="{00000000-0005-0000-0000-0000AF090000}"/>
    <cellStyle name="Comma 13 4 2 4 2" xfId="16960" xr:uid="{00000000-0005-0000-0000-0000B0090000}"/>
    <cellStyle name="Comma 13 4 2 5" xfId="12054" xr:uid="{00000000-0005-0000-0000-0000B1090000}"/>
    <cellStyle name="Comma 13 4 3" xfId="1753" xr:uid="{00000000-0005-0000-0000-0000B2090000}"/>
    <cellStyle name="Comma 13 4 3 2" xfId="4065" xr:uid="{00000000-0005-0000-0000-0000B3090000}"/>
    <cellStyle name="Comma 13 4 3 2 2" xfId="9016" xr:uid="{00000000-0005-0000-0000-0000B4090000}"/>
    <cellStyle name="Comma 13 4 3 2 2 2" xfId="19913" xr:uid="{00000000-0005-0000-0000-0000B5090000}"/>
    <cellStyle name="Comma 13 4 3 2 3" xfId="14962" xr:uid="{00000000-0005-0000-0000-0000B6090000}"/>
    <cellStyle name="Comma 13 4 3 3" xfId="6704" xr:uid="{00000000-0005-0000-0000-0000B7090000}"/>
    <cellStyle name="Comma 13 4 3 3 2" xfId="17601" xr:uid="{00000000-0005-0000-0000-0000B8090000}"/>
    <cellStyle name="Comma 13 4 3 4" xfId="12682" xr:uid="{00000000-0005-0000-0000-0000B9090000}"/>
    <cellStyle name="Comma 13 4 4" xfId="2892" xr:uid="{00000000-0005-0000-0000-0000BA090000}"/>
    <cellStyle name="Comma 13 4 4 2" xfId="7843" xr:uid="{00000000-0005-0000-0000-0000BB090000}"/>
    <cellStyle name="Comma 13 4 4 2 2" xfId="18740" xr:uid="{00000000-0005-0000-0000-0000BC090000}"/>
    <cellStyle name="Comma 13 4 4 3" xfId="13789" xr:uid="{00000000-0005-0000-0000-0000BD090000}"/>
    <cellStyle name="Comma 13 4 5" xfId="5531" xr:uid="{00000000-0005-0000-0000-0000BE090000}"/>
    <cellStyle name="Comma 13 4 5 2" xfId="16428" xr:uid="{00000000-0005-0000-0000-0000BF090000}"/>
    <cellStyle name="Comma 13 4 6" xfId="11533" xr:uid="{00000000-0005-0000-0000-0000C0090000}"/>
    <cellStyle name="Comma 13 5" xfId="835" xr:uid="{00000000-0005-0000-0000-0000C1090000}"/>
    <cellStyle name="Comma 13 5 2" xfId="1992" xr:uid="{00000000-0005-0000-0000-0000C2090000}"/>
    <cellStyle name="Comma 13 5 2 2" xfId="4304" xr:uid="{00000000-0005-0000-0000-0000C3090000}"/>
    <cellStyle name="Comma 13 5 2 2 2" xfId="9255" xr:uid="{00000000-0005-0000-0000-0000C4090000}"/>
    <cellStyle name="Comma 13 5 2 2 2 2" xfId="20152" xr:uid="{00000000-0005-0000-0000-0000C5090000}"/>
    <cellStyle name="Comma 13 5 2 2 3" xfId="15201" xr:uid="{00000000-0005-0000-0000-0000C6090000}"/>
    <cellStyle name="Comma 13 5 2 3" xfId="6943" xr:uid="{00000000-0005-0000-0000-0000C7090000}"/>
    <cellStyle name="Comma 13 5 2 3 2" xfId="17840" xr:uid="{00000000-0005-0000-0000-0000C8090000}"/>
    <cellStyle name="Comma 13 5 2 4" xfId="12914" xr:uid="{00000000-0005-0000-0000-0000C9090000}"/>
    <cellStyle name="Comma 13 5 3" xfId="3159" xr:uid="{00000000-0005-0000-0000-0000CA090000}"/>
    <cellStyle name="Comma 13 5 3 2" xfId="8110" xr:uid="{00000000-0005-0000-0000-0000CB090000}"/>
    <cellStyle name="Comma 13 5 3 2 2" xfId="19007" xr:uid="{00000000-0005-0000-0000-0000CC090000}"/>
    <cellStyle name="Comma 13 5 3 3" xfId="14056" xr:uid="{00000000-0005-0000-0000-0000CD090000}"/>
    <cellStyle name="Comma 13 5 4" xfId="5798" xr:uid="{00000000-0005-0000-0000-0000CE090000}"/>
    <cellStyle name="Comma 13 5 4 2" xfId="16695" xr:uid="{00000000-0005-0000-0000-0000CF090000}"/>
    <cellStyle name="Comma 13 5 5" xfId="11796" xr:uid="{00000000-0005-0000-0000-0000D0090000}"/>
    <cellStyle name="Comma 13 6" xfId="1520" xr:uid="{00000000-0005-0000-0000-0000D1090000}"/>
    <cellStyle name="Comma 13 6 2" xfId="3832" xr:uid="{00000000-0005-0000-0000-0000D2090000}"/>
    <cellStyle name="Comma 13 6 2 2" xfId="8783" xr:uid="{00000000-0005-0000-0000-0000D3090000}"/>
    <cellStyle name="Comma 13 6 2 2 2" xfId="19680" xr:uid="{00000000-0005-0000-0000-0000D4090000}"/>
    <cellStyle name="Comma 13 6 2 3" xfId="14729" xr:uid="{00000000-0005-0000-0000-0000D5090000}"/>
    <cellStyle name="Comma 13 6 3" xfId="6471" xr:uid="{00000000-0005-0000-0000-0000D6090000}"/>
    <cellStyle name="Comma 13 6 3 2" xfId="17368" xr:uid="{00000000-0005-0000-0000-0000D7090000}"/>
    <cellStyle name="Comma 13 6 4" xfId="12455" xr:uid="{00000000-0005-0000-0000-0000D8090000}"/>
    <cellStyle name="Comma 13 7" xfId="2624" xr:uid="{00000000-0005-0000-0000-0000D9090000}"/>
    <cellStyle name="Comma 13 7 2" xfId="7575" xr:uid="{00000000-0005-0000-0000-0000DA090000}"/>
    <cellStyle name="Comma 13 7 2 2" xfId="18472" xr:uid="{00000000-0005-0000-0000-0000DB090000}"/>
    <cellStyle name="Comma 13 7 3" xfId="13521" xr:uid="{00000000-0005-0000-0000-0000DC090000}"/>
    <cellStyle name="Comma 13 8" xfId="5263" xr:uid="{00000000-0005-0000-0000-0000DD090000}"/>
    <cellStyle name="Comma 13 8 2" xfId="16160" xr:uid="{00000000-0005-0000-0000-0000DE090000}"/>
    <cellStyle name="Comma 13 9" xfId="11246" xr:uid="{00000000-0005-0000-0000-0000DF090000}"/>
    <cellStyle name="Comma 14" xfId="167" xr:uid="{00000000-0005-0000-0000-0000E0090000}"/>
    <cellStyle name="Comma 14 2" xfId="168" xr:uid="{00000000-0005-0000-0000-0000E1090000}"/>
    <cellStyle name="Comma 15" xfId="169" xr:uid="{00000000-0005-0000-0000-0000E2090000}"/>
    <cellStyle name="Comma 16" xfId="170" xr:uid="{00000000-0005-0000-0000-0000E3090000}"/>
    <cellStyle name="Comma 16 2" xfId="370" xr:uid="{00000000-0005-0000-0000-0000E4090000}"/>
    <cellStyle name="Comma 16 2 2" xfId="500" xr:uid="{00000000-0005-0000-0000-0000E5090000}"/>
    <cellStyle name="Comma 16 2 2 2" xfId="765" xr:uid="{00000000-0005-0000-0000-0000E6090000}"/>
    <cellStyle name="Comma 16 2 2 2 2" xfId="1297" xr:uid="{00000000-0005-0000-0000-0000E7090000}"/>
    <cellStyle name="Comma 16 2 2 2 2 2" xfId="2454" xr:uid="{00000000-0005-0000-0000-0000E8090000}"/>
    <cellStyle name="Comma 16 2 2 2 2 2 2" xfId="4766" xr:uid="{00000000-0005-0000-0000-0000E9090000}"/>
    <cellStyle name="Comma 16 2 2 2 2 2 2 2" xfId="9717" xr:uid="{00000000-0005-0000-0000-0000EA090000}"/>
    <cellStyle name="Comma 16 2 2 2 2 2 2 2 2" xfId="20614" xr:uid="{00000000-0005-0000-0000-0000EB090000}"/>
    <cellStyle name="Comma 16 2 2 2 2 2 2 3" xfId="15663" xr:uid="{00000000-0005-0000-0000-0000EC090000}"/>
    <cellStyle name="Comma 16 2 2 2 2 2 3" xfId="7405" xr:uid="{00000000-0005-0000-0000-0000ED090000}"/>
    <cellStyle name="Comma 16 2 2 2 2 2 3 2" xfId="18302" xr:uid="{00000000-0005-0000-0000-0000EE090000}"/>
    <cellStyle name="Comma 16 2 2 2 2 2 4" xfId="13365" xr:uid="{00000000-0005-0000-0000-0000EF090000}"/>
    <cellStyle name="Comma 16 2 2 2 2 3" xfId="3621" xr:uid="{00000000-0005-0000-0000-0000F0090000}"/>
    <cellStyle name="Comma 16 2 2 2 2 3 2" xfId="8572" xr:uid="{00000000-0005-0000-0000-0000F1090000}"/>
    <cellStyle name="Comma 16 2 2 2 2 3 2 2" xfId="19469" xr:uid="{00000000-0005-0000-0000-0000F2090000}"/>
    <cellStyle name="Comma 16 2 2 2 2 3 3" xfId="14518" xr:uid="{00000000-0005-0000-0000-0000F3090000}"/>
    <cellStyle name="Comma 16 2 2 2 2 4" xfId="6260" xr:uid="{00000000-0005-0000-0000-0000F4090000}"/>
    <cellStyle name="Comma 16 2 2 2 2 4 2" xfId="17157" xr:uid="{00000000-0005-0000-0000-0000F5090000}"/>
    <cellStyle name="Comma 16 2 2 2 2 5" xfId="12247" xr:uid="{00000000-0005-0000-0000-0000F6090000}"/>
    <cellStyle name="Comma 16 2 2 2 3" xfId="1923" xr:uid="{00000000-0005-0000-0000-0000F7090000}"/>
    <cellStyle name="Comma 16 2 2 2 3 2" xfId="4235" xr:uid="{00000000-0005-0000-0000-0000F8090000}"/>
    <cellStyle name="Comma 16 2 2 2 3 2 2" xfId="9186" xr:uid="{00000000-0005-0000-0000-0000F9090000}"/>
    <cellStyle name="Comma 16 2 2 2 3 2 2 2" xfId="20083" xr:uid="{00000000-0005-0000-0000-0000FA090000}"/>
    <cellStyle name="Comma 16 2 2 2 3 2 3" xfId="15132" xr:uid="{00000000-0005-0000-0000-0000FB090000}"/>
    <cellStyle name="Comma 16 2 2 2 3 3" xfId="6874" xr:uid="{00000000-0005-0000-0000-0000FC090000}"/>
    <cellStyle name="Comma 16 2 2 2 3 3 2" xfId="17771" xr:uid="{00000000-0005-0000-0000-0000FD090000}"/>
    <cellStyle name="Comma 16 2 2 2 3 4" xfId="12847" xr:uid="{00000000-0005-0000-0000-0000FE090000}"/>
    <cellStyle name="Comma 16 2 2 2 4" xfId="3089" xr:uid="{00000000-0005-0000-0000-0000FF090000}"/>
    <cellStyle name="Comma 16 2 2 2 4 2" xfId="8040" xr:uid="{00000000-0005-0000-0000-0000000A0000}"/>
    <cellStyle name="Comma 16 2 2 2 4 2 2" xfId="18937" xr:uid="{00000000-0005-0000-0000-0000010A0000}"/>
    <cellStyle name="Comma 16 2 2 2 4 3" xfId="13986" xr:uid="{00000000-0005-0000-0000-0000020A0000}"/>
    <cellStyle name="Comma 16 2 2 2 5" xfId="5728" xr:uid="{00000000-0005-0000-0000-0000030A0000}"/>
    <cellStyle name="Comma 16 2 2 2 5 2" xfId="16625" xr:uid="{00000000-0005-0000-0000-0000040A0000}"/>
    <cellStyle name="Comma 16 2 2 2 6" xfId="11726" xr:uid="{00000000-0005-0000-0000-0000050A0000}"/>
    <cellStyle name="Comma 16 2 2 3" xfId="1032" xr:uid="{00000000-0005-0000-0000-0000060A0000}"/>
    <cellStyle name="Comma 16 2 2 3 2" xfId="2189" xr:uid="{00000000-0005-0000-0000-0000070A0000}"/>
    <cellStyle name="Comma 16 2 2 3 2 2" xfId="4501" xr:uid="{00000000-0005-0000-0000-0000080A0000}"/>
    <cellStyle name="Comma 16 2 2 3 2 2 2" xfId="9452" xr:uid="{00000000-0005-0000-0000-0000090A0000}"/>
    <cellStyle name="Comma 16 2 2 3 2 2 2 2" xfId="20349" xr:uid="{00000000-0005-0000-0000-00000A0A0000}"/>
    <cellStyle name="Comma 16 2 2 3 2 2 3" xfId="15398" xr:uid="{00000000-0005-0000-0000-00000B0A0000}"/>
    <cellStyle name="Comma 16 2 2 3 2 3" xfId="7140" xr:uid="{00000000-0005-0000-0000-00000C0A0000}"/>
    <cellStyle name="Comma 16 2 2 3 2 3 2" xfId="18037" xr:uid="{00000000-0005-0000-0000-00000D0A0000}"/>
    <cellStyle name="Comma 16 2 2 3 2 4" xfId="13106" xr:uid="{00000000-0005-0000-0000-00000E0A0000}"/>
    <cellStyle name="Comma 16 2 2 3 3" xfId="3356" xr:uid="{00000000-0005-0000-0000-00000F0A0000}"/>
    <cellStyle name="Comma 16 2 2 3 3 2" xfId="8307" xr:uid="{00000000-0005-0000-0000-0000100A0000}"/>
    <cellStyle name="Comma 16 2 2 3 3 2 2" xfId="19204" xr:uid="{00000000-0005-0000-0000-0000110A0000}"/>
    <cellStyle name="Comma 16 2 2 3 3 3" xfId="14253" xr:uid="{00000000-0005-0000-0000-0000120A0000}"/>
    <cellStyle name="Comma 16 2 2 3 4" xfId="5995" xr:uid="{00000000-0005-0000-0000-0000130A0000}"/>
    <cellStyle name="Comma 16 2 2 3 4 2" xfId="16892" xr:uid="{00000000-0005-0000-0000-0000140A0000}"/>
    <cellStyle name="Comma 16 2 2 3 5" xfId="11988" xr:uid="{00000000-0005-0000-0000-0000150A0000}"/>
    <cellStyle name="Comma 16 2 2 4" xfId="1690" xr:uid="{00000000-0005-0000-0000-0000160A0000}"/>
    <cellStyle name="Comma 16 2 2 4 2" xfId="4002" xr:uid="{00000000-0005-0000-0000-0000170A0000}"/>
    <cellStyle name="Comma 16 2 2 4 2 2" xfId="8953" xr:uid="{00000000-0005-0000-0000-0000180A0000}"/>
    <cellStyle name="Comma 16 2 2 4 2 2 2" xfId="19850" xr:uid="{00000000-0005-0000-0000-0000190A0000}"/>
    <cellStyle name="Comma 16 2 2 4 2 3" xfId="14899" xr:uid="{00000000-0005-0000-0000-00001A0A0000}"/>
    <cellStyle name="Comma 16 2 2 4 3" xfId="6641" xr:uid="{00000000-0005-0000-0000-00001B0A0000}"/>
    <cellStyle name="Comma 16 2 2 4 3 2" xfId="17538" xr:uid="{00000000-0005-0000-0000-00001C0A0000}"/>
    <cellStyle name="Comma 16 2 2 4 4" xfId="12621" xr:uid="{00000000-0005-0000-0000-00001D0A0000}"/>
    <cellStyle name="Comma 16 2 2 5" xfId="2824" xr:uid="{00000000-0005-0000-0000-00001E0A0000}"/>
    <cellStyle name="Comma 16 2 2 5 2" xfId="7775" xr:uid="{00000000-0005-0000-0000-00001F0A0000}"/>
    <cellStyle name="Comma 16 2 2 5 2 2" xfId="18672" xr:uid="{00000000-0005-0000-0000-0000200A0000}"/>
    <cellStyle name="Comma 16 2 2 5 3" xfId="13721" xr:uid="{00000000-0005-0000-0000-0000210A0000}"/>
    <cellStyle name="Comma 16 2 2 6" xfId="5463" xr:uid="{00000000-0005-0000-0000-0000220A0000}"/>
    <cellStyle name="Comma 16 2 2 6 2" xfId="16360" xr:uid="{00000000-0005-0000-0000-0000230A0000}"/>
    <cellStyle name="Comma 16 2 2 7" xfId="11465" xr:uid="{00000000-0005-0000-0000-0000240A0000}"/>
    <cellStyle name="Comma 16 2 3" xfId="636" xr:uid="{00000000-0005-0000-0000-0000250A0000}"/>
    <cellStyle name="Comma 16 2 3 2" xfId="1168" xr:uid="{00000000-0005-0000-0000-0000260A0000}"/>
    <cellStyle name="Comma 16 2 3 2 2" xfId="2325" xr:uid="{00000000-0005-0000-0000-0000270A0000}"/>
    <cellStyle name="Comma 16 2 3 2 2 2" xfId="4637" xr:uid="{00000000-0005-0000-0000-0000280A0000}"/>
    <cellStyle name="Comma 16 2 3 2 2 2 2" xfId="9588" xr:uid="{00000000-0005-0000-0000-0000290A0000}"/>
    <cellStyle name="Comma 16 2 3 2 2 2 2 2" xfId="20485" xr:uid="{00000000-0005-0000-0000-00002A0A0000}"/>
    <cellStyle name="Comma 16 2 3 2 2 2 3" xfId="15534" xr:uid="{00000000-0005-0000-0000-00002B0A0000}"/>
    <cellStyle name="Comma 16 2 3 2 2 3" xfId="7276" xr:uid="{00000000-0005-0000-0000-00002C0A0000}"/>
    <cellStyle name="Comma 16 2 3 2 2 3 2" xfId="18173" xr:uid="{00000000-0005-0000-0000-00002D0A0000}"/>
    <cellStyle name="Comma 16 2 3 2 2 4" xfId="13237" xr:uid="{00000000-0005-0000-0000-00002E0A0000}"/>
    <cellStyle name="Comma 16 2 3 2 3" xfId="3492" xr:uid="{00000000-0005-0000-0000-00002F0A0000}"/>
    <cellStyle name="Comma 16 2 3 2 3 2" xfId="8443" xr:uid="{00000000-0005-0000-0000-0000300A0000}"/>
    <cellStyle name="Comma 16 2 3 2 3 2 2" xfId="19340" xr:uid="{00000000-0005-0000-0000-0000310A0000}"/>
    <cellStyle name="Comma 16 2 3 2 3 3" xfId="14389" xr:uid="{00000000-0005-0000-0000-0000320A0000}"/>
    <cellStyle name="Comma 16 2 3 2 4" xfId="6131" xr:uid="{00000000-0005-0000-0000-0000330A0000}"/>
    <cellStyle name="Comma 16 2 3 2 4 2" xfId="17028" xr:uid="{00000000-0005-0000-0000-0000340A0000}"/>
    <cellStyle name="Comma 16 2 3 2 5" xfId="12119" xr:uid="{00000000-0005-0000-0000-0000350A0000}"/>
    <cellStyle name="Comma 16 2 3 3" xfId="1809" xr:uid="{00000000-0005-0000-0000-0000360A0000}"/>
    <cellStyle name="Comma 16 2 3 3 2" xfId="4121" xr:uid="{00000000-0005-0000-0000-0000370A0000}"/>
    <cellStyle name="Comma 16 2 3 3 2 2" xfId="9072" xr:uid="{00000000-0005-0000-0000-0000380A0000}"/>
    <cellStyle name="Comma 16 2 3 3 2 2 2" xfId="19969" xr:uid="{00000000-0005-0000-0000-0000390A0000}"/>
    <cellStyle name="Comma 16 2 3 3 2 3" xfId="15018" xr:uid="{00000000-0005-0000-0000-00003A0A0000}"/>
    <cellStyle name="Comma 16 2 3 3 3" xfId="6760" xr:uid="{00000000-0005-0000-0000-00003B0A0000}"/>
    <cellStyle name="Comma 16 2 3 3 3 2" xfId="17657" xr:uid="{00000000-0005-0000-0000-00003C0A0000}"/>
    <cellStyle name="Comma 16 2 3 3 4" xfId="12734" xr:uid="{00000000-0005-0000-0000-00003D0A0000}"/>
    <cellStyle name="Comma 16 2 3 4" xfId="2960" xr:uid="{00000000-0005-0000-0000-00003E0A0000}"/>
    <cellStyle name="Comma 16 2 3 4 2" xfId="7911" xr:uid="{00000000-0005-0000-0000-00003F0A0000}"/>
    <cellStyle name="Comma 16 2 3 4 2 2" xfId="18808" xr:uid="{00000000-0005-0000-0000-0000400A0000}"/>
    <cellStyle name="Comma 16 2 3 4 3" xfId="13857" xr:uid="{00000000-0005-0000-0000-0000410A0000}"/>
    <cellStyle name="Comma 16 2 3 5" xfId="5599" xr:uid="{00000000-0005-0000-0000-0000420A0000}"/>
    <cellStyle name="Comma 16 2 3 5 2" xfId="16496" xr:uid="{00000000-0005-0000-0000-0000430A0000}"/>
    <cellStyle name="Comma 16 2 3 6" xfId="11598" xr:uid="{00000000-0005-0000-0000-0000440A0000}"/>
    <cellStyle name="Comma 16 2 4" xfId="903" xr:uid="{00000000-0005-0000-0000-0000450A0000}"/>
    <cellStyle name="Comma 16 2 4 2" xfId="2060" xr:uid="{00000000-0005-0000-0000-0000460A0000}"/>
    <cellStyle name="Comma 16 2 4 2 2" xfId="4372" xr:uid="{00000000-0005-0000-0000-0000470A0000}"/>
    <cellStyle name="Comma 16 2 4 2 2 2" xfId="9323" xr:uid="{00000000-0005-0000-0000-0000480A0000}"/>
    <cellStyle name="Comma 16 2 4 2 2 2 2" xfId="20220" xr:uid="{00000000-0005-0000-0000-0000490A0000}"/>
    <cellStyle name="Comma 16 2 4 2 2 3" xfId="15269" xr:uid="{00000000-0005-0000-0000-00004A0A0000}"/>
    <cellStyle name="Comma 16 2 4 2 3" xfId="7011" xr:uid="{00000000-0005-0000-0000-00004B0A0000}"/>
    <cellStyle name="Comma 16 2 4 2 3 2" xfId="17908" xr:uid="{00000000-0005-0000-0000-00004C0A0000}"/>
    <cellStyle name="Comma 16 2 4 2 4" xfId="12978" xr:uid="{00000000-0005-0000-0000-00004D0A0000}"/>
    <cellStyle name="Comma 16 2 4 3" xfId="3227" xr:uid="{00000000-0005-0000-0000-00004E0A0000}"/>
    <cellStyle name="Comma 16 2 4 3 2" xfId="8178" xr:uid="{00000000-0005-0000-0000-00004F0A0000}"/>
    <cellStyle name="Comma 16 2 4 3 2 2" xfId="19075" xr:uid="{00000000-0005-0000-0000-0000500A0000}"/>
    <cellStyle name="Comma 16 2 4 3 3" xfId="14124" xr:uid="{00000000-0005-0000-0000-0000510A0000}"/>
    <cellStyle name="Comma 16 2 4 4" xfId="5866" xr:uid="{00000000-0005-0000-0000-0000520A0000}"/>
    <cellStyle name="Comma 16 2 4 4 2" xfId="16763" xr:uid="{00000000-0005-0000-0000-0000530A0000}"/>
    <cellStyle name="Comma 16 2 4 5" xfId="11860" xr:uid="{00000000-0005-0000-0000-0000540A0000}"/>
    <cellStyle name="Comma 16 2 5" xfId="1576" xr:uid="{00000000-0005-0000-0000-0000550A0000}"/>
    <cellStyle name="Comma 16 2 5 2" xfId="3888" xr:uid="{00000000-0005-0000-0000-0000560A0000}"/>
    <cellStyle name="Comma 16 2 5 2 2" xfId="8839" xr:uid="{00000000-0005-0000-0000-0000570A0000}"/>
    <cellStyle name="Comma 16 2 5 2 2 2" xfId="19736" xr:uid="{00000000-0005-0000-0000-0000580A0000}"/>
    <cellStyle name="Comma 16 2 5 2 3" xfId="14785" xr:uid="{00000000-0005-0000-0000-0000590A0000}"/>
    <cellStyle name="Comma 16 2 5 3" xfId="6527" xr:uid="{00000000-0005-0000-0000-00005A0A0000}"/>
    <cellStyle name="Comma 16 2 5 3 2" xfId="17424" xr:uid="{00000000-0005-0000-0000-00005B0A0000}"/>
    <cellStyle name="Comma 16 2 5 4" xfId="12508" xr:uid="{00000000-0005-0000-0000-00005C0A0000}"/>
    <cellStyle name="Comma 16 2 6" xfId="2695" xr:uid="{00000000-0005-0000-0000-00005D0A0000}"/>
    <cellStyle name="Comma 16 2 6 2" xfId="7646" xr:uid="{00000000-0005-0000-0000-00005E0A0000}"/>
    <cellStyle name="Comma 16 2 6 2 2" xfId="18543" xr:uid="{00000000-0005-0000-0000-00005F0A0000}"/>
    <cellStyle name="Comma 16 2 6 3" xfId="13592" xr:uid="{00000000-0005-0000-0000-0000600A0000}"/>
    <cellStyle name="Comma 16 2 7" xfId="5334" xr:uid="{00000000-0005-0000-0000-0000610A0000}"/>
    <cellStyle name="Comma 16 2 7 2" xfId="16231" xr:uid="{00000000-0005-0000-0000-0000620A0000}"/>
    <cellStyle name="Comma 16 2 8" xfId="11337" xr:uid="{00000000-0005-0000-0000-0000630A0000}"/>
    <cellStyle name="Comma 16 3" xfId="439" xr:uid="{00000000-0005-0000-0000-0000640A0000}"/>
    <cellStyle name="Comma 16 3 2" xfId="704" xr:uid="{00000000-0005-0000-0000-0000650A0000}"/>
    <cellStyle name="Comma 16 3 2 2" xfId="1236" xr:uid="{00000000-0005-0000-0000-0000660A0000}"/>
    <cellStyle name="Comma 16 3 2 2 2" xfId="2393" xr:uid="{00000000-0005-0000-0000-0000670A0000}"/>
    <cellStyle name="Comma 16 3 2 2 2 2" xfId="4705" xr:uid="{00000000-0005-0000-0000-0000680A0000}"/>
    <cellStyle name="Comma 16 3 2 2 2 2 2" xfId="9656" xr:uid="{00000000-0005-0000-0000-0000690A0000}"/>
    <cellStyle name="Comma 16 3 2 2 2 2 2 2" xfId="20553" xr:uid="{00000000-0005-0000-0000-00006A0A0000}"/>
    <cellStyle name="Comma 16 3 2 2 2 2 3" xfId="15602" xr:uid="{00000000-0005-0000-0000-00006B0A0000}"/>
    <cellStyle name="Comma 16 3 2 2 2 3" xfId="7344" xr:uid="{00000000-0005-0000-0000-00006C0A0000}"/>
    <cellStyle name="Comma 16 3 2 2 2 3 2" xfId="18241" xr:uid="{00000000-0005-0000-0000-00006D0A0000}"/>
    <cellStyle name="Comma 16 3 2 2 2 4" xfId="13304" xr:uid="{00000000-0005-0000-0000-00006E0A0000}"/>
    <cellStyle name="Comma 16 3 2 2 3" xfId="3560" xr:uid="{00000000-0005-0000-0000-00006F0A0000}"/>
    <cellStyle name="Comma 16 3 2 2 3 2" xfId="8511" xr:uid="{00000000-0005-0000-0000-0000700A0000}"/>
    <cellStyle name="Comma 16 3 2 2 3 2 2" xfId="19408" xr:uid="{00000000-0005-0000-0000-0000710A0000}"/>
    <cellStyle name="Comma 16 3 2 2 3 3" xfId="14457" xr:uid="{00000000-0005-0000-0000-0000720A0000}"/>
    <cellStyle name="Comma 16 3 2 2 4" xfId="6199" xr:uid="{00000000-0005-0000-0000-0000730A0000}"/>
    <cellStyle name="Comma 16 3 2 2 4 2" xfId="17096" xr:uid="{00000000-0005-0000-0000-0000740A0000}"/>
    <cellStyle name="Comma 16 3 2 2 5" xfId="12186" xr:uid="{00000000-0005-0000-0000-0000750A0000}"/>
    <cellStyle name="Comma 16 3 2 3" xfId="1872" xr:uid="{00000000-0005-0000-0000-0000760A0000}"/>
    <cellStyle name="Comma 16 3 2 3 2" xfId="4184" xr:uid="{00000000-0005-0000-0000-0000770A0000}"/>
    <cellStyle name="Comma 16 3 2 3 2 2" xfId="9135" xr:uid="{00000000-0005-0000-0000-0000780A0000}"/>
    <cellStyle name="Comma 16 3 2 3 2 2 2" xfId="20032" xr:uid="{00000000-0005-0000-0000-0000790A0000}"/>
    <cellStyle name="Comma 16 3 2 3 2 3" xfId="15081" xr:uid="{00000000-0005-0000-0000-00007A0A0000}"/>
    <cellStyle name="Comma 16 3 2 3 3" xfId="6823" xr:uid="{00000000-0005-0000-0000-00007B0A0000}"/>
    <cellStyle name="Comma 16 3 2 3 3 2" xfId="17720" xr:uid="{00000000-0005-0000-0000-00007C0A0000}"/>
    <cellStyle name="Comma 16 3 2 3 4" xfId="12796" xr:uid="{00000000-0005-0000-0000-00007D0A0000}"/>
    <cellStyle name="Comma 16 3 2 4" xfId="3028" xr:uid="{00000000-0005-0000-0000-00007E0A0000}"/>
    <cellStyle name="Comma 16 3 2 4 2" xfId="7979" xr:uid="{00000000-0005-0000-0000-00007F0A0000}"/>
    <cellStyle name="Comma 16 3 2 4 2 2" xfId="18876" xr:uid="{00000000-0005-0000-0000-0000800A0000}"/>
    <cellStyle name="Comma 16 3 2 4 3" xfId="13925" xr:uid="{00000000-0005-0000-0000-0000810A0000}"/>
    <cellStyle name="Comma 16 3 2 5" xfId="5667" xr:uid="{00000000-0005-0000-0000-0000820A0000}"/>
    <cellStyle name="Comma 16 3 2 5 2" xfId="16564" xr:uid="{00000000-0005-0000-0000-0000830A0000}"/>
    <cellStyle name="Comma 16 3 2 6" xfId="11665" xr:uid="{00000000-0005-0000-0000-0000840A0000}"/>
    <cellStyle name="Comma 16 3 3" xfId="971" xr:uid="{00000000-0005-0000-0000-0000850A0000}"/>
    <cellStyle name="Comma 16 3 3 2" xfId="2128" xr:uid="{00000000-0005-0000-0000-0000860A0000}"/>
    <cellStyle name="Comma 16 3 3 2 2" xfId="4440" xr:uid="{00000000-0005-0000-0000-0000870A0000}"/>
    <cellStyle name="Comma 16 3 3 2 2 2" xfId="9391" xr:uid="{00000000-0005-0000-0000-0000880A0000}"/>
    <cellStyle name="Comma 16 3 3 2 2 2 2" xfId="20288" xr:uid="{00000000-0005-0000-0000-0000890A0000}"/>
    <cellStyle name="Comma 16 3 3 2 2 3" xfId="15337" xr:uid="{00000000-0005-0000-0000-00008A0A0000}"/>
    <cellStyle name="Comma 16 3 3 2 3" xfId="7079" xr:uid="{00000000-0005-0000-0000-00008B0A0000}"/>
    <cellStyle name="Comma 16 3 3 2 3 2" xfId="17976" xr:uid="{00000000-0005-0000-0000-00008C0A0000}"/>
    <cellStyle name="Comma 16 3 3 2 4" xfId="13045" xr:uid="{00000000-0005-0000-0000-00008D0A0000}"/>
    <cellStyle name="Comma 16 3 3 3" xfId="3295" xr:uid="{00000000-0005-0000-0000-00008E0A0000}"/>
    <cellStyle name="Comma 16 3 3 3 2" xfId="8246" xr:uid="{00000000-0005-0000-0000-00008F0A0000}"/>
    <cellStyle name="Comma 16 3 3 3 2 2" xfId="19143" xr:uid="{00000000-0005-0000-0000-0000900A0000}"/>
    <cellStyle name="Comma 16 3 3 3 3" xfId="14192" xr:uid="{00000000-0005-0000-0000-0000910A0000}"/>
    <cellStyle name="Comma 16 3 3 4" xfId="5934" xr:uid="{00000000-0005-0000-0000-0000920A0000}"/>
    <cellStyle name="Comma 16 3 3 4 2" xfId="16831" xr:uid="{00000000-0005-0000-0000-0000930A0000}"/>
    <cellStyle name="Comma 16 3 3 5" xfId="11927" xr:uid="{00000000-0005-0000-0000-0000940A0000}"/>
    <cellStyle name="Comma 16 3 4" xfId="1639" xr:uid="{00000000-0005-0000-0000-0000950A0000}"/>
    <cellStyle name="Comma 16 3 4 2" xfId="3951" xr:uid="{00000000-0005-0000-0000-0000960A0000}"/>
    <cellStyle name="Comma 16 3 4 2 2" xfId="8902" xr:uid="{00000000-0005-0000-0000-0000970A0000}"/>
    <cellStyle name="Comma 16 3 4 2 2 2" xfId="19799" xr:uid="{00000000-0005-0000-0000-0000980A0000}"/>
    <cellStyle name="Comma 16 3 4 2 3" xfId="14848" xr:uid="{00000000-0005-0000-0000-0000990A0000}"/>
    <cellStyle name="Comma 16 3 4 3" xfId="6590" xr:uid="{00000000-0005-0000-0000-00009A0A0000}"/>
    <cellStyle name="Comma 16 3 4 3 2" xfId="17487" xr:uid="{00000000-0005-0000-0000-00009B0A0000}"/>
    <cellStyle name="Comma 16 3 4 4" xfId="12570" xr:uid="{00000000-0005-0000-0000-00009C0A0000}"/>
    <cellStyle name="Comma 16 3 5" xfId="2763" xr:uid="{00000000-0005-0000-0000-00009D0A0000}"/>
    <cellStyle name="Comma 16 3 5 2" xfId="7714" xr:uid="{00000000-0005-0000-0000-00009E0A0000}"/>
    <cellStyle name="Comma 16 3 5 2 2" xfId="18611" xr:uid="{00000000-0005-0000-0000-00009F0A0000}"/>
    <cellStyle name="Comma 16 3 5 3" xfId="13660" xr:uid="{00000000-0005-0000-0000-0000A00A0000}"/>
    <cellStyle name="Comma 16 3 6" xfId="5402" xr:uid="{00000000-0005-0000-0000-0000A10A0000}"/>
    <cellStyle name="Comma 16 3 6 2" xfId="16299" xr:uid="{00000000-0005-0000-0000-0000A20A0000}"/>
    <cellStyle name="Comma 16 3 7" xfId="11404" xr:uid="{00000000-0005-0000-0000-0000A30A0000}"/>
    <cellStyle name="Comma 16 4" xfId="569" xr:uid="{00000000-0005-0000-0000-0000A40A0000}"/>
    <cellStyle name="Comma 16 4 2" xfId="1101" xr:uid="{00000000-0005-0000-0000-0000A50A0000}"/>
    <cellStyle name="Comma 16 4 2 2" xfId="2258" xr:uid="{00000000-0005-0000-0000-0000A60A0000}"/>
    <cellStyle name="Comma 16 4 2 2 2" xfId="4570" xr:uid="{00000000-0005-0000-0000-0000A70A0000}"/>
    <cellStyle name="Comma 16 4 2 2 2 2" xfId="9521" xr:uid="{00000000-0005-0000-0000-0000A80A0000}"/>
    <cellStyle name="Comma 16 4 2 2 2 2 2" xfId="20418" xr:uid="{00000000-0005-0000-0000-0000A90A0000}"/>
    <cellStyle name="Comma 16 4 2 2 2 3" xfId="15467" xr:uid="{00000000-0005-0000-0000-0000AA0A0000}"/>
    <cellStyle name="Comma 16 4 2 2 3" xfId="7209" xr:uid="{00000000-0005-0000-0000-0000AB0A0000}"/>
    <cellStyle name="Comma 16 4 2 2 3 2" xfId="18106" xr:uid="{00000000-0005-0000-0000-0000AC0A0000}"/>
    <cellStyle name="Comma 16 4 2 2 4" xfId="13173" xr:uid="{00000000-0005-0000-0000-0000AD0A0000}"/>
    <cellStyle name="Comma 16 4 2 3" xfId="3425" xr:uid="{00000000-0005-0000-0000-0000AE0A0000}"/>
    <cellStyle name="Comma 16 4 2 3 2" xfId="8376" xr:uid="{00000000-0005-0000-0000-0000AF0A0000}"/>
    <cellStyle name="Comma 16 4 2 3 2 2" xfId="19273" xr:uid="{00000000-0005-0000-0000-0000B00A0000}"/>
    <cellStyle name="Comma 16 4 2 3 3" xfId="14322" xr:uid="{00000000-0005-0000-0000-0000B10A0000}"/>
    <cellStyle name="Comma 16 4 2 4" xfId="6064" xr:uid="{00000000-0005-0000-0000-0000B20A0000}"/>
    <cellStyle name="Comma 16 4 2 4 2" xfId="16961" xr:uid="{00000000-0005-0000-0000-0000B30A0000}"/>
    <cellStyle name="Comma 16 4 2 5" xfId="12055" xr:uid="{00000000-0005-0000-0000-0000B40A0000}"/>
    <cellStyle name="Comma 16 4 3" xfId="1754" xr:uid="{00000000-0005-0000-0000-0000B50A0000}"/>
    <cellStyle name="Comma 16 4 3 2" xfId="4066" xr:uid="{00000000-0005-0000-0000-0000B60A0000}"/>
    <cellStyle name="Comma 16 4 3 2 2" xfId="9017" xr:uid="{00000000-0005-0000-0000-0000B70A0000}"/>
    <cellStyle name="Comma 16 4 3 2 2 2" xfId="19914" xr:uid="{00000000-0005-0000-0000-0000B80A0000}"/>
    <cellStyle name="Comma 16 4 3 2 3" xfId="14963" xr:uid="{00000000-0005-0000-0000-0000B90A0000}"/>
    <cellStyle name="Comma 16 4 3 3" xfId="6705" xr:uid="{00000000-0005-0000-0000-0000BA0A0000}"/>
    <cellStyle name="Comma 16 4 3 3 2" xfId="17602" xr:uid="{00000000-0005-0000-0000-0000BB0A0000}"/>
    <cellStyle name="Comma 16 4 3 4" xfId="12683" xr:uid="{00000000-0005-0000-0000-0000BC0A0000}"/>
    <cellStyle name="Comma 16 4 4" xfId="2893" xr:uid="{00000000-0005-0000-0000-0000BD0A0000}"/>
    <cellStyle name="Comma 16 4 4 2" xfId="7844" xr:uid="{00000000-0005-0000-0000-0000BE0A0000}"/>
    <cellStyle name="Comma 16 4 4 2 2" xfId="18741" xr:uid="{00000000-0005-0000-0000-0000BF0A0000}"/>
    <cellStyle name="Comma 16 4 4 3" xfId="13790" xr:uid="{00000000-0005-0000-0000-0000C00A0000}"/>
    <cellStyle name="Comma 16 4 5" xfId="5532" xr:uid="{00000000-0005-0000-0000-0000C10A0000}"/>
    <cellStyle name="Comma 16 4 5 2" xfId="16429" xr:uid="{00000000-0005-0000-0000-0000C20A0000}"/>
    <cellStyle name="Comma 16 4 6" xfId="11534" xr:uid="{00000000-0005-0000-0000-0000C30A0000}"/>
    <cellStyle name="Comma 16 5" xfId="836" xr:uid="{00000000-0005-0000-0000-0000C40A0000}"/>
    <cellStyle name="Comma 16 5 2" xfId="1993" xr:uid="{00000000-0005-0000-0000-0000C50A0000}"/>
    <cellStyle name="Comma 16 5 2 2" xfId="4305" xr:uid="{00000000-0005-0000-0000-0000C60A0000}"/>
    <cellStyle name="Comma 16 5 2 2 2" xfId="9256" xr:uid="{00000000-0005-0000-0000-0000C70A0000}"/>
    <cellStyle name="Comma 16 5 2 2 2 2" xfId="20153" xr:uid="{00000000-0005-0000-0000-0000C80A0000}"/>
    <cellStyle name="Comma 16 5 2 2 3" xfId="15202" xr:uid="{00000000-0005-0000-0000-0000C90A0000}"/>
    <cellStyle name="Comma 16 5 2 3" xfId="6944" xr:uid="{00000000-0005-0000-0000-0000CA0A0000}"/>
    <cellStyle name="Comma 16 5 2 3 2" xfId="17841" xr:uid="{00000000-0005-0000-0000-0000CB0A0000}"/>
    <cellStyle name="Comma 16 5 2 4" xfId="12915" xr:uid="{00000000-0005-0000-0000-0000CC0A0000}"/>
    <cellStyle name="Comma 16 5 3" xfId="3160" xr:uid="{00000000-0005-0000-0000-0000CD0A0000}"/>
    <cellStyle name="Comma 16 5 3 2" xfId="8111" xr:uid="{00000000-0005-0000-0000-0000CE0A0000}"/>
    <cellStyle name="Comma 16 5 3 2 2" xfId="19008" xr:uid="{00000000-0005-0000-0000-0000CF0A0000}"/>
    <cellStyle name="Comma 16 5 3 3" xfId="14057" xr:uid="{00000000-0005-0000-0000-0000D00A0000}"/>
    <cellStyle name="Comma 16 5 4" xfId="5799" xr:uid="{00000000-0005-0000-0000-0000D10A0000}"/>
    <cellStyle name="Comma 16 5 4 2" xfId="16696" xr:uid="{00000000-0005-0000-0000-0000D20A0000}"/>
    <cellStyle name="Comma 16 5 5" xfId="11797" xr:uid="{00000000-0005-0000-0000-0000D30A0000}"/>
    <cellStyle name="Comma 16 6" xfId="1521" xr:uid="{00000000-0005-0000-0000-0000D40A0000}"/>
    <cellStyle name="Comma 16 6 2" xfId="3833" xr:uid="{00000000-0005-0000-0000-0000D50A0000}"/>
    <cellStyle name="Comma 16 6 2 2" xfId="8784" xr:uid="{00000000-0005-0000-0000-0000D60A0000}"/>
    <cellStyle name="Comma 16 6 2 2 2" xfId="19681" xr:uid="{00000000-0005-0000-0000-0000D70A0000}"/>
    <cellStyle name="Comma 16 6 2 3" xfId="14730" xr:uid="{00000000-0005-0000-0000-0000D80A0000}"/>
    <cellStyle name="Comma 16 6 3" xfId="6472" xr:uid="{00000000-0005-0000-0000-0000D90A0000}"/>
    <cellStyle name="Comma 16 6 3 2" xfId="17369" xr:uid="{00000000-0005-0000-0000-0000DA0A0000}"/>
    <cellStyle name="Comma 16 6 4" xfId="12456" xr:uid="{00000000-0005-0000-0000-0000DB0A0000}"/>
    <cellStyle name="Comma 16 7" xfId="2625" xr:uid="{00000000-0005-0000-0000-0000DC0A0000}"/>
    <cellStyle name="Comma 16 7 2" xfId="7576" xr:uid="{00000000-0005-0000-0000-0000DD0A0000}"/>
    <cellStyle name="Comma 16 7 2 2" xfId="18473" xr:uid="{00000000-0005-0000-0000-0000DE0A0000}"/>
    <cellStyle name="Comma 16 7 3" xfId="13522" xr:uid="{00000000-0005-0000-0000-0000DF0A0000}"/>
    <cellStyle name="Comma 16 8" xfId="5264" xr:uid="{00000000-0005-0000-0000-0000E00A0000}"/>
    <cellStyle name="Comma 16 8 2" xfId="16161" xr:uid="{00000000-0005-0000-0000-0000E10A0000}"/>
    <cellStyle name="Comma 16 9" xfId="11249" xr:uid="{00000000-0005-0000-0000-0000E20A0000}"/>
    <cellStyle name="Comma 17" xfId="171" xr:uid="{00000000-0005-0000-0000-0000E30A0000}"/>
    <cellStyle name="Comma 17 2" xfId="371" xr:uid="{00000000-0005-0000-0000-0000E40A0000}"/>
    <cellStyle name="Comma 17 2 2" xfId="501" xr:uid="{00000000-0005-0000-0000-0000E50A0000}"/>
    <cellStyle name="Comma 17 2 2 2" xfId="766" xr:uid="{00000000-0005-0000-0000-0000E60A0000}"/>
    <cellStyle name="Comma 17 2 2 2 2" xfId="1298" xr:uid="{00000000-0005-0000-0000-0000E70A0000}"/>
    <cellStyle name="Comma 17 2 2 2 2 2" xfId="2455" xr:uid="{00000000-0005-0000-0000-0000E80A0000}"/>
    <cellStyle name="Comma 17 2 2 2 2 2 2" xfId="4767" xr:uid="{00000000-0005-0000-0000-0000E90A0000}"/>
    <cellStyle name="Comma 17 2 2 2 2 2 2 2" xfId="9718" xr:uid="{00000000-0005-0000-0000-0000EA0A0000}"/>
    <cellStyle name="Comma 17 2 2 2 2 2 2 2 2" xfId="20615" xr:uid="{00000000-0005-0000-0000-0000EB0A0000}"/>
    <cellStyle name="Comma 17 2 2 2 2 2 2 3" xfId="15664" xr:uid="{00000000-0005-0000-0000-0000EC0A0000}"/>
    <cellStyle name="Comma 17 2 2 2 2 2 3" xfId="7406" xr:uid="{00000000-0005-0000-0000-0000ED0A0000}"/>
    <cellStyle name="Comma 17 2 2 2 2 2 3 2" xfId="18303" xr:uid="{00000000-0005-0000-0000-0000EE0A0000}"/>
    <cellStyle name="Comma 17 2 2 2 2 2 4" xfId="13366" xr:uid="{00000000-0005-0000-0000-0000EF0A0000}"/>
    <cellStyle name="Comma 17 2 2 2 2 3" xfId="3622" xr:uid="{00000000-0005-0000-0000-0000F00A0000}"/>
    <cellStyle name="Comma 17 2 2 2 2 3 2" xfId="8573" xr:uid="{00000000-0005-0000-0000-0000F10A0000}"/>
    <cellStyle name="Comma 17 2 2 2 2 3 2 2" xfId="19470" xr:uid="{00000000-0005-0000-0000-0000F20A0000}"/>
    <cellStyle name="Comma 17 2 2 2 2 3 3" xfId="14519" xr:uid="{00000000-0005-0000-0000-0000F30A0000}"/>
    <cellStyle name="Comma 17 2 2 2 2 4" xfId="6261" xr:uid="{00000000-0005-0000-0000-0000F40A0000}"/>
    <cellStyle name="Comma 17 2 2 2 2 4 2" xfId="17158" xr:uid="{00000000-0005-0000-0000-0000F50A0000}"/>
    <cellStyle name="Comma 17 2 2 2 2 5" xfId="12248" xr:uid="{00000000-0005-0000-0000-0000F60A0000}"/>
    <cellStyle name="Comma 17 2 2 2 3" xfId="1924" xr:uid="{00000000-0005-0000-0000-0000F70A0000}"/>
    <cellStyle name="Comma 17 2 2 2 3 2" xfId="4236" xr:uid="{00000000-0005-0000-0000-0000F80A0000}"/>
    <cellStyle name="Comma 17 2 2 2 3 2 2" xfId="9187" xr:uid="{00000000-0005-0000-0000-0000F90A0000}"/>
    <cellStyle name="Comma 17 2 2 2 3 2 2 2" xfId="20084" xr:uid="{00000000-0005-0000-0000-0000FA0A0000}"/>
    <cellStyle name="Comma 17 2 2 2 3 2 3" xfId="15133" xr:uid="{00000000-0005-0000-0000-0000FB0A0000}"/>
    <cellStyle name="Comma 17 2 2 2 3 3" xfId="6875" xr:uid="{00000000-0005-0000-0000-0000FC0A0000}"/>
    <cellStyle name="Comma 17 2 2 2 3 3 2" xfId="17772" xr:uid="{00000000-0005-0000-0000-0000FD0A0000}"/>
    <cellStyle name="Comma 17 2 2 2 3 4" xfId="12848" xr:uid="{00000000-0005-0000-0000-0000FE0A0000}"/>
    <cellStyle name="Comma 17 2 2 2 4" xfId="3090" xr:uid="{00000000-0005-0000-0000-0000FF0A0000}"/>
    <cellStyle name="Comma 17 2 2 2 4 2" xfId="8041" xr:uid="{00000000-0005-0000-0000-0000000B0000}"/>
    <cellStyle name="Comma 17 2 2 2 4 2 2" xfId="18938" xr:uid="{00000000-0005-0000-0000-0000010B0000}"/>
    <cellStyle name="Comma 17 2 2 2 4 3" xfId="13987" xr:uid="{00000000-0005-0000-0000-0000020B0000}"/>
    <cellStyle name="Comma 17 2 2 2 5" xfId="5729" xr:uid="{00000000-0005-0000-0000-0000030B0000}"/>
    <cellStyle name="Comma 17 2 2 2 5 2" xfId="16626" xr:uid="{00000000-0005-0000-0000-0000040B0000}"/>
    <cellStyle name="Comma 17 2 2 2 6" xfId="11727" xr:uid="{00000000-0005-0000-0000-0000050B0000}"/>
    <cellStyle name="Comma 17 2 2 3" xfId="1033" xr:uid="{00000000-0005-0000-0000-0000060B0000}"/>
    <cellStyle name="Comma 17 2 2 3 2" xfId="2190" xr:uid="{00000000-0005-0000-0000-0000070B0000}"/>
    <cellStyle name="Comma 17 2 2 3 2 2" xfId="4502" xr:uid="{00000000-0005-0000-0000-0000080B0000}"/>
    <cellStyle name="Comma 17 2 2 3 2 2 2" xfId="9453" xr:uid="{00000000-0005-0000-0000-0000090B0000}"/>
    <cellStyle name="Comma 17 2 2 3 2 2 2 2" xfId="20350" xr:uid="{00000000-0005-0000-0000-00000A0B0000}"/>
    <cellStyle name="Comma 17 2 2 3 2 2 3" xfId="15399" xr:uid="{00000000-0005-0000-0000-00000B0B0000}"/>
    <cellStyle name="Comma 17 2 2 3 2 3" xfId="7141" xr:uid="{00000000-0005-0000-0000-00000C0B0000}"/>
    <cellStyle name="Comma 17 2 2 3 2 3 2" xfId="18038" xr:uid="{00000000-0005-0000-0000-00000D0B0000}"/>
    <cellStyle name="Comma 17 2 2 3 2 4" xfId="13107" xr:uid="{00000000-0005-0000-0000-00000E0B0000}"/>
    <cellStyle name="Comma 17 2 2 3 3" xfId="3357" xr:uid="{00000000-0005-0000-0000-00000F0B0000}"/>
    <cellStyle name="Comma 17 2 2 3 3 2" xfId="8308" xr:uid="{00000000-0005-0000-0000-0000100B0000}"/>
    <cellStyle name="Comma 17 2 2 3 3 2 2" xfId="19205" xr:uid="{00000000-0005-0000-0000-0000110B0000}"/>
    <cellStyle name="Comma 17 2 2 3 3 3" xfId="14254" xr:uid="{00000000-0005-0000-0000-0000120B0000}"/>
    <cellStyle name="Comma 17 2 2 3 4" xfId="5996" xr:uid="{00000000-0005-0000-0000-0000130B0000}"/>
    <cellStyle name="Comma 17 2 2 3 4 2" xfId="16893" xr:uid="{00000000-0005-0000-0000-0000140B0000}"/>
    <cellStyle name="Comma 17 2 2 3 5" xfId="11989" xr:uid="{00000000-0005-0000-0000-0000150B0000}"/>
    <cellStyle name="Comma 17 2 2 4" xfId="1691" xr:uid="{00000000-0005-0000-0000-0000160B0000}"/>
    <cellStyle name="Comma 17 2 2 4 2" xfId="4003" xr:uid="{00000000-0005-0000-0000-0000170B0000}"/>
    <cellStyle name="Comma 17 2 2 4 2 2" xfId="8954" xr:uid="{00000000-0005-0000-0000-0000180B0000}"/>
    <cellStyle name="Comma 17 2 2 4 2 2 2" xfId="19851" xr:uid="{00000000-0005-0000-0000-0000190B0000}"/>
    <cellStyle name="Comma 17 2 2 4 2 3" xfId="14900" xr:uid="{00000000-0005-0000-0000-00001A0B0000}"/>
    <cellStyle name="Comma 17 2 2 4 3" xfId="6642" xr:uid="{00000000-0005-0000-0000-00001B0B0000}"/>
    <cellStyle name="Comma 17 2 2 4 3 2" xfId="17539" xr:uid="{00000000-0005-0000-0000-00001C0B0000}"/>
    <cellStyle name="Comma 17 2 2 4 4" xfId="12622" xr:uid="{00000000-0005-0000-0000-00001D0B0000}"/>
    <cellStyle name="Comma 17 2 2 5" xfId="2825" xr:uid="{00000000-0005-0000-0000-00001E0B0000}"/>
    <cellStyle name="Comma 17 2 2 5 2" xfId="7776" xr:uid="{00000000-0005-0000-0000-00001F0B0000}"/>
    <cellStyle name="Comma 17 2 2 5 2 2" xfId="18673" xr:uid="{00000000-0005-0000-0000-0000200B0000}"/>
    <cellStyle name="Comma 17 2 2 5 3" xfId="13722" xr:uid="{00000000-0005-0000-0000-0000210B0000}"/>
    <cellStyle name="Comma 17 2 2 6" xfId="5464" xr:uid="{00000000-0005-0000-0000-0000220B0000}"/>
    <cellStyle name="Comma 17 2 2 6 2" xfId="16361" xr:uid="{00000000-0005-0000-0000-0000230B0000}"/>
    <cellStyle name="Comma 17 2 2 7" xfId="11466" xr:uid="{00000000-0005-0000-0000-0000240B0000}"/>
    <cellStyle name="Comma 17 2 3" xfId="637" xr:uid="{00000000-0005-0000-0000-0000250B0000}"/>
    <cellStyle name="Comma 17 2 3 2" xfId="1169" xr:uid="{00000000-0005-0000-0000-0000260B0000}"/>
    <cellStyle name="Comma 17 2 3 2 2" xfId="2326" xr:uid="{00000000-0005-0000-0000-0000270B0000}"/>
    <cellStyle name="Comma 17 2 3 2 2 2" xfId="4638" xr:uid="{00000000-0005-0000-0000-0000280B0000}"/>
    <cellStyle name="Comma 17 2 3 2 2 2 2" xfId="9589" xr:uid="{00000000-0005-0000-0000-0000290B0000}"/>
    <cellStyle name="Comma 17 2 3 2 2 2 2 2" xfId="20486" xr:uid="{00000000-0005-0000-0000-00002A0B0000}"/>
    <cellStyle name="Comma 17 2 3 2 2 2 3" xfId="15535" xr:uid="{00000000-0005-0000-0000-00002B0B0000}"/>
    <cellStyle name="Comma 17 2 3 2 2 3" xfId="7277" xr:uid="{00000000-0005-0000-0000-00002C0B0000}"/>
    <cellStyle name="Comma 17 2 3 2 2 3 2" xfId="18174" xr:uid="{00000000-0005-0000-0000-00002D0B0000}"/>
    <cellStyle name="Comma 17 2 3 2 2 4" xfId="13238" xr:uid="{00000000-0005-0000-0000-00002E0B0000}"/>
    <cellStyle name="Comma 17 2 3 2 3" xfId="3493" xr:uid="{00000000-0005-0000-0000-00002F0B0000}"/>
    <cellStyle name="Comma 17 2 3 2 3 2" xfId="8444" xr:uid="{00000000-0005-0000-0000-0000300B0000}"/>
    <cellStyle name="Comma 17 2 3 2 3 2 2" xfId="19341" xr:uid="{00000000-0005-0000-0000-0000310B0000}"/>
    <cellStyle name="Comma 17 2 3 2 3 3" xfId="14390" xr:uid="{00000000-0005-0000-0000-0000320B0000}"/>
    <cellStyle name="Comma 17 2 3 2 4" xfId="6132" xr:uid="{00000000-0005-0000-0000-0000330B0000}"/>
    <cellStyle name="Comma 17 2 3 2 4 2" xfId="17029" xr:uid="{00000000-0005-0000-0000-0000340B0000}"/>
    <cellStyle name="Comma 17 2 3 2 5" xfId="12120" xr:uid="{00000000-0005-0000-0000-0000350B0000}"/>
    <cellStyle name="Comma 17 2 3 3" xfId="1810" xr:uid="{00000000-0005-0000-0000-0000360B0000}"/>
    <cellStyle name="Comma 17 2 3 3 2" xfId="4122" xr:uid="{00000000-0005-0000-0000-0000370B0000}"/>
    <cellStyle name="Comma 17 2 3 3 2 2" xfId="9073" xr:uid="{00000000-0005-0000-0000-0000380B0000}"/>
    <cellStyle name="Comma 17 2 3 3 2 2 2" xfId="19970" xr:uid="{00000000-0005-0000-0000-0000390B0000}"/>
    <cellStyle name="Comma 17 2 3 3 2 3" xfId="15019" xr:uid="{00000000-0005-0000-0000-00003A0B0000}"/>
    <cellStyle name="Comma 17 2 3 3 3" xfId="6761" xr:uid="{00000000-0005-0000-0000-00003B0B0000}"/>
    <cellStyle name="Comma 17 2 3 3 3 2" xfId="17658" xr:uid="{00000000-0005-0000-0000-00003C0B0000}"/>
    <cellStyle name="Comma 17 2 3 3 4" xfId="12735" xr:uid="{00000000-0005-0000-0000-00003D0B0000}"/>
    <cellStyle name="Comma 17 2 3 4" xfId="2961" xr:uid="{00000000-0005-0000-0000-00003E0B0000}"/>
    <cellStyle name="Comma 17 2 3 4 2" xfId="7912" xr:uid="{00000000-0005-0000-0000-00003F0B0000}"/>
    <cellStyle name="Comma 17 2 3 4 2 2" xfId="18809" xr:uid="{00000000-0005-0000-0000-0000400B0000}"/>
    <cellStyle name="Comma 17 2 3 4 3" xfId="13858" xr:uid="{00000000-0005-0000-0000-0000410B0000}"/>
    <cellStyle name="Comma 17 2 3 5" xfId="5600" xr:uid="{00000000-0005-0000-0000-0000420B0000}"/>
    <cellStyle name="Comma 17 2 3 5 2" xfId="16497" xr:uid="{00000000-0005-0000-0000-0000430B0000}"/>
    <cellStyle name="Comma 17 2 3 6" xfId="11599" xr:uid="{00000000-0005-0000-0000-0000440B0000}"/>
    <cellStyle name="Comma 17 2 4" xfId="904" xr:uid="{00000000-0005-0000-0000-0000450B0000}"/>
    <cellStyle name="Comma 17 2 4 2" xfId="2061" xr:uid="{00000000-0005-0000-0000-0000460B0000}"/>
    <cellStyle name="Comma 17 2 4 2 2" xfId="4373" xr:uid="{00000000-0005-0000-0000-0000470B0000}"/>
    <cellStyle name="Comma 17 2 4 2 2 2" xfId="9324" xr:uid="{00000000-0005-0000-0000-0000480B0000}"/>
    <cellStyle name="Comma 17 2 4 2 2 2 2" xfId="20221" xr:uid="{00000000-0005-0000-0000-0000490B0000}"/>
    <cellStyle name="Comma 17 2 4 2 2 3" xfId="15270" xr:uid="{00000000-0005-0000-0000-00004A0B0000}"/>
    <cellStyle name="Comma 17 2 4 2 3" xfId="7012" xr:uid="{00000000-0005-0000-0000-00004B0B0000}"/>
    <cellStyle name="Comma 17 2 4 2 3 2" xfId="17909" xr:uid="{00000000-0005-0000-0000-00004C0B0000}"/>
    <cellStyle name="Comma 17 2 4 2 4" xfId="12979" xr:uid="{00000000-0005-0000-0000-00004D0B0000}"/>
    <cellStyle name="Comma 17 2 4 3" xfId="3228" xr:uid="{00000000-0005-0000-0000-00004E0B0000}"/>
    <cellStyle name="Comma 17 2 4 3 2" xfId="8179" xr:uid="{00000000-0005-0000-0000-00004F0B0000}"/>
    <cellStyle name="Comma 17 2 4 3 2 2" xfId="19076" xr:uid="{00000000-0005-0000-0000-0000500B0000}"/>
    <cellStyle name="Comma 17 2 4 3 3" xfId="14125" xr:uid="{00000000-0005-0000-0000-0000510B0000}"/>
    <cellStyle name="Comma 17 2 4 4" xfId="5867" xr:uid="{00000000-0005-0000-0000-0000520B0000}"/>
    <cellStyle name="Comma 17 2 4 4 2" xfId="16764" xr:uid="{00000000-0005-0000-0000-0000530B0000}"/>
    <cellStyle name="Comma 17 2 4 5" xfId="11861" xr:uid="{00000000-0005-0000-0000-0000540B0000}"/>
    <cellStyle name="Comma 17 2 5" xfId="1577" xr:uid="{00000000-0005-0000-0000-0000550B0000}"/>
    <cellStyle name="Comma 17 2 5 2" xfId="3889" xr:uid="{00000000-0005-0000-0000-0000560B0000}"/>
    <cellStyle name="Comma 17 2 5 2 2" xfId="8840" xr:uid="{00000000-0005-0000-0000-0000570B0000}"/>
    <cellStyle name="Comma 17 2 5 2 2 2" xfId="19737" xr:uid="{00000000-0005-0000-0000-0000580B0000}"/>
    <cellStyle name="Comma 17 2 5 2 3" xfId="14786" xr:uid="{00000000-0005-0000-0000-0000590B0000}"/>
    <cellStyle name="Comma 17 2 5 3" xfId="6528" xr:uid="{00000000-0005-0000-0000-00005A0B0000}"/>
    <cellStyle name="Comma 17 2 5 3 2" xfId="17425" xr:uid="{00000000-0005-0000-0000-00005B0B0000}"/>
    <cellStyle name="Comma 17 2 5 4" xfId="12509" xr:uid="{00000000-0005-0000-0000-00005C0B0000}"/>
    <cellStyle name="Comma 17 2 6" xfId="2696" xr:uid="{00000000-0005-0000-0000-00005D0B0000}"/>
    <cellStyle name="Comma 17 2 6 2" xfId="7647" xr:uid="{00000000-0005-0000-0000-00005E0B0000}"/>
    <cellStyle name="Comma 17 2 6 2 2" xfId="18544" xr:uid="{00000000-0005-0000-0000-00005F0B0000}"/>
    <cellStyle name="Comma 17 2 6 3" xfId="13593" xr:uid="{00000000-0005-0000-0000-0000600B0000}"/>
    <cellStyle name="Comma 17 2 7" xfId="5335" xr:uid="{00000000-0005-0000-0000-0000610B0000}"/>
    <cellStyle name="Comma 17 2 7 2" xfId="16232" xr:uid="{00000000-0005-0000-0000-0000620B0000}"/>
    <cellStyle name="Comma 17 2 8" xfId="11338" xr:uid="{00000000-0005-0000-0000-0000630B0000}"/>
    <cellStyle name="Comma 17 3" xfId="440" xr:uid="{00000000-0005-0000-0000-0000640B0000}"/>
    <cellStyle name="Comma 17 3 2" xfId="705" xr:uid="{00000000-0005-0000-0000-0000650B0000}"/>
    <cellStyle name="Comma 17 3 2 2" xfId="1237" xr:uid="{00000000-0005-0000-0000-0000660B0000}"/>
    <cellStyle name="Comma 17 3 2 2 2" xfId="2394" xr:uid="{00000000-0005-0000-0000-0000670B0000}"/>
    <cellStyle name="Comma 17 3 2 2 2 2" xfId="4706" xr:uid="{00000000-0005-0000-0000-0000680B0000}"/>
    <cellStyle name="Comma 17 3 2 2 2 2 2" xfId="9657" xr:uid="{00000000-0005-0000-0000-0000690B0000}"/>
    <cellStyle name="Comma 17 3 2 2 2 2 2 2" xfId="20554" xr:uid="{00000000-0005-0000-0000-00006A0B0000}"/>
    <cellStyle name="Comma 17 3 2 2 2 2 3" xfId="15603" xr:uid="{00000000-0005-0000-0000-00006B0B0000}"/>
    <cellStyle name="Comma 17 3 2 2 2 3" xfId="7345" xr:uid="{00000000-0005-0000-0000-00006C0B0000}"/>
    <cellStyle name="Comma 17 3 2 2 2 3 2" xfId="18242" xr:uid="{00000000-0005-0000-0000-00006D0B0000}"/>
    <cellStyle name="Comma 17 3 2 2 2 4" xfId="13305" xr:uid="{00000000-0005-0000-0000-00006E0B0000}"/>
    <cellStyle name="Comma 17 3 2 2 3" xfId="3561" xr:uid="{00000000-0005-0000-0000-00006F0B0000}"/>
    <cellStyle name="Comma 17 3 2 2 3 2" xfId="8512" xr:uid="{00000000-0005-0000-0000-0000700B0000}"/>
    <cellStyle name="Comma 17 3 2 2 3 2 2" xfId="19409" xr:uid="{00000000-0005-0000-0000-0000710B0000}"/>
    <cellStyle name="Comma 17 3 2 2 3 3" xfId="14458" xr:uid="{00000000-0005-0000-0000-0000720B0000}"/>
    <cellStyle name="Comma 17 3 2 2 4" xfId="6200" xr:uid="{00000000-0005-0000-0000-0000730B0000}"/>
    <cellStyle name="Comma 17 3 2 2 4 2" xfId="17097" xr:uid="{00000000-0005-0000-0000-0000740B0000}"/>
    <cellStyle name="Comma 17 3 2 2 5" xfId="12187" xr:uid="{00000000-0005-0000-0000-0000750B0000}"/>
    <cellStyle name="Comma 17 3 2 3" xfId="1873" xr:uid="{00000000-0005-0000-0000-0000760B0000}"/>
    <cellStyle name="Comma 17 3 2 3 2" xfId="4185" xr:uid="{00000000-0005-0000-0000-0000770B0000}"/>
    <cellStyle name="Comma 17 3 2 3 2 2" xfId="9136" xr:uid="{00000000-0005-0000-0000-0000780B0000}"/>
    <cellStyle name="Comma 17 3 2 3 2 2 2" xfId="20033" xr:uid="{00000000-0005-0000-0000-0000790B0000}"/>
    <cellStyle name="Comma 17 3 2 3 2 3" xfId="15082" xr:uid="{00000000-0005-0000-0000-00007A0B0000}"/>
    <cellStyle name="Comma 17 3 2 3 3" xfId="6824" xr:uid="{00000000-0005-0000-0000-00007B0B0000}"/>
    <cellStyle name="Comma 17 3 2 3 3 2" xfId="17721" xr:uid="{00000000-0005-0000-0000-00007C0B0000}"/>
    <cellStyle name="Comma 17 3 2 3 4" xfId="12797" xr:uid="{00000000-0005-0000-0000-00007D0B0000}"/>
    <cellStyle name="Comma 17 3 2 4" xfId="3029" xr:uid="{00000000-0005-0000-0000-00007E0B0000}"/>
    <cellStyle name="Comma 17 3 2 4 2" xfId="7980" xr:uid="{00000000-0005-0000-0000-00007F0B0000}"/>
    <cellStyle name="Comma 17 3 2 4 2 2" xfId="18877" xr:uid="{00000000-0005-0000-0000-0000800B0000}"/>
    <cellStyle name="Comma 17 3 2 4 3" xfId="13926" xr:uid="{00000000-0005-0000-0000-0000810B0000}"/>
    <cellStyle name="Comma 17 3 2 5" xfId="5668" xr:uid="{00000000-0005-0000-0000-0000820B0000}"/>
    <cellStyle name="Comma 17 3 2 5 2" xfId="16565" xr:uid="{00000000-0005-0000-0000-0000830B0000}"/>
    <cellStyle name="Comma 17 3 2 6" xfId="11666" xr:uid="{00000000-0005-0000-0000-0000840B0000}"/>
    <cellStyle name="Comma 17 3 3" xfId="972" xr:uid="{00000000-0005-0000-0000-0000850B0000}"/>
    <cellStyle name="Comma 17 3 3 2" xfId="2129" xr:uid="{00000000-0005-0000-0000-0000860B0000}"/>
    <cellStyle name="Comma 17 3 3 2 2" xfId="4441" xr:uid="{00000000-0005-0000-0000-0000870B0000}"/>
    <cellStyle name="Comma 17 3 3 2 2 2" xfId="9392" xr:uid="{00000000-0005-0000-0000-0000880B0000}"/>
    <cellStyle name="Comma 17 3 3 2 2 2 2" xfId="20289" xr:uid="{00000000-0005-0000-0000-0000890B0000}"/>
    <cellStyle name="Comma 17 3 3 2 2 3" xfId="15338" xr:uid="{00000000-0005-0000-0000-00008A0B0000}"/>
    <cellStyle name="Comma 17 3 3 2 3" xfId="7080" xr:uid="{00000000-0005-0000-0000-00008B0B0000}"/>
    <cellStyle name="Comma 17 3 3 2 3 2" xfId="17977" xr:uid="{00000000-0005-0000-0000-00008C0B0000}"/>
    <cellStyle name="Comma 17 3 3 2 4" xfId="13046" xr:uid="{00000000-0005-0000-0000-00008D0B0000}"/>
    <cellStyle name="Comma 17 3 3 3" xfId="3296" xr:uid="{00000000-0005-0000-0000-00008E0B0000}"/>
    <cellStyle name="Comma 17 3 3 3 2" xfId="8247" xr:uid="{00000000-0005-0000-0000-00008F0B0000}"/>
    <cellStyle name="Comma 17 3 3 3 2 2" xfId="19144" xr:uid="{00000000-0005-0000-0000-0000900B0000}"/>
    <cellStyle name="Comma 17 3 3 3 3" xfId="14193" xr:uid="{00000000-0005-0000-0000-0000910B0000}"/>
    <cellStyle name="Comma 17 3 3 4" xfId="5935" xr:uid="{00000000-0005-0000-0000-0000920B0000}"/>
    <cellStyle name="Comma 17 3 3 4 2" xfId="16832" xr:uid="{00000000-0005-0000-0000-0000930B0000}"/>
    <cellStyle name="Comma 17 3 3 5" xfId="11928" xr:uid="{00000000-0005-0000-0000-0000940B0000}"/>
    <cellStyle name="Comma 17 3 4" xfId="1640" xr:uid="{00000000-0005-0000-0000-0000950B0000}"/>
    <cellStyle name="Comma 17 3 4 2" xfId="3952" xr:uid="{00000000-0005-0000-0000-0000960B0000}"/>
    <cellStyle name="Comma 17 3 4 2 2" xfId="8903" xr:uid="{00000000-0005-0000-0000-0000970B0000}"/>
    <cellStyle name="Comma 17 3 4 2 2 2" xfId="19800" xr:uid="{00000000-0005-0000-0000-0000980B0000}"/>
    <cellStyle name="Comma 17 3 4 2 3" xfId="14849" xr:uid="{00000000-0005-0000-0000-0000990B0000}"/>
    <cellStyle name="Comma 17 3 4 3" xfId="6591" xr:uid="{00000000-0005-0000-0000-00009A0B0000}"/>
    <cellStyle name="Comma 17 3 4 3 2" xfId="17488" xr:uid="{00000000-0005-0000-0000-00009B0B0000}"/>
    <cellStyle name="Comma 17 3 4 4" xfId="12571" xr:uid="{00000000-0005-0000-0000-00009C0B0000}"/>
    <cellStyle name="Comma 17 3 5" xfId="2764" xr:uid="{00000000-0005-0000-0000-00009D0B0000}"/>
    <cellStyle name="Comma 17 3 5 2" xfId="7715" xr:uid="{00000000-0005-0000-0000-00009E0B0000}"/>
    <cellStyle name="Comma 17 3 5 2 2" xfId="18612" xr:uid="{00000000-0005-0000-0000-00009F0B0000}"/>
    <cellStyle name="Comma 17 3 5 3" xfId="13661" xr:uid="{00000000-0005-0000-0000-0000A00B0000}"/>
    <cellStyle name="Comma 17 3 6" xfId="5403" xr:uid="{00000000-0005-0000-0000-0000A10B0000}"/>
    <cellStyle name="Comma 17 3 6 2" xfId="16300" xr:uid="{00000000-0005-0000-0000-0000A20B0000}"/>
    <cellStyle name="Comma 17 3 7" xfId="11405" xr:uid="{00000000-0005-0000-0000-0000A30B0000}"/>
    <cellStyle name="Comma 17 4" xfId="570" xr:uid="{00000000-0005-0000-0000-0000A40B0000}"/>
    <cellStyle name="Comma 17 4 2" xfId="1102" xr:uid="{00000000-0005-0000-0000-0000A50B0000}"/>
    <cellStyle name="Comma 17 4 2 2" xfId="2259" xr:uid="{00000000-0005-0000-0000-0000A60B0000}"/>
    <cellStyle name="Comma 17 4 2 2 2" xfId="4571" xr:uid="{00000000-0005-0000-0000-0000A70B0000}"/>
    <cellStyle name="Comma 17 4 2 2 2 2" xfId="9522" xr:uid="{00000000-0005-0000-0000-0000A80B0000}"/>
    <cellStyle name="Comma 17 4 2 2 2 2 2" xfId="20419" xr:uid="{00000000-0005-0000-0000-0000A90B0000}"/>
    <cellStyle name="Comma 17 4 2 2 2 3" xfId="15468" xr:uid="{00000000-0005-0000-0000-0000AA0B0000}"/>
    <cellStyle name="Comma 17 4 2 2 3" xfId="7210" xr:uid="{00000000-0005-0000-0000-0000AB0B0000}"/>
    <cellStyle name="Comma 17 4 2 2 3 2" xfId="18107" xr:uid="{00000000-0005-0000-0000-0000AC0B0000}"/>
    <cellStyle name="Comma 17 4 2 2 4" xfId="13174" xr:uid="{00000000-0005-0000-0000-0000AD0B0000}"/>
    <cellStyle name="Comma 17 4 2 3" xfId="3426" xr:uid="{00000000-0005-0000-0000-0000AE0B0000}"/>
    <cellStyle name="Comma 17 4 2 3 2" xfId="8377" xr:uid="{00000000-0005-0000-0000-0000AF0B0000}"/>
    <cellStyle name="Comma 17 4 2 3 2 2" xfId="19274" xr:uid="{00000000-0005-0000-0000-0000B00B0000}"/>
    <cellStyle name="Comma 17 4 2 3 3" xfId="14323" xr:uid="{00000000-0005-0000-0000-0000B10B0000}"/>
    <cellStyle name="Comma 17 4 2 4" xfId="6065" xr:uid="{00000000-0005-0000-0000-0000B20B0000}"/>
    <cellStyle name="Comma 17 4 2 4 2" xfId="16962" xr:uid="{00000000-0005-0000-0000-0000B30B0000}"/>
    <cellStyle name="Comma 17 4 2 5" xfId="12056" xr:uid="{00000000-0005-0000-0000-0000B40B0000}"/>
    <cellStyle name="Comma 17 4 3" xfId="1755" xr:uid="{00000000-0005-0000-0000-0000B50B0000}"/>
    <cellStyle name="Comma 17 4 3 2" xfId="4067" xr:uid="{00000000-0005-0000-0000-0000B60B0000}"/>
    <cellStyle name="Comma 17 4 3 2 2" xfId="9018" xr:uid="{00000000-0005-0000-0000-0000B70B0000}"/>
    <cellStyle name="Comma 17 4 3 2 2 2" xfId="19915" xr:uid="{00000000-0005-0000-0000-0000B80B0000}"/>
    <cellStyle name="Comma 17 4 3 2 3" xfId="14964" xr:uid="{00000000-0005-0000-0000-0000B90B0000}"/>
    <cellStyle name="Comma 17 4 3 3" xfId="6706" xr:uid="{00000000-0005-0000-0000-0000BA0B0000}"/>
    <cellStyle name="Comma 17 4 3 3 2" xfId="17603" xr:uid="{00000000-0005-0000-0000-0000BB0B0000}"/>
    <cellStyle name="Comma 17 4 3 4" xfId="12684" xr:uid="{00000000-0005-0000-0000-0000BC0B0000}"/>
    <cellStyle name="Comma 17 4 4" xfId="2894" xr:uid="{00000000-0005-0000-0000-0000BD0B0000}"/>
    <cellStyle name="Comma 17 4 4 2" xfId="7845" xr:uid="{00000000-0005-0000-0000-0000BE0B0000}"/>
    <cellStyle name="Comma 17 4 4 2 2" xfId="18742" xr:uid="{00000000-0005-0000-0000-0000BF0B0000}"/>
    <cellStyle name="Comma 17 4 4 3" xfId="13791" xr:uid="{00000000-0005-0000-0000-0000C00B0000}"/>
    <cellStyle name="Comma 17 4 5" xfId="5533" xr:uid="{00000000-0005-0000-0000-0000C10B0000}"/>
    <cellStyle name="Comma 17 4 5 2" xfId="16430" xr:uid="{00000000-0005-0000-0000-0000C20B0000}"/>
    <cellStyle name="Comma 17 4 6" xfId="11535" xr:uid="{00000000-0005-0000-0000-0000C30B0000}"/>
    <cellStyle name="Comma 17 5" xfId="837" xr:uid="{00000000-0005-0000-0000-0000C40B0000}"/>
    <cellStyle name="Comma 17 5 2" xfId="1994" xr:uid="{00000000-0005-0000-0000-0000C50B0000}"/>
    <cellStyle name="Comma 17 5 2 2" xfId="4306" xr:uid="{00000000-0005-0000-0000-0000C60B0000}"/>
    <cellStyle name="Comma 17 5 2 2 2" xfId="9257" xr:uid="{00000000-0005-0000-0000-0000C70B0000}"/>
    <cellStyle name="Comma 17 5 2 2 2 2" xfId="20154" xr:uid="{00000000-0005-0000-0000-0000C80B0000}"/>
    <cellStyle name="Comma 17 5 2 2 3" xfId="15203" xr:uid="{00000000-0005-0000-0000-0000C90B0000}"/>
    <cellStyle name="Comma 17 5 2 3" xfId="6945" xr:uid="{00000000-0005-0000-0000-0000CA0B0000}"/>
    <cellStyle name="Comma 17 5 2 3 2" xfId="17842" xr:uid="{00000000-0005-0000-0000-0000CB0B0000}"/>
    <cellStyle name="Comma 17 5 2 4" xfId="12916" xr:uid="{00000000-0005-0000-0000-0000CC0B0000}"/>
    <cellStyle name="Comma 17 5 3" xfId="3161" xr:uid="{00000000-0005-0000-0000-0000CD0B0000}"/>
    <cellStyle name="Comma 17 5 3 2" xfId="8112" xr:uid="{00000000-0005-0000-0000-0000CE0B0000}"/>
    <cellStyle name="Comma 17 5 3 2 2" xfId="19009" xr:uid="{00000000-0005-0000-0000-0000CF0B0000}"/>
    <cellStyle name="Comma 17 5 3 3" xfId="14058" xr:uid="{00000000-0005-0000-0000-0000D00B0000}"/>
    <cellStyle name="Comma 17 5 4" xfId="5800" xr:uid="{00000000-0005-0000-0000-0000D10B0000}"/>
    <cellStyle name="Comma 17 5 4 2" xfId="16697" xr:uid="{00000000-0005-0000-0000-0000D20B0000}"/>
    <cellStyle name="Comma 17 5 5" xfId="11798" xr:uid="{00000000-0005-0000-0000-0000D30B0000}"/>
    <cellStyle name="Comma 17 6" xfId="1522" xr:uid="{00000000-0005-0000-0000-0000D40B0000}"/>
    <cellStyle name="Comma 17 6 2" xfId="3834" xr:uid="{00000000-0005-0000-0000-0000D50B0000}"/>
    <cellStyle name="Comma 17 6 2 2" xfId="8785" xr:uid="{00000000-0005-0000-0000-0000D60B0000}"/>
    <cellStyle name="Comma 17 6 2 2 2" xfId="19682" xr:uid="{00000000-0005-0000-0000-0000D70B0000}"/>
    <cellStyle name="Comma 17 6 2 3" xfId="14731" xr:uid="{00000000-0005-0000-0000-0000D80B0000}"/>
    <cellStyle name="Comma 17 6 3" xfId="6473" xr:uid="{00000000-0005-0000-0000-0000D90B0000}"/>
    <cellStyle name="Comma 17 6 3 2" xfId="17370" xr:uid="{00000000-0005-0000-0000-0000DA0B0000}"/>
    <cellStyle name="Comma 17 6 4" xfId="12457" xr:uid="{00000000-0005-0000-0000-0000DB0B0000}"/>
    <cellStyle name="Comma 17 7" xfId="2626" xr:uid="{00000000-0005-0000-0000-0000DC0B0000}"/>
    <cellStyle name="Comma 17 7 2" xfId="7577" xr:uid="{00000000-0005-0000-0000-0000DD0B0000}"/>
    <cellStyle name="Comma 17 7 2 2" xfId="18474" xr:uid="{00000000-0005-0000-0000-0000DE0B0000}"/>
    <cellStyle name="Comma 17 7 3" xfId="13523" xr:uid="{00000000-0005-0000-0000-0000DF0B0000}"/>
    <cellStyle name="Comma 17 8" xfId="5265" xr:uid="{00000000-0005-0000-0000-0000E00B0000}"/>
    <cellStyle name="Comma 17 8 2" xfId="16162" xr:uid="{00000000-0005-0000-0000-0000E10B0000}"/>
    <cellStyle name="Comma 17 9" xfId="11250" xr:uid="{00000000-0005-0000-0000-0000E20B0000}"/>
    <cellStyle name="Comma 18" xfId="172" xr:uid="{00000000-0005-0000-0000-0000E30B0000}"/>
    <cellStyle name="Comma 18 2" xfId="372" xr:uid="{00000000-0005-0000-0000-0000E40B0000}"/>
    <cellStyle name="Comma 18 2 2" xfId="502" xr:uid="{00000000-0005-0000-0000-0000E50B0000}"/>
    <cellStyle name="Comma 18 2 2 2" xfId="767" xr:uid="{00000000-0005-0000-0000-0000E60B0000}"/>
    <cellStyle name="Comma 18 2 2 2 2" xfId="1299" xr:uid="{00000000-0005-0000-0000-0000E70B0000}"/>
    <cellStyle name="Comma 18 2 2 2 2 2" xfId="2456" xr:uid="{00000000-0005-0000-0000-0000E80B0000}"/>
    <cellStyle name="Comma 18 2 2 2 2 2 2" xfId="4768" xr:uid="{00000000-0005-0000-0000-0000E90B0000}"/>
    <cellStyle name="Comma 18 2 2 2 2 2 2 2" xfId="9719" xr:uid="{00000000-0005-0000-0000-0000EA0B0000}"/>
    <cellStyle name="Comma 18 2 2 2 2 2 2 2 2" xfId="20616" xr:uid="{00000000-0005-0000-0000-0000EB0B0000}"/>
    <cellStyle name="Comma 18 2 2 2 2 2 2 3" xfId="15665" xr:uid="{00000000-0005-0000-0000-0000EC0B0000}"/>
    <cellStyle name="Comma 18 2 2 2 2 2 3" xfId="7407" xr:uid="{00000000-0005-0000-0000-0000ED0B0000}"/>
    <cellStyle name="Comma 18 2 2 2 2 2 3 2" xfId="18304" xr:uid="{00000000-0005-0000-0000-0000EE0B0000}"/>
    <cellStyle name="Comma 18 2 2 2 2 2 4" xfId="13367" xr:uid="{00000000-0005-0000-0000-0000EF0B0000}"/>
    <cellStyle name="Comma 18 2 2 2 2 3" xfId="3623" xr:uid="{00000000-0005-0000-0000-0000F00B0000}"/>
    <cellStyle name="Comma 18 2 2 2 2 3 2" xfId="8574" xr:uid="{00000000-0005-0000-0000-0000F10B0000}"/>
    <cellStyle name="Comma 18 2 2 2 2 3 2 2" xfId="19471" xr:uid="{00000000-0005-0000-0000-0000F20B0000}"/>
    <cellStyle name="Comma 18 2 2 2 2 3 3" xfId="14520" xr:uid="{00000000-0005-0000-0000-0000F30B0000}"/>
    <cellStyle name="Comma 18 2 2 2 2 4" xfId="6262" xr:uid="{00000000-0005-0000-0000-0000F40B0000}"/>
    <cellStyle name="Comma 18 2 2 2 2 4 2" xfId="17159" xr:uid="{00000000-0005-0000-0000-0000F50B0000}"/>
    <cellStyle name="Comma 18 2 2 2 2 5" xfId="12249" xr:uid="{00000000-0005-0000-0000-0000F60B0000}"/>
    <cellStyle name="Comma 18 2 2 2 3" xfId="1925" xr:uid="{00000000-0005-0000-0000-0000F70B0000}"/>
    <cellStyle name="Comma 18 2 2 2 3 2" xfId="4237" xr:uid="{00000000-0005-0000-0000-0000F80B0000}"/>
    <cellStyle name="Comma 18 2 2 2 3 2 2" xfId="9188" xr:uid="{00000000-0005-0000-0000-0000F90B0000}"/>
    <cellStyle name="Comma 18 2 2 2 3 2 2 2" xfId="20085" xr:uid="{00000000-0005-0000-0000-0000FA0B0000}"/>
    <cellStyle name="Comma 18 2 2 2 3 2 3" xfId="15134" xr:uid="{00000000-0005-0000-0000-0000FB0B0000}"/>
    <cellStyle name="Comma 18 2 2 2 3 3" xfId="6876" xr:uid="{00000000-0005-0000-0000-0000FC0B0000}"/>
    <cellStyle name="Comma 18 2 2 2 3 3 2" xfId="17773" xr:uid="{00000000-0005-0000-0000-0000FD0B0000}"/>
    <cellStyle name="Comma 18 2 2 2 3 4" xfId="12849" xr:uid="{00000000-0005-0000-0000-0000FE0B0000}"/>
    <cellStyle name="Comma 18 2 2 2 4" xfId="3091" xr:uid="{00000000-0005-0000-0000-0000FF0B0000}"/>
    <cellStyle name="Comma 18 2 2 2 4 2" xfId="8042" xr:uid="{00000000-0005-0000-0000-0000000C0000}"/>
    <cellStyle name="Comma 18 2 2 2 4 2 2" xfId="18939" xr:uid="{00000000-0005-0000-0000-0000010C0000}"/>
    <cellStyle name="Comma 18 2 2 2 4 3" xfId="13988" xr:uid="{00000000-0005-0000-0000-0000020C0000}"/>
    <cellStyle name="Comma 18 2 2 2 5" xfId="5730" xr:uid="{00000000-0005-0000-0000-0000030C0000}"/>
    <cellStyle name="Comma 18 2 2 2 5 2" xfId="16627" xr:uid="{00000000-0005-0000-0000-0000040C0000}"/>
    <cellStyle name="Comma 18 2 2 2 6" xfId="11728" xr:uid="{00000000-0005-0000-0000-0000050C0000}"/>
    <cellStyle name="Comma 18 2 2 3" xfId="1034" xr:uid="{00000000-0005-0000-0000-0000060C0000}"/>
    <cellStyle name="Comma 18 2 2 3 2" xfId="2191" xr:uid="{00000000-0005-0000-0000-0000070C0000}"/>
    <cellStyle name="Comma 18 2 2 3 2 2" xfId="4503" xr:uid="{00000000-0005-0000-0000-0000080C0000}"/>
    <cellStyle name="Comma 18 2 2 3 2 2 2" xfId="9454" xr:uid="{00000000-0005-0000-0000-0000090C0000}"/>
    <cellStyle name="Comma 18 2 2 3 2 2 2 2" xfId="20351" xr:uid="{00000000-0005-0000-0000-00000A0C0000}"/>
    <cellStyle name="Comma 18 2 2 3 2 2 3" xfId="15400" xr:uid="{00000000-0005-0000-0000-00000B0C0000}"/>
    <cellStyle name="Comma 18 2 2 3 2 3" xfId="7142" xr:uid="{00000000-0005-0000-0000-00000C0C0000}"/>
    <cellStyle name="Comma 18 2 2 3 2 3 2" xfId="18039" xr:uid="{00000000-0005-0000-0000-00000D0C0000}"/>
    <cellStyle name="Comma 18 2 2 3 2 4" xfId="13108" xr:uid="{00000000-0005-0000-0000-00000E0C0000}"/>
    <cellStyle name="Comma 18 2 2 3 3" xfId="3358" xr:uid="{00000000-0005-0000-0000-00000F0C0000}"/>
    <cellStyle name="Comma 18 2 2 3 3 2" xfId="8309" xr:uid="{00000000-0005-0000-0000-0000100C0000}"/>
    <cellStyle name="Comma 18 2 2 3 3 2 2" xfId="19206" xr:uid="{00000000-0005-0000-0000-0000110C0000}"/>
    <cellStyle name="Comma 18 2 2 3 3 3" xfId="14255" xr:uid="{00000000-0005-0000-0000-0000120C0000}"/>
    <cellStyle name="Comma 18 2 2 3 4" xfId="5997" xr:uid="{00000000-0005-0000-0000-0000130C0000}"/>
    <cellStyle name="Comma 18 2 2 3 4 2" xfId="16894" xr:uid="{00000000-0005-0000-0000-0000140C0000}"/>
    <cellStyle name="Comma 18 2 2 3 5" xfId="11990" xr:uid="{00000000-0005-0000-0000-0000150C0000}"/>
    <cellStyle name="Comma 18 2 2 4" xfId="1692" xr:uid="{00000000-0005-0000-0000-0000160C0000}"/>
    <cellStyle name="Comma 18 2 2 4 2" xfId="4004" xr:uid="{00000000-0005-0000-0000-0000170C0000}"/>
    <cellStyle name="Comma 18 2 2 4 2 2" xfId="8955" xr:uid="{00000000-0005-0000-0000-0000180C0000}"/>
    <cellStyle name="Comma 18 2 2 4 2 2 2" xfId="19852" xr:uid="{00000000-0005-0000-0000-0000190C0000}"/>
    <cellStyle name="Comma 18 2 2 4 2 3" xfId="14901" xr:uid="{00000000-0005-0000-0000-00001A0C0000}"/>
    <cellStyle name="Comma 18 2 2 4 3" xfId="6643" xr:uid="{00000000-0005-0000-0000-00001B0C0000}"/>
    <cellStyle name="Comma 18 2 2 4 3 2" xfId="17540" xr:uid="{00000000-0005-0000-0000-00001C0C0000}"/>
    <cellStyle name="Comma 18 2 2 4 4" xfId="12623" xr:uid="{00000000-0005-0000-0000-00001D0C0000}"/>
    <cellStyle name="Comma 18 2 2 5" xfId="2826" xr:uid="{00000000-0005-0000-0000-00001E0C0000}"/>
    <cellStyle name="Comma 18 2 2 5 2" xfId="7777" xr:uid="{00000000-0005-0000-0000-00001F0C0000}"/>
    <cellStyle name="Comma 18 2 2 5 2 2" xfId="18674" xr:uid="{00000000-0005-0000-0000-0000200C0000}"/>
    <cellStyle name="Comma 18 2 2 5 3" xfId="13723" xr:uid="{00000000-0005-0000-0000-0000210C0000}"/>
    <cellStyle name="Comma 18 2 2 6" xfId="5465" xr:uid="{00000000-0005-0000-0000-0000220C0000}"/>
    <cellStyle name="Comma 18 2 2 6 2" xfId="16362" xr:uid="{00000000-0005-0000-0000-0000230C0000}"/>
    <cellStyle name="Comma 18 2 2 7" xfId="11467" xr:uid="{00000000-0005-0000-0000-0000240C0000}"/>
    <cellStyle name="Comma 18 2 3" xfId="638" xr:uid="{00000000-0005-0000-0000-0000250C0000}"/>
    <cellStyle name="Comma 18 2 3 2" xfId="1170" xr:uid="{00000000-0005-0000-0000-0000260C0000}"/>
    <cellStyle name="Comma 18 2 3 2 2" xfId="2327" xr:uid="{00000000-0005-0000-0000-0000270C0000}"/>
    <cellStyle name="Comma 18 2 3 2 2 2" xfId="4639" xr:uid="{00000000-0005-0000-0000-0000280C0000}"/>
    <cellStyle name="Comma 18 2 3 2 2 2 2" xfId="9590" xr:uid="{00000000-0005-0000-0000-0000290C0000}"/>
    <cellStyle name="Comma 18 2 3 2 2 2 2 2" xfId="20487" xr:uid="{00000000-0005-0000-0000-00002A0C0000}"/>
    <cellStyle name="Comma 18 2 3 2 2 2 3" xfId="15536" xr:uid="{00000000-0005-0000-0000-00002B0C0000}"/>
    <cellStyle name="Comma 18 2 3 2 2 3" xfId="7278" xr:uid="{00000000-0005-0000-0000-00002C0C0000}"/>
    <cellStyle name="Comma 18 2 3 2 2 3 2" xfId="18175" xr:uid="{00000000-0005-0000-0000-00002D0C0000}"/>
    <cellStyle name="Comma 18 2 3 2 2 4" xfId="13239" xr:uid="{00000000-0005-0000-0000-00002E0C0000}"/>
    <cellStyle name="Comma 18 2 3 2 3" xfId="3494" xr:uid="{00000000-0005-0000-0000-00002F0C0000}"/>
    <cellStyle name="Comma 18 2 3 2 3 2" xfId="8445" xr:uid="{00000000-0005-0000-0000-0000300C0000}"/>
    <cellStyle name="Comma 18 2 3 2 3 2 2" xfId="19342" xr:uid="{00000000-0005-0000-0000-0000310C0000}"/>
    <cellStyle name="Comma 18 2 3 2 3 3" xfId="14391" xr:uid="{00000000-0005-0000-0000-0000320C0000}"/>
    <cellStyle name="Comma 18 2 3 2 4" xfId="6133" xr:uid="{00000000-0005-0000-0000-0000330C0000}"/>
    <cellStyle name="Comma 18 2 3 2 4 2" xfId="17030" xr:uid="{00000000-0005-0000-0000-0000340C0000}"/>
    <cellStyle name="Comma 18 2 3 2 5" xfId="12121" xr:uid="{00000000-0005-0000-0000-0000350C0000}"/>
    <cellStyle name="Comma 18 2 3 3" xfId="1811" xr:uid="{00000000-0005-0000-0000-0000360C0000}"/>
    <cellStyle name="Comma 18 2 3 3 2" xfId="4123" xr:uid="{00000000-0005-0000-0000-0000370C0000}"/>
    <cellStyle name="Comma 18 2 3 3 2 2" xfId="9074" xr:uid="{00000000-0005-0000-0000-0000380C0000}"/>
    <cellStyle name="Comma 18 2 3 3 2 2 2" xfId="19971" xr:uid="{00000000-0005-0000-0000-0000390C0000}"/>
    <cellStyle name="Comma 18 2 3 3 2 3" xfId="15020" xr:uid="{00000000-0005-0000-0000-00003A0C0000}"/>
    <cellStyle name="Comma 18 2 3 3 3" xfId="6762" xr:uid="{00000000-0005-0000-0000-00003B0C0000}"/>
    <cellStyle name="Comma 18 2 3 3 3 2" xfId="17659" xr:uid="{00000000-0005-0000-0000-00003C0C0000}"/>
    <cellStyle name="Comma 18 2 3 3 4" xfId="12736" xr:uid="{00000000-0005-0000-0000-00003D0C0000}"/>
    <cellStyle name="Comma 18 2 3 4" xfId="2962" xr:uid="{00000000-0005-0000-0000-00003E0C0000}"/>
    <cellStyle name="Comma 18 2 3 4 2" xfId="7913" xr:uid="{00000000-0005-0000-0000-00003F0C0000}"/>
    <cellStyle name="Comma 18 2 3 4 2 2" xfId="18810" xr:uid="{00000000-0005-0000-0000-0000400C0000}"/>
    <cellStyle name="Comma 18 2 3 4 3" xfId="13859" xr:uid="{00000000-0005-0000-0000-0000410C0000}"/>
    <cellStyle name="Comma 18 2 3 5" xfId="5601" xr:uid="{00000000-0005-0000-0000-0000420C0000}"/>
    <cellStyle name="Comma 18 2 3 5 2" xfId="16498" xr:uid="{00000000-0005-0000-0000-0000430C0000}"/>
    <cellStyle name="Comma 18 2 3 6" xfId="11600" xr:uid="{00000000-0005-0000-0000-0000440C0000}"/>
    <cellStyle name="Comma 18 2 4" xfId="905" xr:uid="{00000000-0005-0000-0000-0000450C0000}"/>
    <cellStyle name="Comma 18 2 4 2" xfId="2062" xr:uid="{00000000-0005-0000-0000-0000460C0000}"/>
    <cellStyle name="Comma 18 2 4 2 2" xfId="4374" xr:uid="{00000000-0005-0000-0000-0000470C0000}"/>
    <cellStyle name="Comma 18 2 4 2 2 2" xfId="9325" xr:uid="{00000000-0005-0000-0000-0000480C0000}"/>
    <cellStyle name="Comma 18 2 4 2 2 2 2" xfId="20222" xr:uid="{00000000-0005-0000-0000-0000490C0000}"/>
    <cellStyle name="Comma 18 2 4 2 2 3" xfId="15271" xr:uid="{00000000-0005-0000-0000-00004A0C0000}"/>
    <cellStyle name="Comma 18 2 4 2 3" xfId="7013" xr:uid="{00000000-0005-0000-0000-00004B0C0000}"/>
    <cellStyle name="Comma 18 2 4 2 3 2" xfId="17910" xr:uid="{00000000-0005-0000-0000-00004C0C0000}"/>
    <cellStyle name="Comma 18 2 4 2 4" xfId="12980" xr:uid="{00000000-0005-0000-0000-00004D0C0000}"/>
    <cellStyle name="Comma 18 2 4 3" xfId="3229" xr:uid="{00000000-0005-0000-0000-00004E0C0000}"/>
    <cellStyle name="Comma 18 2 4 3 2" xfId="8180" xr:uid="{00000000-0005-0000-0000-00004F0C0000}"/>
    <cellStyle name="Comma 18 2 4 3 2 2" xfId="19077" xr:uid="{00000000-0005-0000-0000-0000500C0000}"/>
    <cellStyle name="Comma 18 2 4 3 3" xfId="14126" xr:uid="{00000000-0005-0000-0000-0000510C0000}"/>
    <cellStyle name="Comma 18 2 4 4" xfId="5868" xr:uid="{00000000-0005-0000-0000-0000520C0000}"/>
    <cellStyle name="Comma 18 2 4 4 2" xfId="16765" xr:uid="{00000000-0005-0000-0000-0000530C0000}"/>
    <cellStyle name="Comma 18 2 4 5" xfId="11862" xr:uid="{00000000-0005-0000-0000-0000540C0000}"/>
    <cellStyle name="Comma 18 2 5" xfId="1578" xr:uid="{00000000-0005-0000-0000-0000550C0000}"/>
    <cellStyle name="Comma 18 2 5 2" xfId="3890" xr:uid="{00000000-0005-0000-0000-0000560C0000}"/>
    <cellStyle name="Comma 18 2 5 2 2" xfId="8841" xr:uid="{00000000-0005-0000-0000-0000570C0000}"/>
    <cellStyle name="Comma 18 2 5 2 2 2" xfId="19738" xr:uid="{00000000-0005-0000-0000-0000580C0000}"/>
    <cellStyle name="Comma 18 2 5 2 3" xfId="14787" xr:uid="{00000000-0005-0000-0000-0000590C0000}"/>
    <cellStyle name="Comma 18 2 5 3" xfId="6529" xr:uid="{00000000-0005-0000-0000-00005A0C0000}"/>
    <cellStyle name="Comma 18 2 5 3 2" xfId="17426" xr:uid="{00000000-0005-0000-0000-00005B0C0000}"/>
    <cellStyle name="Comma 18 2 5 4" xfId="12510" xr:uid="{00000000-0005-0000-0000-00005C0C0000}"/>
    <cellStyle name="Comma 18 2 6" xfId="2697" xr:uid="{00000000-0005-0000-0000-00005D0C0000}"/>
    <cellStyle name="Comma 18 2 6 2" xfId="7648" xr:uid="{00000000-0005-0000-0000-00005E0C0000}"/>
    <cellStyle name="Comma 18 2 6 2 2" xfId="18545" xr:uid="{00000000-0005-0000-0000-00005F0C0000}"/>
    <cellStyle name="Comma 18 2 6 3" xfId="13594" xr:uid="{00000000-0005-0000-0000-0000600C0000}"/>
    <cellStyle name="Comma 18 2 7" xfId="5336" xr:uid="{00000000-0005-0000-0000-0000610C0000}"/>
    <cellStyle name="Comma 18 2 7 2" xfId="16233" xr:uid="{00000000-0005-0000-0000-0000620C0000}"/>
    <cellStyle name="Comma 18 2 8" xfId="11339" xr:uid="{00000000-0005-0000-0000-0000630C0000}"/>
    <cellStyle name="Comma 18 3" xfId="441" xr:uid="{00000000-0005-0000-0000-0000640C0000}"/>
    <cellStyle name="Comma 18 3 2" xfId="706" xr:uid="{00000000-0005-0000-0000-0000650C0000}"/>
    <cellStyle name="Comma 18 3 2 2" xfId="1238" xr:uid="{00000000-0005-0000-0000-0000660C0000}"/>
    <cellStyle name="Comma 18 3 2 2 2" xfId="2395" xr:uid="{00000000-0005-0000-0000-0000670C0000}"/>
    <cellStyle name="Comma 18 3 2 2 2 2" xfId="4707" xr:uid="{00000000-0005-0000-0000-0000680C0000}"/>
    <cellStyle name="Comma 18 3 2 2 2 2 2" xfId="9658" xr:uid="{00000000-0005-0000-0000-0000690C0000}"/>
    <cellStyle name="Comma 18 3 2 2 2 2 2 2" xfId="20555" xr:uid="{00000000-0005-0000-0000-00006A0C0000}"/>
    <cellStyle name="Comma 18 3 2 2 2 2 3" xfId="15604" xr:uid="{00000000-0005-0000-0000-00006B0C0000}"/>
    <cellStyle name="Comma 18 3 2 2 2 3" xfId="7346" xr:uid="{00000000-0005-0000-0000-00006C0C0000}"/>
    <cellStyle name="Comma 18 3 2 2 2 3 2" xfId="18243" xr:uid="{00000000-0005-0000-0000-00006D0C0000}"/>
    <cellStyle name="Comma 18 3 2 2 2 4" xfId="13306" xr:uid="{00000000-0005-0000-0000-00006E0C0000}"/>
    <cellStyle name="Comma 18 3 2 2 3" xfId="3562" xr:uid="{00000000-0005-0000-0000-00006F0C0000}"/>
    <cellStyle name="Comma 18 3 2 2 3 2" xfId="8513" xr:uid="{00000000-0005-0000-0000-0000700C0000}"/>
    <cellStyle name="Comma 18 3 2 2 3 2 2" xfId="19410" xr:uid="{00000000-0005-0000-0000-0000710C0000}"/>
    <cellStyle name="Comma 18 3 2 2 3 3" xfId="14459" xr:uid="{00000000-0005-0000-0000-0000720C0000}"/>
    <cellStyle name="Comma 18 3 2 2 4" xfId="6201" xr:uid="{00000000-0005-0000-0000-0000730C0000}"/>
    <cellStyle name="Comma 18 3 2 2 4 2" xfId="17098" xr:uid="{00000000-0005-0000-0000-0000740C0000}"/>
    <cellStyle name="Comma 18 3 2 2 5" xfId="12188" xr:uid="{00000000-0005-0000-0000-0000750C0000}"/>
    <cellStyle name="Comma 18 3 2 3" xfId="1874" xr:uid="{00000000-0005-0000-0000-0000760C0000}"/>
    <cellStyle name="Comma 18 3 2 3 2" xfId="4186" xr:uid="{00000000-0005-0000-0000-0000770C0000}"/>
    <cellStyle name="Comma 18 3 2 3 2 2" xfId="9137" xr:uid="{00000000-0005-0000-0000-0000780C0000}"/>
    <cellStyle name="Comma 18 3 2 3 2 2 2" xfId="20034" xr:uid="{00000000-0005-0000-0000-0000790C0000}"/>
    <cellStyle name="Comma 18 3 2 3 2 3" xfId="15083" xr:uid="{00000000-0005-0000-0000-00007A0C0000}"/>
    <cellStyle name="Comma 18 3 2 3 3" xfId="6825" xr:uid="{00000000-0005-0000-0000-00007B0C0000}"/>
    <cellStyle name="Comma 18 3 2 3 3 2" xfId="17722" xr:uid="{00000000-0005-0000-0000-00007C0C0000}"/>
    <cellStyle name="Comma 18 3 2 3 4" xfId="12798" xr:uid="{00000000-0005-0000-0000-00007D0C0000}"/>
    <cellStyle name="Comma 18 3 2 4" xfId="3030" xr:uid="{00000000-0005-0000-0000-00007E0C0000}"/>
    <cellStyle name="Comma 18 3 2 4 2" xfId="7981" xr:uid="{00000000-0005-0000-0000-00007F0C0000}"/>
    <cellStyle name="Comma 18 3 2 4 2 2" xfId="18878" xr:uid="{00000000-0005-0000-0000-0000800C0000}"/>
    <cellStyle name="Comma 18 3 2 4 3" xfId="13927" xr:uid="{00000000-0005-0000-0000-0000810C0000}"/>
    <cellStyle name="Comma 18 3 2 5" xfId="5669" xr:uid="{00000000-0005-0000-0000-0000820C0000}"/>
    <cellStyle name="Comma 18 3 2 5 2" xfId="16566" xr:uid="{00000000-0005-0000-0000-0000830C0000}"/>
    <cellStyle name="Comma 18 3 2 6" xfId="11667" xr:uid="{00000000-0005-0000-0000-0000840C0000}"/>
    <cellStyle name="Comma 18 3 3" xfId="973" xr:uid="{00000000-0005-0000-0000-0000850C0000}"/>
    <cellStyle name="Comma 18 3 3 2" xfId="2130" xr:uid="{00000000-0005-0000-0000-0000860C0000}"/>
    <cellStyle name="Comma 18 3 3 2 2" xfId="4442" xr:uid="{00000000-0005-0000-0000-0000870C0000}"/>
    <cellStyle name="Comma 18 3 3 2 2 2" xfId="9393" xr:uid="{00000000-0005-0000-0000-0000880C0000}"/>
    <cellStyle name="Comma 18 3 3 2 2 2 2" xfId="20290" xr:uid="{00000000-0005-0000-0000-0000890C0000}"/>
    <cellStyle name="Comma 18 3 3 2 2 3" xfId="15339" xr:uid="{00000000-0005-0000-0000-00008A0C0000}"/>
    <cellStyle name="Comma 18 3 3 2 3" xfId="7081" xr:uid="{00000000-0005-0000-0000-00008B0C0000}"/>
    <cellStyle name="Comma 18 3 3 2 3 2" xfId="17978" xr:uid="{00000000-0005-0000-0000-00008C0C0000}"/>
    <cellStyle name="Comma 18 3 3 2 4" xfId="13047" xr:uid="{00000000-0005-0000-0000-00008D0C0000}"/>
    <cellStyle name="Comma 18 3 3 3" xfId="3297" xr:uid="{00000000-0005-0000-0000-00008E0C0000}"/>
    <cellStyle name="Comma 18 3 3 3 2" xfId="8248" xr:uid="{00000000-0005-0000-0000-00008F0C0000}"/>
    <cellStyle name="Comma 18 3 3 3 2 2" xfId="19145" xr:uid="{00000000-0005-0000-0000-0000900C0000}"/>
    <cellStyle name="Comma 18 3 3 3 3" xfId="14194" xr:uid="{00000000-0005-0000-0000-0000910C0000}"/>
    <cellStyle name="Comma 18 3 3 4" xfId="5936" xr:uid="{00000000-0005-0000-0000-0000920C0000}"/>
    <cellStyle name="Comma 18 3 3 4 2" xfId="16833" xr:uid="{00000000-0005-0000-0000-0000930C0000}"/>
    <cellStyle name="Comma 18 3 3 5" xfId="11929" xr:uid="{00000000-0005-0000-0000-0000940C0000}"/>
    <cellStyle name="Comma 18 3 4" xfId="1641" xr:uid="{00000000-0005-0000-0000-0000950C0000}"/>
    <cellStyle name="Comma 18 3 4 2" xfId="3953" xr:uid="{00000000-0005-0000-0000-0000960C0000}"/>
    <cellStyle name="Comma 18 3 4 2 2" xfId="8904" xr:uid="{00000000-0005-0000-0000-0000970C0000}"/>
    <cellStyle name="Comma 18 3 4 2 2 2" xfId="19801" xr:uid="{00000000-0005-0000-0000-0000980C0000}"/>
    <cellStyle name="Comma 18 3 4 2 3" xfId="14850" xr:uid="{00000000-0005-0000-0000-0000990C0000}"/>
    <cellStyle name="Comma 18 3 4 3" xfId="6592" xr:uid="{00000000-0005-0000-0000-00009A0C0000}"/>
    <cellStyle name="Comma 18 3 4 3 2" xfId="17489" xr:uid="{00000000-0005-0000-0000-00009B0C0000}"/>
    <cellStyle name="Comma 18 3 4 4" xfId="12572" xr:uid="{00000000-0005-0000-0000-00009C0C0000}"/>
    <cellStyle name="Comma 18 3 5" xfId="2765" xr:uid="{00000000-0005-0000-0000-00009D0C0000}"/>
    <cellStyle name="Comma 18 3 5 2" xfId="7716" xr:uid="{00000000-0005-0000-0000-00009E0C0000}"/>
    <cellStyle name="Comma 18 3 5 2 2" xfId="18613" xr:uid="{00000000-0005-0000-0000-00009F0C0000}"/>
    <cellStyle name="Comma 18 3 5 3" xfId="13662" xr:uid="{00000000-0005-0000-0000-0000A00C0000}"/>
    <cellStyle name="Comma 18 3 6" xfId="5404" xr:uid="{00000000-0005-0000-0000-0000A10C0000}"/>
    <cellStyle name="Comma 18 3 6 2" xfId="16301" xr:uid="{00000000-0005-0000-0000-0000A20C0000}"/>
    <cellStyle name="Comma 18 3 7" xfId="11406" xr:uid="{00000000-0005-0000-0000-0000A30C0000}"/>
    <cellStyle name="Comma 18 4" xfId="571" xr:uid="{00000000-0005-0000-0000-0000A40C0000}"/>
    <cellStyle name="Comma 18 4 2" xfId="1103" xr:uid="{00000000-0005-0000-0000-0000A50C0000}"/>
    <cellStyle name="Comma 18 4 2 2" xfId="2260" xr:uid="{00000000-0005-0000-0000-0000A60C0000}"/>
    <cellStyle name="Comma 18 4 2 2 2" xfId="4572" xr:uid="{00000000-0005-0000-0000-0000A70C0000}"/>
    <cellStyle name="Comma 18 4 2 2 2 2" xfId="9523" xr:uid="{00000000-0005-0000-0000-0000A80C0000}"/>
    <cellStyle name="Comma 18 4 2 2 2 2 2" xfId="20420" xr:uid="{00000000-0005-0000-0000-0000A90C0000}"/>
    <cellStyle name="Comma 18 4 2 2 2 3" xfId="15469" xr:uid="{00000000-0005-0000-0000-0000AA0C0000}"/>
    <cellStyle name="Comma 18 4 2 2 3" xfId="7211" xr:uid="{00000000-0005-0000-0000-0000AB0C0000}"/>
    <cellStyle name="Comma 18 4 2 2 3 2" xfId="18108" xr:uid="{00000000-0005-0000-0000-0000AC0C0000}"/>
    <cellStyle name="Comma 18 4 2 2 4" xfId="13175" xr:uid="{00000000-0005-0000-0000-0000AD0C0000}"/>
    <cellStyle name="Comma 18 4 2 3" xfId="3427" xr:uid="{00000000-0005-0000-0000-0000AE0C0000}"/>
    <cellStyle name="Comma 18 4 2 3 2" xfId="8378" xr:uid="{00000000-0005-0000-0000-0000AF0C0000}"/>
    <cellStyle name="Comma 18 4 2 3 2 2" xfId="19275" xr:uid="{00000000-0005-0000-0000-0000B00C0000}"/>
    <cellStyle name="Comma 18 4 2 3 3" xfId="14324" xr:uid="{00000000-0005-0000-0000-0000B10C0000}"/>
    <cellStyle name="Comma 18 4 2 4" xfId="6066" xr:uid="{00000000-0005-0000-0000-0000B20C0000}"/>
    <cellStyle name="Comma 18 4 2 4 2" xfId="16963" xr:uid="{00000000-0005-0000-0000-0000B30C0000}"/>
    <cellStyle name="Comma 18 4 2 5" xfId="12057" xr:uid="{00000000-0005-0000-0000-0000B40C0000}"/>
    <cellStyle name="Comma 18 4 3" xfId="1756" xr:uid="{00000000-0005-0000-0000-0000B50C0000}"/>
    <cellStyle name="Comma 18 4 3 2" xfId="4068" xr:uid="{00000000-0005-0000-0000-0000B60C0000}"/>
    <cellStyle name="Comma 18 4 3 2 2" xfId="9019" xr:uid="{00000000-0005-0000-0000-0000B70C0000}"/>
    <cellStyle name="Comma 18 4 3 2 2 2" xfId="19916" xr:uid="{00000000-0005-0000-0000-0000B80C0000}"/>
    <cellStyle name="Comma 18 4 3 2 3" xfId="14965" xr:uid="{00000000-0005-0000-0000-0000B90C0000}"/>
    <cellStyle name="Comma 18 4 3 3" xfId="6707" xr:uid="{00000000-0005-0000-0000-0000BA0C0000}"/>
    <cellStyle name="Comma 18 4 3 3 2" xfId="17604" xr:uid="{00000000-0005-0000-0000-0000BB0C0000}"/>
    <cellStyle name="Comma 18 4 3 4" xfId="12685" xr:uid="{00000000-0005-0000-0000-0000BC0C0000}"/>
    <cellStyle name="Comma 18 4 4" xfId="2895" xr:uid="{00000000-0005-0000-0000-0000BD0C0000}"/>
    <cellStyle name="Comma 18 4 4 2" xfId="7846" xr:uid="{00000000-0005-0000-0000-0000BE0C0000}"/>
    <cellStyle name="Comma 18 4 4 2 2" xfId="18743" xr:uid="{00000000-0005-0000-0000-0000BF0C0000}"/>
    <cellStyle name="Comma 18 4 4 3" xfId="13792" xr:uid="{00000000-0005-0000-0000-0000C00C0000}"/>
    <cellStyle name="Comma 18 4 5" xfId="5534" xr:uid="{00000000-0005-0000-0000-0000C10C0000}"/>
    <cellStyle name="Comma 18 4 5 2" xfId="16431" xr:uid="{00000000-0005-0000-0000-0000C20C0000}"/>
    <cellStyle name="Comma 18 4 6" xfId="11536" xr:uid="{00000000-0005-0000-0000-0000C30C0000}"/>
    <cellStyle name="Comma 18 5" xfId="838" xr:uid="{00000000-0005-0000-0000-0000C40C0000}"/>
    <cellStyle name="Comma 18 5 2" xfId="1995" xr:uid="{00000000-0005-0000-0000-0000C50C0000}"/>
    <cellStyle name="Comma 18 5 2 2" xfId="4307" xr:uid="{00000000-0005-0000-0000-0000C60C0000}"/>
    <cellStyle name="Comma 18 5 2 2 2" xfId="9258" xr:uid="{00000000-0005-0000-0000-0000C70C0000}"/>
    <cellStyle name="Comma 18 5 2 2 2 2" xfId="20155" xr:uid="{00000000-0005-0000-0000-0000C80C0000}"/>
    <cellStyle name="Comma 18 5 2 2 3" xfId="15204" xr:uid="{00000000-0005-0000-0000-0000C90C0000}"/>
    <cellStyle name="Comma 18 5 2 3" xfId="6946" xr:uid="{00000000-0005-0000-0000-0000CA0C0000}"/>
    <cellStyle name="Comma 18 5 2 3 2" xfId="17843" xr:uid="{00000000-0005-0000-0000-0000CB0C0000}"/>
    <cellStyle name="Comma 18 5 2 4" xfId="12917" xr:uid="{00000000-0005-0000-0000-0000CC0C0000}"/>
    <cellStyle name="Comma 18 5 3" xfId="3162" xr:uid="{00000000-0005-0000-0000-0000CD0C0000}"/>
    <cellStyle name="Comma 18 5 3 2" xfId="8113" xr:uid="{00000000-0005-0000-0000-0000CE0C0000}"/>
    <cellStyle name="Comma 18 5 3 2 2" xfId="19010" xr:uid="{00000000-0005-0000-0000-0000CF0C0000}"/>
    <cellStyle name="Comma 18 5 3 3" xfId="14059" xr:uid="{00000000-0005-0000-0000-0000D00C0000}"/>
    <cellStyle name="Comma 18 5 4" xfId="5801" xr:uid="{00000000-0005-0000-0000-0000D10C0000}"/>
    <cellStyle name="Comma 18 5 4 2" xfId="16698" xr:uid="{00000000-0005-0000-0000-0000D20C0000}"/>
    <cellStyle name="Comma 18 5 5" xfId="11799" xr:uid="{00000000-0005-0000-0000-0000D30C0000}"/>
    <cellStyle name="Comma 18 6" xfId="1523" xr:uid="{00000000-0005-0000-0000-0000D40C0000}"/>
    <cellStyle name="Comma 18 6 2" xfId="3835" xr:uid="{00000000-0005-0000-0000-0000D50C0000}"/>
    <cellStyle name="Comma 18 6 2 2" xfId="8786" xr:uid="{00000000-0005-0000-0000-0000D60C0000}"/>
    <cellStyle name="Comma 18 6 2 2 2" xfId="19683" xr:uid="{00000000-0005-0000-0000-0000D70C0000}"/>
    <cellStyle name="Comma 18 6 2 3" xfId="14732" xr:uid="{00000000-0005-0000-0000-0000D80C0000}"/>
    <cellStyle name="Comma 18 6 3" xfId="6474" xr:uid="{00000000-0005-0000-0000-0000D90C0000}"/>
    <cellStyle name="Comma 18 6 3 2" xfId="17371" xr:uid="{00000000-0005-0000-0000-0000DA0C0000}"/>
    <cellStyle name="Comma 18 6 4" xfId="12458" xr:uid="{00000000-0005-0000-0000-0000DB0C0000}"/>
    <cellStyle name="Comma 18 7" xfId="2627" xr:uid="{00000000-0005-0000-0000-0000DC0C0000}"/>
    <cellStyle name="Comma 18 7 2" xfId="7578" xr:uid="{00000000-0005-0000-0000-0000DD0C0000}"/>
    <cellStyle name="Comma 18 7 2 2" xfId="18475" xr:uid="{00000000-0005-0000-0000-0000DE0C0000}"/>
    <cellStyle name="Comma 18 7 3" xfId="13524" xr:uid="{00000000-0005-0000-0000-0000DF0C0000}"/>
    <cellStyle name="Comma 18 8" xfId="5266" xr:uid="{00000000-0005-0000-0000-0000E00C0000}"/>
    <cellStyle name="Comma 18 8 2" xfId="16163" xr:uid="{00000000-0005-0000-0000-0000E10C0000}"/>
    <cellStyle name="Comma 18 9" xfId="11251" xr:uid="{00000000-0005-0000-0000-0000E20C0000}"/>
    <cellStyle name="Comma 19" xfId="173" xr:uid="{00000000-0005-0000-0000-0000E30C0000}"/>
    <cellStyle name="Comma 19 2" xfId="373" xr:uid="{00000000-0005-0000-0000-0000E40C0000}"/>
    <cellStyle name="Comma 19 2 2" xfId="503" xr:uid="{00000000-0005-0000-0000-0000E50C0000}"/>
    <cellStyle name="Comma 19 2 2 2" xfId="768" xr:uid="{00000000-0005-0000-0000-0000E60C0000}"/>
    <cellStyle name="Comma 19 2 2 2 2" xfId="1300" xr:uid="{00000000-0005-0000-0000-0000E70C0000}"/>
    <cellStyle name="Comma 19 2 2 2 2 2" xfId="2457" xr:uid="{00000000-0005-0000-0000-0000E80C0000}"/>
    <cellStyle name="Comma 19 2 2 2 2 2 2" xfId="4769" xr:uid="{00000000-0005-0000-0000-0000E90C0000}"/>
    <cellStyle name="Comma 19 2 2 2 2 2 2 2" xfId="9720" xr:uid="{00000000-0005-0000-0000-0000EA0C0000}"/>
    <cellStyle name="Comma 19 2 2 2 2 2 2 2 2" xfId="20617" xr:uid="{00000000-0005-0000-0000-0000EB0C0000}"/>
    <cellStyle name="Comma 19 2 2 2 2 2 2 3" xfId="15666" xr:uid="{00000000-0005-0000-0000-0000EC0C0000}"/>
    <cellStyle name="Comma 19 2 2 2 2 2 3" xfId="7408" xr:uid="{00000000-0005-0000-0000-0000ED0C0000}"/>
    <cellStyle name="Comma 19 2 2 2 2 2 3 2" xfId="18305" xr:uid="{00000000-0005-0000-0000-0000EE0C0000}"/>
    <cellStyle name="Comma 19 2 2 2 2 2 4" xfId="13368" xr:uid="{00000000-0005-0000-0000-0000EF0C0000}"/>
    <cellStyle name="Comma 19 2 2 2 2 3" xfId="3624" xr:uid="{00000000-0005-0000-0000-0000F00C0000}"/>
    <cellStyle name="Comma 19 2 2 2 2 3 2" xfId="8575" xr:uid="{00000000-0005-0000-0000-0000F10C0000}"/>
    <cellStyle name="Comma 19 2 2 2 2 3 2 2" xfId="19472" xr:uid="{00000000-0005-0000-0000-0000F20C0000}"/>
    <cellStyle name="Comma 19 2 2 2 2 3 3" xfId="14521" xr:uid="{00000000-0005-0000-0000-0000F30C0000}"/>
    <cellStyle name="Comma 19 2 2 2 2 4" xfId="6263" xr:uid="{00000000-0005-0000-0000-0000F40C0000}"/>
    <cellStyle name="Comma 19 2 2 2 2 4 2" xfId="17160" xr:uid="{00000000-0005-0000-0000-0000F50C0000}"/>
    <cellStyle name="Comma 19 2 2 2 2 5" xfId="12250" xr:uid="{00000000-0005-0000-0000-0000F60C0000}"/>
    <cellStyle name="Comma 19 2 2 2 3" xfId="1926" xr:uid="{00000000-0005-0000-0000-0000F70C0000}"/>
    <cellStyle name="Comma 19 2 2 2 3 2" xfId="4238" xr:uid="{00000000-0005-0000-0000-0000F80C0000}"/>
    <cellStyle name="Comma 19 2 2 2 3 2 2" xfId="9189" xr:uid="{00000000-0005-0000-0000-0000F90C0000}"/>
    <cellStyle name="Comma 19 2 2 2 3 2 2 2" xfId="20086" xr:uid="{00000000-0005-0000-0000-0000FA0C0000}"/>
    <cellStyle name="Comma 19 2 2 2 3 2 3" xfId="15135" xr:uid="{00000000-0005-0000-0000-0000FB0C0000}"/>
    <cellStyle name="Comma 19 2 2 2 3 3" xfId="6877" xr:uid="{00000000-0005-0000-0000-0000FC0C0000}"/>
    <cellStyle name="Comma 19 2 2 2 3 3 2" xfId="17774" xr:uid="{00000000-0005-0000-0000-0000FD0C0000}"/>
    <cellStyle name="Comma 19 2 2 2 3 4" xfId="12850" xr:uid="{00000000-0005-0000-0000-0000FE0C0000}"/>
    <cellStyle name="Comma 19 2 2 2 4" xfId="3092" xr:uid="{00000000-0005-0000-0000-0000FF0C0000}"/>
    <cellStyle name="Comma 19 2 2 2 4 2" xfId="8043" xr:uid="{00000000-0005-0000-0000-0000000D0000}"/>
    <cellStyle name="Comma 19 2 2 2 4 2 2" xfId="18940" xr:uid="{00000000-0005-0000-0000-0000010D0000}"/>
    <cellStyle name="Comma 19 2 2 2 4 3" xfId="13989" xr:uid="{00000000-0005-0000-0000-0000020D0000}"/>
    <cellStyle name="Comma 19 2 2 2 5" xfId="5731" xr:uid="{00000000-0005-0000-0000-0000030D0000}"/>
    <cellStyle name="Comma 19 2 2 2 5 2" xfId="16628" xr:uid="{00000000-0005-0000-0000-0000040D0000}"/>
    <cellStyle name="Comma 19 2 2 2 6" xfId="11729" xr:uid="{00000000-0005-0000-0000-0000050D0000}"/>
    <cellStyle name="Comma 19 2 2 3" xfId="1035" xr:uid="{00000000-0005-0000-0000-0000060D0000}"/>
    <cellStyle name="Comma 19 2 2 3 2" xfId="2192" xr:uid="{00000000-0005-0000-0000-0000070D0000}"/>
    <cellStyle name="Comma 19 2 2 3 2 2" xfId="4504" xr:uid="{00000000-0005-0000-0000-0000080D0000}"/>
    <cellStyle name="Comma 19 2 2 3 2 2 2" xfId="9455" xr:uid="{00000000-0005-0000-0000-0000090D0000}"/>
    <cellStyle name="Comma 19 2 2 3 2 2 2 2" xfId="20352" xr:uid="{00000000-0005-0000-0000-00000A0D0000}"/>
    <cellStyle name="Comma 19 2 2 3 2 2 3" xfId="15401" xr:uid="{00000000-0005-0000-0000-00000B0D0000}"/>
    <cellStyle name="Comma 19 2 2 3 2 3" xfId="7143" xr:uid="{00000000-0005-0000-0000-00000C0D0000}"/>
    <cellStyle name="Comma 19 2 2 3 2 3 2" xfId="18040" xr:uid="{00000000-0005-0000-0000-00000D0D0000}"/>
    <cellStyle name="Comma 19 2 2 3 2 4" xfId="13109" xr:uid="{00000000-0005-0000-0000-00000E0D0000}"/>
    <cellStyle name="Comma 19 2 2 3 3" xfId="3359" xr:uid="{00000000-0005-0000-0000-00000F0D0000}"/>
    <cellStyle name="Comma 19 2 2 3 3 2" xfId="8310" xr:uid="{00000000-0005-0000-0000-0000100D0000}"/>
    <cellStyle name="Comma 19 2 2 3 3 2 2" xfId="19207" xr:uid="{00000000-0005-0000-0000-0000110D0000}"/>
    <cellStyle name="Comma 19 2 2 3 3 3" xfId="14256" xr:uid="{00000000-0005-0000-0000-0000120D0000}"/>
    <cellStyle name="Comma 19 2 2 3 4" xfId="5998" xr:uid="{00000000-0005-0000-0000-0000130D0000}"/>
    <cellStyle name="Comma 19 2 2 3 4 2" xfId="16895" xr:uid="{00000000-0005-0000-0000-0000140D0000}"/>
    <cellStyle name="Comma 19 2 2 3 5" xfId="11991" xr:uid="{00000000-0005-0000-0000-0000150D0000}"/>
    <cellStyle name="Comma 19 2 2 4" xfId="1693" xr:uid="{00000000-0005-0000-0000-0000160D0000}"/>
    <cellStyle name="Comma 19 2 2 4 2" xfId="4005" xr:uid="{00000000-0005-0000-0000-0000170D0000}"/>
    <cellStyle name="Comma 19 2 2 4 2 2" xfId="8956" xr:uid="{00000000-0005-0000-0000-0000180D0000}"/>
    <cellStyle name="Comma 19 2 2 4 2 2 2" xfId="19853" xr:uid="{00000000-0005-0000-0000-0000190D0000}"/>
    <cellStyle name="Comma 19 2 2 4 2 3" xfId="14902" xr:uid="{00000000-0005-0000-0000-00001A0D0000}"/>
    <cellStyle name="Comma 19 2 2 4 3" xfId="6644" xr:uid="{00000000-0005-0000-0000-00001B0D0000}"/>
    <cellStyle name="Comma 19 2 2 4 3 2" xfId="17541" xr:uid="{00000000-0005-0000-0000-00001C0D0000}"/>
    <cellStyle name="Comma 19 2 2 4 4" xfId="12624" xr:uid="{00000000-0005-0000-0000-00001D0D0000}"/>
    <cellStyle name="Comma 19 2 2 5" xfId="2827" xr:uid="{00000000-0005-0000-0000-00001E0D0000}"/>
    <cellStyle name="Comma 19 2 2 5 2" xfId="7778" xr:uid="{00000000-0005-0000-0000-00001F0D0000}"/>
    <cellStyle name="Comma 19 2 2 5 2 2" xfId="18675" xr:uid="{00000000-0005-0000-0000-0000200D0000}"/>
    <cellStyle name="Comma 19 2 2 5 3" xfId="13724" xr:uid="{00000000-0005-0000-0000-0000210D0000}"/>
    <cellStyle name="Comma 19 2 2 6" xfId="5466" xr:uid="{00000000-0005-0000-0000-0000220D0000}"/>
    <cellStyle name="Comma 19 2 2 6 2" xfId="16363" xr:uid="{00000000-0005-0000-0000-0000230D0000}"/>
    <cellStyle name="Comma 19 2 2 7" xfId="11468" xr:uid="{00000000-0005-0000-0000-0000240D0000}"/>
    <cellStyle name="Comma 19 2 3" xfId="639" xr:uid="{00000000-0005-0000-0000-0000250D0000}"/>
    <cellStyle name="Comma 19 2 3 2" xfId="1171" xr:uid="{00000000-0005-0000-0000-0000260D0000}"/>
    <cellStyle name="Comma 19 2 3 2 2" xfId="2328" xr:uid="{00000000-0005-0000-0000-0000270D0000}"/>
    <cellStyle name="Comma 19 2 3 2 2 2" xfId="4640" xr:uid="{00000000-0005-0000-0000-0000280D0000}"/>
    <cellStyle name="Comma 19 2 3 2 2 2 2" xfId="9591" xr:uid="{00000000-0005-0000-0000-0000290D0000}"/>
    <cellStyle name="Comma 19 2 3 2 2 2 2 2" xfId="20488" xr:uid="{00000000-0005-0000-0000-00002A0D0000}"/>
    <cellStyle name="Comma 19 2 3 2 2 2 3" xfId="15537" xr:uid="{00000000-0005-0000-0000-00002B0D0000}"/>
    <cellStyle name="Comma 19 2 3 2 2 3" xfId="7279" xr:uid="{00000000-0005-0000-0000-00002C0D0000}"/>
    <cellStyle name="Comma 19 2 3 2 2 3 2" xfId="18176" xr:uid="{00000000-0005-0000-0000-00002D0D0000}"/>
    <cellStyle name="Comma 19 2 3 2 2 4" xfId="13240" xr:uid="{00000000-0005-0000-0000-00002E0D0000}"/>
    <cellStyle name="Comma 19 2 3 2 3" xfId="3495" xr:uid="{00000000-0005-0000-0000-00002F0D0000}"/>
    <cellStyle name="Comma 19 2 3 2 3 2" xfId="8446" xr:uid="{00000000-0005-0000-0000-0000300D0000}"/>
    <cellStyle name="Comma 19 2 3 2 3 2 2" xfId="19343" xr:uid="{00000000-0005-0000-0000-0000310D0000}"/>
    <cellStyle name="Comma 19 2 3 2 3 3" xfId="14392" xr:uid="{00000000-0005-0000-0000-0000320D0000}"/>
    <cellStyle name="Comma 19 2 3 2 4" xfId="6134" xr:uid="{00000000-0005-0000-0000-0000330D0000}"/>
    <cellStyle name="Comma 19 2 3 2 4 2" xfId="17031" xr:uid="{00000000-0005-0000-0000-0000340D0000}"/>
    <cellStyle name="Comma 19 2 3 2 5" xfId="12122" xr:uid="{00000000-0005-0000-0000-0000350D0000}"/>
    <cellStyle name="Comma 19 2 3 3" xfId="1812" xr:uid="{00000000-0005-0000-0000-0000360D0000}"/>
    <cellStyle name="Comma 19 2 3 3 2" xfId="4124" xr:uid="{00000000-0005-0000-0000-0000370D0000}"/>
    <cellStyle name="Comma 19 2 3 3 2 2" xfId="9075" xr:uid="{00000000-0005-0000-0000-0000380D0000}"/>
    <cellStyle name="Comma 19 2 3 3 2 2 2" xfId="19972" xr:uid="{00000000-0005-0000-0000-0000390D0000}"/>
    <cellStyle name="Comma 19 2 3 3 2 3" xfId="15021" xr:uid="{00000000-0005-0000-0000-00003A0D0000}"/>
    <cellStyle name="Comma 19 2 3 3 3" xfId="6763" xr:uid="{00000000-0005-0000-0000-00003B0D0000}"/>
    <cellStyle name="Comma 19 2 3 3 3 2" xfId="17660" xr:uid="{00000000-0005-0000-0000-00003C0D0000}"/>
    <cellStyle name="Comma 19 2 3 3 4" xfId="12737" xr:uid="{00000000-0005-0000-0000-00003D0D0000}"/>
    <cellStyle name="Comma 19 2 3 4" xfId="2963" xr:uid="{00000000-0005-0000-0000-00003E0D0000}"/>
    <cellStyle name="Comma 19 2 3 4 2" xfId="7914" xr:uid="{00000000-0005-0000-0000-00003F0D0000}"/>
    <cellStyle name="Comma 19 2 3 4 2 2" xfId="18811" xr:uid="{00000000-0005-0000-0000-0000400D0000}"/>
    <cellStyle name="Comma 19 2 3 4 3" xfId="13860" xr:uid="{00000000-0005-0000-0000-0000410D0000}"/>
    <cellStyle name="Comma 19 2 3 5" xfId="5602" xr:uid="{00000000-0005-0000-0000-0000420D0000}"/>
    <cellStyle name="Comma 19 2 3 5 2" xfId="16499" xr:uid="{00000000-0005-0000-0000-0000430D0000}"/>
    <cellStyle name="Comma 19 2 3 6" xfId="11601" xr:uid="{00000000-0005-0000-0000-0000440D0000}"/>
    <cellStyle name="Comma 19 2 4" xfId="906" xr:uid="{00000000-0005-0000-0000-0000450D0000}"/>
    <cellStyle name="Comma 19 2 4 2" xfId="2063" xr:uid="{00000000-0005-0000-0000-0000460D0000}"/>
    <cellStyle name="Comma 19 2 4 2 2" xfId="4375" xr:uid="{00000000-0005-0000-0000-0000470D0000}"/>
    <cellStyle name="Comma 19 2 4 2 2 2" xfId="9326" xr:uid="{00000000-0005-0000-0000-0000480D0000}"/>
    <cellStyle name="Comma 19 2 4 2 2 2 2" xfId="20223" xr:uid="{00000000-0005-0000-0000-0000490D0000}"/>
    <cellStyle name="Comma 19 2 4 2 2 3" xfId="15272" xr:uid="{00000000-0005-0000-0000-00004A0D0000}"/>
    <cellStyle name="Comma 19 2 4 2 3" xfId="7014" xr:uid="{00000000-0005-0000-0000-00004B0D0000}"/>
    <cellStyle name="Comma 19 2 4 2 3 2" xfId="17911" xr:uid="{00000000-0005-0000-0000-00004C0D0000}"/>
    <cellStyle name="Comma 19 2 4 2 4" xfId="12981" xr:uid="{00000000-0005-0000-0000-00004D0D0000}"/>
    <cellStyle name="Comma 19 2 4 3" xfId="3230" xr:uid="{00000000-0005-0000-0000-00004E0D0000}"/>
    <cellStyle name="Comma 19 2 4 3 2" xfId="8181" xr:uid="{00000000-0005-0000-0000-00004F0D0000}"/>
    <cellStyle name="Comma 19 2 4 3 2 2" xfId="19078" xr:uid="{00000000-0005-0000-0000-0000500D0000}"/>
    <cellStyle name="Comma 19 2 4 3 3" xfId="14127" xr:uid="{00000000-0005-0000-0000-0000510D0000}"/>
    <cellStyle name="Comma 19 2 4 4" xfId="5869" xr:uid="{00000000-0005-0000-0000-0000520D0000}"/>
    <cellStyle name="Comma 19 2 4 4 2" xfId="16766" xr:uid="{00000000-0005-0000-0000-0000530D0000}"/>
    <cellStyle name="Comma 19 2 4 5" xfId="11863" xr:uid="{00000000-0005-0000-0000-0000540D0000}"/>
    <cellStyle name="Comma 19 2 5" xfId="1579" xr:uid="{00000000-0005-0000-0000-0000550D0000}"/>
    <cellStyle name="Comma 19 2 5 2" xfId="3891" xr:uid="{00000000-0005-0000-0000-0000560D0000}"/>
    <cellStyle name="Comma 19 2 5 2 2" xfId="8842" xr:uid="{00000000-0005-0000-0000-0000570D0000}"/>
    <cellStyle name="Comma 19 2 5 2 2 2" xfId="19739" xr:uid="{00000000-0005-0000-0000-0000580D0000}"/>
    <cellStyle name="Comma 19 2 5 2 3" xfId="14788" xr:uid="{00000000-0005-0000-0000-0000590D0000}"/>
    <cellStyle name="Comma 19 2 5 3" xfId="6530" xr:uid="{00000000-0005-0000-0000-00005A0D0000}"/>
    <cellStyle name="Comma 19 2 5 3 2" xfId="17427" xr:uid="{00000000-0005-0000-0000-00005B0D0000}"/>
    <cellStyle name="Comma 19 2 5 4" xfId="12511" xr:uid="{00000000-0005-0000-0000-00005C0D0000}"/>
    <cellStyle name="Comma 19 2 6" xfId="2698" xr:uid="{00000000-0005-0000-0000-00005D0D0000}"/>
    <cellStyle name="Comma 19 2 6 2" xfId="7649" xr:uid="{00000000-0005-0000-0000-00005E0D0000}"/>
    <cellStyle name="Comma 19 2 6 2 2" xfId="18546" xr:uid="{00000000-0005-0000-0000-00005F0D0000}"/>
    <cellStyle name="Comma 19 2 6 3" xfId="13595" xr:uid="{00000000-0005-0000-0000-0000600D0000}"/>
    <cellStyle name="Comma 19 2 7" xfId="5337" xr:uid="{00000000-0005-0000-0000-0000610D0000}"/>
    <cellStyle name="Comma 19 2 7 2" xfId="16234" xr:uid="{00000000-0005-0000-0000-0000620D0000}"/>
    <cellStyle name="Comma 19 2 8" xfId="11340" xr:uid="{00000000-0005-0000-0000-0000630D0000}"/>
    <cellStyle name="Comma 19 3" xfId="442" xr:uid="{00000000-0005-0000-0000-0000640D0000}"/>
    <cellStyle name="Comma 19 3 2" xfId="707" xr:uid="{00000000-0005-0000-0000-0000650D0000}"/>
    <cellStyle name="Comma 19 3 2 2" xfId="1239" xr:uid="{00000000-0005-0000-0000-0000660D0000}"/>
    <cellStyle name="Comma 19 3 2 2 2" xfId="2396" xr:uid="{00000000-0005-0000-0000-0000670D0000}"/>
    <cellStyle name="Comma 19 3 2 2 2 2" xfId="4708" xr:uid="{00000000-0005-0000-0000-0000680D0000}"/>
    <cellStyle name="Comma 19 3 2 2 2 2 2" xfId="9659" xr:uid="{00000000-0005-0000-0000-0000690D0000}"/>
    <cellStyle name="Comma 19 3 2 2 2 2 2 2" xfId="20556" xr:uid="{00000000-0005-0000-0000-00006A0D0000}"/>
    <cellStyle name="Comma 19 3 2 2 2 2 3" xfId="15605" xr:uid="{00000000-0005-0000-0000-00006B0D0000}"/>
    <cellStyle name="Comma 19 3 2 2 2 3" xfId="7347" xr:uid="{00000000-0005-0000-0000-00006C0D0000}"/>
    <cellStyle name="Comma 19 3 2 2 2 3 2" xfId="18244" xr:uid="{00000000-0005-0000-0000-00006D0D0000}"/>
    <cellStyle name="Comma 19 3 2 2 2 4" xfId="13307" xr:uid="{00000000-0005-0000-0000-00006E0D0000}"/>
    <cellStyle name="Comma 19 3 2 2 3" xfId="3563" xr:uid="{00000000-0005-0000-0000-00006F0D0000}"/>
    <cellStyle name="Comma 19 3 2 2 3 2" xfId="8514" xr:uid="{00000000-0005-0000-0000-0000700D0000}"/>
    <cellStyle name="Comma 19 3 2 2 3 2 2" xfId="19411" xr:uid="{00000000-0005-0000-0000-0000710D0000}"/>
    <cellStyle name="Comma 19 3 2 2 3 3" xfId="14460" xr:uid="{00000000-0005-0000-0000-0000720D0000}"/>
    <cellStyle name="Comma 19 3 2 2 4" xfId="6202" xr:uid="{00000000-0005-0000-0000-0000730D0000}"/>
    <cellStyle name="Comma 19 3 2 2 4 2" xfId="17099" xr:uid="{00000000-0005-0000-0000-0000740D0000}"/>
    <cellStyle name="Comma 19 3 2 2 5" xfId="12189" xr:uid="{00000000-0005-0000-0000-0000750D0000}"/>
    <cellStyle name="Comma 19 3 2 3" xfId="1875" xr:uid="{00000000-0005-0000-0000-0000760D0000}"/>
    <cellStyle name="Comma 19 3 2 3 2" xfId="4187" xr:uid="{00000000-0005-0000-0000-0000770D0000}"/>
    <cellStyle name="Comma 19 3 2 3 2 2" xfId="9138" xr:uid="{00000000-0005-0000-0000-0000780D0000}"/>
    <cellStyle name="Comma 19 3 2 3 2 2 2" xfId="20035" xr:uid="{00000000-0005-0000-0000-0000790D0000}"/>
    <cellStyle name="Comma 19 3 2 3 2 3" xfId="15084" xr:uid="{00000000-0005-0000-0000-00007A0D0000}"/>
    <cellStyle name="Comma 19 3 2 3 3" xfId="6826" xr:uid="{00000000-0005-0000-0000-00007B0D0000}"/>
    <cellStyle name="Comma 19 3 2 3 3 2" xfId="17723" xr:uid="{00000000-0005-0000-0000-00007C0D0000}"/>
    <cellStyle name="Comma 19 3 2 3 4" xfId="12799" xr:uid="{00000000-0005-0000-0000-00007D0D0000}"/>
    <cellStyle name="Comma 19 3 2 4" xfId="3031" xr:uid="{00000000-0005-0000-0000-00007E0D0000}"/>
    <cellStyle name="Comma 19 3 2 4 2" xfId="7982" xr:uid="{00000000-0005-0000-0000-00007F0D0000}"/>
    <cellStyle name="Comma 19 3 2 4 2 2" xfId="18879" xr:uid="{00000000-0005-0000-0000-0000800D0000}"/>
    <cellStyle name="Comma 19 3 2 4 3" xfId="13928" xr:uid="{00000000-0005-0000-0000-0000810D0000}"/>
    <cellStyle name="Comma 19 3 2 5" xfId="5670" xr:uid="{00000000-0005-0000-0000-0000820D0000}"/>
    <cellStyle name="Comma 19 3 2 5 2" xfId="16567" xr:uid="{00000000-0005-0000-0000-0000830D0000}"/>
    <cellStyle name="Comma 19 3 2 6" xfId="11668" xr:uid="{00000000-0005-0000-0000-0000840D0000}"/>
    <cellStyle name="Comma 19 3 3" xfId="974" xr:uid="{00000000-0005-0000-0000-0000850D0000}"/>
    <cellStyle name="Comma 19 3 3 2" xfId="2131" xr:uid="{00000000-0005-0000-0000-0000860D0000}"/>
    <cellStyle name="Comma 19 3 3 2 2" xfId="4443" xr:uid="{00000000-0005-0000-0000-0000870D0000}"/>
    <cellStyle name="Comma 19 3 3 2 2 2" xfId="9394" xr:uid="{00000000-0005-0000-0000-0000880D0000}"/>
    <cellStyle name="Comma 19 3 3 2 2 2 2" xfId="20291" xr:uid="{00000000-0005-0000-0000-0000890D0000}"/>
    <cellStyle name="Comma 19 3 3 2 2 3" xfId="15340" xr:uid="{00000000-0005-0000-0000-00008A0D0000}"/>
    <cellStyle name="Comma 19 3 3 2 3" xfId="7082" xr:uid="{00000000-0005-0000-0000-00008B0D0000}"/>
    <cellStyle name="Comma 19 3 3 2 3 2" xfId="17979" xr:uid="{00000000-0005-0000-0000-00008C0D0000}"/>
    <cellStyle name="Comma 19 3 3 2 4" xfId="13048" xr:uid="{00000000-0005-0000-0000-00008D0D0000}"/>
    <cellStyle name="Comma 19 3 3 3" xfId="3298" xr:uid="{00000000-0005-0000-0000-00008E0D0000}"/>
    <cellStyle name="Comma 19 3 3 3 2" xfId="8249" xr:uid="{00000000-0005-0000-0000-00008F0D0000}"/>
    <cellStyle name="Comma 19 3 3 3 2 2" xfId="19146" xr:uid="{00000000-0005-0000-0000-0000900D0000}"/>
    <cellStyle name="Comma 19 3 3 3 3" xfId="14195" xr:uid="{00000000-0005-0000-0000-0000910D0000}"/>
    <cellStyle name="Comma 19 3 3 4" xfId="5937" xr:uid="{00000000-0005-0000-0000-0000920D0000}"/>
    <cellStyle name="Comma 19 3 3 4 2" xfId="16834" xr:uid="{00000000-0005-0000-0000-0000930D0000}"/>
    <cellStyle name="Comma 19 3 3 5" xfId="11930" xr:uid="{00000000-0005-0000-0000-0000940D0000}"/>
    <cellStyle name="Comma 19 3 4" xfId="1642" xr:uid="{00000000-0005-0000-0000-0000950D0000}"/>
    <cellStyle name="Comma 19 3 4 2" xfId="3954" xr:uid="{00000000-0005-0000-0000-0000960D0000}"/>
    <cellStyle name="Comma 19 3 4 2 2" xfId="8905" xr:uid="{00000000-0005-0000-0000-0000970D0000}"/>
    <cellStyle name="Comma 19 3 4 2 2 2" xfId="19802" xr:uid="{00000000-0005-0000-0000-0000980D0000}"/>
    <cellStyle name="Comma 19 3 4 2 3" xfId="14851" xr:uid="{00000000-0005-0000-0000-0000990D0000}"/>
    <cellStyle name="Comma 19 3 4 3" xfId="6593" xr:uid="{00000000-0005-0000-0000-00009A0D0000}"/>
    <cellStyle name="Comma 19 3 4 3 2" xfId="17490" xr:uid="{00000000-0005-0000-0000-00009B0D0000}"/>
    <cellStyle name="Comma 19 3 4 4" xfId="12573" xr:uid="{00000000-0005-0000-0000-00009C0D0000}"/>
    <cellStyle name="Comma 19 3 5" xfId="2766" xr:uid="{00000000-0005-0000-0000-00009D0D0000}"/>
    <cellStyle name="Comma 19 3 5 2" xfId="7717" xr:uid="{00000000-0005-0000-0000-00009E0D0000}"/>
    <cellStyle name="Comma 19 3 5 2 2" xfId="18614" xr:uid="{00000000-0005-0000-0000-00009F0D0000}"/>
    <cellStyle name="Comma 19 3 5 3" xfId="13663" xr:uid="{00000000-0005-0000-0000-0000A00D0000}"/>
    <cellStyle name="Comma 19 3 6" xfId="5405" xr:uid="{00000000-0005-0000-0000-0000A10D0000}"/>
    <cellStyle name="Comma 19 3 6 2" xfId="16302" xr:uid="{00000000-0005-0000-0000-0000A20D0000}"/>
    <cellStyle name="Comma 19 3 7" xfId="11407" xr:uid="{00000000-0005-0000-0000-0000A30D0000}"/>
    <cellStyle name="Comma 19 4" xfId="572" xr:uid="{00000000-0005-0000-0000-0000A40D0000}"/>
    <cellStyle name="Comma 19 4 2" xfId="1104" xr:uid="{00000000-0005-0000-0000-0000A50D0000}"/>
    <cellStyle name="Comma 19 4 2 2" xfId="2261" xr:uid="{00000000-0005-0000-0000-0000A60D0000}"/>
    <cellStyle name="Comma 19 4 2 2 2" xfId="4573" xr:uid="{00000000-0005-0000-0000-0000A70D0000}"/>
    <cellStyle name="Comma 19 4 2 2 2 2" xfId="9524" xr:uid="{00000000-0005-0000-0000-0000A80D0000}"/>
    <cellStyle name="Comma 19 4 2 2 2 2 2" xfId="20421" xr:uid="{00000000-0005-0000-0000-0000A90D0000}"/>
    <cellStyle name="Comma 19 4 2 2 2 3" xfId="15470" xr:uid="{00000000-0005-0000-0000-0000AA0D0000}"/>
    <cellStyle name="Comma 19 4 2 2 3" xfId="7212" xr:uid="{00000000-0005-0000-0000-0000AB0D0000}"/>
    <cellStyle name="Comma 19 4 2 2 3 2" xfId="18109" xr:uid="{00000000-0005-0000-0000-0000AC0D0000}"/>
    <cellStyle name="Comma 19 4 2 2 4" xfId="13176" xr:uid="{00000000-0005-0000-0000-0000AD0D0000}"/>
    <cellStyle name="Comma 19 4 2 3" xfId="3428" xr:uid="{00000000-0005-0000-0000-0000AE0D0000}"/>
    <cellStyle name="Comma 19 4 2 3 2" xfId="8379" xr:uid="{00000000-0005-0000-0000-0000AF0D0000}"/>
    <cellStyle name="Comma 19 4 2 3 2 2" xfId="19276" xr:uid="{00000000-0005-0000-0000-0000B00D0000}"/>
    <cellStyle name="Comma 19 4 2 3 3" xfId="14325" xr:uid="{00000000-0005-0000-0000-0000B10D0000}"/>
    <cellStyle name="Comma 19 4 2 4" xfId="6067" xr:uid="{00000000-0005-0000-0000-0000B20D0000}"/>
    <cellStyle name="Comma 19 4 2 4 2" xfId="16964" xr:uid="{00000000-0005-0000-0000-0000B30D0000}"/>
    <cellStyle name="Comma 19 4 2 5" xfId="12058" xr:uid="{00000000-0005-0000-0000-0000B40D0000}"/>
    <cellStyle name="Comma 19 4 3" xfId="1757" xr:uid="{00000000-0005-0000-0000-0000B50D0000}"/>
    <cellStyle name="Comma 19 4 3 2" xfId="4069" xr:uid="{00000000-0005-0000-0000-0000B60D0000}"/>
    <cellStyle name="Comma 19 4 3 2 2" xfId="9020" xr:uid="{00000000-0005-0000-0000-0000B70D0000}"/>
    <cellStyle name="Comma 19 4 3 2 2 2" xfId="19917" xr:uid="{00000000-0005-0000-0000-0000B80D0000}"/>
    <cellStyle name="Comma 19 4 3 2 3" xfId="14966" xr:uid="{00000000-0005-0000-0000-0000B90D0000}"/>
    <cellStyle name="Comma 19 4 3 3" xfId="6708" xr:uid="{00000000-0005-0000-0000-0000BA0D0000}"/>
    <cellStyle name="Comma 19 4 3 3 2" xfId="17605" xr:uid="{00000000-0005-0000-0000-0000BB0D0000}"/>
    <cellStyle name="Comma 19 4 3 4" xfId="12686" xr:uid="{00000000-0005-0000-0000-0000BC0D0000}"/>
    <cellStyle name="Comma 19 4 4" xfId="2896" xr:uid="{00000000-0005-0000-0000-0000BD0D0000}"/>
    <cellStyle name="Comma 19 4 4 2" xfId="7847" xr:uid="{00000000-0005-0000-0000-0000BE0D0000}"/>
    <cellStyle name="Comma 19 4 4 2 2" xfId="18744" xr:uid="{00000000-0005-0000-0000-0000BF0D0000}"/>
    <cellStyle name="Comma 19 4 4 3" xfId="13793" xr:uid="{00000000-0005-0000-0000-0000C00D0000}"/>
    <cellStyle name="Comma 19 4 5" xfId="5535" xr:uid="{00000000-0005-0000-0000-0000C10D0000}"/>
    <cellStyle name="Comma 19 4 5 2" xfId="16432" xr:uid="{00000000-0005-0000-0000-0000C20D0000}"/>
    <cellStyle name="Comma 19 4 6" xfId="11537" xr:uid="{00000000-0005-0000-0000-0000C30D0000}"/>
    <cellStyle name="Comma 19 5" xfId="839" xr:uid="{00000000-0005-0000-0000-0000C40D0000}"/>
    <cellStyle name="Comma 19 5 2" xfId="1996" xr:uid="{00000000-0005-0000-0000-0000C50D0000}"/>
    <cellStyle name="Comma 19 5 2 2" xfId="4308" xr:uid="{00000000-0005-0000-0000-0000C60D0000}"/>
    <cellStyle name="Comma 19 5 2 2 2" xfId="9259" xr:uid="{00000000-0005-0000-0000-0000C70D0000}"/>
    <cellStyle name="Comma 19 5 2 2 2 2" xfId="20156" xr:uid="{00000000-0005-0000-0000-0000C80D0000}"/>
    <cellStyle name="Comma 19 5 2 2 3" xfId="15205" xr:uid="{00000000-0005-0000-0000-0000C90D0000}"/>
    <cellStyle name="Comma 19 5 2 3" xfId="6947" xr:uid="{00000000-0005-0000-0000-0000CA0D0000}"/>
    <cellStyle name="Comma 19 5 2 3 2" xfId="17844" xr:uid="{00000000-0005-0000-0000-0000CB0D0000}"/>
    <cellStyle name="Comma 19 5 2 4" xfId="12918" xr:uid="{00000000-0005-0000-0000-0000CC0D0000}"/>
    <cellStyle name="Comma 19 5 3" xfId="3163" xr:uid="{00000000-0005-0000-0000-0000CD0D0000}"/>
    <cellStyle name="Comma 19 5 3 2" xfId="8114" xr:uid="{00000000-0005-0000-0000-0000CE0D0000}"/>
    <cellStyle name="Comma 19 5 3 2 2" xfId="19011" xr:uid="{00000000-0005-0000-0000-0000CF0D0000}"/>
    <cellStyle name="Comma 19 5 3 3" xfId="14060" xr:uid="{00000000-0005-0000-0000-0000D00D0000}"/>
    <cellStyle name="Comma 19 5 4" xfId="5802" xr:uid="{00000000-0005-0000-0000-0000D10D0000}"/>
    <cellStyle name="Comma 19 5 4 2" xfId="16699" xr:uid="{00000000-0005-0000-0000-0000D20D0000}"/>
    <cellStyle name="Comma 19 5 5" xfId="11800" xr:uid="{00000000-0005-0000-0000-0000D30D0000}"/>
    <cellStyle name="Comma 19 6" xfId="1524" xr:uid="{00000000-0005-0000-0000-0000D40D0000}"/>
    <cellStyle name="Comma 19 6 2" xfId="3836" xr:uid="{00000000-0005-0000-0000-0000D50D0000}"/>
    <cellStyle name="Comma 19 6 2 2" xfId="8787" xr:uid="{00000000-0005-0000-0000-0000D60D0000}"/>
    <cellStyle name="Comma 19 6 2 2 2" xfId="19684" xr:uid="{00000000-0005-0000-0000-0000D70D0000}"/>
    <cellStyle name="Comma 19 6 2 3" xfId="14733" xr:uid="{00000000-0005-0000-0000-0000D80D0000}"/>
    <cellStyle name="Comma 19 6 3" xfId="6475" xr:uid="{00000000-0005-0000-0000-0000D90D0000}"/>
    <cellStyle name="Comma 19 6 3 2" xfId="17372" xr:uid="{00000000-0005-0000-0000-0000DA0D0000}"/>
    <cellStyle name="Comma 19 6 4" xfId="12459" xr:uid="{00000000-0005-0000-0000-0000DB0D0000}"/>
    <cellStyle name="Comma 19 7" xfId="2628" xr:uid="{00000000-0005-0000-0000-0000DC0D0000}"/>
    <cellStyle name="Comma 19 7 2" xfId="7579" xr:uid="{00000000-0005-0000-0000-0000DD0D0000}"/>
    <cellStyle name="Comma 19 7 2 2" xfId="18476" xr:uid="{00000000-0005-0000-0000-0000DE0D0000}"/>
    <cellStyle name="Comma 19 7 3" xfId="13525" xr:uid="{00000000-0005-0000-0000-0000DF0D0000}"/>
    <cellStyle name="Comma 19 8" xfId="5267" xr:uid="{00000000-0005-0000-0000-0000E00D0000}"/>
    <cellStyle name="Comma 19 8 2" xfId="16164" xr:uid="{00000000-0005-0000-0000-0000E10D0000}"/>
    <cellStyle name="Comma 19 9" xfId="11252" xr:uid="{00000000-0005-0000-0000-0000E20D0000}"/>
    <cellStyle name="Comma 2" xfId="6" xr:uid="{00000000-0005-0000-0000-0000E30D0000}"/>
    <cellStyle name="Comma 2 10" xfId="2615" xr:uid="{00000000-0005-0000-0000-0000E40D0000}"/>
    <cellStyle name="Comma 2 10 2" xfId="7566" xr:uid="{00000000-0005-0000-0000-0000E50D0000}"/>
    <cellStyle name="Comma 2 10 2 2" xfId="18463" xr:uid="{00000000-0005-0000-0000-0000E60D0000}"/>
    <cellStyle name="Comma 2 10 3" xfId="13512" xr:uid="{00000000-0005-0000-0000-0000E70D0000}"/>
    <cellStyle name="Comma 2 11" xfId="5254" xr:uid="{00000000-0005-0000-0000-0000E80D0000}"/>
    <cellStyle name="Comma 2 11 2" xfId="16151" xr:uid="{00000000-0005-0000-0000-0000E90D0000}"/>
    <cellStyle name="Comma 2 12" xfId="11203" xr:uid="{00000000-0005-0000-0000-0000EA0D0000}"/>
    <cellStyle name="Comma 2 2" xfId="174" xr:uid="{00000000-0005-0000-0000-0000EB0D0000}"/>
    <cellStyle name="Comma 2 3" xfId="368" xr:uid="{00000000-0005-0000-0000-0000EC0D0000}"/>
    <cellStyle name="Comma 2 3 2" xfId="498" xr:uid="{00000000-0005-0000-0000-0000ED0D0000}"/>
    <cellStyle name="Comma 2 3 2 2" xfId="763" xr:uid="{00000000-0005-0000-0000-0000EE0D0000}"/>
    <cellStyle name="Comma 2 3 2 2 2" xfId="1295" xr:uid="{00000000-0005-0000-0000-0000EF0D0000}"/>
    <cellStyle name="Comma 2 3 2 2 2 2" xfId="2452" xr:uid="{00000000-0005-0000-0000-0000F00D0000}"/>
    <cellStyle name="Comma 2 3 2 2 2 2 2" xfId="4764" xr:uid="{00000000-0005-0000-0000-0000F10D0000}"/>
    <cellStyle name="Comma 2 3 2 2 2 2 2 2" xfId="9715" xr:uid="{00000000-0005-0000-0000-0000F20D0000}"/>
    <cellStyle name="Comma 2 3 2 2 2 2 2 2 2" xfId="20612" xr:uid="{00000000-0005-0000-0000-0000F30D0000}"/>
    <cellStyle name="Comma 2 3 2 2 2 2 2 3" xfId="15661" xr:uid="{00000000-0005-0000-0000-0000F40D0000}"/>
    <cellStyle name="Comma 2 3 2 2 2 2 3" xfId="7403" xr:uid="{00000000-0005-0000-0000-0000F50D0000}"/>
    <cellStyle name="Comma 2 3 2 2 2 2 3 2" xfId="18300" xr:uid="{00000000-0005-0000-0000-0000F60D0000}"/>
    <cellStyle name="Comma 2 3 2 2 2 2 4" xfId="13363" xr:uid="{00000000-0005-0000-0000-0000F70D0000}"/>
    <cellStyle name="Comma 2 3 2 2 2 3" xfId="3619" xr:uid="{00000000-0005-0000-0000-0000F80D0000}"/>
    <cellStyle name="Comma 2 3 2 2 2 3 2" xfId="8570" xr:uid="{00000000-0005-0000-0000-0000F90D0000}"/>
    <cellStyle name="Comma 2 3 2 2 2 3 2 2" xfId="19467" xr:uid="{00000000-0005-0000-0000-0000FA0D0000}"/>
    <cellStyle name="Comma 2 3 2 2 2 3 3" xfId="14516" xr:uid="{00000000-0005-0000-0000-0000FB0D0000}"/>
    <cellStyle name="Comma 2 3 2 2 2 4" xfId="6258" xr:uid="{00000000-0005-0000-0000-0000FC0D0000}"/>
    <cellStyle name="Comma 2 3 2 2 2 4 2" xfId="17155" xr:uid="{00000000-0005-0000-0000-0000FD0D0000}"/>
    <cellStyle name="Comma 2 3 2 2 2 5" xfId="12245" xr:uid="{00000000-0005-0000-0000-0000FE0D0000}"/>
    <cellStyle name="Comma 2 3 2 2 3" xfId="1921" xr:uid="{00000000-0005-0000-0000-0000FF0D0000}"/>
    <cellStyle name="Comma 2 3 2 2 3 2" xfId="4233" xr:uid="{00000000-0005-0000-0000-0000000E0000}"/>
    <cellStyle name="Comma 2 3 2 2 3 2 2" xfId="9184" xr:uid="{00000000-0005-0000-0000-0000010E0000}"/>
    <cellStyle name="Comma 2 3 2 2 3 2 2 2" xfId="20081" xr:uid="{00000000-0005-0000-0000-0000020E0000}"/>
    <cellStyle name="Comma 2 3 2 2 3 2 3" xfId="15130" xr:uid="{00000000-0005-0000-0000-0000030E0000}"/>
    <cellStyle name="Comma 2 3 2 2 3 3" xfId="6872" xr:uid="{00000000-0005-0000-0000-0000040E0000}"/>
    <cellStyle name="Comma 2 3 2 2 3 3 2" xfId="17769" xr:uid="{00000000-0005-0000-0000-0000050E0000}"/>
    <cellStyle name="Comma 2 3 2 2 3 4" xfId="12845" xr:uid="{00000000-0005-0000-0000-0000060E0000}"/>
    <cellStyle name="Comma 2 3 2 2 4" xfId="3087" xr:uid="{00000000-0005-0000-0000-0000070E0000}"/>
    <cellStyle name="Comma 2 3 2 2 4 2" xfId="8038" xr:uid="{00000000-0005-0000-0000-0000080E0000}"/>
    <cellStyle name="Comma 2 3 2 2 4 2 2" xfId="18935" xr:uid="{00000000-0005-0000-0000-0000090E0000}"/>
    <cellStyle name="Comma 2 3 2 2 4 3" xfId="13984" xr:uid="{00000000-0005-0000-0000-00000A0E0000}"/>
    <cellStyle name="Comma 2 3 2 2 5" xfId="5726" xr:uid="{00000000-0005-0000-0000-00000B0E0000}"/>
    <cellStyle name="Comma 2 3 2 2 5 2" xfId="16623" xr:uid="{00000000-0005-0000-0000-00000C0E0000}"/>
    <cellStyle name="Comma 2 3 2 2 6" xfId="11724" xr:uid="{00000000-0005-0000-0000-00000D0E0000}"/>
    <cellStyle name="Comma 2 3 2 3" xfId="1030" xr:uid="{00000000-0005-0000-0000-00000E0E0000}"/>
    <cellStyle name="Comma 2 3 2 3 2" xfId="2187" xr:uid="{00000000-0005-0000-0000-00000F0E0000}"/>
    <cellStyle name="Comma 2 3 2 3 2 2" xfId="4499" xr:uid="{00000000-0005-0000-0000-0000100E0000}"/>
    <cellStyle name="Comma 2 3 2 3 2 2 2" xfId="9450" xr:uid="{00000000-0005-0000-0000-0000110E0000}"/>
    <cellStyle name="Comma 2 3 2 3 2 2 2 2" xfId="20347" xr:uid="{00000000-0005-0000-0000-0000120E0000}"/>
    <cellStyle name="Comma 2 3 2 3 2 2 3" xfId="15396" xr:uid="{00000000-0005-0000-0000-0000130E0000}"/>
    <cellStyle name="Comma 2 3 2 3 2 3" xfId="7138" xr:uid="{00000000-0005-0000-0000-0000140E0000}"/>
    <cellStyle name="Comma 2 3 2 3 2 3 2" xfId="18035" xr:uid="{00000000-0005-0000-0000-0000150E0000}"/>
    <cellStyle name="Comma 2 3 2 3 2 4" xfId="13104" xr:uid="{00000000-0005-0000-0000-0000160E0000}"/>
    <cellStyle name="Comma 2 3 2 3 3" xfId="3354" xr:uid="{00000000-0005-0000-0000-0000170E0000}"/>
    <cellStyle name="Comma 2 3 2 3 3 2" xfId="8305" xr:uid="{00000000-0005-0000-0000-0000180E0000}"/>
    <cellStyle name="Comma 2 3 2 3 3 2 2" xfId="19202" xr:uid="{00000000-0005-0000-0000-0000190E0000}"/>
    <cellStyle name="Comma 2 3 2 3 3 3" xfId="14251" xr:uid="{00000000-0005-0000-0000-00001A0E0000}"/>
    <cellStyle name="Comma 2 3 2 3 4" xfId="5993" xr:uid="{00000000-0005-0000-0000-00001B0E0000}"/>
    <cellStyle name="Comma 2 3 2 3 4 2" xfId="16890" xr:uid="{00000000-0005-0000-0000-00001C0E0000}"/>
    <cellStyle name="Comma 2 3 2 3 5" xfId="11986" xr:uid="{00000000-0005-0000-0000-00001D0E0000}"/>
    <cellStyle name="Comma 2 3 2 4" xfId="1688" xr:uid="{00000000-0005-0000-0000-00001E0E0000}"/>
    <cellStyle name="Comma 2 3 2 4 2" xfId="4000" xr:uid="{00000000-0005-0000-0000-00001F0E0000}"/>
    <cellStyle name="Comma 2 3 2 4 2 2" xfId="8951" xr:uid="{00000000-0005-0000-0000-0000200E0000}"/>
    <cellStyle name="Comma 2 3 2 4 2 2 2" xfId="19848" xr:uid="{00000000-0005-0000-0000-0000210E0000}"/>
    <cellStyle name="Comma 2 3 2 4 2 3" xfId="14897" xr:uid="{00000000-0005-0000-0000-0000220E0000}"/>
    <cellStyle name="Comma 2 3 2 4 3" xfId="6639" xr:uid="{00000000-0005-0000-0000-0000230E0000}"/>
    <cellStyle name="Comma 2 3 2 4 3 2" xfId="17536" xr:uid="{00000000-0005-0000-0000-0000240E0000}"/>
    <cellStyle name="Comma 2 3 2 4 4" xfId="12619" xr:uid="{00000000-0005-0000-0000-0000250E0000}"/>
    <cellStyle name="Comma 2 3 2 5" xfId="2822" xr:uid="{00000000-0005-0000-0000-0000260E0000}"/>
    <cellStyle name="Comma 2 3 2 5 2" xfId="7773" xr:uid="{00000000-0005-0000-0000-0000270E0000}"/>
    <cellStyle name="Comma 2 3 2 5 2 2" xfId="18670" xr:uid="{00000000-0005-0000-0000-0000280E0000}"/>
    <cellStyle name="Comma 2 3 2 5 3" xfId="13719" xr:uid="{00000000-0005-0000-0000-0000290E0000}"/>
    <cellStyle name="Comma 2 3 2 6" xfId="5461" xr:uid="{00000000-0005-0000-0000-00002A0E0000}"/>
    <cellStyle name="Comma 2 3 2 6 2" xfId="16358" xr:uid="{00000000-0005-0000-0000-00002B0E0000}"/>
    <cellStyle name="Comma 2 3 2 7" xfId="11463" xr:uid="{00000000-0005-0000-0000-00002C0E0000}"/>
    <cellStyle name="Comma 2 3 3" xfId="634" xr:uid="{00000000-0005-0000-0000-00002D0E0000}"/>
    <cellStyle name="Comma 2 3 3 2" xfId="1166" xr:uid="{00000000-0005-0000-0000-00002E0E0000}"/>
    <cellStyle name="Comma 2 3 3 2 2" xfId="2323" xr:uid="{00000000-0005-0000-0000-00002F0E0000}"/>
    <cellStyle name="Comma 2 3 3 2 2 2" xfId="4635" xr:uid="{00000000-0005-0000-0000-0000300E0000}"/>
    <cellStyle name="Comma 2 3 3 2 2 2 2" xfId="9586" xr:uid="{00000000-0005-0000-0000-0000310E0000}"/>
    <cellStyle name="Comma 2 3 3 2 2 2 2 2" xfId="20483" xr:uid="{00000000-0005-0000-0000-0000320E0000}"/>
    <cellStyle name="Comma 2 3 3 2 2 2 3" xfId="15532" xr:uid="{00000000-0005-0000-0000-0000330E0000}"/>
    <cellStyle name="Comma 2 3 3 2 2 3" xfId="7274" xr:uid="{00000000-0005-0000-0000-0000340E0000}"/>
    <cellStyle name="Comma 2 3 3 2 2 3 2" xfId="18171" xr:uid="{00000000-0005-0000-0000-0000350E0000}"/>
    <cellStyle name="Comma 2 3 3 2 2 4" xfId="13235" xr:uid="{00000000-0005-0000-0000-0000360E0000}"/>
    <cellStyle name="Comma 2 3 3 2 3" xfId="3490" xr:uid="{00000000-0005-0000-0000-0000370E0000}"/>
    <cellStyle name="Comma 2 3 3 2 3 2" xfId="8441" xr:uid="{00000000-0005-0000-0000-0000380E0000}"/>
    <cellStyle name="Comma 2 3 3 2 3 2 2" xfId="19338" xr:uid="{00000000-0005-0000-0000-0000390E0000}"/>
    <cellStyle name="Comma 2 3 3 2 3 3" xfId="14387" xr:uid="{00000000-0005-0000-0000-00003A0E0000}"/>
    <cellStyle name="Comma 2 3 3 2 4" xfId="6129" xr:uid="{00000000-0005-0000-0000-00003B0E0000}"/>
    <cellStyle name="Comma 2 3 3 2 4 2" xfId="17026" xr:uid="{00000000-0005-0000-0000-00003C0E0000}"/>
    <cellStyle name="Comma 2 3 3 2 5" xfId="12117" xr:uid="{00000000-0005-0000-0000-00003D0E0000}"/>
    <cellStyle name="Comma 2 3 3 3" xfId="1807" xr:uid="{00000000-0005-0000-0000-00003E0E0000}"/>
    <cellStyle name="Comma 2 3 3 3 2" xfId="4119" xr:uid="{00000000-0005-0000-0000-00003F0E0000}"/>
    <cellStyle name="Comma 2 3 3 3 2 2" xfId="9070" xr:uid="{00000000-0005-0000-0000-0000400E0000}"/>
    <cellStyle name="Comma 2 3 3 3 2 2 2" xfId="19967" xr:uid="{00000000-0005-0000-0000-0000410E0000}"/>
    <cellStyle name="Comma 2 3 3 3 2 3" xfId="15016" xr:uid="{00000000-0005-0000-0000-0000420E0000}"/>
    <cellStyle name="Comma 2 3 3 3 3" xfId="6758" xr:uid="{00000000-0005-0000-0000-0000430E0000}"/>
    <cellStyle name="Comma 2 3 3 3 3 2" xfId="17655" xr:uid="{00000000-0005-0000-0000-0000440E0000}"/>
    <cellStyle name="Comma 2 3 3 3 4" xfId="12732" xr:uid="{00000000-0005-0000-0000-0000450E0000}"/>
    <cellStyle name="Comma 2 3 3 4" xfId="2958" xr:uid="{00000000-0005-0000-0000-0000460E0000}"/>
    <cellStyle name="Comma 2 3 3 4 2" xfId="7909" xr:uid="{00000000-0005-0000-0000-0000470E0000}"/>
    <cellStyle name="Comma 2 3 3 4 2 2" xfId="18806" xr:uid="{00000000-0005-0000-0000-0000480E0000}"/>
    <cellStyle name="Comma 2 3 3 4 3" xfId="13855" xr:uid="{00000000-0005-0000-0000-0000490E0000}"/>
    <cellStyle name="Comma 2 3 3 5" xfId="5597" xr:uid="{00000000-0005-0000-0000-00004A0E0000}"/>
    <cellStyle name="Comma 2 3 3 5 2" xfId="16494" xr:uid="{00000000-0005-0000-0000-00004B0E0000}"/>
    <cellStyle name="Comma 2 3 3 6" xfId="11596" xr:uid="{00000000-0005-0000-0000-00004C0E0000}"/>
    <cellStyle name="Comma 2 3 4" xfId="901" xr:uid="{00000000-0005-0000-0000-00004D0E0000}"/>
    <cellStyle name="Comma 2 3 4 2" xfId="2058" xr:uid="{00000000-0005-0000-0000-00004E0E0000}"/>
    <cellStyle name="Comma 2 3 4 2 2" xfId="4370" xr:uid="{00000000-0005-0000-0000-00004F0E0000}"/>
    <cellStyle name="Comma 2 3 4 2 2 2" xfId="9321" xr:uid="{00000000-0005-0000-0000-0000500E0000}"/>
    <cellStyle name="Comma 2 3 4 2 2 2 2" xfId="20218" xr:uid="{00000000-0005-0000-0000-0000510E0000}"/>
    <cellStyle name="Comma 2 3 4 2 2 3" xfId="15267" xr:uid="{00000000-0005-0000-0000-0000520E0000}"/>
    <cellStyle name="Comma 2 3 4 2 3" xfId="7009" xr:uid="{00000000-0005-0000-0000-0000530E0000}"/>
    <cellStyle name="Comma 2 3 4 2 3 2" xfId="17906" xr:uid="{00000000-0005-0000-0000-0000540E0000}"/>
    <cellStyle name="Comma 2 3 4 2 4" xfId="12976" xr:uid="{00000000-0005-0000-0000-0000550E0000}"/>
    <cellStyle name="Comma 2 3 4 3" xfId="3225" xr:uid="{00000000-0005-0000-0000-0000560E0000}"/>
    <cellStyle name="Comma 2 3 4 3 2" xfId="8176" xr:uid="{00000000-0005-0000-0000-0000570E0000}"/>
    <cellStyle name="Comma 2 3 4 3 2 2" xfId="19073" xr:uid="{00000000-0005-0000-0000-0000580E0000}"/>
    <cellStyle name="Comma 2 3 4 3 3" xfId="14122" xr:uid="{00000000-0005-0000-0000-0000590E0000}"/>
    <cellStyle name="Comma 2 3 4 4" xfId="5864" xr:uid="{00000000-0005-0000-0000-00005A0E0000}"/>
    <cellStyle name="Comma 2 3 4 4 2" xfId="16761" xr:uid="{00000000-0005-0000-0000-00005B0E0000}"/>
    <cellStyle name="Comma 2 3 4 5" xfId="11858" xr:uid="{00000000-0005-0000-0000-00005C0E0000}"/>
    <cellStyle name="Comma 2 3 5" xfId="1574" xr:uid="{00000000-0005-0000-0000-00005D0E0000}"/>
    <cellStyle name="Comma 2 3 5 2" xfId="3886" xr:uid="{00000000-0005-0000-0000-00005E0E0000}"/>
    <cellStyle name="Comma 2 3 5 2 2" xfId="8837" xr:uid="{00000000-0005-0000-0000-00005F0E0000}"/>
    <cellStyle name="Comma 2 3 5 2 2 2" xfId="19734" xr:uid="{00000000-0005-0000-0000-0000600E0000}"/>
    <cellStyle name="Comma 2 3 5 2 3" xfId="14783" xr:uid="{00000000-0005-0000-0000-0000610E0000}"/>
    <cellStyle name="Comma 2 3 5 3" xfId="6525" xr:uid="{00000000-0005-0000-0000-0000620E0000}"/>
    <cellStyle name="Comma 2 3 5 3 2" xfId="17422" xr:uid="{00000000-0005-0000-0000-0000630E0000}"/>
    <cellStyle name="Comma 2 3 5 4" xfId="12506" xr:uid="{00000000-0005-0000-0000-0000640E0000}"/>
    <cellStyle name="Comma 2 3 6" xfId="2693" xr:uid="{00000000-0005-0000-0000-0000650E0000}"/>
    <cellStyle name="Comma 2 3 6 2" xfId="7644" xr:uid="{00000000-0005-0000-0000-0000660E0000}"/>
    <cellStyle name="Comma 2 3 6 2 2" xfId="18541" xr:uid="{00000000-0005-0000-0000-0000670E0000}"/>
    <cellStyle name="Comma 2 3 6 3" xfId="13590" xr:uid="{00000000-0005-0000-0000-0000680E0000}"/>
    <cellStyle name="Comma 2 3 7" xfId="5332" xr:uid="{00000000-0005-0000-0000-0000690E0000}"/>
    <cellStyle name="Comma 2 3 7 2" xfId="16229" xr:uid="{00000000-0005-0000-0000-00006A0E0000}"/>
    <cellStyle name="Comma 2 3 8" xfId="11335" xr:uid="{00000000-0005-0000-0000-00006B0E0000}"/>
    <cellStyle name="Comma 2 4" xfId="430" xr:uid="{00000000-0005-0000-0000-00006C0E0000}"/>
    <cellStyle name="Comma 2 4 2" xfId="695" xr:uid="{00000000-0005-0000-0000-00006D0E0000}"/>
    <cellStyle name="Comma 2 4 2 2" xfId="1227" xr:uid="{00000000-0005-0000-0000-00006E0E0000}"/>
    <cellStyle name="Comma 2 4 2 2 2" xfId="2384" xr:uid="{00000000-0005-0000-0000-00006F0E0000}"/>
    <cellStyle name="Comma 2 4 2 2 2 2" xfId="4696" xr:uid="{00000000-0005-0000-0000-0000700E0000}"/>
    <cellStyle name="Comma 2 4 2 2 2 2 2" xfId="9647" xr:uid="{00000000-0005-0000-0000-0000710E0000}"/>
    <cellStyle name="Comma 2 4 2 2 2 2 2 2" xfId="20544" xr:uid="{00000000-0005-0000-0000-0000720E0000}"/>
    <cellStyle name="Comma 2 4 2 2 2 2 3" xfId="15593" xr:uid="{00000000-0005-0000-0000-0000730E0000}"/>
    <cellStyle name="Comma 2 4 2 2 2 3" xfId="7335" xr:uid="{00000000-0005-0000-0000-0000740E0000}"/>
    <cellStyle name="Comma 2 4 2 2 2 3 2" xfId="18232" xr:uid="{00000000-0005-0000-0000-0000750E0000}"/>
    <cellStyle name="Comma 2 4 2 2 2 4" xfId="13296" xr:uid="{00000000-0005-0000-0000-0000760E0000}"/>
    <cellStyle name="Comma 2 4 2 2 3" xfId="3551" xr:uid="{00000000-0005-0000-0000-0000770E0000}"/>
    <cellStyle name="Comma 2 4 2 2 3 2" xfId="8502" xr:uid="{00000000-0005-0000-0000-0000780E0000}"/>
    <cellStyle name="Comma 2 4 2 2 3 2 2" xfId="19399" xr:uid="{00000000-0005-0000-0000-0000790E0000}"/>
    <cellStyle name="Comma 2 4 2 2 3 3" xfId="14448" xr:uid="{00000000-0005-0000-0000-00007A0E0000}"/>
    <cellStyle name="Comma 2 4 2 2 4" xfId="6190" xr:uid="{00000000-0005-0000-0000-00007B0E0000}"/>
    <cellStyle name="Comma 2 4 2 2 4 2" xfId="17087" xr:uid="{00000000-0005-0000-0000-00007C0E0000}"/>
    <cellStyle name="Comma 2 4 2 2 5" xfId="12178" xr:uid="{00000000-0005-0000-0000-00007D0E0000}"/>
    <cellStyle name="Comma 2 4 2 3" xfId="1868" xr:uid="{00000000-0005-0000-0000-00007E0E0000}"/>
    <cellStyle name="Comma 2 4 2 3 2" xfId="4180" xr:uid="{00000000-0005-0000-0000-00007F0E0000}"/>
    <cellStyle name="Comma 2 4 2 3 2 2" xfId="9131" xr:uid="{00000000-0005-0000-0000-0000800E0000}"/>
    <cellStyle name="Comma 2 4 2 3 2 2 2" xfId="20028" xr:uid="{00000000-0005-0000-0000-0000810E0000}"/>
    <cellStyle name="Comma 2 4 2 3 2 3" xfId="15077" xr:uid="{00000000-0005-0000-0000-0000820E0000}"/>
    <cellStyle name="Comma 2 4 2 3 3" xfId="6819" xr:uid="{00000000-0005-0000-0000-0000830E0000}"/>
    <cellStyle name="Comma 2 4 2 3 3 2" xfId="17716" xr:uid="{00000000-0005-0000-0000-0000840E0000}"/>
    <cellStyle name="Comma 2 4 2 3 4" xfId="12793" xr:uid="{00000000-0005-0000-0000-0000850E0000}"/>
    <cellStyle name="Comma 2 4 2 4" xfId="3019" xr:uid="{00000000-0005-0000-0000-0000860E0000}"/>
    <cellStyle name="Comma 2 4 2 4 2" xfId="7970" xr:uid="{00000000-0005-0000-0000-0000870E0000}"/>
    <cellStyle name="Comma 2 4 2 4 2 2" xfId="18867" xr:uid="{00000000-0005-0000-0000-0000880E0000}"/>
    <cellStyle name="Comma 2 4 2 4 3" xfId="13916" xr:uid="{00000000-0005-0000-0000-0000890E0000}"/>
    <cellStyle name="Comma 2 4 2 5" xfId="5658" xr:uid="{00000000-0005-0000-0000-00008A0E0000}"/>
    <cellStyle name="Comma 2 4 2 5 2" xfId="16555" xr:uid="{00000000-0005-0000-0000-00008B0E0000}"/>
    <cellStyle name="Comma 2 4 2 6" xfId="11657" xr:uid="{00000000-0005-0000-0000-00008C0E0000}"/>
    <cellStyle name="Comma 2 4 3" xfId="962" xr:uid="{00000000-0005-0000-0000-00008D0E0000}"/>
    <cellStyle name="Comma 2 4 3 2" xfId="2119" xr:uid="{00000000-0005-0000-0000-00008E0E0000}"/>
    <cellStyle name="Comma 2 4 3 2 2" xfId="4431" xr:uid="{00000000-0005-0000-0000-00008F0E0000}"/>
    <cellStyle name="Comma 2 4 3 2 2 2" xfId="9382" xr:uid="{00000000-0005-0000-0000-0000900E0000}"/>
    <cellStyle name="Comma 2 4 3 2 2 2 2" xfId="20279" xr:uid="{00000000-0005-0000-0000-0000910E0000}"/>
    <cellStyle name="Comma 2 4 3 2 2 3" xfId="15328" xr:uid="{00000000-0005-0000-0000-0000920E0000}"/>
    <cellStyle name="Comma 2 4 3 2 3" xfId="7070" xr:uid="{00000000-0005-0000-0000-0000930E0000}"/>
    <cellStyle name="Comma 2 4 3 2 3 2" xfId="17967" xr:uid="{00000000-0005-0000-0000-0000940E0000}"/>
    <cellStyle name="Comma 2 4 3 2 4" xfId="13037" xr:uid="{00000000-0005-0000-0000-0000950E0000}"/>
    <cellStyle name="Comma 2 4 3 3" xfId="3286" xr:uid="{00000000-0005-0000-0000-0000960E0000}"/>
    <cellStyle name="Comma 2 4 3 3 2" xfId="8237" xr:uid="{00000000-0005-0000-0000-0000970E0000}"/>
    <cellStyle name="Comma 2 4 3 3 2 2" xfId="19134" xr:uid="{00000000-0005-0000-0000-0000980E0000}"/>
    <cellStyle name="Comma 2 4 3 3 3" xfId="14183" xr:uid="{00000000-0005-0000-0000-0000990E0000}"/>
    <cellStyle name="Comma 2 4 3 4" xfId="5925" xr:uid="{00000000-0005-0000-0000-00009A0E0000}"/>
    <cellStyle name="Comma 2 4 3 4 2" xfId="16822" xr:uid="{00000000-0005-0000-0000-00009B0E0000}"/>
    <cellStyle name="Comma 2 4 3 5" xfId="11919" xr:uid="{00000000-0005-0000-0000-00009C0E0000}"/>
    <cellStyle name="Comma 2 4 4" xfId="1635" xr:uid="{00000000-0005-0000-0000-00009D0E0000}"/>
    <cellStyle name="Comma 2 4 4 2" xfId="3947" xr:uid="{00000000-0005-0000-0000-00009E0E0000}"/>
    <cellStyle name="Comma 2 4 4 2 2" xfId="8898" xr:uid="{00000000-0005-0000-0000-00009F0E0000}"/>
    <cellStyle name="Comma 2 4 4 2 2 2" xfId="19795" xr:uid="{00000000-0005-0000-0000-0000A00E0000}"/>
    <cellStyle name="Comma 2 4 4 2 3" xfId="14844" xr:uid="{00000000-0005-0000-0000-0000A10E0000}"/>
    <cellStyle name="Comma 2 4 4 3" xfId="6586" xr:uid="{00000000-0005-0000-0000-0000A20E0000}"/>
    <cellStyle name="Comma 2 4 4 3 2" xfId="17483" xr:uid="{00000000-0005-0000-0000-0000A30E0000}"/>
    <cellStyle name="Comma 2 4 4 4" xfId="12567" xr:uid="{00000000-0005-0000-0000-0000A40E0000}"/>
    <cellStyle name="Comma 2 4 5" xfId="2754" xr:uid="{00000000-0005-0000-0000-0000A50E0000}"/>
    <cellStyle name="Comma 2 4 5 2" xfId="7705" xr:uid="{00000000-0005-0000-0000-0000A60E0000}"/>
    <cellStyle name="Comma 2 4 5 2 2" xfId="18602" xr:uid="{00000000-0005-0000-0000-0000A70E0000}"/>
    <cellStyle name="Comma 2 4 5 3" xfId="13651" xr:uid="{00000000-0005-0000-0000-0000A80E0000}"/>
    <cellStyle name="Comma 2 4 6" xfId="5393" xr:uid="{00000000-0005-0000-0000-0000A90E0000}"/>
    <cellStyle name="Comma 2 4 6 2" xfId="16290" xr:uid="{00000000-0005-0000-0000-0000AA0E0000}"/>
    <cellStyle name="Comma 2 4 7" xfId="11396" xr:uid="{00000000-0005-0000-0000-0000AB0E0000}"/>
    <cellStyle name="Comma 2 5" xfId="563" xr:uid="{00000000-0005-0000-0000-0000AC0E0000}"/>
    <cellStyle name="Comma 2 5 2" xfId="1095" xr:uid="{00000000-0005-0000-0000-0000AD0E0000}"/>
    <cellStyle name="Comma 2 5 2 2" xfId="2252" xr:uid="{00000000-0005-0000-0000-0000AE0E0000}"/>
    <cellStyle name="Comma 2 5 2 2 2" xfId="4564" xr:uid="{00000000-0005-0000-0000-0000AF0E0000}"/>
    <cellStyle name="Comma 2 5 2 2 2 2" xfId="9515" xr:uid="{00000000-0005-0000-0000-0000B00E0000}"/>
    <cellStyle name="Comma 2 5 2 2 2 2 2" xfId="20412" xr:uid="{00000000-0005-0000-0000-0000B10E0000}"/>
    <cellStyle name="Comma 2 5 2 2 2 3" xfId="15461" xr:uid="{00000000-0005-0000-0000-0000B20E0000}"/>
    <cellStyle name="Comma 2 5 2 2 3" xfId="7203" xr:uid="{00000000-0005-0000-0000-0000B30E0000}"/>
    <cellStyle name="Comma 2 5 2 2 3 2" xfId="18100" xr:uid="{00000000-0005-0000-0000-0000B40E0000}"/>
    <cellStyle name="Comma 2 5 2 2 4" xfId="13167" xr:uid="{00000000-0005-0000-0000-0000B50E0000}"/>
    <cellStyle name="Comma 2 5 2 3" xfId="3419" xr:uid="{00000000-0005-0000-0000-0000B60E0000}"/>
    <cellStyle name="Comma 2 5 2 3 2" xfId="8370" xr:uid="{00000000-0005-0000-0000-0000B70E0000}"/>
    <cellStyle name="Comma 2 5 2 3 2 2" xfId="19267" xr:uid="{00000000-0005-0000-0000-0000B80E0000}"/>
    <cellStyle name="Comma 2 5 2 3 3" xfId="14316" xr:uid="{00000000-0005-0000-0000-0000B90E0000}"/>
    <cellStyle name="Comma 2 5 2 4" xfId="6058" xr:uid="{00000000-0005-0000-0000-0000BA0E0000}"/>
    <cellStyle name="Comma 2 5 2 4 2" xfId="16955" xr:uid="{00000000-0005-0000-0000-0000BB0E0000}"/>
    <cellStyle name="Comma 2 5 2 5" xfId="12049" xr:uid="{00000000-0005-0000-0000-0000BC0E0000}"/>
    <cellStyle name="Comma 2 5 3" xfId="1752" xr:uid="{00000000-0005-0000-0000-0000BD0E0000}"/>
    <cellStyle name="Comma 2 5 3 2" xfId="4064" xr:uid="{00000000-0005-0000-0000-0000BE0E0000}"/>
    <cellStyle name="Comma 2 5 3 2 2" xfId="9015" xr:uid="{00000000-0005-0000-0000-0000BF0E0000}"/>
    <cellStyle name="Comma 2 5 3 2 2 2" xfId="19912" xr:uid="{00000000-0005-0000-0000-0000C00E0000}"/>
    <cellStyle name="Comma 2 5 3 2 3" xfId="14961" xr:uid="{00000000-0005-0000-0000-0000C10E0000}"/>
    <cellStyle name="Comma 2 5 3 3" xfId="6703" xr:uid="{00000000-0005-0000-0000-0000C20E0000}"/>
    <cellStyle name="Comma 2 5 3 3 2" xfId="17600" xr:uid="{00000000-0005-0000-0000-0000C30E0000}"/>
    <cellStyle name="Comma 2 5 3 4" xfId="12681" xr:uid="{00000000-0005-0000-0000-0000C40E0000}"/>
    <cellStyle name="Comma 2 5 4" xfId="2887" xr:uid="{00000000-0005-0000-0000-0000C50E0000}"/>
    <cellStyle name="Comma 2 5 4 2" xfId="7838" xr:uid="{00000000-0005-0000-0000-0000C60E0000}"/>
    <cellStyle name="Comma 2 5 4 2 2" xfId="18735" xr:uid="{00000000-0005-0000-0000-0000C70E0000}"/>
    <cellStyle name="Comma 2 5 4 3" xfId="13784" xr:uid="{00000000-0005-0000-0000-0000C80E0000}"/>
    <cellStyle name="Comma 2 5 5" xfId="5526" xr:uid="{00000000-0005-0000-0000-0000C90E0000}"/>
    <cellStyle name="Comma 2 5 5 2" xfId="16423" xr:uid="{00000000-0005-0000-0000-0000CA0E0000}"/>
    <cellStyle name="Comma 2 5 6" xfId="11528" xr:uid="{00000000-0005-0000-0000-0000CB0E0000}"/>
    <cellStyle name="Comma 2 6" xfId="830" xr:uid="{00000000-0005-0000-0000-0000CC0E0000}"/>
    <cellStyle name="Comma 2 6 2" xfId="1987" xr:uid="{00000000-0005-0000-0000-0000CD0E0000}"/>
    <cellStyle name="Comma 2 6 2 2" xfId="4299" xr:uid="{00000000-0005-0000-0000-0000CE0E0000}"/>
    <cellStyle name="Comma 2 6 2 2 2" xfId="9250" xr:uid="{00000000-0005-0000-0000-0000CF0E0000}"/>
    <cellStyle name="Comma 2 6 2 2 2 2" xfId="20147" xr:uid="{00000000-0005-0000-0000-0000D00E0000}"/>
    <cellStyle name="Comma 2 6 2 2 3" xfId="15196" xr:uid="{00000000-0005-0000-0000-0000D10E0000}"/>
    <cellStyle name="Comma 2 6 2 3" xfId="6938" xr:uid="{00000000-0005-0000-0000-0000D20E0000}"/>
    <cellStyle name="Comma 2 6 2 3 2" xfId="17835" xr:uid="{00000000-0005-0000-0000-0000D30E0000}"/>
    <cellStyle name="Comma 2 6 2 4" xfId="12909" xr:uid="{00000000-0005-0000-0000-0000D40E0000}"/>
    <cellStyle name="Comma 2 6 3" xfId="3154" xr:uid="{00000000-0005-0000-0000-0000D50E0000}"/>
    <cellStyle name="Comma 2 6 3 2" xfId="8105" xr:uid="{00000000-0005-0000-0000-0000D60E0000}"/>
    <cellStyle name="Comma 2 6 3 2 2" xfId="19002" xr:uid="{00000000-0005-0000-0000-0000D70E0000}"/>
    <cellStyle name="Comma 2 6 3 3" xfId="14051" xr:uid="{00000000-0005-0000-0000-0000D80E0000}"/>
    <cellStyle name="Comma 2 6 4" xfId="5793" xr:uid="{00000000-0005-0000-0000-0000D90E0000}"/>
    <cellStyle name="Comma 2 6 4 2" xfId="16690" xr:uid="{00000000-0005-0000-0000-0000DA0E0000}"/>
    <cellStyle name="Comma 2 6 5" xfId="11791" xr:uid="{00000000-0005-0000-0000-0000DB0E0000}"/>
    <cellStyle name="Comma 2 7" xfId="1422" xr:uid="{00000000-0005-0000-0000-0000DC0E0000}"/>
    <cellStyle name="Comma 2 7 2" xfId="2531" xr:uid="{00000000-0005-0000-0000-0000DD0E0000}"/>
    <cellStyle name="Comma 2 7 2 2" xfId="4843" xr:uid="{00000000-0005-0000-0000-0000DE0E0000}"/>
    <cellStyle name="Comma 2 7 2 2 2" xfId="9794" xr:uid="{00000000-0005-0000-0000-0000DF0E0000}"/>
    <cellStyle name="Comma 2 7 2 2 2 2" xfId="20691" xr:uid="{00000000-0005-0000-0000-0000E00E0000}"/>
    <cellStyle name="Comma 2 7 2 2 3" xfId="15740" xr:uid="{00000000-0005-0000-0000-0000E10E0000}"/>
    <cellStyle name="Comma 2 7 2 3" xfId="7482" xr:uid="{00000000-0005-0000-0000-0000E20E0000}"/>
    <cellStyle name="Comma 2 7 2 3 2" xfId="18379" xr:uid="{00000000-0005-0000-0000-0000E30E0000}"/>
    <cellStyle name="Comma 2 7 2 4" xfId="13428" xr:uid="{00000000-0005-0000-0000-0000E40E0000}"/>
    <cellStyle name="Comma 2 7 3" xfId="3746" xr:uid="{00000000-0005-0000-0000-0000E50E0000}"/>
    <cellStyle name="Comma 2 7 3 2" xfId="8697" xr:uid="{00000000-0005-0000-0000-0000E60E0000}"/>
    <cellStyle name="Comma 2 7 3 2 2" xfId="19594" xr:uid="{00000000-0005-0000-0000-0000E70E0000}"/>
    <cellStyle name="Comma 2 7 3 3" xfId="14643" xr:uid="{00000000-0005-0000-0000-0000E80E0000}"/>
    <cellStyle name="Comma 2 7 4" xfId="6385" xr:uid="{00000000-0005-0000-0000-0000E90E0000}"/>
    <cellStyle name="Comma 2 7 4 2" xfId="17282" xr:uid="{00000000-0005-0000-0000-0000EA0E0000}"/>
    <cellStyle name="Comma 2 7 5" xfId="12360" xr:uid="{00000000-0005-0000-0000-0000EB0E0000}"/>
    <cellStyle name="Comma 2 8" xfId="1457" xr:uid="{00000000-0005-0000-0000-0000EC0E0000}"/>
    <cellStyle name="Comma 2 8 2" xfId="2563" xr:uid="{00000000-0005-0000-0000-0000ED0E0000}"/>
    <cellStyle name="Comma 2 8 2 2" xfId="4875" xr:uid="{00000000-0005-0000-0000-0000EE0E0000}"/>
    <cellStyle name="Comma 2 8 2 2 2" xfId="9826" xr:uid="{00000000-0005-0000-0000-0000EF0E0000}"/>
    <cellStyle name="Comma 2 8 2 2 2 2" xfId="20723" xr:uid="{00000000-0005-0000-0000-0000F00E0000}"/>
    <cellStyle name="Comma 2 8 2 2 3" xfId="15772" xr:uid="{00000000-0005-0000-0000-0000F10E0000}"/>
    <cellStyle name="Comma 2 8 2 3" xfId="7514" xr:uid="{00000000-0005-0000-0000-0000F20E0000}"/>
    <cellStyle name="Comma 2 8 2 3 2" xfId="18411" xr:uid="{00000000-0005-0000-0000-0000F30E0000}"/>
    <cellStyle name="Comma 2 8 2 4" xfId="13460" xr:uid="{00000000-0005-0000-0000-0000F40E0000}"/>
    <cellStyle name="Comma 2 8 3" xfId="3778" xr:uid="{00000000-0005-0000-0000-0000F50E0000}"/>
    <cellStyle name="Comma 2 8 3 2" xfId="8729" xr:uid="{00000000-0005-0000-0000-0000F60E0000}"/>
    <cellStyle name="Comma 2 8 3 2 2" xfId="19626" xr:uid="{00000000-0005-0000-0000-0000F70E0000}"/>
    <cellStyle name="Comma 2 8 3 3" xfId="14675" xr:uid="{00000000-0005-0000-0000-0000F80E0000}"/>
    <cellStyle name="Comma 2 8 4" xfId="6417" xr:uid="{00000000-0005-0000-0000-0000F90E0000}"/>
    <cellStyle name="Comma 2 8 4 2" xfId="17314" xr:uid="{00000000-0005-0000-0000-0000FA0E0000}"/>
    <cellStyle name="Comma 2 8 5" xfId="12396" xr:uid="{00000000-0005-0000-0000-0000FB0E0000}"/>
    <cellStyle name="Comma 2 9" xfId="1519" xr:uid="{00000000-0005-0000-0000-0000FC0E0000}"/>
    <cellStyle name="Comma 2 9 2" xfId="3831" xr:uid="{00000000-0005-0000-0000-0000FD0E0000}"/>
    <cellStyle name="Comma 2 9 2 2" xfId="8782" xr:uid="{00000000-0005-0000-0000-0000FE0E0000}"/>
    <cellStyle name="Comma 2 9 2 2 2" xfId="19679" xr:uid="{00000000-0005-0000-0000-0000FF0E0000}"/>
    <cellStyle name="Comma 2 9 2 3" xfId="14728" xr:uid="{00000000-0005-0000-0000-0000000F0000}"/>
    <cellStyle name="Comma 2 9 3" xfId="6470" xr:uid="{00000000-0005-0000-0000-0000010F0000}"/>
    <cellStyle name="Comma 2 9 3 2" xfId="17367" xr:uid="{00000000-0005-0000-0000-0000020F0000}"/>
    <cellStyle name="Comma 2 9 4" xfId="12454" xr:uid="{00000000-0005-0000-0000-0000030F0000}"/>
    <cellStyle name="Comma 20" xfId="175" xr:uid="{00000000-0005-0000-0000-0000040F0000}"/>
    <cellStyle name="Comma 20 2" xfId="374" xr:uid="{00000000-0005-0000-0000-0000050F0000}"/>
    <cellStyle name="Comma 20 2 2" xfId="504" xr:uid="{00000000-0005-0000-0000-0000060F0000}"/>
    <cellStyle name="Comma 20 2 2 2" xfId="769" xr:uid="{00000000-0005-0000-0000-0000070F0000}"/>
    <cellStyle name="Comma 20 2 2 2 2" xfId="1301" xr:uid="{00000000-0005-0000-0000-0000080F0000}"/>
    <cellStyle name="Comma 20 2 2 2 2 2" xfId="2458" xr:uid="{00000000-0005-0000-0000-0000090F0000}"/>
    <cellStyle name="Comma 20 2 2 2 2 2 2" xfId="4770" xr:uid="{00000000-0005-0000-0000-00000A0F0000}"/>
    <cellStyle name="Comma 20 2 2 2 2 2 2 2" xfId="9721" xr:uid="{00000000-0005-0000-0000-00000B0F0000}"/>
    <cellStyle name="Comma 20 2 2 2 2 2 2 2 2" xfId="20618" xr:uid="{00000000-0005-0000-0000-00000C0F0000}"/>
    <cellStyle name="Comma 20 2 2 2 2 2 2 3" xfId="15667" xr:uid="{00000000-0005-0000-0000-00000D0F0000}"/>
    <cellStyle name="Comma 20 2 2 2 2 2 3" xfId="7409" xr:uid="{00000000-0005-0000-0000-00000E0F0000}"/>
    <cellStyle name="Comma 20 2 2 2 2 2 3 2" xfId="18306" xr:uid="{00000000-0005-0000-0000-00000F0F0000}"/>
    <cellStyle name="Comma 20 2 2 2 2 2 4" xfId="13369" xr:uid="{00000000-0005-0000-0000-0000100F0000}"/>
    <cellStyle name="Comma 20 2 2 2 2 3" xfId="3625" xr:uid="{00000000-0005-0000-0000-0000110F0000}"/>
    <cellStyle name="Comma 20 2 2 2 2 3 2" xfId="8576" xr:uid="{00000000-0005-0000-0000-0000120F0000}"/>
    <cellStyle name="Comma 20 2 2 2 2 3 2 2" xfId="19473" xr:uid="{00000000-0005-0000-0000-0000130F0000}"/>
    <cellStyle name="Comma 20 2 2 2 2 3 3" xfId="14522" xr:uid="{00000000-0005-0000-0000-0000140F0000}"/>
    <cellStyle name="Comma 20 2 2 2 2 4" xfId="6264" xr:uid="{00000000-0005-0000-0000-0000150F0000}"/>
    <cellStyle name="Comma 20 2 2 2 2 4 2" xfId="17161" xr:uid="{00000000-0005-0000-0000-0000160F0000}"/>
    <cellStyle name="Comma 20 2 2 2 2 5" xfId="12251" xr:uid="{00000000-0005-0000-0000-0000170F0000}"/>
    <cellStyle name="Comma 20 2 2 2 3" xfId="1927" xr:uid="{00000000-0005-0000-0000-0000180F0000}"/>
    <cellStyle name="Comma 20 2 2 2 3 2" xfId="4239" xr:uid="{00000000-0005-0000-0000-0000190F0000}"/>
    <cellStyle name="Comma 20 2 2 2 3 2 2" xfId="9190" xr:uid="{00000000-0005-0000-0000-00001A0F0000}"/>
    <cellStyle name="Comma 20 2 2 2 3 2 2 2" xfId="20087" xr:uid="{00000000-0005-0000-0000-00001B0F0000}"/>
    <cellStyle name="Comma 20 2 2 2 3 2 3" xfId="15136" xr:uid="{00000000-0005-0000-0000-00001C0F0000}"/>
    <cellStyle name="Comma 20 2 2 2 3 3" xfId="6878" xr:uid="{00000000-0005-0000-0000-00001D0F0000}"/>
    <cellStyle name="Comma 20 2 2 2 3 3 2" xfId="17775" xr:uid="{00000000-0005-0000-0000-00001E0F0000}"/>
    <cellStyle name="Comma 20 2 2 2 3 4" xfId="12851" xr:uid="{00000000-0005-0000-0000-00001F0F0000}"/>
    <cellStyle name="Comma 20 2 2 2 4" xfId="3093" xr:uid="{00000000-0005-0000-0000-0000200F0000}"/>
    <cellStyle name="Comma 20 2 2 2 4 2" xfId="8044" xr:uid="{00000000-0005-0000-0000-0000210F0000}"/>
    <cellStyle name="Comma 20 2 2 2 4 2 2" xfId="18941" xr:uid="{00000000-0005-0000-0000-0000220F0000}"/>
    <cellStyle name="Comma 20 2 2 2 4 3" xfId="13990" xr:uid="{00000000-0005-0000-0000-0000230F0000}"/>
    <cellStyle name="Comma 20 2 2 2 5" xfId="5732" xr:uid="{00000000-0005-0000-0000-0000240F0000}"/>
    <cellStyle name="Comma 20 2 2 2 5 2" xfId="16629" xr:uid="{00000000-0005-0000-0000-0000250F0000}"/>
    <cellStyle name="Comma 20 2 2 2 6" xfId="11730" xr:uid="{00000000-0005-0000-0000-0000260F0000}"/>
    <cellStyle name="Comma 20 2 2 3" xfId="1036" xr:uid="{00000000-0005-0000-0000-0000270F0000}"/>
    <cellStyle name="Comma 20 2 2 3 2" xfId="2193" xr:uid="{00000000-0005-0000-0000-0000280F0000}"/>
    <cellStyle name="Comma 20 2 2 3 2 2" xfId="4505" xr:uid="{00000000-0005-0000-0000-0000290F0000}"/>
    <cellStyle name="Comma 20 2 2 3 2 2 2" xfId="9456" xr:uid="{00000000-0005-0000-0000-00002A0F0000}"/>
    <cellStyle name="Comma 20 2 2 3 2 2 2 2" xfId="20353" xr:uid="{00000000-0005-0000-0000-00002B0F0000}"/>
    <cellStyle name="Comma 20 2 2 3 2 2 3" xfId="15402" xr:uid="{00000000-0005-0000-0000-00002C0F0000}"/>
    <cellStyle name="Comma 20 2 2 3 2 3" xfId="7144" xr:uid="{00000000-0005-0000-0000-00002D0F0000}"/>
    <cellStyle name="Comma 20 2 2 3 2 3 2" xfId="18041" xr:uid="{00000000-0005-0000-0000-00002E0F0000}"/>
    <cellStyle name="Comma 20 2 2 3 2 4" xfId="13110" xr:uid="{00000000-0005-0000-0000-00002F0F0000}"/>
    <cellStyle name="Comma 20 2 2 3 3" xfId="3360" xr:uid="{00000000-0005-0000-0000-0000300F0000}"/>
    <cellStyle name="Comma 20 2 2 3 3 2" xfId="8311" xr:uid="{00000000-0005-0000-0000-0000310F0000}"/>
    <cellStyle name="Comma 20 2 2 3 3 2 2" xfId="19208" xr:uid="{00000000-0005-0000-0000-0000320F0000}"/>
    <cellStyle name="Comma 20 2 2 3 3 3" xfId="14257" xr:uid="{00000000-0005-0000-0000-0000330F0000}"/>
    <cellStyle name="Comma 20 2 2 3 4" xfId="5999" xr:uid="{00000000-0005-0000-0000-0000340F0000}"/>
    <cellStyle name="Comma 20 2 2 3 4 2" xfId="16896" xr:uid="{00000000-0005-0000-0000-0000350F0000}"/>
    <cellStyle name="Comma 20 2 2 3 5" xfId="11992" xr:uid="{00000000-0005-0000-0000-0000360F0000}"/>
    <cellStyle name="Comma 20 2 2 4" xfId="1694" xr:uid="{00000000-0005-0000-0000-0000370F0000}"/>
    <cellStyle name="Comma 20 2 2 4 2" xfId="4006" xr:uid="{00000000-0005-0000-0000-0000380F0000}"/>
    <cellStyle name="Comma 20 2 2 4 2 2" xfId="8957" xr:uid="{00000000-0005-0000-0000-0000390F0000}"/>
    <cellStyle name="Comma 20 2 2 4 2 2 2" xfId="19854" xr:uid="{00000000-0005-0000-0000-00003A0F0000}"/>
    <cellStyle name="Comma 20 2 2 4 2 3" xfId="14903" xr:uid="{00000000-0005-0000-0000-00003B0F0000}"/>
    <cellStyle name="Comma 20 2 2 4 3" xfId="6645" xr:uid="{00000000-0005-0000-0000-00003C0F0000}"/>
    <cellStyle name="Comma 20 2 2 4 3 2" xfId="17542" xr:uid="{00000000-0005-0000-0000-00003D0F0000}"/>
    <cellStyle name="Comma 20 2 2 4 4" xfId="12625" xr:uid="{00000000-0005-0000-0000-00003E0F0000}"/>
    <cellStyle name="Comma 20 2 2 5" xfId="2828" xr:uid="{00000000-0005-0000-0000-00003F0F0000}"/>
    <cellStyle name="Comma 20 2 2 5 2" xfId="7779" xr:uid="{00000000-0005-0000-0000-0000400F0000}"/>
    <cellStyle name="Comma 20 2 2 5 2 2" xfId="18676" xr:uid="{00000000-0005-0000-0000-0000410F0000}"/>
    <cellStyle name="Comma 20 2 2 5 3" xfId="13725" xr:uid="{00000000-0005-0000-0000-0000420F0000}"/>
    <cellStyle name="Comma 20 2 2 6" xfId="5467" xr:uid="{00000000-0005-0000-0000-0000430F0000}"/>
    <cellStyle name="Comma 20 2 2 6 2" xfId="16364" xr:uid="{00000000-0005-0000-0000-0000440F0000}"/>
    <cellStyle name="Comma 20 2 2 7" xfId="11469" xr:uid="{00000000-0005-0000-0000-0000450F0000}"/>
    <cellStyle name="Comma 20 2 3" xfId="640" xr:uid="{00000000-0005-0000-0000-0000460F0000}"/>
    <cellStyle name="Comma 20 2 3 2" xfId="1172" xr:uid="{00000000-0005-0000-0000-0000470F0000}"/>
    <cellStyle name="Comma 20 2 3 2 2" xfId="2329" xr:uid="{00000000-0005-0000-0000-0000480F0000}"/>
    <cellStyle name="Comma 20 2 3 2 2 2" xfId="4641" xr:uid="{00000000-0005-0000-0000-0000490F0000}"/>
    <cellStyle name="Comma 20 2 3 2 2 2 2" xfId="9592" xr:uid="{00000000-0005-0000-0000-00004A0F0000}"/>
    <cellStyle name="Comma 20 2 3 2 2 2 2 2" xfId="20489" xr:uid="{00000000-0005-0000-0000-00004B0F0000}"/>
    <cellStyle name="Comma 20 2 3 2 2 2 3" xfId="15538" xr:uid="{00000000-0005-0000-0000-00004C0F0000}"/>
    <cellStyle name="Comma 20 2 3 2 2 3" xfId="7280" xr:uid="{00000000-0005-0000-0000-00004D0F0000}"/>
    <cellStyle name="Comma 20 2 3 2 2 3 2" xfId="18177" xr:uid="{00000000-0005-0000-0000-00004E0F0000}"/>
    <cellStyle name="Comma 20 2 3 2 2 4" xfId="13241" xr:uid="{00000000-0005-0000-0000-00004F0F0000}"/>
    <cellStyle name="Comma 20 2 3 2 3" xfId="3496" xr:uid="{00000000-0005-0000-0000-0000500F0000}"/>
    <cellStyle name="Comma 20 2 3 2 3 2" xfId="8447" xr:uid="{00000000-0005-0000-0000-0000510F0000}"/>
    <cellStyle name="Comma 20 2 3 2 3 2 2" xfId="19344" xr:uid="{00000000-0005-0000-0000-0000520F0000}"/>
    <cellStyle name="Comma 20 2 3 2 3 3" xfId="14393" xr:uid="{00000000-0005-0000-0000-0000530F0000}"/>
    <cellStyle name="Comma 20 2 3 2 4" xfId="6135" xr:uid="{00000000-0005-0000-0000-0000540F0000}"/>
    <cellStyle name="Comma 20 2 3 2 4 2" xfId="17032" xr:uid="{00000000-0005-0000-0000-0000550F0000}"/>
    <cellStyle name="Comma 20 2 3 2 5" xfId="12123" xr:uid="{00000000-0005-0000-0000-0000560F0000}"/>
    <cellStyle name="Comma 20 2 3 3" xfId="1813" xr:uid="{00000000-0005-0000-0000-0000570F0000}"/>
    <cellStyle name="Comma 20 2 3 3 2" xfId="4125" xr:uid="{00000000-0005-0000-0000-0000580F0000}"/>
    <cellStyle name="Comma 20 2 3 3 2 2" xfId="9076" xr:uid="{00000000-0005-0000-0000-0000590F0000}"/>
    <cellStyle name="Comma 20 2 3 3 2 2 2" xfId="19973" xr:uid="{00000000-0005-0000-0000-00005A0F0000}"/>
    <cellStyle name="Comma 20 2 3 3 2 3" xfId="15022" xr:uid="{00000000-0005-0000-0000-00005B0F0000}"/>
    <cellStyle name="Comma 20 2 3 3 3" xfId="6764" xr:uid="{00000000-0005-0000-0000-00005C0F0000}"/>
    <cellStyle name="Comma 20 2 3 3 3 2" xfId="17661" xr:uid="{00000000-0005-0000-0000-00005D0F0000}"/>
    <cellStyle name="Comma 20 2 3 3 4" xfId="12738" xr:uid="{00000000-0005-0000-0000-00005E0F0000}"/>
    <cellStyle name="Comma 20 2 3 4" xfId="2964" xr:uid="{00000000-0005-0000-0000-00005F0F0000}"/>
    <cellStyle name="Comma 20 2 3 4 2" xfId="7915" xr:uid="{00000000-0005-0000-0000-0000600F0000}"/>
    <cellStyle name="Comma 20 2 3 4 2 2" xfId="18812" xr:uid="{00000000-0005-0000-0000-0000610F0000}"/>
    <cellStyle name="Comma 20 2 3 4 3" xfId="13861" xr:uid="{00000000-0005-0000-0000-0000620F0000}"/>
    <cellStyle name="Comma 20 2 3 5" xfId="5603" xr:uid="{00000000-0005-0000-0000-0000630F0000}"/>
    <cellStyle name="Comma 20 2 3 5 2" xfId="16500" xr:uid="{00000000-0005-0000-0000-0000640F0000}"/>
    <cellStyle name="Comma 20 2 3 6" xfId="11602" xr:uid="{00000000-0005-0000-0000-0000650F0000}"/>
    <cellStyle name="Comma 20 2 4" xfId="907" xr:uid="{00000000-0005-0000-0000-0000660F0000}"/>
    <cellStyle name="Comma 20 2 4 2" xfId="2064" xr:uid="{00000000-0005-0000-0000-0000670F0000}"/>
    <cellStyle name="Comma 20 2 4 2 2" xfId="4376" xr:uid="{00000000-0005-0000-0000-0000680F0000}"/>
    <cellStyle name="Comma 20 2 4 2 2 2" xfId="9327" xr:uid="{00000000-0005-0000-0000-0000690F0000}"/>
    <cellStyle name="Comma 20 2 4 2 2 2 2" xfId="20224" xr:uid="{00000000-0005-0000-0000-00006A0F0000}"/>
    <cellStyle name="Comma 20 2 4 2 2 3" xfId="15273" xr:uid="{00000000-0005-0000-0000-00006B0F0000}"/>
    <cellStyle name="Comma 20 2 4 2 3" xfId="7015" xr:uid="{00000000-0005-0000-0000-00006C0F0000}"/>
    <cellStyle name="Comma 20 2 4 2 3 2" xfId="17912" xr:uid="{00000000-0005-0000-0000-00006D0F0000}"/>
    <cellStyle name="Comma 20 2 4 2 4" xfId="12982" xr:uid="{00000000-0005-0000-0000-00006E0F0000}"/>
    <cellStyle name="Comma 20 2 4 3" xfId="3231" xr:uid="{00000000-0005-0000-0000-00006F0F0000}"/>
    <cellStyle name="Comma 20 2 4 3 2" xfId="8182" xr:uid="{00000000-0005-0000-0000-0000700F0000}"/>
    <cellStyle name="Comma 20 2 4 3 2 2" xfId="19079" xr:uid="{00000000-0005-0000-0000-0000710F0000}"/>
    <cellStyle name="Comma 20 2 4 3 3" xfId="14128" xr:uid="{00000000-0005-0000-0000-0000720F0000}"/>
    <cellStyle name="Comma 20 2 4 4" xfId="5870" xr:uid="{00000000-0005-0000-0000-0000730F0000}"/>
    <cellStyle name="Comma 20 2 4 4 2" xfId="16767" xr:uid="{00000000-0005-0000-0000-0000740F0000}"/>
    <cellStyle name="Comma 20 2 4 5" xfId="11864" xr:uid="{00000000-0005-0000-0000-0000750F0000}"/>
    <cellStyle name="Comma 20 2 5" xfId="1580" xr:uid="{00000000-0005-0000-0000-0000760F0000}"/>
    <cellStyle name="Comma 20 2 5 2" xfId="3892" xr:uid="{00000000-0005-0000-0000-0000770F0000}"/>
    <cellStyle name="Comma 20 2 5 2 2" xfId="8843" xr:uid="{00000000-0005-0000-0000-0000780F0000}"/>
    <cellStyle name="Comma 20 2 5 2 2 2" xfId="19740" xr:uid="{00000000-0005-0000-0000-0000790F0000}"/>
    <cellStyle name="Comma 20 2 5 2 3" xfId="14789" xr:uid="{00000000-0005-0000-0000-00007A0F0000}"/>
    <cellStyle name="Comma 20 2 5 3" xfId="6531" xr:uid="{00000000-0005-0000-0000-00007B0F0000}"/>
    <cellStyle name="Comma 20 2 5 3 2" xfId="17428" xr:uid="{00000000-0005-0000-0000-00007C0F0000}"/>
    <cellStyle name="Comma 20 2 5 4" xfId="12512" xr:uid="{00000000-0005-0000-0000-00007D0F0000}"/>
    <cellStyle name="Comma 20 2 6" xfId="2699" xr:uid="{00000000-0005-0000-0000-00007E0F0000}"/>
    <cellStyle name="Comma 20 2 6 2" xfId="7650" xr:uid="{00000000-0005-0000-0000-00007F0F0000}"/>
    <cellStyle name="Comma 20 2 6 2 2" xfId="18547" xr:uid="{00000000-0005-0000-0000-0000800F0000}"/>
    <cellStyle name="Comma 20 2 6 3" xfId="13596" xr:uid="{00000000-0005-0000-0000-0000810F0000}"/>
    <cellStyle name="Comma 20 2 7" xfId="5338" xr:uid="{00000000-0005-0000-0000-0000820F0000}"/>
    <cellStyle name="Comma 20 2 7 2" xfId="16235" xr:uid="{00000000-0005-0000-0000-0000830F0000}"/>
    <cellStyle name="Comma 20 2 8" xfId="11341" xr:uid="{00000000-0005-0000-0000-0000840F0000}"/>
    <cellStyle name="Comma 20 3" xfId="443" xr:uid="{00000000-0005-0000-0000-0000850F0000}"/>
    <cellStyle name="Comma 20 3 2" xfId="708" xr:uid="{00000000-0005-0000-0000-0000860F0000}"/>
    <cellStyle name="Comma 20 3 2 2" xfId="1240" xr:uid="{00000000-0005-0000-0000-0000870F0000}"/>
    <cellStyle name="Comma 20 3 2 2 2" xfId="2397" xr:uid="{00000000-0005-0000-0000-0000880F0000}"/>
    <cellStyle name="Comma 20 3 2 2 2 2" xfId="4709" xr:uid="{00000000-0005-0000-0000-0000890F0000}"/>
    <cellStyle name="Comma 20 3 2 2 2 2 2" xfId="9660" xr:uid="{00000000-0005-0000-0000-00008A0F0000}"/>
    <cellStyle name="Comma 20 3 2 2 2 2 2 2" xfId="20557" xr:uid="{00000000-0005-0000-0000-00008B0F0000}"/>
    <cellStyle name="Comma 20 3 2 2 2 2 3" xfId="15606" xr:uid="{00000000-0005-0000-0000-00008C0F0000}"/>
    <cellStyle name="Comma 20 3 2 2 2 3" xfId="7348" xr:uid="{00000000-0005-0000-0000-00008D0F0000}"/>
    <cellStyle name="Comma 20 3 2 2 2 3 2" xfId="18245" xr:uid="{00000000-0005-0000-0000-00008E0F0000}"/>
    <cellStyle name="Comma 20 3 2 2 2 4" xfId="13308" xr:uid="{00000000-0005-0000-0000-00008F0F0000}"/>
    <cellStyle name="Comma 20 3 2 2 3" xfId="3564" xr:uid="{00000000-0005-0000-0000-0000900F0000}"/>
    <cellStyle name="Comma 20 3 2 2 3 2" xfId="8515" xr:uid="{00000000-0005-0000-0000-0000910F0000}"/>
    <cellStyle name="Comma 20 3 2 2 3 2 2" xfId="19412" xr:uid="{00000000-0005-0000-0000-0000920F0000}"/>
    <cellStyle name="Comma 20 3 2 2 3 3" xfId="14461" xr:uid="{00000000-0005-0000-0000-0000930F0000}"/>
    <cellStyle name="Comma 20 3 2 2 4" xfId="6203" xr:uid="{00000000-0005-0000-0000-0000940F0000}"/>
    <cellStyle name="Comma 20 3 2 2 4 2" xfId="17100" xr:uid="{00000000-0005-0000-0000-0000950F0000}"/>
    <cellStyle name="Comma 20 3 2 2 5" xfId="12190" xr:uid="{00000000-0005-0000-0000-0000960F0000}"/>
    <cellStyle name="Comma 20 3 2 3" xfId="1876" xr:uid="{00000000-0005-0000-0000-0000970F0000}"/>
    <cellStyle name="Comma 20 3 2 3 2" xfId="4188" xr:uid="{00000000-0005-0000-0000-0000980F0000}"/>
    <cellStyle name="Comma 20 3 2 3 2 2" xfId="9139" xr:uid="{00000000-0005-0000-0000-0000990F0000}"/>
    <cellStyle name="Comma 20 3 2 3 2 2 2" xfId="20036" xr:uid="{00000000-0005-0000-0000-00009A0F0000}"/>
    <cellStyle name="Comma 20 3 2 3 2 3" xfId="15085" xr:uid="{00000000-0005-0000-0000-00009B0F0000}"/>
    <cellStyle name="Comma 20 3 2 3 3" xfId="6827" xr:uid="{00000000-0005-0000-0000-00009C0F0000}"/>
    <cellStyle name="Comma 20 3 2 3 3 2" xfId="17724" xr:uid="{00000000-0005-0000-0000-00009D0F0000}"/>
    <cellStyle name="Comma 20 3 2 3 4" xfId="12800" xr:uid="{00000000-0005-0000-0000-00009E0F0000}"/>
    <cellStyle name="Comma 20 3 2 4" xfId="3032" xr:uid="{00000000-0005-0000-0000-00009F0F0000}"/>
    <cellStyle name="Comma 20 3 2 4 2" xfId="7983" xr:uid="{00000000-0005-0000-0000-0000A00F0000}"/>
    <cellStyle name="Comma 20 3 2 4 2 2" xfId="18880" xr:uid="{00000000-0005-0000-0000-0000A10F0000}"/>
    <cellStyle name="Comma 20 3 2 4 3" xfId="13929" xr:uid="{00000000-0005-0000-0000-0000A20F0000}"/>
    <cellStyle name="Comma 20 3 2 5" xfId="5671" xr:uid="{00000000-0005-0000-0000-0000A30F0000}"/>
    <cellStyle name="Comma 20 3 2 5 2" xfId="16568" xr:uid="{00000000-0005-0000-0000-0000A40F0000}"/>
    <cellStyle name="Comma 20 3 2 6" xfId="11669" xr:uid="{00000000-0005-0000-0000-0000A50F0000}"/>
    <cellStyle name="Comma 20 3 3" xfId="975" xr:uid="{00000000-0005-0000-0000-0000A60F0000}"/>
    <cellStyle name="Comma 20 3 3 2" xfId="2132" xr:uid="{00000000-0005-0000-0000-0000A70F0000}"/>
    <cellStyle name="Comma 20 3 3 2 2" xfId="4444" xr:uid="{00000000-0005-0000-0000-0000A80F0000}"/>
    <cellStyle name="Comma 20 3 3 2 2 2" xfId="9395" xr:uid="{00000000-0005-0000-0000-0000A90F0000}"/>
    <cellStyle name="Comma 20 3 3 2 2 2 2" xfId="20292" xr:uid="{00000000-0005-0000-0000-0000AA0F0000}"/>
    <cellStyle name="Comma 20 3 3 2 2 3" xfId="15341" xr:uid="{00000000-0005-0000-0000-0000AB0F0000}"/>
    <cellStyle name="Comma 20 3 3 2 3" xfId="7083" xr:uid="{00000000-0005-0000-0000-0000AC0F0000}"/>
    <cellStyle name="Comma 20 3 3 2 3 2" xfId="17980" xr:uid="{00000000-0005-0000-0000-0000AD0F0000}"/>
    <cellStyle name="Comma 20 3 3 2 4" xfId="13049" xr:uid="{00000000-0005-0000-0000-0000AE0F0000}"/>
    <cellStyle name="Comma 20 3 3 3" xfId="3299" xr:uid="{00000000-0005-0000-0000-0000AF0F0000}"/>
    <cellStyle name="Comma 20 3 3 3 2" xfId="8250" xr:uid="{00000000-0005-0000-0000-0000B00F0000}"/>
    <cellStyle name="Comma 20 3 3 3 2 2" xfId="19147" xr:uid="{00000000-0005-0000-0000-0000B10F0000}"/>
    <cellStyle name="Comma 20 3 3 3 3" xfId="14196" xr:uid="{00000000-0005-0000-0000-0000B20F0000}"/>
    <cellStyle name="Comma 20 3 3 4" xfId="5938" xr:uid="{00000000-0005-0000-0000-0000B30F0000}"/>
    <cellStyle name="Comma 20 3 3 4 2" xfId="16835" xr:uid="{00000000-0005-0000-0000-0000B40F0000}"/>
    <cellStyle name="Comma 20 3 3 5" xfId="11931" xr:uid="{00000000-0005-0000-0000-0000B50F0000}"/>
    <cellStyle name="Comma 20 3 4" xfId="1643" xr:uid="{00000000-0005-0000-0000-0000B60F0000}"/>
    <cellStyle name="Comma 20 3 4 2" xfId="3955" xr:uid="{00000000-0005-0000-0000-0000B70F0000}"/>
    <cellStyle name="Comma 20 3 4 2 2" xfId="8906" xr:uid="{00000000-0005-0000-0000-0000B80F0000}"/>
    <cellStyle name="Comma 20 3 4 2 2 2" xfId="19803" xr:uid="{00000000-0005-0000-0000-0000B90F0000}"/>
    <cellStyle name="Comma 20 3 4 2 3" xfId="14852" xr:uid="{00000000-0005-0000-0000-0000BA0F0000}"/>
    <cellStyle name="Comma 20 3 4 3" xfId="6594" xr:uid="{00000000-0005-0000-0000-0000BB0F0000}"/>
    <cellStyle name="Comma 20 3 4 3 2" xfId="17491" xr:uid="{00000000-0005-0000-0000-0000BC0F0000}"/>
    <cellStyle name="Comma 20 3 4 4" xfId="12574" xr:uid="{00000000-0005-0000-0000-0000BD0F0000}"/>
    <cellStyle name="Comma 20 3 5" xfId="2767" xr:uid="{00000000-0005-0000-0000-0000BE0F0000}"/>
    <cellStyle name="Comma 20 3 5 2" xfId="7718" xr:uid="{00000000-0005-0000-0000-0000BF0F0000}"/>
    <cellStyle name="Comma 20 3 5 2 2" xfId="18615" xr:uid="{00000000-0005-0000-0000-0000C00F0000}"/>
    <cellStyle name="Comma 20 3 5 3" xfId="13664" xr:uid="{00000000-0005-0000-0000-0000C10F0000}"/>
    <cellStyle name="Comma 20 3 6" xfId="5406" xr:uid="{00000000-0005-0000-0000-0000C20F0000}"/>
    <cellStyle name="Comma 20 3 6 2" xfId="16303" xr:uid="{00000000-0005-0000-0000-0000C30F0000}"/>
    <cellStyle name="Comma 20 3 7" xfId="11408" xr:uid="{00000000-0005-0000-0000-0000C40F0000}"/>
    <cellStyle name="Comma 20 4" xfId="573" xr:uid="{00000000-0005-0000-0000-0000C50F0000}"/>
    <cellStyle name="Comma 20 4 2" xfId="1105" xr:uid="{00000000-0005-0000-0000-0000C60F0000}"/>
    <cellStyle name="Comma 20 4 2 2" xfId="2262" xr:uid="{00000000-0005-0000-0000-0000C70F0000}"/>
    <cellStyle name="Comma 20 4 2 2 2" xfId="4574" xr:uid="{00000000-0005-0000-0000-0000C80F0000}"/>
    <cellStyle name="Comma 20 4 2 2 2 2" xfId="9525" xr:uid="{00000000-0005-0000-0000-0000C90F0000}"/>
    <cellStyle name="Comma 20 4 2 2 2 2 2" xfId="20422" xr:uid="{00000000-0005-0000-0000-0000CA0F0000}"/>
    <cellStyle name="Comma 20 4 2 2 2 3" xfId="15471" xr:uid="{00000000-0005-0000-0000-0000CB0F0000}"/>
    <cellStyle name="Comma 20 4 2 2 3" xfId="7213" xr:uid="{00000000-0005-0000-0000-0000CC0F0000}"/>
    <cellStyle name="Comma 20 4 2 2 3 2" xfId="18110" xr:uid="{00000000-0005-0000-0000-0000CD0F0000}"/>
    <cellStyle name="Comma 20 4 2 2 4" xfId="13177" xr:uid="{00000000-0005-0000-0000-0000CE0F0000}"/>
    <cellStyle name="Comma 20 4 2 3" xfId="3429" xr:uid="{00000000-0005-0000-0000-0000CF0F0000}"/>
    <cellStyle name="Comma 20 4 2 3 2" xfId="8380" xr:uid="{00000000-0005-0000-0000-0000D00F0000}"/>
    <cellStyle name="Comma 20 4 2 3 2 2" xfId="19277" xr:uid="{00000000-0005-0000-0000-0000D10F0000}"/>
    <cellStyle name="Comma 20 4 2 3 3" xfId="14326" xr:uid="{00000000-0005-0000-0000-0000D20F0000}"/>
    <cellStyle name="Comma 20 4 2 4" xfId="6068" xr:uid="{00000000-0005-0000-0000-0000D30F0000}"/>
    <cellStyle name="Comma 20 4 2 4 2" xfId="16965" xr:uid="{00000000-0005-0000-0000-0000D40F0000}"/>
    <cellStyle name="Comma 20 4 2 5" xfId="12059" xr:uid="{00000000-0005-0000-0000-0000D50F0000}"/>
    <cellStyle name="Comma 20 4 3" xfId="1758" xr:uid="{00000000-0005-0000-0000-0000D60F0000}"/>
    <cellStyle name="Comma 20 4 3 2" xfId="4070" xr:uid="{00000000-0005-0000-0000-0000D70F0000}"/>
    <cellStyle name="Comma 20 4 3 2 2" xfId="9021" xr:uid="{00000000-0005-0000-0000-0000D80F0000}"/>
    <cellStyle name="Comma 20 4 3 2 2 2" xfId="19918" xr:uid="{00000000-0005-0000-0000-0000D90F0000}"/>
    <cellStyle name="Comma 20 4 3 2 3" xfId="14967" xr:uid="{00000000-0005-0000-0000-0000DA0F0000}"/>
    <cellStyle name="Comma 20 4 3 3" xfId="6709" xr:uid="{00000000-0005-0000-0000-0000DB0F0000}"/>
    <cellStyle name="Comma 20 4 3 3 2" xfId="17606" xr:uid="{00000000-0005-0000-0000-0000DC0F0000}"/>
    <cellStyle name="Comma 20 4 3 4" xfId="12687" xr:uid="{00000000-0005-0000-0000-0000DD0F0000}"/>
    <cellStyle name="Comma 20 4 4" xfId="2897" xr:uid="{00000000-0005-0000-0000-0000DE0F0000}"/>
    <cellStyle name="Comma 20 4 4 2" xfId="7848" xr:uid="{00000000-0005-0000-0000-0000DF0F0000}"/>
    <cellStyle name="Comma 20 4 4 2 2" xfId="18745" xr:uid="{00000000-0005-0000-0000-0000E00F0000}"/>
    <cellStyle name="Comma 20 4 4 3" xfId="13794" xr:uid="{00000000-0005-0000-0000-0000E10F0000}"/>
    <cellStyle name="Comma 20 4 5" xfId="5536" xr:uid="{00000000-0005-0000-0000-0000E20F0000}"/>
    <cellStyle name="Comma 20 4 5 2" xfId="16433" xr:uid="{00000000-0005-0000-0000-0000E30F0000}"/>
    <cellStyle name="Comma 20 4 6" xfId="11538" xr:uid="{00000000-0005-0000-0000-0000E40F0000}"/>
    <cellStyle name="Comma 20 5" xfId="840" xr:uid="{00000000-0005-0000-0000-0000E50F0000}"/>
    <cellStyle name="Comma 20 5 2" xfId="1997" xr:uid="{00000000-0005-0000-0000-0000E60F0000}"/>
    <cellStyle name="Comma 20 5 2 2" xfId="4309" xr:uid="{00000000-0005-0000-0000-0000E70F0000}"/>
    <cellStyle name="Comma 20 5 2 2 2" xfId="9260" xr:uid="{00000000-0005-0000-0000-0000E80F0000}"/>
    <cellStyle name="Comma 20 5 2 2 2 2" xfId="20157" xr:uid="{00000000-0005-0000-0000-0000E90F0000}"/>
    <cellStyle name="Comma 20 5 2 2 3" xfId="15206" xr:uid="{00000000-0005-0000-0000-0000EA0F0000}"/>
    <cellStyle name="Comma 20 5 2 3" xfId="6948" xr:uid="{00000000-0005-0000-0000-0000EB0F0000}"/>
    <cellStyle name="Comma 20 5 2 3 2" xfId="17845" xr:uid="{00000000-0005-0000-0000-0000EC0F0000}"/>
    <cellStyle name="Comma 20 5 2 4" xfId="12919" xr:uid="{00000000-0005-0000-0000-0000ED0F0000}"/>
    <cellStyle name="Comma 20 5 3" xfId="3164" xr:uid="{00000000-0005-0000-0000-0000EE0F0000}"/>
    <cellStyle name="Comma 20 5 3 2" xfId="8115" xr:uid="{00000000-0005-0000-0000-0000EF0F0000}"/>
    <cellStyle name="Comma 20 5 3 2 2" xfId="19012" xr:uid="{00000000-0005-0000-0000-0000F00F0000}"/>
    <cellStyle name="Comma 20 5 3 3" xfId="14061" xr:uid="{00000000-0005-0000-0000-0000F10F0000}"/>
    <cellStyle name="Comma 20 5 4" xfId="5803" xr:uid="{00000000-0005-0000-0000-0000F20F0000}"/>
    <cellStyle name="Comma 20 5 4 2" xfId="16700" xr:uid="{00000000-0005-0000-0000-0000F30F0000}"/>
    <cellStyle name="Comma 20 5 5" xfId="11801" xr:uid="{00000000-0005-0000-0000-0000F40F0000}"/>
    <cellStyle name="Comma 20 6" xfId="1525" xr:uid="{00000000-0005-0000-0000-0000F50F0000}"/>
    <cellStyle name="Comma 20 6 2" xfId="3837" xr:uid="{00000000-0005-0000-0000-0000F60F0000}"/>
    <cellStyle name="Comma 20 6 2 2" xfId="8788" xr:uid="{00000000-0005-0000-0000-0000F70F0000}"/>
    <cellStyle name="Comma 20 6 2 2 2" xfId="19685" xr:uid="{00000000-0005-0000-0000-0000F80F0000}"/>
    <cellStyle name="Comma 20 6 2 3" xfId="14734" xr:uid="{00000000-0005-0000-0000-0000F90F0000}"/>
    <cellStyle name="Comma 20 6 3" xfId="6476" xr:uid="{00000000-0005-0000-0000-0000FA0F0000}"/>
    <cellStyle name="Comma 20 6 3 2" xfId="17373" xr:uid="{00000000-0005-0000-0000-0000FB0F0000}"/>
    <cellStyle name="Comma 20 6 4" xfId="12460" xr:uid="{00000000-0005-0000-0000-0000FC0F0000}"/>
    <cellStyle name="Comma 20 7" xfId="2629" xr:uid="{00000000-0005-0000-0000-0000FD0F0000}"/>
    <cellStyle name="Comma 20 7 2" xfId="7580" xr:uid="{00000000-0005-0000-0000-0000FE0F0000}"/>
    <cellStyle name="Comma 20 7 2 2" xfId="18477" xr:uid="{00000000-0005-0000-0000-0000FF0F0000}"/>
    <cellStyle name="Comma 20 7 3" xfId="13526" xr:uid="{00000000-0005-0000-0000-000000100000}"/>
    <cellStyle name="Comma 20 8" xfId="5268" xr:uid="{00000000-0005-0000-0000-000001100000}"/>
    <cellStyle name="Comma 20 8 2" xfId="16165" xr:uid="{00000000-0005-0000-0000-000002100000}"/>
    <cellStyle name="Comma 20 9" xfId="11253" xr:uid="{00000000-0005-0000-0000-000003100000}"/>
    <cellStyle name="Comma 21" xfId="176" xr:uid="{00000000-0005-0000-0000-000004100000}"/>
    <cellStyle name="Comma 21 2" xfId="375" xr:uid="{00000000-0005-0000-0000-000005100000}"/>
    <cellStyle name="Comma 21 2 2" xfId="505" xr:uid="{00000000-0005-0000-0000-000006100000}"/>
    <cellStyle name="Comma 21 2 2 2" xfId="770" xr:uid="{00000000-0005-0000-0000-000007100000}"/>
    <cellStyle name="Comma 21 2 2 2 2" xfId="1302" xr:uid="{00000000-0005-0000-0000-000008100000}"/>
    <cellStyle name="Comma 21 2 2 2 2 2" xfId="2459" xr:uid="{00000000-0005-0000-0000-000009100000}"/>
    <cellStyle name="Comma 21 2 2 2 2 2 2" xfId="4771" xr:uid="{00000000-0005-0000-0000-00000A100000}"/>
    <cellStyle name="Comma 21 2 2 2 2 2 2 2" xfId="9722" xr:uid="{00000000-0005-0000-0000-00000B100000}"/>
    <cellStyle name="Comma 21 2 2 2 2 2 2 2 2" xfId="20619" xr:uid="{00000000-0005-0000-0000-00000C100000}"/>
    <cellStyle name="Comma 21 2 2 2 2 2 2 3" xfId="15668" xr:uid="{00000000-0005-0000-0000-00000D100000}"/>
    <cellStyle name="Comma 21 2 2 2 2 2 3" xfId="7410" xr:uid="{00000000-0005-0000-0000-00000E100000}"/>
    <cellStyle name="Comma 21 2 2 2 2 2 3 2" xfId="18307" xr:uid="{00000000-0005-0000-0000-00000F100000}"/>
    <cellStyle name="Comma 21 2 2 2 2 2 4" xfId="13370" xr:uid="{00000000-0005-0000-0000-000010100000}"/>
    <cellStyle name="Comma 21 2 2 2 2 3" xfId="3626" xr:uid="{00000000-0005-0000-0000-000011100000}"/>
    <cellStyle name="Comma 21 2 2 2 2 3 2" xfId="8577" xr:uid="{00000000-0005-0000-0000-000012100000}"/>
    <cellStyle name="Comma 21 2 2 2 2 3 2 2" xfId="19474" xr:uid="{00000000-0005-0000-0000-000013100000}"/>
    <cellStyle name="Comma 21 2 2 2 2 3 3" xfId="14523" xr:uid="{00000000-0005-0000-0000-000014100000}"/>
    <cellStyle name="Comma 21 2 2 2 2 4" xfId="6265" xr:uid="{00000000-0005-0000-0000-000015100000}"/>
    <cellStyle name="Comma 21 2 2 2 2 4 2" xfId="17162" xr:uid="{00000000-0005-0000-0000-000016100000}"/>
    <cellStyle name="Comma 21 2 2 2 2 5" xfId="12252" xr:uid="{00000000-0005-0000-0000-000017100000}"/>
    <cellStyle name="Comma 21 2 2 2 3" xfId="1928" xr:uid="{00000000-0005-0000-0000-000018100000}"/>
    <cellStyle name="Comma 21 2 2 2 3 2" xfId="4240" xr:uid="{00000000-0005-0000-0000-000019100000}"/>
    <cellStyle name="Comma 21 2 2 2 3 2 2" xfId="9191" xr:uid="{00000000-0005-0000-0000-00001A100000}"/>
    <cellStyle name="Comma 21 2 2 2 3 2 2 2" xfId="20088" xr:uid="{00000000-0005-0000-0000-00001B100000}"/>
    <cellStyle name="Comma 21 2 2 2 3 2 3" xfId="15137" xr:uid="{00000000-0005-0000-0000-00001C100000}"/>
    <cellStyle name="Comma 21 2 2 2 3 3" xfId="6879" xr:uid="{00000000-0005-0000-0000-00001D100000}"/>
    <cellStyle name="Comma 21 2 2 2 3 3 2" xfId="17776" xr:uid="{00000000-0005-0000-0000-00001E100000}"/>
    <cellStyle name="Comma 21 2 2 2 3 4" xfId="12852" xr:uid="{00000000-0005-0000-0000-00001F100000}"/>
    <cellStyle name="Comma 21 2 2 2 4" xfId="3094" xr:uid="{00000000-0005-0000-0000-000020100000}"/>
    <cellStyle name="Comma 21 2 2 2 4 2" xfId="8045" xr:uid="{00000000-0005-0000-0000-000021100000}"/>
    <cellStyle name="Comma 21 2 2 2 4 2 2" xfId="18942" xr:uid="{00000000-0005-0000-0000-000022100000}"/>
    <cellStyle name="Comma 21 2 2 2 4 3" xfId="13991" xr:uid="{00000000-0005-0000-0000-000023100000}"/>
    <cellStyle name="Comma 21 2 2 2 5" xfId="5733" xr:uid="{00000000-0005-0000-0000-000024100000}"/>
    <cellStyle name="Comma 21 2 2 2 5 2" xfId="16630" xr:uid="{00000000-0005-0000-0000-000025100000}"/>
    <cellStyle name="Comma 21 2 2 2 6" xfId="11731" xr:uid="{00000000-0005-0000-0000-000026100000}"/>
    <cellStyle name="Comma 21 2 2 3" xfId="1037" xr:uid="{00000000-0005-0000-0000-000027100000}"/>
    <cellStyle name="Comma 21 2 2 3 2" xfId="2194" xr:uid="{00000000-0005-0000-0000-000028100000}"/>
    <cellStyle name="Comma 21 2 2 3 2 2" xfId="4506" xr:uid="{00000000-0005-0000-0000-000029100000}"/>
    <cellStyle name="Comma 21 2 2 3 2 2 2" xfId="9457" xr:uid="{00000000-0005-0000-0000-00002A100000}"/>
    <cellStyle name="Comma 21 2 2 3 2 2 2 2" xfId="20354" xr:uid="{00000000-0005-0000-0000-00002B100000}"/>
    <cellStyle name="Comma 21 2 2 3 2 2 3" xfId="15403" xr:uid="{00000000-0005-0000-0000-00002C100000}"/>
    <cellStyle name="Comma 21 2 2 3 2 3" xfId="7145" xr:uid="{00000000-0005-0000-0000-00002D100000}"/>
    <cellStyle name="Comma 21 2 2 3 2 3 2" xfId="18042" xr:uid="{00000000-0005-0000-0000-00002E100000}"/>
    <cellStyle name="Comma 21 2 2 3 2 4" xfId="13111" xr:uid="{00000000-0005-0000-0000-00002F100000}"/>
    <cellStyle name="Comma 21 2 2 3 3" xfId="3361" xr:uid="{00000000-0005-0000-0000-000030100000}"/>
    <cellStyle name="Comma 21 2 2 3 3 2" xfId="8312" xr:uid="{00000000-0005-0000-0000-000031100000}"/>
    <cellStyle name="Comma 21 2 2 3 3 2 2" xfId="19209" xr:uid="{00000000-0005-0000-0000-000032100000}"/>
    <cellStyle name="Comma 21 2 2 3 3 3" xfId="14258" xr:uid="{00000000-0005-0000-0000-000033100000}"/>
    <cellStyle name="Comma 21 2 2 3 4" xfId="6000" xr:uid="{00000000-0005-0000-0000-000034100000}"/>
    <cellStyle name="Comma 21 2 2 3 4 2" xfId="16897" xr:uid="{00000000-0005-0000-0000-000035100000}"/>
    <cellStyle name="Comma 21 2 2 3 5" xfId="11993" xr:uid="{00000000-0005-0000-0000-000036100000}"/>
    <cellStyle name="Comma 21 2 2 4" xfId="1695" xr:uid="{00000000-0005-0000-0000-000037100000}"/>
    <cellStyle name="Comma 21 2 2 4 2" xfId="4007" xr:uid="{00000000-0005-0000-0000-000038100000}"/>
    <cellStyle name="Comma 21 2 2 4 2 2" xfId="8958" xr:uid="{00000000-0005-0000-0000-000039100000}"/>
    <cellStyle name="Comma 21 2 2 4 2 2 2" xfId="19855" xr:uid="{00000000-0005-0000-0000-00003A100000}"/>
    <cellStyle name="Comma 21 2 2 4 2 3" xfId="14904" xr:uid="{00000000-0005-0000-0000-00003B100000}"/>
    <cellStyle name="Comma 21 2 2 4 3" xfId="6646" xr:uid="{00000000-0005-0000-0000-00003C100000}"/>
    <cellStyle name="Comma 21 2 2 4 3 2" xfId="17543" xr:uid="{00000000-0005-0000-0000-00003D100000}"/>
    <cellStyle name="Comma 21 2 2 4 4" xfId="12626" xr:uid="{00000000-0005-0000-0000-00003E100000}"/>
    <cellStyle name="Comma 21 2 2 5" xfId="2829" xr:uid="{00000000-0005-0000-0000-00003F100000}"/>
    <cellStyle name="Comma 21 2 2 5 2" xfId="7780" xr:uid="{00000000-0005-0000-0000-000040100000}"/>
    <cellStyle name="Comma 21 2 2 5 2 2" xfId="18677" xr:uid="{00000000-0005-0000-0000-000041100000}"/>
    <cellStyle name="Comma 21 2 2 5 3" xfId="13726" xr:uid="{00000000-0005-0000-0000-000042100000}"/>
    <cellStyle name="Comma 21 2 2 6" xfId="5468" xr:uid="{00000000-0005-0000-0000-000043100000}"/>
    <cellStyle name="Comma 21 2 2 6 2" xfId="16365" xr:uid="{00000000-0005-0000-0000-000044100000}"/>
    <cellStyle name="Comma 21 2 2 7" xfId="11470" xr:uid="{00000000-0005-0000-0000-000045100000}"/>
    <cellStyle name="Comma 21 2 3" xfId="641" xr:uid="{00000000-0005-0000-0000-000046100000}"/>
    <cellStyle name="Comma 21 2 3 2" xfId="1173" xr:uid="{00000000-0005-0000-0000-000047100000}"/>
    <cellStyle name="Comma 21 2 3 2 2" xfId="2330" xr:uid="{00000000-0005-0000-0000-000048100000}"/>
    <cellStyle name="Comma 21 2 3 2 2 2" xfId="4642" xr:uid="{00000000-0005-0000-0000-000049100000}"/>
    <cellStyle name="Comma 21 2 3 2 2 2 2" xfId="9593" xr:uid="{00000000-0005-0000-0000-00004A100000}"/>
    <cellStyle name="Comma 21 2 3 2 2 2 2 2" xfId="20490" xr:uid="{00000000-0005-0000-0000-00004B100000}"/>
    <cellStyle name="Comma 21 2 3 2 2 2 3" xfId="15539" xr:uid="{00000000-0005-0000-0000-00004C100000}"/>
    <cellStyle name="Comma 21 2 3 2 2 3" xfId="7281" xr:uid="{00000000-0005-0000-0000-00004D100000}"/>
    <cellStyle name="Comma 21 2 3 2 2 3 2" xfId="18178" xr:uid="{00000000-0005-0000-0000-00004E100000}"/>
    <cellStyle name="Comma 21 2 3 2 2 4" xfId="13242" xr:uid="{00000000-0005-0000-0000-00004F100000}"/>
    <cellStyle name="Comma 21 2 3 2 3" xfId="3497" xr:uid="{00000000-0005-0000-0000-000050100000}"/>
    <cellStyle name="Comma 21 2 3 2 3 2" xfId="8448" xr:uid="{00000000-0005-0000-0000-000051100000}"/>
    <cellStyle name="Comma 21 2 3 2 3 2 2" xfId="19345" xr:uid="{00000000-0005-0000-0000-000052100000}"/>
    <cellStyle name="Comma 21 2 3 2 3 3" xfId="14394" xr:uid="{00000000-0005-0000-0000-000053100000}"/>
    <cellStyle name="Comma 21 2 3 2 4" xfId="6136" xr:uid="{00000000-0005-0000-0000-000054100000}"/>
    <cellStyle name="Comma 21 2 3 2 4 2" xfId="17033" xr:uid="{00000000-0005-0000-0000-000055100000}"/>
    <cellStyle name="Comma 21 2 3 2 5" xfId="12124" xr:uid="{00000000-0005-0000-0000-000056100000}"/>
    <cellStyle name="Comma 21 2 3 3" xfId="1814" xr:uid="{00000000-0005-0000-0000-000057100000}"/>
    <cellStyle name="Comma 21 2 3 3 2" xfId="4126" xr:uid="{00000000-0005-0000-0000-000058100000}"/>
    <cellStyle name="Comma 21 2 3 3 2 2" xfId="9077" xr:uid="{00000000-0005-0000-0000-000059100000}"/>
    <cellStyle name="Comma 21 2 3 3 2 2 2" xfId="19974" xr:uid="{00000000-0005-0000-0000-00005A100000}"/>
    <cellStyle name="Comma 21 2 3 3 2 3" xfId="15023" xr:uid="{00000000-0005-0000-0000-00005B100000}"/>
    <cellStyle name="Comma 21 2 3 3 3" xfId="6765" xr:uid="{00000000-0005-0000-0000-00005C100000}"/>
    <cellStyle name="Comma 21 2 3 3 3 2" xfId="17662" xr:uid="{00000000-0005-0000-0000-00005D100000}"/>
    <cellStyle name="Comma 21 2 3 3 4" xfId="12739" xr:uid="{00000000-0005-0000-0000-00005E100000}"/>
    <cellStyle name="Comma 21 2 3 4" xfId="2965" xr:uid="{00000000-0005-0000-0000-00005F100000}"/>
    <cellStyle name="Comma 21 2 3 4 2" xfId="7916" xr:uid="{00000000-0005-0000-0000-000060100000}"/>
    <cellStyle name="Comma 21 2 3 4 2 2" xfId="18813" xr:uid="{00000000-0005-0000-0000-000061100000}"/>
    <cellStyle name="Comma 21 2 3 4 3" xfId="13862" xr:uid="{00000000-0005-0000-0000-000062100000}"/>
    <cellStyle name="Comma 21 2 3 5" xfId="5604" xr:uid="{00000000-0005-0000-0000-000063100000}"/>
    <cellStyle name="Comma 21 2 3 5 2" xfId="16501" xr:uid="{00000000-0005-0000-0000-000064100000}"/>
    <cellStyle name="Comma 21 2 3 6" xfId="11603" xr:uid="{00000000-0005-0000-0000-000065100000}"/>
    <cellStyle name="Comma 21 2 4" xfId="908" xr:uid="{00000000-0005-0000-0000-000066100000}"/>
    <cellStyle name="Comma 21 2 4 2" xfId="2065" xr:uid="{00000000-0005-0000-0000-000067100000}"/>
    <cellStyle name="Comma 21 2 4 2 2" xfId="4377" xr:uid="{00000000-0005-0000-0000-000068100000}"/>
    <cellStyle name="Comma 21 2 4 2 2 2" xfId="9328" xr:uid="{00000000-0005-0000-0000-000069100000}"/>
    <cellStyle name="Comma 21 2 4 2 2 2 2" xfId="20225" xr:uid="{00000000-0005-0000-0000-00006A100000}"/>
    <cellStyle name="Comma 21 2 4 2 2 3" xfId="15274" xr:uid="{00000000-0005-0000-0000-00006B100000}"/>
    <cellStyle name="Comma 21 2 4 2 3" xfId="7016" xr:uid="{00000000-0005-0000-0000-00006C100000}"/>
    <cellStyle name="Comma 21 2 4 2 3 2" xfId="17913" xr:uid="{00000000-0005-0000-0000-00006D100000}"/>
    <cellStyle name="Comma 21 2 4 2 4" xfId="12983" xr:uid="{00000000-0005-0000-0000-00006E100000}"/>
    <cellStyle name="Comma 21 2 4 3" xfId="3232" xr:uid="{00000000-0005-0000-0000-00006F100000}"/>
    <cellStyle name="Comma 21 2 4 3 2" xfId="8183" xr:uid="{00000000-0005-0000-0000-000070100000}"/>
    <cellStyle name="Comma 21 2 4 3 2 2" xfId="19080" xr:uid="{00000000-0005-0000-0000-000071100000}"/>
    <cellStyle name="Comma 21 2 4 3 3" xfId="14129" xr:uid="{00000000-0005-0000-0000-000072100000}"/>
    <cellStyle name="Comma 21 2 4 4" xfId="5871" xr:uid="{00000000-0005-0000-0000-000073100000}"/>
    <cellStyle name="Comma 21 2 4 4 2" xfId="16768" xr:uid="{00000000-0005-0000-0000-000074100000}"/>
    <cellStyle name="Comma 21 2 4 5" xfId="11865" xr:uid="{00000000-0005-0000-0000-000075100000}"/>
    <cellStyle name="Comma 21 2 5" xfId="1581" xr:uid="{00000000-0005-0000-0000-000076100000}"/>
    <cellStyle name="Comma 21 2 5 2" xfId="3893" xr:uid="{00000000-0005-0000-0000-000077100000}"/>
    <cellStyle name="Comma 21 2 5 2 2" xfId="8844" xr:uid="{00000000-0005-0000-0000-000078100000}"/>
    <cellStyle name="Comma 21 2 5 2 2 2" xfId="19741" xr:uid="{00000000-0005-0000-0000-000079100000}"/>
    <cellStyle name="Comma 21 2 5 2 3" xfId="14790" xr:uid="{00000000-0005-0000-0000-00007A100000}"/>
    <cellStyle name="Comma 21 2 5 3" xfId="6532" xr:uid="{00000000-0005-0000-0000-00007B100000}"/>
    <cellStyle name="Comma 21 2 5 3 2" xfId="17429" xr:uid="{00000000-0005-0000-0000-00007C100000}"/>
    <cellStyle name="Comma 21 2 5 4" xfId="12513" xr:uid="{00000000-0005-0000-0000-00007D100000}"/>
    <cellStyle name="Comma 21 2 6" xfId="2700" xr:uid="{00000000-0005-0000-0000-00007E100000}"/>
    <cellStyle name="Comma 21 2 6 2" xfId="7651" xr:uid="{00000000-0005-0000-0000-00007F100000}"/>
    <cellStyle name="Comma 21 2 6 2 2" xfId="18548" xr:uid="{00000000-0005-0000-0000-000080100000}"/>
    <cellStyle name="Comma 21 2 6 3" xfId="13597" xr:uid="{00000000-0005-0000-0000-000081100000}"/>
    <cellStyle name="Comma 21 2 7" xfId="5339" xr:uid="{00000000-0005-0000-0000-000082100000}"/>
    <cellStyle name="Comma 21 2 7 2" xfId="16236" xr:uid="{00000000-0005-0000-0000-000083100000}"/>
    <cellStyle name="Comma 21 2 8" xfId="11342" xr:uid="{00000000-0005-0000-0000-000084100000}"/>
    <cellStyle name="Comma 21 3" xfId="444" xr:uid="{00000000-0005-0000-0000-000085100000}"/>
    <cellStyle name="Comma 21 3 2" xfId="709" xr:uid="{00000000-0005-0000-0000-000086100000}"/>
    <cellStyle name="Comma 21 3 2 2" xfId="1241" xr:uid="{00000000-0005-0000-0000-000087100000}"/>
    <cellStyle name="Comma 21 3 2 2 2" xfId="2398" xr:uid="{00000000-0005-0000-0000-000088100000}"/>
    <cellStyle name="Comma 21 3 2 2 2 2" xfId="4710" xr:uid="{00000000-0005-0000-0000-000089100000}"/>
    <cellStyle name="Comma 21 3 2 2 2 2 2" xfId="9661" xr:uid="{00000000-0005-0000-0000-00008A100000}"/>
    <cellStyle name="Comma 21 3 2 2 2 2 2 2" xfId="20558" xr:uid="{00000000-0005-0000-0000-00008B100000}"/>
    <cellStyle name="Comma 21 3 2 2 2 2 3" xfId="15607" xr:uid="{00000000-0005-0000-0000-00008C100000}"/>
    <cellStyle name="Comma 21 3 2 2 2 3" xfId="7349" xr:uid="{00000000-0005-0000-0000-00008D100000}"/>
    <cellStyle name="Comma 21 3 2 2 2 3 2" xfId="18246" xr:uid="{00000000-0005-0000-0000-00008E100000}"/>
    <cellStyle name="Comma 21 3 2 2 2 4" xfId="13309" xr:uid="{00000000-0005-0000-0000-00008F100000}"/>
    <cellStyle name="Comma 21 3 2 2 3" xfId="3565" xr:uid="{00000000-0005-0000-0000-000090100000}"/>
    <cellStyle name="Comma 21 3 2 2 3 2" xfId="8516" xr:uid="{00000000-0005-0000-0000-000091100000}"/>
    <cellStyle name="Comma 21 3 2 2 3 2 2" xfId="19413" xr:uid="{00000000-0005-0000-0000-000092100000}"/>
    <cellStyle name="Comma 21 3 2 2 3 3" xfId="14462" xr:uid="{00000000-0005-0000-0000-000093100000}"/>
    <cellStyle name="Comma 21 3 2 2 4" xfId="6204" xr:uid="{00000000-0005-0000-0000-000094100000}"/>
    <cellStyle name="Comma 21 3 2 2 4 2" xfId="17101" xr:uid="{00000000-0005-0000-0000-000095100000}"/>
    <cellStyle name="Comma 21 3 2 2 5" xfId="12191" xr:uid="{00000000-0005-0000-0000-000096100000}"/>
    <cellStyle name="Comma 21 3 2 3" xfId="1877" xr:uid="{00000000-0005-0000-0000-000097100000}"/>
    <cellStyle name="Comma 21 3 2 3 2" xfId="4189" xr:uid="{00000000-0005-0000-0000-000098100000}"/>
    <cellStyle name="Comma 21 3 2 3 2 2" xfId="9140" xr:uid="{00000000-0005-0000-0000-000099100000}"/>
    <cellStyle name="Comma 21 3 2 3 2 2 2" xfId="20037" xr:uid="{00000000-0005-0000-0000-00009A100000}"/>
    <cellStyle name="Comma 21 3 2 3 2 3" xfId="15086" xr:uid="{00000000-0005-0000-0000-00009B100000}"/>
    <cellStyle name="Comma 21 3 2 3 3" xfId="6828" xr:uid="{00000000-0005-0000-0000-00009C100000}"/>
    <cellStyle name="Comma 21 3 2 3 3 2" xfId="17725" xr:uid="{00000000-0005-0000-0000-00009D100000}"/>
    <cellStyle name="Comma 21 3 2 3 4" xfId="12801" xr:uid="{00000000-0005-0000-0000-00009E100000}"/>
    <cellStyle name="Comma 21 3 2 4" xfId="3033" xr:uid="{00000000-0005-0000-0000-00009F100000}"/>
    <cellStyle name="Comma 21 3 2 4 2" xfId="7984" xr:uid="{00000000-0005-0000-0000-0000A0100000}"/>
    <cellStyle name="Comma 21 3 2 4 2 2" xfId="18881" xr:uid="{00000000-0005-0000-0000-0000A1100000}"/>
    <cellStyle name="Comma 21 3 2 4 3" xfId="13930" xr:uid="{00000000-0005-0000-0000-0000A2100000}"/>
    <cellStyle name="Comma 21 3 2 5" xfId="5672" xr:uid="{00000000-0005-0000-0000-0000A3100000}"/>
    <cellStyle name="Comma 21 3 2 5 2" xfId="16569" xr:uid="{00000000-0005-0000-0000-0000A4100000}"/>
    <cellStyle name="Comma 21 3 2 6" xfId="11670" xr:uid="{00000000-0005-0000-0000-0000A5100000}"/>
    <cellStyle name="Comma 21 3 3" xfId="976" xr:uid="{00000000-0005-0000-0000-0000A6100000}"/>
    <cellStyle name="Comma 21 3 3 2" xfId="2133" xr:uid="{00000000-0005-0000-0000-0000A7100000}"/>
    <cellStyle name="Comma 21 3 3 2 2" xfId="4445" xr:uid="{00000000-0005-0000-0000-0000A8100000}"/>
    <cellStyle name="Comma 21 3 3 2 2 2" xfId="9396" xr:uid="{00000000-0005-0000-0000-0000A9100000}"/>
    <cellStyle name="Comma 21 3 3 2 2 2 2" xfId="20293" xr:uid="{00000000-0005-0000-0000-0000AA100000}"/>
    <cellStyle name="Comma 21 3 3 2 2 3" xfId="15342" xr:uid="{00000000-0005-0000-0000-0000AB100000}"/>
    <cellStyle name="Comma 21 3 3 2 3" xfId="7084" xr:uid="{00000000-0005-0000-0000-0000AC100000}"/>
    <cellStyle name="Comma 21 3 3 2 3 2" xfId="17981" xr:uid="{00000000-0005-0000-0000-0000AD100000}"/>
    <cellStyle name="Comma 21 3 3 2 4" xfId="13050" xr:uid="{00000000-0005-0000-0000-0000AE100000}"/>
    <cellStyle name="Comma 21 3 3 3" xfId="3300" xr:uid="{00000000-0005-0000-0000-0000AF100000}"/>
    <cellStyle name="Comma 21 3 3 3 2" xfId="8251" xr:uid="{00000000-0005-0000-0000-0000B0100000}"/>
    <cellStyle name="Comma 21 3 3 3 2 2" xfId="19148" xr:uid="{00000000-0005-0000-0000-0000B1100000}"/>
    <cellStyle name="Comma 21 3 3 3 3" xfId="14197" xr:uid="{00000000-0005-0000-0000-0000B2100000}"/>
    <cellStyle name="Comma 21 3 3 4" xfId="5939" xr:uid="{00000000-0005-0000-0000-0000B3100000}"/>
    <cellStyle name="Comma 21 3 3 4 2" xfId="16836" xr:uid="{00000000-0005-0000-0000-0000B4100000}"/>
    <cellStyle name="Comma 21 3 3 5" xfId="11932" xr:uid="{00000000-0005-0000-0000-0000B5100000}"/>
    <cellStyle name="Comma 21 3 4" xfId="1644" xr:uid="{00000000-0005-0000-0000-0000B6100000}"/>
    <cellStyle name="Comma 21 3 4 2" xfId="3956" xr:uid="{00000000-0005-0000-0000-0000B7100000}"/>
    <cellStyle name="Comma 21 3 4 2 2" xfId="8907" xr:uid="{00000000-0005-0000-0000-0000B8100000}"/>
    <cellStyle name="Comma 21 3 4 2 2 2" xfId="19804" xr:uid="{00000000-0005-0000-0000-0000B9100000}"/>
    <cellStyle name="Comma 21 3 4 2 3" xfId="14853" xr:uid="{00000000-0005-0000-0000-0000BA100000}"/>
    <cellStyle name="Comma 21 3 4 3" xfId="6595" xr:uid="{00000000-0005-0000-0000-0000BB100000}"/>
    <cellStyle name="Comma 21 3 4 3 2" xfId="17492" xr:uid="{00000000-0005-0000-0000-0000BC100000}"/>
    <cellStyle name="Comma 21 3 4 4" xfId="12575" xr:uid="{00000000-0005-0000-0000-0000BD100000}"/>
    <cellStyle name="Comma 21 3 5" xfId="2768" xr:uid="{00000000-0005-0000-0000-0000BE100000}"/>
    <cellStyle name="Comma 21 3 5 2" xfId="7719" xr:uid="{00000000-0005-0000-0000-0000BF100000}"/>
    <cellStyle name="Comma 21 3 5 2 2" xfId="18616" xr:uid="{00000000-0005-0000-0000-0000C0100000}"/>
    <cellStyle name="Comma 21 3 5 3" xfId="13665" xr:uid="{00000000-0005-0000-0000-0000C1100000}"/>
    <cellStyle name="Comma 21 3 6" xfId="5407" xr:uid="{00000000-0005-0000-0000-0000C2100000}"/>
    <cellStyle name="Comma 21 3 6 2" xfId="16304" xr:uid="{00000000-0005-0000-0000-0000C3100000}"/>
    <cellStyle name="Comma 21 3 7" xfId="11409" xr:uid="{00000000-0005-0000-0000-0000C4100000}"/>
    <cellStyle name="Comma 21 4" xfId="574" xr:uid="{00000000-0005-0000-0000-0000C5100000}"/>
    <cellStyle name="Comma 21 4 2" xfId="1106" xr:uid="{00000000-0005-0000-0000-0000C6100000}"/>
    <cellStyle name="Comma 21 4 2 2" xfId="2263" xr:uid="{00000000-0005-0000-0000-0000C7100000}"/>
    <cellStyle name="Comma 21 4 2 2 2" xfId="4575" xr:uid="{00000000-0005-0000-0000-0000C8100000}"/>
    <cellStyle name="Comma 21 4 2 2 2 2" xfId="9526" xr:uid="{00000000-0005-0000-0000-0000C9100000}"/>
    <cellStyle name="Comma 21 4 2 2 2 2 2" xfId="20423" xr:uid="{00000000-0005-0000-0000-0000CA100000}"/>
    <cellStyle name="Comma 21 4 2 2 2 3" xfId="15472" xr:uid="{00000000-0005-0000-0000-0000CB100000}"/>
    <cellStyle name="Comma 21 4 2 2 3" xfId="7214" xr:uid="{00000000-0005-0000-0000-0000CC100000}"/>
    <cellStyle name="Comma 21 4 2 2 3 2" xfId="18111" xr:uid="{00000000-0005-0000-0000-0000CD100000}"/>
    <cellStyle name="Comma 21 4 2 2 4" xfId="13178" xr:uid="{00000000-0005-0000-0000-0000CE100000}"/>
    <cellStyle name="Comma 21 4 2 3" xfId="3430" xr:uid="{00000000-0005-0000-0000-0000CF100000}"/>
    <cellStyle name="Comma 21 4 2 3 2" xfId="8381" xr:uid="{00000000-0005-0000-0000-0000D0100000}"/>
    <cellStyle name="Comma 21 4 2 3 2 2" xfId="19278" xr:uid="{00000000-0005-0000-0000-0000D1100000}"/>
    <cellStyle name="Comma 21 4 2 3 3" xfId="14327" xr:uid="{00000000-0005-0000-0000-0000D2100000}"/>
    <cellStyle name="Comma 21 4 2 4" xfId="6069" xr:uid="{00000000-0005-0000-0000-0000D3100000}"/>
    <cellStyle name="Comma 21 4 2 4 2" xfId="16966" xr:uid="{00000000-0005-0000-0000-0000D4100000}"/>
    <cellStyle name="Comma 21 4 2 5" xfId="12060" xr:uid="{00000000-0005-0000-0000-0000D5100000}"/>
    <cellStyle name="Comma 21 4 3" xfId="1759" xr:uid="{00000000-0005-0000-0000-0000D6100000}"/>
    <cellStyle name="Comma 21 4 3 2" xfId="4071" xr:uid="{00000000-0005-0000-0000-0000D7100000}"/>
    <cellStyle name="Comma 21 4 3 2 2" xfId="9022" xr:uid="{00000000-0005-0000-0000-0000D8100000}"/>
    <cellStyle name="Comma 21 4 3 2 2 2" xfId="19919" xr:uid="{00000000-0005-0000-0000-0000D9100000}"/>
    <cellStyle name="Comma 21 4 3 2 3" xfId="14968" xr:uid="{00000000-0005-0000-0000-0000DA100000}"/>
    <cellStyle name="Comma 21 4 3 3" xfId="6710" xr:uid="{00000000-0005-0000-0000-0000DB100000}"/>
    <cellStyle name="Comma 21 4 3 3 2" xfId="17607" xr:uid="{00000000-0005-0000-0000-0000DC100000}"/>
    <cellStyle name="Comma 21 4 3 4" xfId="12688" xr:uid="{00000000-0005-0000-0000-0000DD100000}"/>
    <cellStyle name="Comma 21 4 4" xfId="2898" xr:uid="{00000000-0005-0000-0000-0000DE100000}"/>
    <cellStyle name="Comma 21 4 4 2" xfId="7849" xr:uid="{00000000-0005-0000-0000-0000DF100000}"/>
    <cellStyle name="Comma 21 4 4 2 2" xfId="18746" xr:uid="{00000000-0005-0000-0000-0000E0100000}"/>
    <cellStyle name="Comma 21 4 4 3" xfId="13795" xr:uid="{00000000-0005-0000-0000-0000E1100000}"/>
    <cellStyle name="Comma 21 4 5" xfId="5537" xr:uid="{00000000-0005-0000-0000-0000E2100000}"/>
    <cellStyle name="Comma 21 4 5 2" xfId="16434" xr:uid="{00000000-0005-0000-0000-0000E3100000}"/>
    <cellStyle name="Comma 21 4 6" xfId="11539" xr:uid="{00000000-0005-0000-0000-0000E4100000}"/>
    <cellStyle name="Comma 21 5" xfId="841" xr:uid="{00000000-0005-0000-0000-0000E5100000}"/>
    <cellStyle name="Comma 21 5 2" xfId="1998" xr:uid="{00000000-0005-0000-0000-0000E6100000}"/>
    <cellStyle name="Comma 21 5 2 2" xfId="4310" xr:uid="{00000000-0005-0000-0000-0000E7100000}"/>
    <cellStyle name="Comma 21 5 2 2 2" xfId="9261" xr:uid="{00000000-0005-0000-0000-0000E8100000}"/>
    <cellStyle name="Comma 21 5 2 2 2 2" xfId="20158" xr:uid="{00000000-0005-0000-0000-0000E9100000}"/>
    <cellStyle name="Comma 21 5 2 2 3" xfId="15207" xr:uid="{00000000-0005-0000-0000-0000EA100000}"/>
    <cellStyle name="Comma 21 5 2 3" xfId="6949" xr:uid="{00000000-0005-0000-0000-0000EB100000}"/>
    <cellStyle name="Comma 21 5 2 3 2" xfId="17846" xr:uid="{00000000-0005-0000-0000-0000EC100000}"/>
    <cellStyle name="Comma 21 5 2 4" xfId="12920" xr:uid="{00000000-0005-0000-0000-0000ED100000}"/>
    <cellStyle name="Comma 21 5 3" xfId="3165" xr:uid="{00000000-0005-0000-0000-0000EE100000}"/>
    <cellStyle name="Comma 21 5 3 2" xfId="8116" xr:uid="{00000000-0005-0000-0000-0000EF100000}"/>
    <cellStyle name="Comma 21 5 3 2 2" xfId="19013" xr:uid="{00000000-0005-0000-0000-0000F0100000}"/>
    <cellStyle name="Comma 21 5 3 3" xfId="14062" xr:uid="{00000000-0005-0000-0000-0000F1100000}"/>
    <cellStyle name="Comma 21 5 4" xfId="5804" xr:uid="{00000000-0005-0000-0000-0000F2100000}"/>
    <cellStyle name="Comma 21 5 4 2" xfId="16701" xr:uid="{00000000-0005-0000-0000-0000F3100000}"/>
    <cellStyle name="Comma 21 5 5" xfId="11802" xr:uid="{00000000-0005-0000-0000-0000F4100000}"/>
    <cellStyle name="Comma 21 6" xfId="1526" xr:uid="{00000000-0005-0000-0000-0000F5100000}"/>
    <cellStyle name="Comma 21 6 2" xfId="3838" xr:uid="{00000000-0005-0000-0000-0000F6100000}"/>
    <cellStyle name="Comma 21 6 2 2" xfId="8789" xr:uid="{00000000-0005-0000-0000-0000F7100000}"/>
    <cellStyle name="Comma 21 6 2 2 2" xfId="19686" xr:uid="{00000000-0005-0000-0000-0000F8100000}"/>
    <cellStyle name="Comma 21 6 2 3" xfId="14735" xr:uid="{00000000-0005-0000-0000-0000F9100000}"/>
    <cellStyle name="Comma 21 6 3" xfId="6477" xr:uid="{00000000-0005-0000-0000-0000FA100000}"/>
    <cellStyle name="Comma 21 6 3 2" xfId="17374" xr:uid="{00000000-0005-0000-0000-0000FB100000}"/>
    <cellStyle name="Comma 21 6 4" xfId="12461" xr:uid="{00000000-0005-0000-0000-0000FC100000}"/>
    <cellStyle name="Comma 21 7" xfId="2630" xr:uid="{00000000-0005-0000-0000-0000FD100000}"/>
    <cellStyle name="Comma 21 7 2" xfId="7581" xr:uid="{00000000-0005-0000-0000-0000FE100000}"/>
    <cellStyle name="Comma 21 7 2 2" xfId="18478" xr:uid="{00000000-0005-0000-0000-0000FF100000}"/>
    <cellStyle name="Comma 21 7 3" xfId="13527" xr:uid="{00000000-0005-0000-0000-000000110000}"/>
    <cellStyle name="Comma 21 8" xfId="5269" xr:uid="{00000000-0005-0000-0000-000001110000}"/>
    <cellStyle name="Comma 21 8 2" xfId="16166" xr:uid="{00000000-0005-0000-0000-000002110000}"/>
    <cellStyle name="Comma 21 9" xfId="11254" xr:uid="{00000000-0005-0000-0000-000003110000}"/>
    <cellStyle name="Comma 22" xfId="177" xr:uid="{00000000-0005-0000-0000-000004110000}"/>
    <cellStyle name="Comma 22 2" xfId="376" xr:uid="{00000000-0005-0000-0000-000005110000}"/>
    <cellStyle name="Comma 22 2 2" xfId="506" xr:uid="{00000000-0005-0000-0000-000006110000}"/>
    <cellStyle name="Comma 22 2 2 2" xfId="771" xr:uid="{00000000-0005-0000-0000-000007110000}"/>
    <cellStyle name="Comma 22 2 2 2 2" xfId="1303" xr:uid="{00000000-0005-0000-0000-000008110000}"/>
    <cellStyle name="Comma 22 2 2 2 2 2" xfId="2460" xr:uid="{00000000-0005-0000-0000-000009110000}"/>
    <cellStyle name="Comma 22 2 2 2 2 2 2" xfId="4772" xr:uid="{00000000-0005-0000-0000-00000A110000}"/>
    <cellStyle name="Comma 22 2 2 2 2 2 2 2" xfId="9723" xr:uid="{00000000-0005-0000-0000-00000B110000}"/>
    <cellStyle name="Comma 22 2 2 2 2 2 2 2 2" xfId="20620" xr:uid="{00000000-0005-0000-0000-00000C110000}"/>
    <cellStyle name="Comma 22 2 2 2 2 2 2 3" xfId="15669" xr:uid="{00000000-0005-0000-0000-00000D110000}"/>
    <cellStyle name="Comma 22 2 2 2 2 2 3" xfId="7411" xr:uid="{00000000-0005-0000-0000-00000E110000}"/>
    <cellStyle name="Comma 22 2 2 2 2 2 3 2" xfId="18308" xr:uid="{00000000-0005-0000-0000-00000F110000}"/>
    <cellStyle name="Comma 22 2 2 2 2 2 4" xfId="13371" xr:uid="{00000000-0005-0000-0000-000010110000}"/>
    <cellStyle name="Comma 22 2 2 2 2 3" xfId="3627" xr:uid="{00000000-0005-0000-0000-000011110000}"/>
    <cellStyle name="Comma 22 2 2 2 2 3 2" xfId="8578" xr:uid="{00000000-0005-0000-0000-000012110000}"/>
    <cellStyle name="Comma 22 2 2 2 2 3 2 2" xfId="19475" xr:uid="{00000000-0005-0000-0000-000013110000}"/>
    <cellStyle name="Comma 22 2 2 2 2 3 3" xfId="14524" xr:uid="{00000000-0005-0000-0000-000014110000}"/>
    <cellStyle name="Comma 22 2 2 2 2 4" xfId="6266" xr:uid="{00000000-0005-0000-0000-000015110000}"/>
    <cellStyle name="Comma 22 2 2 2 2 4 2" xfId="17163" xr:uid="{00000000-0005-0000-0000-000016110000}"/>
    <cellStyle name="Comma 22 2 2 2 2 5" xfId="12253" xr:uid="{00000000-0005-0000-0000-000017110000}"/>
    <cellStyle name="Comma 22 2 2 2 3" xfId="1929" xr:uid="{00000000-0005-0000-0000-000018110000}"/>
    <cellStyle name="Comma 22 2 2 2 3 2" xfId="4241" xr:uid="{00000000-0005-0000-0000-000019110000}"/>
    <cellStyle name="Comma 22 2 2 2 3 2 2" xfId="9192" xr:uid="{00000000-0005-0000-0000-00001A110000}"/>
    <cellStyle name="Comma 22 2 2 2 3 2 2 2" xfId="20089" xr:uid="{00000000-0005-0000-0000-00001B110000}"/>
    <cellStyle name="Comma 22 2 2 2 3 2 3" xfId="15138" xr:uid="{00000000-0005-0000-0000-00001C110000}"/>
    <cellStyle name="Comma 22 2 2 2 3 3" xfId="6880" xr:uid="{00000000-0005-0000-0000-00001D110000}"/>
    <cellStyle name="Comma 22 2 2 2 3 3 2" xfId="17777" xr:uid="{00000000-0005-0000-0000-00001E110000}"/>
    <cellStyle name="Comma 22 2 2 2 3 4" xfId="12853" xr:uid="{00000000-0005-0000-0000-00001F110000}"/>
    <cellStyle name="Comma 22 2 2 2 4" xfId="3095" xr:uid="{00000000-0005-0000-0000-000020110000}"/>
    <cellStyle name="Comma 22 2 2 2 4 2" xfId="8046" xr:uid="{00000000-0005-0000-0000-000021110000}"/>
    <cellStyle name="Comma 22 2 2 2 4 2 2" xfId="18943" xr:uid="{00000000-0005-0000-0000-000022110000}"/>
    <cellStyle name="Comma 22 2 2 2 4 3" xfId="13992" xr:uid="{00000000-0005-0000-0000-000023110000}"/>
    <cellStyle name="Comma 22 2 2 2 5" xfId="5734" xr:uid="{00000000-0005-0000-0000-000024110000}"/>
    <cellStyle name="Comma 22 2 2 2 5 2" xfId="16631" xr:uid="{00000000-0005-0000-0000-000025110000}"/>
    <cellStyle name="Comma 22 2 2 2 6" xfId="11732" xr:uid="{00000000-0005-0000-0000-000026110000}"/>
    <cellStyle name="Comma 22 2 2 3" xfId="1038" xr:uid="{00000000-0005-0000-0000-000027110000}"/>
    <cellStyle name="Comma 22 2 2 3 2" xfId="2195" xr:uid="{00000000-0005-0000-0000-000028110000}"/>
    <cellStyle name="Comma 22 2 2 3 2 2" xfId="4507" xr:uid="{00000000-0005-0000-0000-000029110000}"/>
    <cellStyle name="Comma 22 2 2 3 2 2 2" xfId="9458" xr:uid="{00000000-0005-0000-0000-00002A110000}"/>
    <cellStyle name="Comma 22 2 2 3 2 2 2 2" xfId="20355" xr:uid="{00000000-0005-0000-0000-00002B110000}"/>
    <cellStyle name="Comma 22 2 2 3 2 2 3" xfId="15404" xr:uid="{00000000-0005-0000-0000-00002C110000}"/>
    <cellStyle name="Comma 22 2 2 3 2 3" xfId="7146" xr:uid="{00000000-0005-0000-0000-00002D110000}"/>
    <cellStyle name="Comma 22 2 2 3 2 3 2" xfId="18043" xr:uid="{00000000-0005-0000-0000-00002E110000}"/>
    <cellStyle name="Comma 22 2 2 3 2 4" xfId="13112" xr:uid="{00000000-0005-0000-0000-00002F110000}"/>
    <cellStyle name="Comma 22 2 2 3 3" xfId="3362" xr:uid="{00000000-0005-0000-0000-000030110000}"/>
    <cellStyle name="Comma 22 2 2 3 3 2" xfId="8313" xr:uid="{00000000-0005-0000-0000-000031110000}"/>
    <cellStyle name="Comma 22 2 2 3 3 2 2" xfId="19210" xr:uid="{00000000-0005-0000-0000-000032110000}"/>
    <cellStyle name="Comma 22 2 2 3 3 3" xfId="14259" xr:uid="{00000000-0005-0000-0000-000033110000}"/>
    <cellStyle name="Comma 22 2 2 3 4" xfId="6001" xr:uid="{00000000-0005-0000-0000-000034110000}"/>
    <cellStyle name="Comma 22 2 2 3 4 2" xfId="16898" xr:uid="{00000000-0005-0000-0000-000035110000}"/>
    <cellStyle name="Comma 22 2 2 3 5" xfId="11994" xr:uid="{00000000-0005-0000-0000-000036110000}"/>
    <cellStyle name="Comma 22 2 2 4" xfId="1696" xr:uid="{00000000-0005-0000-0000-000037110000}"/>
    <cellStyle name="Comma 22 2 2 4 2" xfId="4008" xr:uid="{00000000-0005-0000-0000-000038110000}"/>
    <cellStyle name="Comma 22 2 2 4 2 2" xfId="8959" xr:uid="{00000000-0005-0000-0000-000039110000}"/>
    <cellStyle name="Comma 22 2 2 4 2 2 2" xfId="19856" xr:uid="{00000000-0005-0000-0000-00003A110000}"/>
    <cellStyle name="Comma 22 2 2 4 2 3" xfId="14905" xr:uid="{00000000-0005-0000-0000-00003B110000}"/>
    <cellStyle name="Comma 22 2 2 4 3" xfId="6647" xr:uid="{00000000-0005-0000-0000-00003C110000}"/>
    <cellStyle name="Comma 22 2 2 4 3 2" xfId="17544" xr:uid="{00000000-0005-0000-0000-00003D110000}"/>
    <cellStyle name="Comma 22 2 2 4 4" xfId="12627" xr:uid="{00000000-0005-0000-0000-00003E110000}"/>
    <cellStyle name="Comma 22 2 2 5" xfId="2830" xr:uid="{00000000-0005-0000-0000-00003F110000}"/>
    <cellStyle name="Comma 22 2 2 5 2" xfId="7781" xr:uid="{00000000-0005-0000-0000-000040110000}"/>
    <cellStyle name="Comma 22 2 2 5 2 2" xfId="18678" xr:uid="{00000000-0005-0000-0000-000041110000}"/>
    <cellStyle name="Comma 22 2 2 5 3" xfId="13727" xr:uid="{00000000-0005-0000-0000-000042110000}"/>
    <cellStyle name="Comma 22 2 2 6" xfId="5469" xr:uid="{00000000-0005-0000-0000-000043110000}"/>
    <cellStyle name="Comma 22 2 2 6 2" xfId="16366" xr:uid="{00000000-0005-0000-0000-000044110000}"/>
    <cellStyle name="Comma 22 2 2 7" xfId="11471" xr:uid="{00000000-0005-0000-0000-000045110000}"/>
    <cellStyle name="Comma 22 2 3" xfId="642" xr:uid="{00000000-0005-0000-0000-000046110000}"/>
    <cellStyle name="Comma 22 2 3 2" xfId="1174" xr:uid="{00000000-0005-0000-0000-000047110000}"/>
    <cellStyle name="Comma 22 2 3 2 2" xfId="2331" xr:uid="{00000000-0005-0000-0000-000048110000}"/>
    <cellStyle name="Comma 22 2 3 2 2 2" xfId="4643" xr:uid="{00000000-0005-0000-0000-000049110000}"/>
    <cellStyle name="Comma 22 2 3 2 2 2 2" xfId="9594" xr:uid="{00000000-0005-0000-0000-00004A110000}"/>
    <cellStyle name="Comma 22 2 3 2 2 2 2 2" xfId="20491" xr:uid="{00000000-0005-0000-0000-00004B110000}"/>
    <cellStyle name="Comma 22 2 3 2 2 2 3" xfId="15540" xr:uid="{00000000-0005-0000-0000-00004C110000}"/>
    <cellStyle name="Comma 22 2 3 2 2 3" xfId="7282" xr:uid="{00000000-0005-0000-0000-00004D110000}"/>
    <cellStyle name="Comma 22 2 3 2 2 3 2" xfId="18179" xr:uid="{00000000-0005-0000-0000-00004E110000}"/>
    <cellStyle name="Comma 22 2 3 2 2 4" xfId="13243" xr:uid="{00000000-0005-0000-0000-00004F110000}"/>
    <cellStyle name="Comma 22 2 3 2 3" xfId="3498" xr:uid="{00000000-0005-0000-0000-000050110000}"/>
    <cellStyle name="Comma 22 2 3 2 3 2" xfId="8449" xr:uid="{00000000-0005-0000-0000-000051110000}"/>
    <cellStyle name="Comma 22 2 3 2 3 2 2" xfId="19346" xr:uid="{00000000-0005-0000-0000-000052110000}"/>
    <cellStyle name="Comma 22 2 3 2 3 3" xfId="14395" xr:uid="{00000000-0005-0000-0000-000053110000}"/>
    <cellStyle name="Comma 22 2 3 2 4" xfId="6137" xr:uid="{00000000-0005-0000-0000-000054110000}"/>
    <cellStyle name="Comma 22 2 3 2 4 2" xfId="17034" xr:uid="{00000000-0005-0000-0000-000055110000}"/>
    <cellStyle name="Comma 22 2 3 2 5" xfId="12125" xr:uid="{00000000-0005-0000-0000-000056110000}"/>
    <cellStyle name="Comma 22 2 3 3" xfId="1815" xr:uid="{00000000-0005-0000-0000-000057110000}"/>
    <cellStyle name="Comma 22 2 3 3 2" xfId="4127" xr:uid="{00000000-0005-0000-0000-000058110000}"/>
    <cellStyle name="Comma 22 2 3 3 2 2" xfId="9078" xr:uid="{00000000-0005-0000-0000-000059110000}"/>
    <cellStyle name="Comma 22 2 3 3 2 2 2" xfId="19975" xr:uid="{00000000-0005-0000-0000-00005A110000}"/>
    <cellStyle name="Comma 22 2 3 3 2 3" xfId="15024" xr:uid="{00000000-0005-0000-0000-00005B110000}"/>
    <cellStyle name="Comma 22 2 3 3 3" xfId="6766" xr:uid="{00000000-0005-0000-0000-00005C110000}"/>
    <cellStyle name="Comma 22 2 3 3 3 2" xfId="17663" xr:uid="{00000000-0005-0000-0000-00005D110000}"/>
    <cellStyle name="Comma 22 2 3 3 4" xfId="12740" xr:uid="{00000000-0005-0000-0000-00005E110000}"/>
    <cellStyle name="Comma 22 2 3 4" xfId="2966" xr:uid="{00000000-0005-0000-0000-00005F110000}"/>
    <cellStyle name="Comma 22 2 3 4 2" xfId="7917" xr:uid="{00000000-0005-0000-0000-000060110000}"/>
    <cellStyle name="Comma 22 2 3 4 2 2" xfId="18814" xr:uid="{00000000-0005-0000-0000-000061110000}"/>
    <cellStyle name="Comma 22 2 3 4 3" xfId="13863" xr:uid="{00000000-0005-0000-0000-000062110000}"/>
    <cellStyle name="Comma 22 2 3 5" xfId="5605" xr:uid="{00000000-0005-0000-0000-000063110000}"/>
    <cellStyle name="Comma 22 2 3 5 2" xfId="16502" xr:uid="{00000000-0005-0000-0000-000064110000}"/>
    <cellStyle name="Comma 22 2 3 6" xfId="11604" xr:uid="{00000000-0005-0000-0000-000065110000}"/>
    <cellStyle name="Comma 22 2 4" xfId="909" xr:uid="{00000000-0005-0000-0000-000066110000}"/>
    <cellStyle name="Comma 22 2 4 2" xfId="2066" xr:uid="{00000000-0005-0000-0000-000067110000}"/>
    <cellStyle name="Comma 22 2 4 2 2" xfId="4378" xr:uid="{00000000-0005-0000-0000-000068110000}"/>
    <cellStyle name="Comma 22 2 4 2 2 2" xfId="9329" xr:uid="{00000000-0005-0000-0000-000069110000}"/>
    <cellStyle name="Comma 22 2 4 2 2 2 2" xfId="20226" xr:uid="{00000000-0005-0000-0000-00006A110000}"/>
    <cellStyle name="Comma 22 2 4 2 2 3" xfId="15275" xr:uid="{00000000-0005-0000-0000-00006B110000}"/>
    <cellStyle name="Comma 22 2 4 2 3" xfId="7017" xr:uid="{00000000-0005-0000-0000-00006C110000}"/>
    <cellStyle name="Comma 22 2 4 2 3 2" xfId="17914" xr:uid="{00000000-0005-0000-0000-00006D110000}"/>
    <cellStyle name="Comma 22 2 4 2 4" xfId="12984" xr:uid="{00000000-0005-0000-0000-00006E110000}"/>
    <cellStyle name="Comma 22 2 4 3" xfId="3233" xr:uid="{00000000-0005-0000-0000-00006F110000}"/>
    <cellStyle name="Comma 22 2 4 3 2" xfId="8184" xr:uid="{00000000-0005-0000-0000-000070110000}"/>
    <cellStyle name="Comma 22 2 4 3 2 2" xfId="19081" xr:uid="{00000000-0005-0000-0000-000071110000}"/>
    <cellStyle name="Comma 22 2 4 3 3" xfId="14130" xr:uid="{00000000-0005-0000-0000-000072110000}"/>
    <cellStyle name="Comma 22 2 4 4" xfId="5872" xr:uid="{00000000-0005-0000-0000-000073110000}"/>
    <cellStyle name="Comma 22 2 4 4 2" xfId="16769" xr:uid="{00000000-0005-0000-0000-000074110000}"/>
    <cellStyle name="Comma 22 2 4 5" xfId="11866" xr:uid="{00000000-0005-0000-0000-000075110000}"/>
    <cellStyle name="Comma 22 2 5" xfId="1582" xr:uid="{00000000-0005-0000-0000-000076110000}"/>
    <cellStyle name="Comma 22 2 5 2" xfId="3894" xr:uid="{00000000-0005-0000-0000-000077110000}"/>
    <cellStyle name="Comma 22 2 5 2 2" xfId="8845" xr:uid="{00000000-0005-0000-0000-000078110000}"/>
    <cellStyle name="Comma 22 2 5 2 2 2" xfId="19742" xr:uid="{00000000-0005-0000-0000-000079110000}"/>
    <cellStyle name="Comma 22 2 5 2 3" xfId="14791" xr:uid="{00000000-0005-0000-0000-00007A110000}"/>
    <cellStyle name="Comma 22 2 5 3" xfId="6533" xr:uid="{00000000-0005-0000-0000-00007B110000}"/>
    <cellStyle name="Comma 22 2 5 3 2" xfId="17430" xr:uid="{00000000-0005-0000-0000-00007C110000}"/>
    <cellStyle name="Comma 22 2 5 4" xfId="12514" xr:uid="{00000000-0005-0000-0000-00007D110000}"/>
    <cellStyle name="Comma 22 2 6" xfId="2701" xr:uid="{00000000-0005-0000-0000-00007E110000}"/>
    <cellStyle name="Comma 22 2 6 2" xfId="7652" xr:uid="{00000000-0005-0000-0000-00007F110000}"/>
    <cellStyle name="Comma 22 2 6 2 2" xfId="18549" xr:uid="{00000000-0005-0000-0000-000080110000}"/>
    <cellStyle name="Comma 22 2 6 3" xfId="13598" xr:uid="{00000000-0005-0000-0000-000081110000}"/>
    <cellStyle name="Comma 22 2 7" xfId="5340" xr:uid="{00000000-0005-0000-0000-000082110000}"/>
    <cellStyle name="Comma 22 2 7 2" xfId="16237" xr:uid="{00000000-0005-0000-0000-000083110000}"/>
    <cellStyle name="Comma 22 2 8" xfId="11343" xr:uid="{00000000-0005-0000-0000-000084110000}"/>
    <cellStyle name="Comma 22 3" xfId="445" xr:uid="{00000000-0005-0000-0000-000085110000}"/>
    <cellStyle name="Comma 22 3 2" xfId="710" xr:uid="{00000000-0005-0000-0000-000086110000}"/>
    <cellStyle name="Comma 22 3 2 2" xfId="1242" xr:uid="{00000000-0005-0000-0000-000087110000}"/>
    <cellStyle name="Comma 22 3 2 2 2" xfId="2399" xr:uid="{00000000-0005-0000-0000-000088110000}"/>
    <cellStyle name="Comma 22 3 2 2 2 2" xfId="4711" xr:uid="{00000000-0005-0000-0000-000089110000}"/>
    <cellStyle name="Comma 22 3 2 2 2 2 2" xfId="9662" xr:uid="{00000000-0005-0000-0000-00008A110000}"/>
    <cellStyle name="Comma 22 3 2 2 2 2 2 2" xfId="20559" xr:uid="{00000000-0005-0000-0000-00008B110000}"/>
    <cellStyle name="Comma 22 3 2 2 2 2 3" xfId="15608" xr:uid="{00000000-0005-0000-0000-00008C110000}"/>
    <cellStyle name="Comma 22 3 2 2 2 3" xfId="7350" xr:uid="{00000000-0005-0000-0000-00008D110000}"/>
    <cellStyle name="Comma 22 3 2 2 2 3 2" xfId="18247" xr:uid="{00000000-0005-0000-0000-00008E110000}"/>
    <cellStyle name="Comma 22 3 2 2 2 4" xfId="13310" xr:uid="{00000000-0005-0000-0000-00008F110000}"/>
    <cellStyle name="Comma 22 3 2 2 3" xfId="3566" xr:uid="{00000000-0005-0000-0000-000090110000}"/>
    <cellStyle name="Comma 22 3 2 2 3 2" xfId="8517" xr:uid="{00000000-0005-0000-0000-000091110000}"/>
    <cellStyle name="Comma 22 3 2 2 3 2 2" xfId="19414" xr:uid="{00000000-0005-0000-0000-000092110000}"/>
    <cellStyle name="Comma 22 3 2 2 3 3" xfId="14463" xr:uid="{00000000-0005-0000-0000-000093110000}"/>
    <cellStyle name="Comma 22 3 2 2 4" xfId="6205" xr:uid="{00000000-0005-0000-0000-000094110000}"/>
    <cellStyle name="Comma 22 3 2 2 4 2" xfId="17102" xr:uid="{00000000-0005-0000-0000-000095110000}"/>
    <cellStyle name="Comma 22 3 2 2 5" xfId="12192" xr:uid="{00000000-0005-0000-0000-000096110000}"/>
    <cellStyle name="Comma 22 3 2 3" xfId="1878" xr:uid="{00000000-0005-0000-0000-000097110000}"/>
    <cellStyle name="Comma 22 3 2 3 2" xfId="4190" xr:uid="{00000000-0005-0000-0000-000098110000}"/>
    <cellStyle name="Comma 22 3 2 3 2 2" xfId="9141" xr:uid="{00000000-0005-0000-0000-000099110000}"/>
    <cellStyle name="Comma 22 3 2 3 2 2 2" xfId="20038" xr:uid="{00000000-0005-0000-0000-00009A110000}"/>
    <cellStyle name="Comma 22 3 2 3 2 3" xfId="15087" xr:uid="{00000000-0005-0000-0000-00009B110000}"/>
    <cellStyle name="Comma 22 3 2 3 3" xfId="6829" xr:uid="{00000000-0005-0000-0000-00009C110000}"/>
    <cellStyle name="Comma 22 3 2 3 3 2" xfId="17726" xr:uid="{00000000-0005-0000-0000-00009D110000}"/>
    <cellStyle name="Comma 22 3 2 3 4" xfId="12802" xr:uid="{00000000-0005-0000-0000-00009E110000}"/>
    <cellStyle name="Comma 22 3 2 4" xfId="3034" xr:uid="{00000000-0005-0000-0000-00009F110000}"/>
    <cellStyle name="Comma 22 3 2 4 2" xfId="7985" xr:uid="{00000000-0005-0000-0000-0000A0110000}"/>
    <cellStyle name="Comma 22 3 2 4 2 2" xfId="18882" xr:uid="{00000000-0005-0000-0000-0000A1110000}"/>
    <cellStyle name="Comma 22 3 2 4 3" xfId="13931" xr:uid="{00000000-0005-0000-0000-0000A2110000}"/>
    <cellStyle name="Comma 22 3 2 5" xfId="5673" xr:uid="{00000000-0005-0000-0000-0000A3110000}"/>
    <cellStyle name="Comma 22 3 2 5 2" xfId="16570" xr:uid="{00000000-0005-0000-0000-0000A4110000}"/>
    <cellStyle name="Comma 22 3 2 6" xfId="11671" xr:uid="{00000000-0005-0000-0000-0000A5110000}"/>
    <cellStyle name="Comma 22 3 3" xfId="977" xr:uid="{00000000-0005-0000-0000-0000A6110000}"/>
    <cellStyle name="Comma 22 3 3 2" xfId="2134" xr:uid="{00000000-0005-0000-0000-0000A7110000}"/>
    <cellStyle name="Comma 22 3 3 2 2" xfId="4446" xr:uid="{00000000-0005-0000-0000-0000A8110000}"/>
    <cellStyle name="Comma 22 3 3 2 2 2" xfId="9397" xr:uid="{00000000-0005-0000-0000-0000A9110000}"/>
    <cellStyle name="Comma 22 3 3 2 2 2 2" xfId="20294" xr:uid="{00000000-0005-0000-0000-0000AA110000}"/>
    <cellStyle name="Comma 22 3 3 2 2 3" xfId="15343" xr:uid="{00000000-0005-0000-0000-0000AB110000}"/>
    <cellStyle name="Comma 22 3 3 2 3" xfId="7085" xr:uid="{00000000-0005-0000-0000-0000AC110000}"/>
    <cellStyle name="Comma 22 3 3 2 3 2" xfId="17982" xr:uid="{00000000-0005-0000-0000-0000AD110000}"/>
    <cellStyle name="Comma 22 3 3 2 4" xfId="13051" xr:uid="{00000000-0005-0000-0000-0000AE110000}"/>
    <cellStyle name="Comma 22 3 3 3" xfId="3301" xr:uid="{00000000-0005-0000-0000-0000AF110000}"/>
    <cellStyle name="Comma 22 3 3 3 2" xfId="8252" xr:uid="{00000000-0005-0000-0000-0000B0110000}"/>
    <cellStyle name="Comma 22 3 3 3 2 2" xfId="19149" xr:uid="{00000000-0005-0000-0000-0000B1110000}"/>
    <cellStyle name="Comma 22 3 3 3 3" xfId="14198" xr:uid="{00000000-0005-0000-0000-0000B2110000}"/>
    <cellStyle name="Comma 22 3 3 4" xfId="5940" xr:uid="{00000000-0005-0000-0000-0000B3110000}"/>
    <cellStyle name="Comma 22 3 3 4 2" xfId="16837" xr:uid="{00000000-0005-0000-0000-0000B4110000}"/>
    <cellStyle name="Comma 22 3 3 5" xfId="11933" xr:uid="{00000000-0005-0000-0000-0000B5110000}"/>
    <cellStyle name="Comma 22 3 4" xfId="1645" xr:uid="{00000000-0005-0000-0000-0000B6110000}"/>
    <cellStyle name="Comma 22 3 4 2" xfId="3957" xr:uid="{00000000-0005-0000-0000-0000B7110000}"/>
    <cellStyle name="Comma 22 3 4 2 2" xfId="8908" xr:uid="{00000000-0005-0000-0000-0000B8110000}"/>
    <cellStyle name="Comma 22 3 4 2 2 2" xfId="19805" xr:uid="{00000000-0005-0000-0000-0000B9110000}"/>
    <cellStyle name="Comma 22 3 4 2 3" xfId="14854" xr:uid="{00000000-0005-0000-0000-0000BA110000}"/>
    <cellStyle name="Comma 22 3 4 3" xfId="6596" xr:uid="{00000000-0005-0000-0000-0000BB110000}"/>
    <cellStyle name="Comma 22 3 4 3 2" xfId="17493" xr:uid="{00000000-0005-0000-0000-0000BC110000}"/>
    <cellStyle name="Comma 22 3 4 4" xfId="12576" xr:uid="{00000000-0005-0000-0000-0000BD110000}"/>
    <cellStyle name="Comma 22 3 5" xfId="2769" xr:uid="{00000000-0005-0000-0000-0000BE110000}"/>
    <cellStyle name="Comma 22 3 5 2" xfId="7720" xr:uid="{00000000-0005-0000-0000-0000BF110000}"/>
    <cellStyle name="Comma 22 3 5 2 2" xfId="18617" xr:uid="{00000000-0005-0000-0000-0000C0110000}"/>
    <cellStyle name="Comma 22 3 5 3" xfId="13666" xr:uid="{00000000-0005-0000-0000-0000C1110000}"/>
    <cellStyle name="Comma 22 3 6" xfId="5408" xr:uid="{00000000-0005-0000-0000-0000C2110000}"/>
    <cellStyle name="Comma 22 3 6 2" xfId="16305" xr:uid="{00000000-0005-0000-0000-0000C3110000}"/>
    <cellStyle name="Comma 22 3 7" xfId="11410" xr:uid="{00000000-0005-0000-0000-0000C4110000}"/>
    <cellStyle name="Comma 22 4" xfId="575" xr:uid="{00000000-0005-0000-0000-0000C5110000}"/>
    <cellStyle name="Comma 22 4 2" xfId="1107" xr:uid="{00000000-0005-0000-0000-0000C6110000}"/>
    <cellStyle name="Comma 22 4 2 2" xfId="2264" xr:uid="{00000000-0005-0000-0000-0000C7110000}"/>
    <cellStyle name="Comma 22 4 2 2 2" xfId="4576" xr:uid="{00000000-0005-0000-0000-0000C8110000}"/>
    <cellStyle name="Comma 22 4 2 2 2 2" xfId="9527" xr:uid="{00000000-0005-0000-0000-0000C9110000}"/>
    <cellStyle name="Comma 22 4 2 2 2 2 2" xfId="20424" xr:uid="{00000000-0005-0000-0000-0000CA110000}"/>
    <cellStyle name="Comma 22 4 2 2 2 3" xfId="15473" xr:uid="{00000000-0005-0000-0000-0000CB110000}"/>
    <cellStyle name="Comma 22 4 2 2 3" xfId="7215" xr:uid="{00000000-0005-0000-0000-0000CC110000}"/>
    <cellStyle name="Comma 22 4 2 2 3 2" xfId="18112" xr:uid="{00000000-0005-0000-0000-0000CD110000}"/>
    <cellStyle name="Comma 22 4 2 2 4" xfId="13179" xr:uid="{00000000-0005-0000-0000-0000CE110000}"/>
    <cellStyle name="Comma 22 4 2 3" xfId="3431" xr:uid="{00000000-0005-0000-0000-0000CF110000}"/>
    <cellStyle name="Comma 22 4 2 3 2" xfId="8382" xr:uid="{00000000-0005-0000-0000-0000D0110000}"/>
    <cellStyle name="Comma 22 4 2 3 2 2" xfId="19279" xr:uid="{00000000-0005-0000-0000-0000D1110000}"/>
    <cellStyle name="Comma 22 4 2 3 3" xfId="14328" xr:uid="{00000000-0005-0000-0000-0000D2110000}"/>
    <cellStyle name="Comma 22 4 2 4" xfId="6070" xr:uid="{00000000-0005-0000-0000-0000D3110000}"/>
    <cellStyle name="Comma 22 4 2 4 2" xfId="16967" xr:uid="{00000000-0005-0000-0000-0000D4110000}"/>
    <cellStyle name="Comma 22 4 2 5" xfId="12061" xr:uid="{00000000-0005-0000-0000-0000D5110000}"/>
    <cellStyle name="Comma 22 4 3" xfId="1760" xr:uid="{00000000-0005-0000-0000-0000D6110000}"/>
    <cellStyle name="Comma 22 4 3 2" xfId="4072" xr:uid="{00000000-0005-0000-0000-0000D7110000}"/>
    <cellStyle name="Comma 22 4 3 2 2" xfId="9023" xr:uid="{00000000-0005-0000-0000-0000D8110000}"/>
    <cellStyle name="Comma 22 4 3 2 2 2" xfId="19920" xr:uid="{00000000-0005-0000-0000-0000D9110000}"/>
    <cellStyle name="Comma 22 4 3 2 3" xfId="14969" xr:uid="{00000000-0005-0000-0000-0000DA110000}"/>
    <cellStyle name="Comma 22 4 3 3" xfId="6711" xr:uid="{00000000-0005-0000-0000-0000DB110000}"/>
    <cellStyle name="Comma 22 4 3 3 2" xfId="17608" xr:uid="{00000000-0005-0000-0000-0000DC110000}"/>
    <cellStyle name="Comma 22 4 3 4" xfId="12689" xr:uid="{00000000-0005-0000-0000-0000DD110000}"/>
    <cellStyle name="Comma 22 4 4" xfId="2899" xr:uid="{00000000-0005-0000-0000-0000DE110000}"/>
    <cellStyle name="Comma 22 4 4 2" xfId="7850" xr:uid="{00000000-0005-0000-0000-0000DF110000}"/>
    <cellStyle name="Comma 22 4 4 2 2" xfId="18747" xr:uid="{00000000-0005-0000-0000-0000E0110000}"/>
    <cellStyle name="Comma 22 4 4 3" xfId="13796" xr:uid="{00000000-0005-0000-0000-0000E1110000}"/>
    <cellStyle name="Comma 22 4 5" xfId="5538" xr:uid="{00000000-0005-0000-0000-0000E2110000}"/>
    <cellStyle name="Comma 22 4 5 2" xfId="16435" xr:uid="{00000000-0005-0000-0000-0000E3110000}"/>
    <cellStyle name="Comma 22 4 6" xfId="11540" xr:uid="{00000000-0005-0000-0000-0000E4110000}"/>
    <cellStyle name="Comma 22 5" xfId="842" xr:uid="{00000000-0005-0000-0000-0000E5110000}"/>
    <cellStyle name="Comma 22 5 2" xfId="1999" xr:uid="{00000000-0005-0000-0000-0000E6110000}"/>
    <cellStyle name="Comma 22 5 2 2" xfId="4311" xr:uid="{00000000-0005-0000-0000-0000E7110000}"/>
    <cellStyle name="Comma 22 5 2 2 2" xfId="9262" xr:uid="{00000000-0005-0000-0000-0000E8110000}"/>
    <cellStyle name="Comma 22 5 2 2 2 2" xfId="20159" xr:uid="{00000000-0005-0000-0000-0000E9110000}"/>
    <cellStyle name="Comma 22 5 2 2 3" xfId="15208" xr:uid="{00000000-0005-0000-0000-0000EA110000}"/>
    <cellStyle name="Comma 22 5 2 3" xfId="6950" xr:uid="{00000000-0005-0000-0000-0000EB110000}"/>
    <cellStyle name="Comma 22 5 2 3 2" xfId="17847" xr:uid="{00000000-0005-0000-0000-0000EC110000}"/>
    <cellStyle name="Comma 22 5 2 4" xfId="12921" xr:uid="{00000000-0005-0000-0000-0000ED110000}"/>
    <cellStyle name="Comma 22 5 3" xfId="3166" xr:uid="{00000000-0005-0000-0000-0000EE110000}"/>
    <cellStyle name="Comma 22 5 3 2" xfId="8117" xr:uid="{00000000-0005-0000-0000-0000EF110000}"/>
    <cellStyle name="Comma 22 5 3 2 2" xfId="19014" xr:uid="{00000000-0005-0000-0000-0000F0110000}"/>
    <cellStyle name="Comma 22 5 3 3" xfId="14063" xr:uid="{00000000-0005-0000-0000-0000F1110000}"/>
    <cellStyle name="Comma 22 5 4" xfId="5805" xr:uid="{00000000-0005-0000-0000-0000F2110000}"/>
    <cellStyle name="Comma 22 5 4 2" xfId="16702" xr:uid="{00000000-0005-0000-0000-0000F3110000}"/>
    <cellStyle name="Comma 22 5 5" xfId="11803" xr:uid="{00000000-0005-0000-0000-0000F4110000}"/>
    <cellStyle name="Comma 22 6" xfId="1527" xr:uid="{00000000-0005-0000-0000-0000F5110000}"/>
    <cellStyle name="Comma 22 6 2" xfId="3839" xr:uid="{00000000-0005-0000-0000-0000F6110000}"/>
    <cellStyle name="Comma 22 6 2 2" xfId="8790" xr:uid="{00000000-0005-0000-0000-0000F7110000}"/>
    <cellStyle name="Comma 22 6 2 2 2" xfId="19687" xr:uid="{00000000-0005-0000-0000-0000F8110000}"/>
    <cellStyle name="Comma 22 6 2 3" xfId="14736" xr:uid="{00000000-0005-0000-0000-0000F9110000}"/>
    <cellStyle name="Comma 22 6 3" xfId="6478" xr:uid="{00000000-0005-0000-0000-0000FA110000}"/>
    <cellStyle name="Comma 22 6 3 2" xfId="17375" xr:uid="{00000000-0005-0000-0000-0000FB110000}"/>
    <cellStyle name="Comma 22 6 4" xfId="12462" xr:uid="{00000000-0005-0000-0000-0000FC110000}"/>
    <cellStyle name="Comma 22 7" xfId="2631" xr:uid="{00000000-0005-0000-0000-0000FD110000}"/>
    <cellStyle name="Comma 22 7 2" xfId="7582" xr:uid="{00000000-0005-0000-0000-0000FE110000}"/>
    <cellStyle name="Comma 22 7 2 2" xfId="18479" xr:uid="{00000000-0005-0000-0000-0000FF110000}"/>
    <cellStyle name="Comma 22 7 3" xfId="13528" xr:uid="{00000000-0005-0000-0000-000000120000}"/>
    <cellStyle name="Comma 22 8" xfId="5270" xr:uid="{00000000-0005-0000-0000-000001120000}"/>
    <cellStyle name="Comma 22 8 2" xfId="16167" xr:uid="{00000000-0005-0000-0000-000002120000}"/>
    <cellStyle name="Comma 22 9" xfId="11255" xr:uid="{00000000-0005-0000-0000-000003120000}"/>
    <cellStyle name="Comma 23" xfId="178" xr:uid="{00000000-0005-0000-0000-000004120000}"/>
    <cellStyle name="Comma 23 2" xfId="377" xr:uid="{00000000-0005-0000-0000-000005120000}"/>
    <cellStyle name="Comma 23 2 2" xfId="507" xr:uid="{00000000-0005-0000-0000-000006120000}"/>
    <cellStyle name="Comma 23 2 2 2" xfId="772" xr:uid="{00000000-0005-0000-0000-000007120000}"/>
    <cellStyle name="Comma 23 2 2 2 2" xfId="1304" xr:uid="{00000000-0005-0000-0000-000008120000}"/>
    <cellStyle name="Comma 23 2 2 2 2 2" xfId="2461" xr:uid="{00000000-0005-0000-0000-000009120000}"/>
    <cellStyle name="Comma 23 2 2 2 2 2 2" xfId="4773" xr:uid="{00000000-0005-0000-0000-00000A120000}"/>
    <cellStyle name="Comma 23 2 2 2 2 2 2 2" xfId="9724" xr:uid="{00000000-0005-0000-0000-00000B120000}"/>
    <cellStyle name="Comma 23 2 2 2 2 2 2 2 2" xfId="20621" xr:uid="{00000000-0005-0000-0000-00000C120000}"/>
    <cellStyle name="Comma 23 2 2 2 2 2 2 3" xfId="15670" xr:uid="{00000000-0005-0000-0000-00000D120000}"/>
    <cellStyle name="Comma 23 2 2 2 2 2 3" xfId="7412" xr:uid="{00000000-0005-0000-0000-00000E120000}"/>
    <cellStyle name="Comma 23 2 2 2 2 2 3 2" xfId="18309" xr:uid="{00000000-0005-0000-0000-00000F120000}"/>
    <cellStyle name="Comma 23 2 2 2 2 2 4" xfId="13372" xr:uid="{00000000-0005-0000-0000-000010120000}"/>
    <cellStyle name="Comma 23 2 2 2 2 3" xfId="3628" xr:uid="{00000000-0005-0000-0000-000011120000}"/>
    <cellStyle name="Comma 23 2 2 2 2 3 2" xfId="8579" xr:uid="{00000000-0005-0000-0000-000012120000}"/>
    <cellStyle name="Comma 23 2 2 2 2 3 2 2" xfId="19476" xr:uid="{00000000-0005-0000-0000-000013120000}"/>
    <cellStyle name="Comma 23 2 2 2 2 3 3" xfId="14525" xr:uid="{00000000-0005-0000-0000-000014120000}"/>
    <cellStyle name="Comma 23 2 2 2 2 4" xfId="6267" xr:uid="{00000000-0005-0000-0000-000015120000}"/>
    <cellStyle name="Comma 23 2 2 2 2 4 2" xfId="17164" xr:uid="{00000000-0005-0000-0000-000016120000}"/>
    <cellStyle name="Comma 23 2 2 2 2 5" xfId="12254" xr:uid="{00000000-0005-0000-0000-000017120000}"/>
    <cellStyle name="Comma 23 2 2 2 3" xfId="1930" xr:uid="{00000000-0005-0000-0000-000018120000}"/>
    <cellStyle name="Comma 23 2 2 2 3 2" xfId="4242" xr:uid="{00000000-0005-0000-0000-000019120000}"/>
    <cellStyle name="Comma 23 2 2 2 3 2 2" xfId="9193" xr:uid="{00000000-0005-0000-0000-00001A120000}"/>
    <cellStyle name="Comma 23 2 2 2 3 2 2 2" xfId="20090" xr:uid="{00000000-0005-0000-0000-00001B120000}"/>
    <cellStyle name="Comma 23 2 2 2 3 2 3" xfId="15139" xr:uid="{00000000-0005-0000-0000-00001C120000}"/>
    <cellStyle name="Comma 23 2 2 2 3 3" xfId="6881" xr:uid="{00000000-0005-0000-0000-00001D120000}"/>
    <cellStyle name="Comma 23 2 2 2 3 3 2" xfId="17778" xr:uid="{00000000-0005-0000-0000-00001E120000}"/>
    <cellStyle name="Comma 23 2 2 2 3 4" xfId="12854" xr:uid="{00000000-0005-0000-0000-00001F120000}"/>
    <cellStyle name="Comma 23 2 2 2 4" xfId="3096" xr:uid="{00000000-0005-0000-0000-000020120000}"/>
    <cellStyle name="Comma 23 2 2 2 4 2" xfId="8047" xr:uid="{00000000-0005-0000-0000-000021120000}"/>
    <cellStyle name="Comma 23 2 2 2 4 2 2" xfId="18944" xr:uid="{00000000-0005-0000-0000-000022120000}"/>
    <cellStyle name="Comma 23 2 2 2 4 3" xfId="13993" xr:uid="{00000000-0005-0000-0000-000023120000}"/>
    <cellStyle name="Comma 23 2 2 2 5" xfId="5735" xr:uid="{00000000-0005-0000-0000-000024120000}"/>
    <cellStyle name="Comma 23 2 2 2 5 2" xfId="16632" xr:uid="{00000000-0005-0000-0000-000025120000}"/>
    <cellStyle name="Comma 23 2 2 2 6" xfId="11733" xr:uid="{00000000-0005-0000-0000-000026120000}"/>
    <cellStyle name="Comma 23 2 2 3" xfId="1039" xr:uid="{00000000-0005-0000-0000-000027120000}"/>
    <cellStyle name="Comma 23 2 2 3 2" xfId="2196" xr:uid="{00000000-0005-0000-0000-000028120000}"/>
    <cellStyle name="Comma 23 2 2 3 2 2" xfId="4508" xr:uid="{00000000-0005-0000-0000-000029120000}"/>
    <cellStyle name="Comma 23 2 2 3 2 2 2" xfId="9459" xr:uid="{00000000-0005-0000-0000-00002A120000}"/>
    <cellStyle name="Comma 23 2 2 3 2 2 2 2" xfId="20356" xr:uid="{00000000-0005-0000-0000-00002B120000}"/>
    <cellStyle name="Comma 23 2 2 3 2 2 3" xfId="15405" xr:uid="{00000000-0005-0000-0000-00002C120000}"/>
    <cellStyle name="Comma 23 2 2 3 2 3" xfId="7147" xr:uid="{00000000-0005-0000-0000-00002D120000}"/>
    <cellStyle name="Comma 23 2 2 3 2 3 2" xfId="18044" xr:uid="{00000000-0005-0000-0000-00002E120000}"/>
    <cellStyle name="Comma 23 2 2 3 2 4" xfId="13113" xr:uid="{00000000-0005-0000-0000-00002F120000}"/>
    <cellStyle name="Comma 23 2 2 3 3" xfId="3363" xr:uid="{00000000-0005-0000-0000-000030120000}"/>
    <cellStyle name="Comma 23 2 2 3 3 2" xfId="8314" xr:uid="{00000000-0005-0000-0000-000031120000}"/>
    <cellStyle name="Comma 23 2 2 3 3 2 2" xfId="19211" xr:uid="{00000000-0005-0000-0000-000032120000}"/>
    <cellStyle name="Comma 23 2 2 3 3 3" xfId="14260" xr:uid="{00000000-0005-0000-0000-000033120000}"/>
    <cellStyle name="Comma 23 2 2 3 4" xfId="6002" xr:uid="{00000000-0005-0000-0000-000034120000}"/>
    <cellStyle name="Comma 23 2 2 3 4 2" xfId="16899" xr:uid="{00000000-0005-0000-0000-000035120000}"/>
    <cellStyle name="Comma 23 2 2 3 5" xfId="11995" xr:uid="{00000000-0005-0000-0000-000036120000}"/>
    <cellStyle name="Comma 23 2 2 4" xfId="1697" xr:uid="{00000000-0005-0000-0000-000037120000}"/>
    <cellStyle name="Comma 23 2 2 4 2" xfId="4009" xr:uid="{00000000-0005-0000-0000-000038120000}"/>
    <cellStyle name="Comma 23 2 2 4 2 2" xfId="8960" xr:uid="{00000000-0005-0000-0000-000039120000}"/>
    <cellStyle name="Comma 23 2 2 4 2 2 2" xfId="19857" xr:uid="{00000000-0005-0000-0000-00003A120000}"/>
    <cellStyle name="Comma 23 2 2 4 2 3" xfId="14906" xr:uid="{00000000-0005-0000-0000-00003B120000}"/>
    <cellStyle name="Comma 23 2 2 4 3" xfId="6648" xr:uid="{00000000-0005-0000-0000-00003C120000}"/>
    <cellStyle name="Comma 23 2 2 4 3 2" xfId="17545" xr:uid="{00000000-0005-0000-0000-00003D120000}"/>
    <cellStyle name="Comma 23 2 2 4 4" xfId="12628" xr:uid="{00000000-0005-0000-0000-00003E120000}"/>
    <cellStyle name="Comma 23 2 2 5" xfId="2831" xr:uid="{00000000-0005-0000-0000-00003F120000}"/>
    <cellStyle name="Comma 23 2 2 5 2" xfId="7782" xr:uid="{00000000-0005-0000-0000-000040120000}"/>
    <cellStyle name="Comma 23 2 2 5 2 2" xfId="18679" xr:uid="{00000000-0005-0000-0000-000041120000}"/>
    <cellStyle name="Comma 23 2 2 5 3" xfId="13728" xr:uid="{00000000-0005-0000-0000-000042120000}"/>
    <cellStyle name="Comma 23 2 2 6" xfId="5470" xr:uid="{00000000-0005-0000-0000-000043120000}"/>
    <cellStyle name="Comma 23 2 2 6 2" xfId="16367" xr:uid="{00000000-0005-0000-0000-000044120000}"/>
    <cellStyle name="Comma 23 2 2 7" xfId="11472" xr:uid="{00000000-0005-0000-0000-000045120000}"/>
    <cellStyle name="Comma 23 2 3" xfId="643" xr:uid="{00000000-0005-0000-0000-000046120000}"/>
    <cellStyle name="Comma 23 2 3 2" xfId="1175" xr:uid="{00000000-0005-0000-0000-000047120000}"/>
    <cellStyle name="Comma 23 2 3 2 2" xfId="2332" xr:uid="{00000000-0005-0000-0000-000048120000}"/>
    <cellStyle name="Comma 23 2 3 2 2 2" xfId="4644" xr:uid="{00000000-0005-0000-0000-000049120000}"/>
    <cellStyle name="Comma 23 2 3 2 2 2 2" xfId="9595" xr:uid="{00000000-0005-0000-0000-00004A120000}"/>
    <cellStyle name="Comma 23 2 3 2 2 2 2 2" xfId="20492" xr:uid="{00000000-0005-0000-0000-00004B120000}"/>
    <cellStyle name="Comma 23 2 3 2 2 2 3" xfId="15541" xr:uid="{00000000-0005-0000-0000-00004C120000}"/>
    <cellStyle name="Comma 23 2 3 2 2 3" xfId="7283" xr:uid="{00000000-0005-0000-0000-00004D120000}"/>
    <cellStyle name="Comma 23 2 3 2 2 3 2" xfId="18180" xr:uid="{00000000-0005-0000-0000-00004E120000}"/>
    <cellStyle name="Comma 23 2 3 2 2 4" xfId="13244" xr:uid="{00000000-0005-0000-0000-00004F120000}"/>
    <cellStyle name="Comma 23 2 3 2 3" xfId="3499" xr:uid="{00000000-0005-0000-0000-000050120000}"/>
    <cellStyle name="Comma 23 2 3 2 3 2" xfId="8450" xr:uid="{00000000-0005-0000-0000-000051120000}"/>
    <cellStyle name="Comma 23 2 3 2 3 2 2" xfId="19347" xr:uid="{00000000-0005-0000-0000-000052120000}"/>
    <cellStyle name="Comma 23 2 3 2 3 3" xfId="14396" xr:uid="{00000000-0005-0000-0000-000053120000}"/>
    <cellStyle name="Comma 23 2 3 2 4" xfId="6138" xr:uid="{00000000-0005-0000-0000-000054120000}"/>
    <cellStyle name="Comma 23 2 3 2 4 2" xfId="17035" xr:uid="{00000000-0005-0000-0000-000055120000}"/>
    <cellStyle name="Comma 23 2 3 2 5" xfId="12126" xr:uid="{00000000-0005-0000-0000-000056120000}"/>
    <cellStyle name="Comma 23 2 3 3" xfId="1816" xr:uid="{00000000-0005-0000-0000-000057120000}"/>
    <cellStyle name="Comma 23 2 3 3 2" xfId="4128" xr:uid="{00000000-0005-0000-0000-000058120000}"/>
    <cellStyle name="Comma 23 2 3 3 2 2" xfId="9079" xr:uid="{00000000-0005-0000-0000-000059120000}"/>
    <cellStyle name="Comma 23 2 3 3 2 2 2" xfId="19976" xr:uid="{00000000-0005-0000-0000-00005A120000}"/>
    <cellStyle name="Comma 23 2 3 3 2 3" xfId="15025" xr:uid="{00000000-0005-0000-0000-00005B120000}"/>
    <cellStyle name="Comma 23 2 3 3 3" xfId="6767" xr:uid="{00000000-0005-0000-0000-00005C120000}"/>
    <cellStyle name="Comma 23 2 3 3 3 2" xfId="17664" xr:uid="{00000000-0005-0000-0000-00005D120000}"/>
    <cellStyle name="Comma 23 2 3 3 4" xfId="12741" xr:uid="{00000000-0005-0000-0000-00005E120000}"/>
    <cellStyle name="Comma 23 2 3 4" xfId="2967" xr:uid="{00000000-0005-0000-0000-00005F120000}"/>
    <cellStyle name="Comma 23 2 3 4 2" xfId="7918" xr:uid="{00000000-0005-0000-0000-000060120000}"/>
    <cellStyle name="Comma 23 2 3 4 2 2" xfId="18815" xr:uid="{00000000-0005-0000-0000-000061120000}"/>
    <cellStyle name="Comma 23 2 3 4 3" xfId="13864" xr:uid="{00000000-0005-0000-0000-000062120000}"/>
    <cellStyle name="Comma 23 2 3 5" xfId="5606" xr:uid="{00000000-0005-0000-0000-000063120000}"/>
    <cellStyle name="Comma 23 2 3 5 2" xfId="16503" xr:uid="{00000000-0005-0000-0000-000064120000}"/>
    <cellStyle name="Comma 23 2 3 6" xfId="11605" xr:uid="{00000000-0005-0000-0000-000065120000}"/>
    <cellStyle name="Comma 23 2 4" xfId="910" xr:uid="{00000000-0005-0000-0000-000066120000}"/>
    <cellStyle name="Comma 23 2 4 2" xfId="2067" xr:uid="{00000000-0005-0000-0000-000067120000}"/>
    <cellStyle name="Comma 23 2 4 2 2" xfId="4379" xr:uid="{00000000-0005-0000-0000-000068120000}"/>
    <cellStyle name="Comma 23 2 4 2 2 2" xfId="9330" xr:uid="{00000000-0005-0000-0000-000069120000}"/>
    <cellStyle name="Comma 23 2 4 2 2 2 2" xfId="20227" xr:uid="{00000000-0005-0000-0000-00006A120000}"/>
    <cellStyle name="Comma 23 2 4 2 2 3" xfId="15276" xr:uid="{00000000-0005-0000-0000-00006B120000}"/>
    <cellStyle name="Comma 23 2 4 2 3" xfId="7018" xr:uid="{00000000-0005-0000-0000-00006C120000}"/>
    <cellStyle name="Comma 23 2 4 2 3 2" xfId="17915" xr:uid="{00000000-0005-0000-0000-00006D120000}"/>
    <cellStyle name="Comma 23 2 4 2 4" xfId="12985" xr:uid="{00000000-0005-0000-0000-00006E120000}"/>
    <cellStyle name="Comma 23 2 4 3" xfId="3234" xr:uid="{00000000-0005-0000-0000-00006F120000}"/>
    <cellStyle name="Comma 23 2 4 3 2" xfId="8185" xr:uid="{00000000-0005-0000-0000-000070120000}"/>
    <cellStyle name="Comma 23 2 4 3 2 2" xfId="19082" xr:uid="{00000000-0005-0000-0000-000071120000}"/>
    <cellStyle name="Comma 23 2 4 3 3" xfId="14131" xr:uid="{00000000-0005-0000-0000-000072120000}"/>
    <cellStyle name="Comma 23 2 4 4" xfId="5873" xr:uid="{00000000-0005-0000-0000-000073120000}"/>
    <cellStyle name="Comma 23 2 4 4 2" xfId="16770" xr:uid="{00000000-0005-0000-0000-000074120000}"/>
    <cellStyle name="Comma 23 2 4 5" xfId="11867" xr:uid="{00000000-0005-0000-0000-000075120000}"/>
    <cellStyle name="Comma 23 2 5" xfId="1583" xr:uid="{00000000-0005-0000-0000-000076120000}"/>
    <cellStyle name="Comma 23 2 5 2" xfId="3895" xr:uid="{00000000-0005-0000-0000-000077120000}"/>
    <cellStyle name="Comma 23 2 5 2 2" xfId="8846" xr:uid="{00000000-0005-0000-0000-000078120000}"/>
    <cellStyle name="Comma 23 2 5 2 2 2" xfId="19743" xr:uid="{00000000-0005-0000-0000-000079120000}"/>
    <cellStyle name="Comma 23 2 5 2 3" xfId="14792" xr:uid="{00000000-0005-0000-0000-00007A120000}"/>
    <cellStyle name="Comma 23 2 5 3" xfId="6534" xr:uid="{00000000-0005-0000-0000-00007B120000}"/>
    <cellStyle name="Comma 23 2 5 3 2" xfId="17431" xr:uid="{00000000-0005-0000-0000-00007C120000}"/>
    <cellStyle name="Comma 23 2 5 4" xfId="12515" xr:uid="{00000000-0005-0000-0000-00007D120000}"/>
    <cellStyle name="Comma 23 2 6" xfId="2702" xr:uid="{00000000-0005-0000-0000-00007E120000}"/>
    <cellStyle name="Comma 23 2 6 2" xfId="7653" xr:uid="{00000000-0005-0000-0000-00007F120000}"/>
    <cellStyle name="Comma 23 2 6 2 2" xfId="18550" xr:uid="{00000000-0005-0000-0000-000080120000}"/>
    <cellStyle name="Comma 23 2 6 3" xfId="13599" xr:uid="{00000000-0005-0000-0000-000081120000}"/>
    <cellStyle name="Comma 23 2 7" xfId="5341" xr:uid="{00000000-0005-0000-0000-000082120000}"/>
    <cellStyle name="Comma 23 2 7 2" xfId="16238" xr:uid="{00000000-0005-0000-0000-000083120000}"/>
    <cellStyle name="Comma 23 2 8" xfId="11344" xr:uid="{00000000-0005-0000-0000-000084120000}"/>
    <cellStyle name="Comma 23 3" xfId="446" xr:uid="{00000000-0005-0000-0000-000085120000}"/>
    <cellStyle name="Comma 23 3 2" xfId="711" xr:uid="{00000000-0005-0000-0000-000086120000}"/>
    <cellStyle name="Comma 23 3 2 2" xfId="1243" xr:uid="{00000000-0005-0000-0000-000087120000}"/>
    <cellStyle name="Comma 23 3 2 2 2" xfId="2400" xr:uid="{00000000-0005-0000-0000-000088120000}"/>
    <cellStyle name="Comma 23 3 2 2 2 2" xfId="4712" xr:uid="{00000000-0005-0000-0000-000089120000}"/>
    <cellStyle name="Comma 23 3 2 2 2 2 2" xfId="9663" xr:uid="{00000000-0005-0000-0000-00008A120000}"/>
    <cellStyle name="Comma 23 3 2 2 2 2 2 2" xfId="20560" xr:uid="{00000000-0005-0000-0000-00008B120000}"/>
    <cellStyle name="Comma 23 3 2 2 2 2 3" xfId="15609" xr:uid="{00000000-0005-0000-0000-00008C120000}"/>
    <cellStyle name="Comma 23 3 2 2 2 3" xfId="7351" xr:uid="{00000000-0005-0000-0000-00008D120000}"/>
    <cellStyle name="Comma 23 3 2 2 2 3 2" xfId="18248" xr:uid="{00000000-0005-0000-0000-00008E120000}"/>
    <cellStyle name="Comma 23 3 2 2 2 4" xfId="13311" xr:uid="{00000000-0005-0000-0000-00008F120000}"/>
    <cellStyle name="Comma 23 3 2 2 3" xfId="3567" xr:uid="{00000000-0005-0000-0000-000090120000}"/>
    <cellStyle name="Comma 23 3 2 2 3 2" xfId="8518" xr:uid="{00000000-0005-0000-0000-000091120000}"/>
    <cellStyle name="Comma 23 3 2 2 3 2 2" xfId="19415" xr:uid="{00000000-0005-0000-0000-000092120000}"/>
    <cellStyle name="Comma 23 3 2 2 3 3" xfId="14464" xr:uid="{00000000-0005-0000-0000-000093120000}"/>
    <cellStyle name="Comma 23 3 2 2 4" xfId="6206" xr:uid="{00000000-0005-0000-0000-000094120000}"/>
    <cellStyle name="Comma 23 3 2 2 4 2" xfId="17103" xr:uid="{00000000-0005-0000-0000-000095120000}"/>
    <cellStyle name="Comma 23 3 2 2 5" xfId="12193" xr:uid="{00000000-0005-0000-0000-000096120000}"/>
    <cellStyle name="Comma 23 3 2 3" xfId="1879" xr:uid="{00000000-0005-0000-0000-000097120000}"/>
    <cellStyle name="Comma 23 3 2 3 2" xfId="4191" xr:uid="{00000000-0005-0000-0000-000098120000}"/>
    <cellStyle name="Comma 23 3 2 3 2 2" xfId="9142" xr:uid="{00000000-0005-0000-0000-000099120000}"/>
    <cellStyle name="Comma 23 3 2 3 2 2 2" xfId="20039" xr:uid="{00000000-0005-0000-0000-00009A120000}"/>
    <cellStyle name="Comma 23 3 2 3 2 3" xfId="15088" xr:uid="{00000000-0005-0000-0000-00009B120000}"/>
    <cellStyle name="Comma 23 3 2 3 3" xfId="6830" xr:uid="{00000000-0005-0000-0000-00009C120000}"/>
    <cellStyle name="Comma 23 3 2 3 3 2" xfId="17727" xr:uid="{00000000-0005-0000-0000-00009D120000}"/>
    <cellStyle name="Comma 23 3 2 3 4" xfId="12803" xr:uid="{00000000-0005-0000-0000-00009E120000}"/>
    <cellStyle name="Comma 23 3 2 4" xfId="3035" xr:uid="{00000000-0005-0000-0000-00009F120000}"/>
    <cellStyle name="Comma 23 3 2 4 2" xfId="7986" xr:uid="{00000000-0005-0000-0000-0000A0120000}"/>
    <cellStyle name="Comma 23 3 2 4 2 2" xfId="18883" xr:uid="{00000000-0005-0000-0000-0000A1120000}"/>
    <cellStyle name="Comma 23 3 2 4 3" xfId="13932" xr:uid="{00000000-0005-0000-0000-0000A2120000}"/>
    <cellStyle name="Comma 23 3 2 5" xfId="5674" xr:uid="{00000000-0005-0000-0000-0000A3120000}"/>
    <cellStyle name="Comma 23 3 2 5 2" xfId="16571" xr:uid="{00000000-0005-0000-0000-0000A4120000}"/>
    <cellStyle name="Comma 23 3 2 6" xfId="11672" xr:uid="{00000000-0005-0000-0000-0000A5120000}"/>
    <cellStyle name="Comma 23 3 3" xfId="978" xr:uid="{00000000-0005-0000-0000-0000A6120000}"/>
    <cellStyle name="Comma 23 3 3 2" xfId="2135" xr:uid="{00000000-0005-0000-0000-0000A7120000}"/>
    <cellStyle name="Comma 23 3 3 2 2" xfId="4447" xr:uid="{00000000-0005-0000-0000-0000A8120000}"/>
    <cellStyle name="Comma 23 3 3 2 2 2" xfId="9398" xr:uid="{00000000-0005-0000-0000-0000A9120000}"/>
    <cellStyle name="Comma 23 3 3 2 2 2 2" xfId="20295" xr:uid="{00000000-0005-0000-0000-0000AA120000}"/>
    <cellStyle name="Comma 23 3 3 2 2 3" xfId="15344" xr:uid="{00000000-0005-0000-0000-0000AB120000}"/>
    <cellStyle name="Comma 23 3 3 2 3" xfId="7086" xr:uid="{00000000-0005-0000-0000-0000AC120000}"/>
    <cellStyle name="Comma 23 3 3 2 3 2" xfId="17983" xr:uid="{00000000-0005-0000-0000-0000AD120000}"/>
    <cellStyle name="Comma 23 3 3 2 4" xfId="13052" xr:uid="{00000000-0005-0000-0000-0000AE120000}"/>
    <cellStyle name="Comma 23 3 3 3" xfId="3302" xr:uid="{00000000-0005-0000-0000-0000AF120000}"/>
    <cellStyle name="Comma 23 3 3 3 2" xfId="8253" xr:uid="{00000000-0005-0000-0000-0000B0120000}"/>
    <cellStyle name="Comma 23 3 3 3 2 2" xfId="19150" xr:uid="{00000000-0005-0000-0000-0000B1120000}"/>
    <cellStyle name="Comma 23 3 3 3 3" xfId="14199" xr:uid="{00000000-0005-0000-0000-0000B2120000}"/>
    <cellStyle name="Comma 23 3 3 4" xfId="5941" xr:uid="{00000000-0005-0000-0000-0000B3120000}"/>
    <cellStyle name="Comma 23 3 3 4 2" xfId="16838" xr:uid="{00000000-0005-0000-0000-0000B4120000}"/>
    <cellStyle name="Comma 23 3 3 5" xfId="11934" xr:uid="{00000000-0005-0000-0000-0000B5120000}"/>
    <cellStyle name="Comma 23 3 4" xfId="1646" xr:uid="{00000000-0005-0000-0000-0000B6120000}"/>
    <cellStyle name="Comma 23 3 4 2" xfId="3958" xr:uid="{00000000-0005-0000-0000-0000B7120000}"/>
    <cellStyle name="Comma 23 3 4 2 2" xfId="8909" xr:uid="{00000000-0005-0000-0000-0000B8120000}"/>
    <cellStyle name="Comma 23 3 4 2 2 2" xfId="19806" xr:uid="{00000000-0005-0000-0000-0000B9120000}"/>
    <cellStyle name="Comma 23 3 4 2 3" xfId="14855" xr:uid="{00000000-0005-0000-0000-0000BA120000}"/>
    <cellStyle name="Comma 23 3 4 3" xfId="6597" xr:uid="{00000000-0005-0000-0000-0000BB120000}"/>
    <cellStyle name="Comma 23 3 4 3 2" xfId="17494" xr:uid="{00000000-0005-0000-0000-0000BC120000}"/>
    <cellStyle name="Comma 23 3 4 4" xfId="12577" xr:uid="{00000000-0005-0000-0000-0000BD120000}"/>
    <cellStyle name="Comma 23 3 5" xfId="2770" xr:uid="{00000000-0005-0000-0000-0000BE120000}"/>
    <cellStyle name="Comma 23 3 5 2" xfId="7721" xr:uid="{00000000-0005-0000-0000-0000BF120000}"/>
    <cellStyle name="Comma 23 3 5 2 2" xfId="18618" xr:uid="{00000000-0005-0000-0000-0000C0120000}"/>
    <cellStyle name="Comma 23 3 5 3" xfId="13667" xr:uid="{00000000-0005-0000-0000-0000C1120000}"/>
    <cellStyle name="Comma 23 3 6" xfId="5409" xr:uid="{00000000-0005-0000-0000-0000C2120000}"/>
    <cellStyle name="Comma 23 3 6 2" xfId="16306" xr:uid="{00000000-0005-0000-0000-0000C3120000}"/>
    <cellStyle name="Comma 23 3 7" xfId="11411" xr:uid="{00000000-0005-0000-0000-0000C4120000}"/>
    <cellStyle name="Comma 23 4" xfId="576" xr:uid="{00000000-0005-0000-0000-0000C5120000}"/>
    <cellStyle name="Comma 23 4 2" xfId="1108" xr:uid="{00000000-0005-0000-0000-0000C6120000}"/>
    <cellStyle name="Comma 23 4 2 2" xfId="2265" xr:uid="{00000000-0005-0000-0000-0000C7120000}"/>
    <cellStyle name="Comma 23 4 2 2 2" xfId="4577" xr:uid="{00000000-0005-0000-0000-0000C8120000}"/>
    <cellStyle name="Comma 23 4 2 2 2 2" xfId="9528" xr:uid="{00000000-0005-0000-0000-0000C9120000}"/>
    <cellStyle name="Comma 23 4 2 2 2 2 2" xfId="20425" xr:uid="{00000000-0005-0000-0000-0000CA120000}"/>
    <cellStyle name="Comma 23 4 2 2 2 3" xfId="15474" xr:uid="{00000000-0005-0000-0000-0000CB120000}"/>
    <cellStyle name="Comma 23 4 2 2 3" xfId="7216" xr:uid="{00000000-0005-0000-0000-0000CC120000}"/>
    <cellStyle name="Comma 23 4 2 2 3 2" xfId="18113" xr:uid="{00000000-0005-0000-0000-0000CD120000}"/>
    <cellStyle name="Comma 23 4 2 2 4" xfId="13180" xr:uid="{00000000-0005-0000-0000-0000CE120000}"/>
    <cellStyle name="Comma 23 4 2 3" xfId="3432" xr:uid="{00000000-0005-0000-0000-0000CF120000}"/>
    <cellStyle name="Comma 23 4 2 3 2" xfId="8383" xr:uid="{00000000-0005-0000-0000-0000D0120000}"/>
    <cellStyle name="Comma 23 4 2 3 2 2" xfId="19280" xr:uid="{00000000-0005-0000-0000-0000D1120000}"/>
    <cellStyle name="Comma 23 4 2 3 3" xfId="14329" xr:uid="{00000000-0005-0000-0000-0000D2120000}"/>
    <cellStyle name="Comma 23 4 2 4" xfId="6071" xr:uid="{00000000-0005-0000-0000-0000D3120000}"/>
    <cellStyle name="Comma 23 4 2 4 2" xfId="16968" xr:uid="{00000000-0005-0000-0000-0000D4120000}"/>
    <cellStyle name="Comma 23 4 2 5" xfId="12062" xr:uid="{00000000-0005-0000-0000-0000D5120000}"/>
    <cellStyle name="Comma 23 4 3" xfId="1761" xr:uid="{00000000-0005-0000-0000-0000D6120000}"/>
    <cellStyle name="Comma 23 4 3 2" xfId="4073" xr:uid="{00000000-0005-0000-0000-0000D7120000}"/>
    <cellStyle name="Comma 23 4 3 2 2" xfId="9024" xr:uid="{00000000-0005-0000-0000-0000D8120000}"/>
    <cellStyle name="Comma 23 4 3 2 2 2" xfId="19921" xr:uid="{00000000-0005-0000-0000-0000D9120000}"/>
    <cellStyle name="Comma 23 4 3 2 3" xfId="14970" xr:uid="{00000000-0005-0000-0000-0000DA120000}"/>
    <cellStyle name="Comma 23 4 3 3" xfId="6712" xr:uid="{00000000-0005-0000-0000-0000DB120000}"/>
    <cellStyle name="Comma 23 4 3 3 2" xfId="17609" xr:uid="{00000000-0005-0000-0000-0000DC120000}"/>
    <cellStyle name="Comma 23 4 3 4" xfId="12690" xr:uid="{00000000-0005-0000-0000-0000DD120000}"/>
    <cellStyle name="Comma 23 4 4" xfId="2900" xr:uid="{00000000-0005-0000-0000-0000DE120000}"/>
    <cellStyle name="Comma 23 4 4 2" xfId="7851" xr:uid="{00000000-0005-0000-0000-0000DF120000}"/>
    <cellStyle name="Comma 23 4 4 2 2" xfId="18748" xr:uid="{00000000-0005-0000-0000-0000E0120000}"/>
    <cellStyle name="Comma 23 4 4 3" xfId="13797" xr:uid="{00000000-0005-0000-0000-0000E1120000}"/>
    <cellStyle name="Comma 23 4 5" xfId="5539" xr:uid="{00000000-0005-0000-0000-0000E2120000}"/>
    <cellStyle name="Comma 23 4 5 2" xfId="16436" xr:uid="{00000000-0005-0000-0000-0000E3120000}"/>
    <cellStyle name="Comma 23 4 6" xfId="11541" xr:uid="{00000000-0005-0000-0000-0000E4120000}"/>
    <cellStyle name="Comma 23 5" xfId="843" xr:uid="{00000000-0005-0000-0000-0000E5120000}"/>
    <cellStyle name="Comma 23 5 2" xfId="2000" xr:uid="{00000000-0005-0000-0000-0000E6120000}"/>
    <cellStyle name="Comma 23 5 2 2" xfId="4312" xr:uid="{00000000-0005-0000-0000-0000E7120000}"/>
    <cellStyle name="Comma 23 5 2 2 2" xfId="9263" xr:uid="{00000000-0005-0000-0000-0000E8120000}"/>
    <cellStyle name="Comma 23 5 2 2 2 2" xfId="20160" xr:uid="{00000000-0005-0000-0000-0000E9120000}"/>
    <cellStyle name="Comma 23 5 2 2 3" xfId="15209" xr:uid="{00000000-0005-0000-0000-0000EA120000}"/>
    <cellStyle name="Comma 23 5 2 3" xfId="6951" xr:uid="{00000000-0005-0000-0000-0000EB120000}"/>
    <cellStyle name="Comma 23 5 2 3 2" xfId="17848" xr:uid="{00000000-0005-0000-0000-0000EC120000}"/>
    <cellStyle name="Comma 23 5 2 4" xfId="12922" xr:uid="{00000000-0005-0000-0000-0000ED120000}"/>
    <cellStyle name="Comma 23 5 3" xfId="3167" xr:uid="{00000000-0005-0000-0000-0000EE120000}"/>
    <cellStyle name="Comma 23 5 3 2" xfId="8118" xr:uid="{00000000-0005-0000-0000-0000EF120000}"/>
    <cellStyle name="Comma 23 5 3 2 2" xfId="19015" xr:uid="{00000000-0005-0000-0000-0000F0120000}"/>
    <cellStyle name="Comma 23 5 3 3" xfId="14064" xr:uid="{00000000-0005-0000-0000-0000F1120000}"/>
    <cellStyle name="Comma 23 5 4" xfId="5806" xr:uid="{00000000-0005-0000-0000-0000F2120000}"/>
    <cellStyle name="Comma 23 5 4 2" xfId="16703" xr:uid="{00000000-0005-0000-0000-0000F3120000}"/>
    <cellStyle name="Comma 23 5 5" xfId="11804" xr:uid="{00000000-0005-0000-0000-0000F4120000}"/>
    <cellStyle name="Comma 23 6" xfId="1528" xr:uid="{00000000-0005-0000-0000-0000F5120000}"/>
    <cellStyle name="Comma 23 6 2" xfId="3840" xr:uid="{00000000-0005-0000-0000-0000F6120000}"/>
    <cellStyle name="Comma 23 6 2 2" xfId="8791" xr:uid="{00000000-0005-0000-0000-0000F7120000}"/>
    <cellStyle name="Comma 23 6 2 2 2" xfId="19688" xr:uid="{00000000-0005-0000-0000-0000F8120000}"/>
    <cellStyle name="Comma 23 6 2 3" xfId="14737" xr:uid="{00000000-0005-0000-0000-0000F9120000}"/>
    <cellStyle name="Comma 23 6 3" xfId="6479" xr:uid="{00000000-0005-0000-0000-0000FA120000}"/>
    <cellStyle name="Comma 23 6 3 2" xfId="17376" xr:uid="{00000000-0005-0000-0000-0000FB120000}"/>
    <cellStyle name="Comma 23 6 4" xfId="12463" xr:uid="{00000000-0005-0000-0000-0000FC120000}"/>
    <cellStyle name="Comma 23 7" xfId="2632" xr:uid="{00000000-0005-0000-0000-0000FD120000}"/>
    <cellStyle name="Comma 23 7 2" xfId="7583" xr:uid="{00000000-0005-0000-0000-0000FE120000}"/>
    <cellStyle name="Comma 23 7 2 2" xfId="18480" xr:uid="{00000000-0005-0000-0000-0000FF120000}"/>
    <cellStyle name="Comma 23 7 3" xfId="13529" xr:uid="{00000000-0005-0000-0000-000000130000}"/>
    <cellStyle name="Comma 23 8" xfId="5271" xr:uid="{00000000-0005-0000-0000-000001130000}"/>
    <cellStyle name="Comma 23 8 2" xfId="16168" xr:uid="{00000000-0005-0000-0000-000002130000}"/>
    <cellStyle name="Comma 23 9" xfId="11256" xr:uid="{00000000-0005-0000-0000-000003130000}"/>
    <cellStyle name="Comma 24" xfId="179" xr:uid="{00000000-0005-0000-0000-000004130000}"/>
    <cellStyle name="Comma 24 2" xfId="378" xr:uid="{00000000-0005-0000-0000-000005130000}"/>
    <cellStyle name="Comma 24 2 2" xfId="508" xr:uid="{00000000-0005-0000-0000-000006130000}"/>
    <cellStyle name="Comma 24 2 2 2" xfId="773" xr:uid="{00000000-0005-0000-0000-000007130000}"/>
    <cellStyle name="Comma 24 2 2 2 2" xfId="1305" xr:uid="{00000000-0005-0000-0000-000008130000}"/>
    <cellStyle name="Comma 24 2 2 2 2 2" xfId="2462" xr:uid="{00000000-0005-0000-0000-000009130000}"/>
    <cellStyle name="Comma 24 2 2 2 2 2 2" xfId="4774" xr:uid="{00000000-0005-0000-0000-00000A130000}"/>
    <cellStyle name="Comma 24 2 2 2 2 2 2 2" xfId="9725" xr:uid="{00000000-0005-0000-0000-00000B130000}"/>
    <cellStyle name="Comma 24 2 2 2 2 2 2 2 2" xfId="20622" xr:uid="{00000000-0005-0000-0000-00000C130000}"/>
    <cellStyle name="Comma 24 2 2 2 2 2 2 3" xfId="15671" xr:uid="{00000000-0005-0000-0000-00000D130000}"/>
    <cellStyle name="Comma 24 2 2 2 2 2 3" xfId="7413" xr:uid="{00000000-0005-0000-0000-00000E130000}"/>
    <cellStyle name="Comma 24 2 2 2 2 2 3 2" xfId="18310" xr:uid="{00000000-0005-0000-0000-00000F130000}"/>
    <cellStyle name="Comma 24 2 2 2 2 2 4" xfId="13373" xr:uid="{00000000-0005-0000-0000-000010130000}"/>
    <cellStyle name="Comma 24 2 2 2 2 3" xfId="3629" xr:uid="{00000000-0005-0000-0000-000011130000}"/>
    <cellStyle name="Comma 24 2 2 2 2 3 2" xfId="8580" xr:uid="{00000000-0005-0000-0000-000012130000}"/>
    <cellStyle name="Comma 24 2 2 2 2 3 2 2" xfId="19477" xr:uid="{00000000-0005-0000-0000-000013130000}"/>
    <cellStyle name="Comma 24 2 2 2 2 3 3" xfId="14526" xr:uid="{00000000-0005-0000-0000-000014130000}"/>
    <cellStyle name="Comma 24 2 2 2 2 4" xfId="6268" xr:uid="{00000000-0005-0000-0000-000015130000}"/>
    <cellStyle name="Comma 24 2 2 2 2 4 2" xfId="17165" xr:uid="{00000000-0005-0000-0000-000016130000}"/>
    <cellStyle name="Comma 24 2 2 2 2 5" xfId="12255" xr:uid="{00000000-0005-0000-0000-000017130000}"/>
    <cellStyle name="Comma 24 2 2 2 3" xfId="1931" xr:uid="{00000000-0005-0000-0000-000018130000}"/>
    <cellStyle name="Comma 24 2 2 2 3 2" xfId="4243" xr:uid="{00000000-0005-0000-0000-000019130000}"/>
    <cellStyle name="Comma 24 2 2 2 3 2 2" xfId="9194" xr:uid="{00000000-0005-0000-0000-00001A130000}"/>
    <cellStyle name="Comma 24 2 2 2 3 2 2 2" xfId="20091" xr:uid="{00000000-0005-0000-0000-00001B130000}"/>
    <cellStyle name="Comma 24 2 2 2 3 2 3" xfId="15140" xr:uid="{00000000-0005-0000-0000-00001C130000}"/>
    <cellStyle name="Comma 24 2 2 2 3 3" xfId="6882" xr:uid="{00000000-0005-0000-0000-00001D130000}"/>
    <cellStyle name="Comma 24 2 2 2 3 3 2" xfId="17779" xr:uid="{00000000-0005-0000-0000-00001E130000}"/>
    <cellStyle name="Comma 24 2 2 2 3 4" xfId="12855" xr:uid="{00000000-0005-0000-0000-00001F130000}"/>
    <cellStyle name="Comma 24 2 2 2 4" xfId="3097" xr:uid="{00000000-0005-0000-0000-000020130000}"/>
    <cellStyle name="Comma 24 2 2 2 4 2" xfId="8048" xr:uid="{00000000-0005-0000-0000-000021130000}"/>
    <cellStyle name="Comma 24 2 2 2 4 2 2" xfId="18945" xr:uid="{00000000-0005-0000-0000-000022130000}"/>
    <cellStyle name="Comma 24 2 2 2 4 3" xfId="13994" xr:uid="{00000000-0005-0000-0000-000023130000}"/>
    <cellStyle name="Comma 24 2 2 2 5" xfId="5736" xr:uid="{00000000-0005-0000-0000-000024130000}"/>
    <cellStyle name="Comma 24 2 2 2 5 2" xfId="16633" xr:uid="{00000000-0005-0000-0000-000025130000}"/>
    <cellStyle name="Comma 24 2 2 2 6" xfId="11734" xr:uid="{00000000-0005-0000-0000-000026130000}"/>
    <cellStyle name="Comma 24 2 2 3" xfId="1040" xr:uid="{00000000-0005-0000-0000-000027130000}"/>
    <cellStyle name="Comma 24 2 2 3 2" xfId="2197" xr:uid="{00000000-0005-0000-0000-000028130000}"/>
    <cellStyle name="Comma 24 2 2 3 2 2" xfId="4509" xr:uid="{00000000-0005-0000-0000-000029130000}"/>
    <cellStyle name="Comma 24 2 2 3 2 2 2" xfId="9460" xr:uid="{00000000-0005-0000-0000-00002A130000}"/>
    <cellStyle name="Comma 24 2 2 3 2 2 2 2" xfId="20357" xr:uid="{00000000-0005-0000-0000-00002B130000}"/>
    <cellStyle name="Comma 24 2 2 3 2 2 3" xfId="15406" xr:uid="{00000000-0005-0000-0000-00002C130000}"/>
    <cellStyle name="Comma 24 2 2 3 2 3" xfId="7148" xr:uid="{00000000-0005-0000-0000-00002D130000}"/>
    <cellStyle name="Comma 24 2 2 3 2 3 2" xfId="18045" xr:uid="{00000000-0005-0000-0000-00002E130000}"/>
    <cellStyle name="Comma 24 2 2 3 2 4" xfId="13114" xr:uid="{00000000-0005-0000-0000-00002F130000}"/>
    <cellStyle name="Comma 24 2 2 3 3" xfId="3364" xr:uid="{00000000-0005-0000-0000-000030130000}"/>
    <cellStyle name="Comma 24 2 2 3 3 2" xfId="8315" xr:uid="{00000000-0005-0000-0000-000031130000}"/>
    <cellStyle name="Comma 24 2 2 3 3 2 2" xfId="19212" xr:uid="{00000000-0005-0000-0000-000032130000}"/>
    <cellStyle name="Comma 24 2 2 3 3 3" xfId="14261" xr:uid="{00000000-0005-0000-0000-000033130000}"/>
    <cellStyle name="Comma 24 2 2 3 4" xfId="6003" xr:uid="{00000000-0005-0000-0000-000034130000}"/>
    <cellStyle name="Comma 24 2 2 3 4 2" xfId="16900" xr:uid="{00000000-0005-0000-0000-000035130000}"/>
    <cellStyle name="Comma 24 2 2 3 5" xfId="11996" xr:uid="{00000000-0005-0000-0000-000036130000}"/>
    <cellStyle name="Comma 24 2 2 4" xfId="1698" xr:uid="{00000000-0005-0000-0000-000037130000}"/>
    <cellStyle name="Comma 24 2 2 4 2" xfId="4010" xr:uid="{00000000-0005-0000-0000-000038130000}"/>
    <cellStyle name="Comma 24 2 2 4 2 2" xfId="8961" xr:uid="{00000000-0005-0000-0000-000039130000}"/>
    <cellStyle name="Comma 24 2 2 4 2 2 2" xfId="19858" xr:uid="{00000000-0005-0000-0000-00003A130000}"/>
    <cellStyle name="Comma 24 2 2 4 2 3" xfId="14907" xr:uid="{00000000-0005-0000-0000-00003B130000}"/>
    <cellStyle name="Comma 24 2 2 4 3" xfId="6649" xr:uid="{00000000-0005-0000-0000-00003C130000}"/>
    <cellStyle name="Comma 24 2 2 4 3 2" xfId="17546" xr:uid="{00000000-0005-0000-0000-00003D130000}"/>
    <cellStyle name="Comma 24 2 2 4 4" xfId="12629" xr:uid="{00000000-0005-0000-0000-00003E130000}"/>
    <cellStyle name="Comma 24 2 2 5" xfId="2832" xr:uid="{00000000-0005-0000-0000-00003F130000}"/>
    <cellStyle name="Comma 24 2 2 5 2" xfId="7783" xr:uid="{00000000-0005-0000-0000-000040130000}"/>
    <cellStyle name="Comma 24 2 2 5 2 2" xfId="18680" xr:uid="{00000000-0005-0000-0000-000041130000}"/>
    <cellStyle name="Comma 24 2 2 5 3" xfId="13729" xr:uid="{00000000-0005-0000-0000-000042130000}"/>
    <cellStyle name="Comma 24 2 2 6" xfId="5471" xr:uid="{00000000-0005-0000-0000-000043130000}"/>
    <cellStyle name="Comma 24 2 2 6 2" xfId="16368" xr:uid="{00000000-0005-0000-0000-000044130000}"/>
    <cellStyle name="Comma 24 2 2 7" xfId="11473" xr:uid="{00000000-0005-0000-0000-000045130000}"/>
    <cellStyle name="Comma 24 2 3" xfId="644" xr:uid="{00000000-0005-0000-0000-000046130000}"/>
    <cellStyle name="Comma 24 2 3 2" xfId="1176" xr:uid="{00000000-0005-0000-0000-000047130000}"/>
    <cellStyle name="Comma 24 2 3 2 2" xfId="2333" xr:uid="{00000000-0005-0000-0000-000048130000}"/>
    <cellStyle name="Comma 24 2 3 2 2 2" xfId="4645" xr:uid="{00000000-0005-0000-0000-000049130000}"/>
    <cellStyle name="Comma 24 2 3 2 2 2 2" xfId="9596" xr:uid="{00000000-0005-0000-0000-00004A130000}"/>
    <cellStyle name="Comma 24 2 3 2 2 2 2 2" xfId="20493" xr:uid="{00000000-0005-0000-0000-00004B130000}"/>
    <cellStyle name="Comma 24 2 3 2 2 2 3" xfId="15542" xr:uid="{00000000-0005-0000-0000-00004C130000}"/>
    <cellStyle name="Comma 24 2 3 2 2 3" xfId="7284" xr:uid="{00000000-0005-0000-0000-00004D130000}"/>
    <cellStyle name="Comma 24 2 3 2 2 3 2" xfId="18181" xr:uid="{00000000-0005-0000-0000-00004E130000}"/>
    <cellStyle name="Comma 24 2 3 2 2 4" xfId="13245" xr:uid="{00000000-0005-0000-0000-00004F130000}"/>
    <cellStyle name="Comma 24 2 3 2 3" xfId="3500" xr:uid="{00000000-0005-0000-0000-000050130000}"/>
    <cellStyle name="Comma 24 2 3 2 3 2" xfId="8451" xr:uid="{00000000-0005-0000-0000-000051130000}"/>
    <cellStyle name="Comma 24 2 3 2 3 2 2" xfId="19348" xr:uid="{00000000-0005-0000-0000-000052130000}"/>
    <cellStyle name="Comma 24 2 3 2 3 3" xfId="14397" xr:uid="{00000000-0005-0000-0000-000053130000}"/>
    <cellStyle name="Comma 24 2 3 2 4" xfId="6139" xr:uid="{00000000-0005-0000-0000-000054130000}"/>
    <cellStyle name="Comma 24 2 3 2 4 2" xfId="17036" xr:uid="{00000000-0005-0000-0000-000055130000}"/>
    <cellStyle name="Comma 24 2 3 2 5" xfId="12127" xr:uid="{00000000-0005-0000-0000-000056130000}"/>
    <cellStyle name="Comma 24 2 3 3" xfId="1817" xr:uid="{00000000-0005-0000-0000-000057130000}"/>
    <cellStyle name="Comma 24 2 3 3 2" xfId="4129" xr:uid="{00000000-0005-0000-0000-000058130000}"/>
    <cellStyle name="Comma 24 2 3 3 2 2" xfId="9080" xr:uid="{00000000-0005-0000-0000-000059130000}"/>
    <cellStyle name="Comma 24 2 3 3 2 2 2" xfId="19977" xr:uid="{00000000-0005-0000-0000-00005A130000}"/>
    <cellStyle name="Comma 24 2 3 3 2 3" xfId="15026" xr:uid="{00000000-0005-0000-0000-00005B130000}"/>
    <cellStyle name="Comma 24 2 3 3 3" xfId="6768" xr:uid="{00000000-0005-0000-0000-00005C130000}"/>
    <cellStyle name="Comma 24 2 3 3 3 2" xfId="17665" xr:uid="{00000000-0005-0000-0000-00005D130000}"/>
    <cellStyle name="Comma 24 2 3 3 4" xfId="12742" xr:uid="{00000000-0005-0000-0000-00005E130000}"/>
    <cellStyle name="Comma 24 2 3 4" xfId="2968" xr:uid="{00000000-0005-0000-0000-00005F130000}"/>
    <cellStyle name="Comma 24 2 3 4 2" xfId="7919" xr:uid="{00000000-0005-0000-0000-000060130000}"/>
    <cellStyle name="Comma 24 2 3 4 2 2" xfId="18816" xr:uid="{00000000-0005-0000-0000-000061130000}"/>
    <cellStyle name="Comma 24 2 3 4 3" xfId="13865" xr:uid="{00000000-0005-0000-0000-000062130000}"/>
    <cellStyle name="Comma 24 2 3 5" xfId="5607" xr:uid="{00000000-0005-0000-0000-000063130000}"/>
    <cellStyle name="Comma 24 2 3 5 2" xfId="16504" xr:uid="{00000000-0005-0000-0000-000064130000}"/>
    <cellStyle name="Comma 24 2 3 6" xfId="11606" xr:uid="{00000000-0005-0000-0000-000065130000}"/>
    <cellStyle name="Comma 24 2 4" xfId="911" xr:uid="{00000000-0005-0000-0000-000066130000}"/>
    <cellStyle name="Comma 24 2 4 2" xfId="2068" xr:uid="{00000000-0005-0000-0000-000067130000}"/>
    <cellStyle name="Comma 24 2 4 2 2" xfId="4380" xr:uid="{00000000-0005-0000-0000-000068130000}"/>
    <cellStyle name="Comma 24 2 4 2 2 2" xfId="9331" xr:uid="{00000000-0005-0000-0000-000069130000}"/>
    <cellStyle name="Comma 24 2 4 2 2 2 2" xfId="20228" xr:uid="{00000000-0005-0000-0000-00006A130000}"/>
    <cellStyle name="Comma 24 2 4 2 2 3" xfId="15277" xr:uid="{00000000-0005-0000-0000-00006B130000}"/>
    <cellStyle name="Comma 24 2 4 2 3" xfId="7019" xr:uid="{00000000-0005-0000-0000-00006C130000}"/>
    <cellStyle name="Comma 24 2 4 2 3 2" xfId="17916" xr:uid="{00000000-0005-0000-0000-00006D130000}"/>
    <cellStyle name="Comma 24 2 4 2 4" xfId="12986" xr:uid="{00000000-0005-0000-0000-00006E130000}"/>
    <cellStyle name="Comma 24 2 4 3" xfId="3235" xr:uid="{00000000-0005-0000-0000-00006F130000}"/>
    <cellStyle name="Comma 24 2 4 3 2" xfId="8186" xr:uid="{00000000-0005-0000-0000-000070130000}"/>
    <cellStyle name="Comma 24 2 4 3 2 2" xfId="19083" xr:uid="{00000000-0005-0000-0000-000071130000}"/>
    <cellStyle name="Comma 24 2 4 3 3" xfId="14132" xr:uid="{00000000-0005-0000-0000-000072130000}"/>
    <cellStyle name="Comma 24 2 4 4" xfId="5874" xr:uid="{00000000-0005-0000-0000-000073130000}"/>
    <cellStyle name="Comma 24 2 4 4 2" xfId="16771" xr:uid="{00000000-0005-0000-0000-000074130000}"/>
    <cellStyle name="Comma 24 2 4 5" xfId="11868" xr:uid="{00000000-0005-0000-0000-000075130000}"/>
    <cellStyle name="Comma 24 2 5" xfId="1584" xr:uid="{00000000-0005-0000-0000-000076130000}"/>
    <cellStyle name="Comma 24 2 5 2" xfId="3896" xr:uid="{00000000-0005-0000-0000-000077130000}"/>
    <cellStyle name="Comma 24 2 5 2 2" xfId="8847" xr:uid="{00000000-0005-0000-0000-000078130000}"/>
    <cellStyle name="Comma 24 2 5 2 2 2" xfId="19744" xr:uid="{00000000-0005-0000-0000-000079130000}"/>
    <cellStyle name="Comma 24 2 5 2 3" xfId="14793" xr:uid="{00000000-0005-0000-0000-00007A130000}"/>
    <cellStyle name="Comma 24 2 5 3" xfId="6535" xr:uid="{00000000-0005-0000-0000-00007B130000}"/>
    <cellStyle name="Comma 24 2 5 3 2" xfId="17432" xr:uid="{00000000-0005-0000-0000-00007C130000}"/>
    <cellStyle name="Comma 24 2 5 4" xfId="12516" xr:uid="{00000000-0005-0000-0000-00007D130000}"/>
    <cellStyle name="Comma 24 2 6" xfId="2703" xr:uid="{00000000-0005-0000-0000-00007E130000}"/>
    <cellStyle name="Comma 24 2 6 2" xfId="7654" xr:uid="{00000000-0005-0000-0000-00007F130000}"/>
    <cellStyle name="Comma 24 2 6 2 2" xfId="18551" xr:uid="{00000000-0005-0000-0000-000080130000}"/>
    <cellStyle name="Comma 24 2 6 3" xfId="13600" xr:uid="{00000000-0005-0000-0000-000081130000}"/>
    <cellStyle name="Comma 24 2 7" xfId="5342" xr:uid="{00000000-0005-0000-0000-000082130000}"/>
    <cellStyle name="Comma 24 2 7 2" xfId="16239" xr:uid="{00000000-0005-0000-0000-000083130000}"/>
    <cellStyle name="Comma 24 2 8" xfId="11345" xr:uid="{00000000-0005-0000-0000-000084130000}"/>
    <cellStyle name="Comma 24 3" xfId="447" xr:uid="{00000000-0005-0000-0000-000085130000}"/>
    <cellStyle name="Comma 24 3 2" xfId="712" xr:uid="{00000000-0005-0000-0000-000086130000}"/>
    <cellStyle name="Comma 24 3 2 2" xfId="1244" xr:uid="{00000000-0005-0000-0000-000087130000}"/>
    <cellStyle name="Comma 24 3 2 2 2" xfId="2401" xr:uid="{00000000-0005-0000-0000-000088130000}"/>
    <cellStyle name="Comma 24 3 2 2 2 2" xfId="4713" xr:uid="{00000000-0005-0000-0000-000089130000}"/>
    <cellStyle name="Comma 24 3 2 2 2 2 2" xfId="9664" xr:uid="{00000000-0005-0000-0000-00008A130000}"/>
    <cellStyle name="Comma 24 3 2 2 2 2 2 2" xfId="20561" xr:uid="{00000000-0005-0000-0000-00008B130000}"/>
    <cellStyle name="Comma 24 3 2 2 2 2 3" xfId="15610" xr:uid="{00000000-0005-0000-0000-00008C130000}"/>
    <cellStyle name="Comma 24 3 2 2 2 3" xfId="7352" xr:uid="{00000000-0005-0000-0000-00008D130000}"/>
    <cellStyle name="Comma 24 3 2 2 2 3 2" xfId="18249" xr:uid="{00000000-0005-0000-0000-00008E130000}"/>
    <cellStyle name="Comma 24 3 2 2 2 4" xfId="13312" xr:uid="{00000000-0005-0000-0000-00008F130000}"/>
    <cellStyle name="Comma 24 3 2 2 3" xfId="3568" xr:uid="{00000000-0005-0000-0000-000090130000}"/>
    <cellStyle name="Comma 24 3 2 2 3 2" xfId="8519" xr:uid="{00000000-0005-0000-0000-000091130000}"/>
    <cellStyle name="Comma 24 3 2 2 3 2 2" xfId="19416" xr:uid="{00000000-0005-0000-0000-000092130000}"/>
    <cellStyle name="Comma 24 3 2 2 3 3" xfId="14465" xr:uid="{00000000-0005-0000-0000-000093130000}"/>
    <cellStyle name="Comma 24 3 2 2 4" xfId="6207" xr:uid="{00000000-0005-0000-0000-000094130000}"/>
    <cellStyle name="Comma 24 3 2 2 4 2" xfId="17104" xr:uid="{00000000-0005-0000-0000-000095130000}"/>
    <cellStyle name="Comma 24 3 2 2 5" xfId="12194" xr:uid="{00000000-0005-0000-0000-000096130000}"/>
    <cellStyle name="Comma 24 3 2 3" xfId="1880" xr:uid="{00000000-0005-0000-0000-000097130000}"/>
    <cellStyle name="Comma 24 3 2 3 2" xfId="4192" xr:uid="{00000000-0005-0000-0000-000098130000}"/>
    <cellStyle name="Comma 24 3 2 3 2 2" xfId="9143" xr:uid="{00000000-0005-0000-0000-000099130000}"/>
    <cellStyle name="Comma 24 3 2 3 2 2 2" xfId="20040" xr:uid="{00000000-0005-0000-0000-00009A130000}"/>
    <cellStyle name="Comma 24 3 2 3 2 3" xfId="15089" xr:uid="{00000000-0005-0000-0000-00009B130000}"/>
    <cellStyle name="Comma 24 3 2 3 3" xfId="6831" xr:uid="{00000000-0005-0000-0000-00009C130000}"/>
    <cellStyle name="Comma 24 3 2 3 3 2" xfId="17728" xr:uid="{00000000-0005-0000-0000-00009D130000}"/>
    <cellStyle name="Comma 24 3 2 3 4" xfId="12804" xr:uid="{00000000-0005-0000-0000-00009E130000}"/>
    <cellStyle name="Comma 24 3 2 4" xfId="3036" xr:uid="{00000000-0005-0000-0000-00009F130000}"/>
    <cellStyle name="Comma 24 3 2 4 2" xfId="7987" xr:uid="{00000000-0005-0000-0000-0000A0130000}"/>
    <cellStyle name="Comma 24 3 2 4 2 2" xfId="18884" xr:uid="{00000000-0005-0000-0000-0000A1130000}"/>
    <cellStyle name="Comma 24 3 2 4 3" xfId="13933" xr:uid="{00000000-0005-0000-0000-0000A2130000}"/>
    <cellStyle name="Comma 24 3 2 5" xfId="5675" xr:uid="{00000000-0005-0000-0000-0000A3130000}"/>
    <cellStyle name="Comma 24 3 2 5 2" xfId="16572" xr:uid="{00000000-0005-0000-0000-0000A4130000}"/>
    <cellStyle name="Comma 24 3 2 6" xfId="11673" xr:uid="{00000000-0005-0000-0000-0000A5130000}"/>
    <cellStyle name="Comma 24 3 3" xfId="979" xr:uid="{00000000-0005-0000-0000-0000A6130000}"/>
    <cellStyle name="Comma 24 3 3 2" xfId="2136" xr:uid="{00000000-0005-0000-0000-0000A7130000}"/>
    <cellStyle name="Comma 24 3 3 2 2" xfId="4448" xr:uid="{00000000-0005-0000-0000-0000A8130000}"/>
    <cellStyle name="Comma 24 3 3 2 2 2" xfId="9399" xr:uid="{00000000-0005-0000-0000-0000A9130000}"/>
    <cellStyle name="Comma 24 3 3 2 2 2 2" xfId="20296" xr:uid="{00000000-0005-0000-0000-0000AA130000}"/>
    <cellStyle name="Comma 24 3 3 2 2 3" xfId="15345" xr:uid="{00000000-0005-0000-0000-0000AB130000}"/>
    <cellStyle name="Comma 24 3 3 2 3" xfId="7087" xr:uid="{00000000-0005-0000-0000-0000AC130000}"/>
    <cellStyle name="Comma 24 3 3 2 3 2" xfId="17984" xr:uid="{00000000-0005-0000-0000-0000AD130000}"/>
    <cellStyle name="Comma 24 3 3 2 4" xfId="13053" xr:uid="{00000000-0005-0000-0000-0000AE130000}"/>
    <cellStyle name="Comma 24 3 3 3" xfId="3303" xr:uid="{00000000-0005-0000-0000-0000AF130000}"/>
    <cellStyle name="Comma 24 3 3 3 2" xfId="8254" xr:uid="{00000000-0005-0000-0000-0000B0130000}"/>
    <cellStyle name="Comma 24 3 3 3 2 2" xfId="19151" xr:uid="{00000000-0005-0000-0000-0000B1130000}"/>
    <cellStyle name="Comma 24 3 3 3 3" xfId="14200" xr:uid="{00000000-0005-0000-0000-0000B2130000}"/>
    <cellStyle name="Comma 24 3 3 4" xfId="5942" xr:uid="{00000000-0005-0000-0000-0000B3130000}"/>
    <cellStyle name="Comma 24 3 3 4 2" xfId="16839" xr:uid="{00000000-0005-0000-0000-0000B4130000}"/>
    <cellStyle name="Comma 24 3 3 5" xfId="11935" xr:uid="{00000000-0005-0000-0000-0000B5130000}"/>
    <cellStyle name="Comma 24 3 4" xfId="1647" xr:uid="{00000000-0005-0000-0000-0000B6130000}"/>
    <cellStyle name="Comma 24 3 4 2" xfId="3959" xr:uid="{00000000-0005-0000-0000-0000B7130000}"/>
    <cellStyle name="Comma 24 3 4 2 2" xfId="8910" xr:uid="{00000000-0005-0000-0000-0000B8130000}"/>
    <cellStyle name="Comma 24 3 4 2 2 2" xfId="19807" xr:uid="{00000000-0005-0000-0000-0000B9130000}"/>
    <cellStyle name="Comma 24 3 4 2 3" xfId="14856" xr:uid="{00000000-0005-0000-0000-0000BA130000}"/>
    <cellStyle name="Comma 24 3 4 3" xfId="6598" xr:uid="{00000000-0005-0000-0000-0000BB130000}"/>
    <cellStyle name="Comma 24 3 4 3 2" xfId="17495" xr:uid="{00000000-0005-0000-0000-0000BC130000}"/>
    <cellStyle name="Comma 24 3 4 4" xfId="12578" xr:uid="{00000000-0005-0000-0000-0000BD130000}"/>
    <cellStyle name="Comma 24 3 5" xfId="2771" xr:uid="{00000000-0005-0000-0000-0000BE130000}"/>
    <cellStyle name="Comma 24 3 5 2" xfId="7722" xr:uid="{00000000-0005-0000-0000-0000BF130000}"/>
    <cellStyle name="Comma 24 3 5 2 2" xfId="18619" xr:uid="{00000000-0005-0000-0000-0000C0130000}"/>
    <cellStyle name="Comma 24 3 5 3" xfId="13668" xr:uid="{00000000-0005-0000-0000-0000C1130000}"/>
    <cellStyle name="Comma 24 3 6" xfId="5410" xr:uid="{00000000-0005-0000-0000-0000C2130000}"/>
    <cellStyle name="Comma 24 3 6 2" xfId="16307" xr:uid="{00000000-0005-0000-0000-0000C3130000}"/>
    <cellStyle name="Comma 24 3 7" xfId="11412" xr:uid="{00000000-0005-0000-0000-0000C4130000}"/>
    <cellStyle name="Comma 24 4" xfId="577" xr:uid="{00000000-0005-0000-0000-0000C5130000}"/>
    <cellStyle name="Comma 24 4 2" xfId="1109" xr:uid="{00000000-0005-0000-0000-0000C6130000}"/>
    <cellStyle name="Comma 24 4 2 2" xfId="2266" xr:uid="{00000000-0005-0000-0000-0000C7130000}"/>
    <cellStyle name="Comma 24 4 2 2 2" xfId="4578" xr:uid="{00000000-0005-0000-0000-0000C8130000}"/>
    <cellStyle name="Comma 24 4 2 2 2 2" xfId="9529" xr:uid="{00000000-0005-0000-0000-0000C9130000}"/>
    <cellStyle name="Comma 24 4 2 2 2 2 2" xfId="20426" xr:uid="{00000000-0005-0000-0000-0000CA130000}"/>
    <cellStyle name="Comma 24 4 2 2 2 3" xfId="15475" xr:uid="{00000000-0005-0000-0000-0000CB130000}"/>
    <cellStyle name="Comma 24 4 2 2 3" xfId="7217" xr:uid="{00000000-0005-0000-0000-0000CC130000}"/>
    <cellStyle name="Comma 24 4 2 2 3 2" xfId="18114" xr:uid="{00000000-0005-0000-0000-0000CD130000}"/>
    <cellStyle name="Comma 24 4 2 2 4" xfId="13181" xr:uid="{00000000-0005-0000-0000-0000CE130000}"/>
    <cellStyle name="Comma 24 4 2 3" xfId="3433" xr:uid="{00000000-0005-0000-0000-0000CF130000}"/>
    <cellStyle name="Comma 24 4 2 3 2" xfId="8384" xr:uid="{00000000-0005-0000-0000-0000D0130000}"/>
    <cellStyle name="Comma 24 4 2 3 2 2" xfId="19281" xr:uid="{00000000-0005-0000-0000-0000D1130000}"/>
    <cellStyle name="Comma 24 4 2 3 3" xfId="14330" xr:uid="{00000000-0005-0000-0000-0000D2130000}"/>
    <cellStyle name="Comma 24 4 2 4" xfId="6072" xr:uid="{00000000-0005-0000-0000-0000D3130000}"/>
    <cellStyle name="Comma 24 4 2 4 2" xfId="16969" xr:uid="{00000000-0005-0000-0000-0000D4130000}"/>
    <cellStyle name="Comma 24 4 2 5" xfId="12063" xr:uid="{00000000-0005-0000-0000-0000D5130000}"/>
    <cellStyle name="Comma 24 4 3" xfId="1762" xr:uid="{00000000-0005-0000-0000-0000D6130000}"/>
    <cellStyle name="Comma 24 4 3 2" xfId="4074" xr:uid="{00000000-0005-0000-0000-0000D7130000}"/>
    <cellStyle name="Comma 24 4 3 2 2" xfId="9025" xr:uid="{00000000-0005-0000-0000-0000D8130000}"/>
    <cellStyle name="Comma 24 4 3 2 2 2" xfId="19922" xr:uid="{00000000-0005-0000-0000-0000D9130000}"/>
    <cellStyle name="Comma 24 4 3 2 3" xfId="14971" xr:uid="{00000000-0005-0000-0000-0000DA130000}"/>
    <cellStyle name="Comma 24 4 3 3" xfId="6713" xr:uid="{00000000-0005-0000-0000-0000DB130000}"/>
    <cellStyle name="Comma 24 4 3 3 2" xfId="17610" xr:uid="{00000000-0005-0000-0000-0000DC130000}"/>
    <cellStyle name="Comma 24 4 3 4" xfId="12691" xr:uid="{00000000-0005-0000-0000-0000DD130000}"/>
    <cellStyle name="Comma 24 4 4" xfId="2901" xr:uid="{00000000-0005-0000-0000-0000DE130000}"/>
    <cellStyle name="Comma 24 4 4 2" xfId="7852" xr:uid="{00000000-0005-0000-0000-0000DF130000}"/>
    <cellStyle name="Comma 24 4 4 2 2" xfId="18749" xr:uid="{00000000-0005-0000-0000-0000E0130000}"/>
    <cellStyle name="Comma 24 4 4 3" xfId="13798" xr:uid="{00000000-0005-0000-0000-0000E1130000}"/>
    <cellStyle name="Comma 24 4 5" xfId="5540" xr:uid="{00000000-0005-0000-0000-0000E2130000}"/>
    <cellStyle name="Comma 24 4 5 2" xfId="16437" xr:uid="{00000000-0005-0000-0000-0000E3130000}"/>
    <cellStyle name="Comma 24 4 6" xfId="11542" xr:uid="{00000000-0005-0000-0000-0000E4130000}"/>
    <cellStyle name="Comma 24 5" xfId="844" xr:uid="{00000000-0005-0000-0000-0000E5130000}"/>
    <cellStyle name="Comma 24 5 2" xfId="2001" xr:uid="{00000000-0005-0000-0000-0000E6130000}"/>
    <cellStyle name="Comma 24 5 2 2" xfId="4313" xr:uid="{00000000-0005-0000-0000-0000E7130000}"/>
    <cellStyle name="Comma 24 5 2 2 2" xfId="9264" xr:uid="{00000000-0005-0000-0000-0000E8130000}"/>
    <cellStyle name="Comma 24 5 2 2 2 2" xfId="20161" xr:uid="{00000000-0005-0000-0000-0000E9130000}"/>
    <cellStyle name="Comma 24 5 2 2 3" xfId="15210" xr:uid="{00000000-0005-0000-0000-0000EA130000}"/>
    <cellStyle name="Comma 24 5 2 3" xfId="6952" xr:uid="{00000000-0005-0000-0000-0000EB130000}"/>
    <cellStyle name="Comma 24 5 2 3 2" xfId="17849" xr:uid="{00000000-0005-0000-0000-0000EC130000}"/>
    <cellStyle name="Comma 24 5 2 4" xfId="12923" xr:uid="{00000000-0005-0000-0000-0000ED130000}"/>
    <cellStyle name="Comma 24 5 3" xfId="3168" xr:uid="{00000000-0005-0000-0000-0000EE130000}"/>
    <cellStyle name="Comma 24 5 3 2" xfId="8119" xr:uid="{00000000-0005-0000-0000-0000EF130000}"/>
    <cellStyle name="Comma 24 5 3 2 2" xfId="19016" xr:uid="{00000000-0005-0000-0000-0000F0130000}"/>
    <cellStyle name="Comma 24 5 3 3" xfId="14065" xr:uid="{00000000-0005-0000-0000-0000F1130000}"/>
    <cellStyle name="Comma 24 5 4" xfId="5807" xr:uid="{00000000-0005-0000-0000-0000F2130000}"/>
    <cellStyle name="Comma 24 5 4 2" xfId="16704" xr:uid="{00000000-0005-0000-0000-0000F3130000}"/>
    <cellStyle name="Comma 24 5 5" xfId="11805" xr:uid="{00000000-0005-0000-0000-0000F4130000}"/>
    <cellStyle name="Comma 24 6" xfId="1529" xr:uid="{00000000-0005-0000-0000-0000F5130000}"/>
    <cellStyle name="Comma 24 6 2" xfId="3841" xr:uid="{00000000-0005-0000-0000-0000F6130000}"/>
    <cellStyle name="Comma 24 6 2 2" xfId="8792" xr:uid="{00000000-0005-0000-0000-0000F7130000}"/>
    <cellStyle name="Comma 24 6 2 2 2" xfId="19689" xr:uid="{00000000-0005-0000-0000-0000F8130000}"/>
    <cellStyle name="Comma 24 6 2 3" xfId="14738" xr:uid="{00000000-0005-0000-0000-0000F9130000}"/>
    <cellStyle name="Comma 24 6 3" xfId="6480" xr:uid="{00000000-0005-0000-0000-0000FA130000}"/>
    <cellStyle name="Comma 24 6 3 2" xfId="17377" xr:uid="{00000000-0005-0000-0000-0000FB130000}"/>
    <cellStyle name="Comma 24 6 4" xfId="12464" xr:uid="{00000000-0005-0000-0000-0000FC130000}"/>
    <cellStyle name="Comma 24 7" xfId="2633" xr:uid="{00000000-0005-0000-0000-0000FD130000}"/>
    <cellStyle name="Comma 24 7 2" xfId="7584" xr:uid="{00000000-0005-0000-0000-0000FE130000}"/>
    <cellStyle name="Comma 24 7 2 2" xfId="18481" xr:uid="{00000000-0005-0000-0000-0000FF130000}"/>
    <cellStyle name="Comma 24 7 3" xfId="13530" xr:uid="{00000000-0005-0000-0000-000000140000}"/>
    <cellStyle name="Comma 24 8" xfId="5272" xr:uid="{00000000-0005-0000-0000-000001140000}"/>
    <cellStyle name="Comma 24 8 2" xfId="16169" xr:uid="{00000000-0005-0000-0000-000002140000}"/>
    <cellStyle name="Comma 24 9" xfId="11257" xr:uid="{00000000-0005-0000-0000-000003140000}"/>
    <cellStyle name="Comma 25" xfId="180" xr:uid="{00000000-0005-0000-0000-000004140000}"/>
    <cellStyle name="Comma 25 2" xfId="379" xr:uid="{00000000-0005-0000-0000-000005140000}"/>
    <cellStyle name="Comma 25 2 2" xfId="509" xr:uid="{00000000-0005-0000-0000-000006140000}"/>
    <cellStyle name="Comma 25 2 2 2" xfId="774" xr:uid="{00000000-0005-0000-0000-000007140000}"/>
    <cellStyle name="Comma 25 2 2 2 2" xfId="1306" xr:uid="{00000000-0005-0000-0000-000008140000}"/>
    <cellStyle name="Comma 25 2 2 2 2 2" xfId="2463" xr:uid="{00000000-0005-0000-0000-000009140000}"/>
    <cellStyle name="Comma 25 2 2 2 2 2 2" xfId="4775" xr:uid="{00000000-0005-0000-0000-00000A140000}"/>
    <cellStyle name="Comma 25 2 2 2 2 2 2 2" xfId="9726" xr:uid="{00000000-0005-0000-0000-00000B140000}"/>
    <cellStyle name="Comma 25 2 2 2 2 2 2 2 2" xfId="20623" xr:uid="{00000000-0005-0000-0000-00000C140000}"/>
    <cellStyle name="Comma 25 2 2 2 2 2 2 3" xfId="15672" xr:uid="{00000000-0005-0000-0000-00000D140000}"/>
    <cellStyle name="Comma 25 2 2 2 2 2 3" xfId="7414" xr:uid="{00000000-0005-0000-0000-00000E140000}"/>
    <cellStyle name="Comma 25 2 2 2 2 2 3 2" xfId="18311" xr:uid="{00000000-0005-0000-0000-00000F140000}"/>
    <cellStyle name="Comma 25 2 2 2 2 2 4" xfId="13374" xr:uid="{00000000-0005-0000-0000-000010140000}"/>
    <cellStyle name="Comma 25 2 2 2 2 3" xfId="3630" xr:uid="{00000000-0005-0000-0000-000011140000}"/>
    <cellStyle name="Comma 25 2 2 2 2 3 2" xfId="8581" xr:uid="{00000000-0005-0000-0000-000012140000}"/>
    <cellStyle name="Comma 25 2 2 2 2 3 2 2" xfId="19478" xr:uid="{00000000-0005-0000-0000-000013140000}"/>
    <cellStyle name="Comma 25 2 2 2 2 3 3" xfId="14527" xr:uid="{00000000-0005-0000-0000-000014140000}"/>
    <cellStyle name="Comma 25 2 2 2 2 4" xfId="6269" xr:uid="{00000000-0005-0000-0000-000015140000}"/>
    <cellStyle name="Comma 25 2 2 2 2 4 2" xfId="17166" xr:uid="{00000000-0005-0000-0000-000016140000}"/>
    <cellStyle name="Comma 25 2 2 2 2 5" xfId="12256" xr:uid="{00000000-0005-0000-0000-000017140000}"/>
    <cellStyle name="Comma 25 2 2 2 3" xfId="1932" xr:uid="{00000000-0005-0000-0000-000018140000}"/>
    <cellStyle name="Comma 25 2 2 2 3 2" xfId="4244" xr:uid="{00000000-0005-0000-0000-000019140000}"/>
    <cellStyle name="Comma 25 2 2 2 3 2 2" xfId="9195" xr:uid="{00000000-0005-0000-0000-00001A140000}"/>
    <cellStyle name="Comma 25 2 2 2 3 2 2 2" xfId="20092" xr:uid="{00000000-0005-0000-0000-00001B140000}"/>
    <cellStyle name="Comma 25 2 2 2 3 2 3" xfId="15141" xr:uid="{00000000-0005-0000-0000-00001C140000}"/>
    <cellStyle name="Comma 25 2 2 2 3 3" xfId="6883" xr:uid="{00000000-0005-0000-0000-00001D140000}"/>
    <cellStyle name="Comma 25 2 2 2 3 3 2" xfId="17780" xr:uid="{00000000-0005-0000-0000-00001E140000}"/>
    <cellStyle name="Comma 25 2 2 2 3 4" xfId="12856" xr:uid="{00000000-0005-0000-0000-00001F140000}"/>
    <cellStyle name="Comma 25 2 2 2 4" xfId="3098" xr:uid="{00000000-0005-0000-0000-000020140000}"/>
    <cellStyle name="Comma 25 2 2 2 4 2" xfId="8049" xr:uid="{00000000-0005-0000-0000-000021140000}"/>
    <cellStyle name="Comma 25 2 2 2 4 2 2" xfId="18946" xr:uid="{00000000-0005-0000-0000-000022140000}"/>
    <cellStyle name="Comma 25 2 2 2 4 3" xfId="13995" xr:uid="{00000000-0005-0000-0000-000023140000}"/>
    <cellStyle name="Comma 25 2 2 2 5" xfId="5737" xr:uid="{00000000-0005-0000-0000-000024140000}"/>
    <cellStyle name="Comma 25 2 2 2 5 2" xfId="16634" xr:uid="{00000000-0005-0000-0000-000025140000}"/>
    <cellStyle name="Comma 25 2 2 2 6" xfId="11735" xr:uid="{00000000-0005-0000-0000-000026140000}"/>
    <cellStyle name="Comma 25 2 2 3" xfId="1041" xr:uid="{00000000-0005-0000-0000-000027140000}"/>
    <cellStyle name="Comma 25 2 2 3 2" xfId="2198" xr:uid="{00000000-0005-0000-0000-000028140000}"/>
    <cellStyle name="Comma 25 2 2 3 2 2" xfId="4510" xr:uid="{00000000-0005-0000-0000-000029140000}"/>
    <cellStyle name="Comma 25 2 2 3 2 2 2" xfId="9461" xr:uid="{00000000-0005-0000-0000-00002A140000}"/>
    <cellStyle name="Comma 25 2 2 3 2 2 2 2" xfId="20358" xr:uid="{00000000-0005-0000-0000-00002B140000}"/>
    <cellStyle name="Comma 25 2 2 3 2 2 3" xfId="15407" xr:uid="{00000000-0005-0000-0000-00002C140000}"/>
    <cellStyle name="Comma 25 2 2 3 2 3" xfId="7149" xr:uid="{00000000-0005-0000-0000-00002D140000}"/>
    <cellStyle name="Comma 25 2 2 3 2 3 2" xfId="18046" xr:uid="{00000000-0005-0000-0000-00002E140000}"/>
    <cellStyle name="Comma 25 2 2 3 2 4" xfId="13115" xr:uid="{00000000-0005-0000-0000-00002F140000}"/>
    <cellStyle name="Comma 25 2 2 3 3" xfId="3365" xr:uid="{00000000-0005-0000-0000-000030140000}"/>
    <cellStyle name="Comma 25 2 2 3 3 2" xfId="8316" xr:uid="{00000000-0005-0000-0000-000031140000}"/>
    <cellStyle name="Comma 25 2 2 3 3 2 2" xfId="19213" xr:uid="{00000000-0005-0000-0000-000032140000}"/>
    <cellStyle name="Comma 25 2 2 3 3 3" xfId="14262" xr:uid="{00000000-0005-0000-0000-000033140000}"/>
    <cellStyle name="Comma 25 2 2 3 4" xfId="6004" xr:uid="{00000000-0005-0000-0000-000034140000}"/>
    <cellStyle name="Comma 25 2 2 3 4 2" xfId="16901" xr:uid="{00000000-0005-0000-0000-000035140000}"/>
    <cellStyle name="Comma 25 2 2 3 5" xfId="11997" xr:uid="{00000000-0005-0000-0000-000036140000}"/>
    <cellStyle name="Comma 25 2 2 4" xfId="1699" xr:uid="{00000000-0005-0000-0000-000037140000}"/>
    <cellStyle name="Comma 25 2 2 4 2" xfId="4011" xr:uid="{00000000-0005-0000-0000-000038140000}"/>
    <cellStyle name="Comma 25 2 2 4 2 2" xfId="8962" xr:uid="{00000000-0005-0000-0000-000039140000}"/>
    <cellStyle name="Comma 25 2 2 4 2 2 2" xfId="19859" xr:uid="{00000000-0005-0000-0000-00003A140000}"/>
    <cellStyle name="Comma 25 2 2 4 2 3" xfId="14908" xr:uid="{00000000-0005-0000-0000-00003B140000}"/>
    <cellStyle name="Comma 25 2 2 4 3" xfId="6650" xr:uid="{00000000-0005-0000-0000-00003C140000}"/>
    <cellStyle name="Comma 25 2 2 4 3 2" xfId="17547" xr:uid="{00000000-0005-0000-0000-00003D140000}"/>
    <cellStyle name="Comma 25 2 2 4 4" xfId="12630" xr:uid="{00000000-0005-0000-0000-00003E140000}"/>
    <cellStyle name="Comma 25 2 2 5" xfId="2833" xr:uid="{00000000-0005-0000-0000-00003F140000}"/>
    <cellStyle name="Comma 25 2 2 5 2" xfId="7784" xr:uid="{00000000-0005-0000-0000-000040140000}"/>
    <cellStyle name="Comma 25 2 2 5 2 2" xfId="18681" xr:uid="{00000000-0005-0000-0000-000041140000}"/>
    <cellStyle name="Comma 25 2 2 5 3" xfId="13730" xr:uid="{00000000-0005-0000-0000-000042140000}"/>
    <cellStyle name="Comma 25 2 2 6" xfId="5472" xr:uid="{00000000-0005-0000-0000-000043140000}"/>
    <cellStyle name="Comma 25 2 2 6 2" xfId="16369" xr:uid="{00000000-0005-0000-0000-000044140000}"/>
    <cellStyle name="Comma 25 2 2 7" xfId="11474" xr:uid="{00000000-0005-0000-0000-000045140000}"/>
    <cellStyle name="Comma 25 2 3" xfId="645" xr:uid="{00000000-0005-0000-0000-000046140000}"/>
    <cellStyle name="Comma 25 2 3 2" xfId="1177" xr:uid="{00000000-0005-0000-0000-000047140000}"/>
    <cellStyle name="Comma 25 2 3 2 2" xfId="2334" xr:uid="{00000000-0005-0000-0000-000048140000}"/>
    <cellStyle name="Comma 25 2 3 2 2 2" xfId="4646" xr:uid="{00000000-0005-0000-0000-000049140000}"/>
    <cellStyle name="Comma 25 2 3 2 2 2 2" xfId="9597" xr:uid="{00000000-0005-0000-0000-00004A140000}"/>
    <cellStyle name="Comma 25 2 3 2 2 2 2 2" xfId="20494" xr:uid="{00000000-0005-0000-0000-00004B140000}"/>
    <cellStyle name="Comma 25 2 3 2 2 2 3" xfId="15543" xr:uid="{00000000-0005-0000-0000-00004C140000}"/>
    <cellStyle name="Comma 25 2 3 2 2 3" xfId="7285" xr:uid="{00000000-0005-0000-0000-00004D140000}"/>
    <cellStyle name="Comma 25 2 3 2 2 3 2" xfId="18182" xr:uid="{00000000-0005-0000-0000-00004E140000}"/>
    <cellStyle name="Comma 25 2 3 2 2 4" xfId="13246" xr:uid="{00000000-0005-0000-0000-00004F140000}"/>
    <cellStyle name="Comma 25 2 3 2 3" xfId="3501" xr:uid="{00000000-0005-0000-0000-000050140000}"/>
    <cellStyle name="Comma 25 2 3 2 3 2" xfId="8452" xr:uid="{00000000-0005-0000-0000-000051140000}"/>
    <cellStyle name="Comma 25 2 3 2 3 2 2" xfId="19349" xr:uid="{00000000-0005-0000-0000-000052140000}"/>
    <cellStyle name="Comma 25 2 3 2 3 3" xfId="14398" xr:uid="{00000000-0005-0000-0000-000053140000}"/>
    <cellStyle name="Comma 25 2 3 2 4" xfId="6140" xr:uid="{00000000-0005-0000-0000-000054140000}"/>
    <cellStyle name="Comma 25 2 3 2 4 2" xfId="17037" xr:uid="{00000000-0005-0000-0000-000055140000}"/>
    <cellStyle name="Comma 25 2 3 2 5" xfId="12128" xr:uid="{00000000-0005-0000-0000-000056140000}"/>
    <cellStyle name="Comma 25 2 3 3" xfId="1818" xr:uid="{00000000-0005-0000-0000-000057140000}"/>
    <cellStyle name="Comma 25 2 3 3 2" xfId="4130" xr:uid="{00000000-0005-0000-0000-000058140000}"/>
    <cellStyle name="Comma 25 2 3 3 2 2" xfId="9081" xr:uid="{00000000-0005-0000-0000-000059140000}"/>
    <cellStyle name="Comma 25 2 3 3 2 2 2" xfId="19978" xr:uid="{00000000-0005-0000-0000-00005A140000}"/>
    <cellStyle name="Comma 25 2 3 3 2 3" xfId="15027" xr:uid="{00000000-0005-0000-0000-00005B140000}"/>
    <cellStyle name="Comma 25 2 3 3 3" xfId="6769" xr:uid="{00000000-0005-0000-0000-00005C140000}"/>
    <cellStyle name="Comma 25 2 3 3 3 2" xfId="17666" xr:uid="{00000000-0005-0000-0000-00005D140000}"/>
    <cellStyle name="Comma 25 2 3 3 4" xfId="12743" xr:uid="{00000000-0005-0000-0000-00005E140000}"/>
    <cellStyle name="Comma 25 2 3 4" xfId="2969" xr:uid="{00000000-0005-0000-0000-00005F140000}"/>
    <cellStyle name="Comma 25 2 3 4 2" xfId="7920" xr:uid="{00000000-0005-0000-0000-000060140000}"/>
    <cellStyle name="Comma 25 2 3 4 2 2" xfId="18817" xr:uid="{00000000-0005-0000-0000-000061140000}"/>
    <cellStyle name="Comma 25 2 3 4 3" xfId="13866" xr:uid="{00000000-0005-0000-0000-000062140000}"/>
    <cellStyle name="Comma 25 2 3 5" xfId="5608" xr:uid="{00000000-0005-0000-0000-000063140000}"/>
    <cellStyle name="Comma 25 2 3 5 2" xfId="16505" xr:uid="{00000000-0005-0000-0000-000064140000}"/>
    <cellStyle name="Comma 25 2 3 6" xfId="11607" xr:uid="{00000000-0005-0000-0000-000065140000}"/>
    <cellStyle name="Comma 25 2 4" xfId="912" xr:uid="{00000000-0005-0000-0000-000066140000}"/>
    <cellStyle name="Comma 25 2 4 2" xfId="2069" xr:uid="{00000000-0005-0000-0000-000067140000}"/>
    <cellStyle name="Comma 25 2 4 2 2" xfId="4381" xr:uid="{00000000-0005-0000-0000-000068140000}"/>
    <cellStyle name="Comma 25 2 4 2 2 2" xfId="9332" xr:uid="{00000000-0005-0000-0000-000069140000}"/>
    <cellStyle name="Comma 25 2 4 2 2 2 2" xfId="20229" xr:uid="{00000000-0005-0000-0000-00006A140000}"/>
    <cellStyle name="Comma 25 2 4 2 2 3" xfId="15278" xr:uid="{00000000-0005-0000-0000-00006B140000}"/>
    <cellStyle name="Comma 25 2 4 2 3" xfId="7020" xr:uid="{00000000-0005-0000-0000-00006C140000}"/>
    <cellStyle name="Comma 25 2 4 2 3 2" xfId="17917" xr:uid="{00000000-0005-0000-0000-00006D140000}"/>
    <cellStyle name="Comma 25 2 4 2 4" xfId="12987" xr:uid="{00000000-0005-0000-0000-00006E140000}"/>
    <cellStyle name="Comma 25 2 4 3" xfId="3236" xr:uid="{00000000-0005-0000-0000-00006F140000}"/>
    <cellStyle name="Comma 25 2 4 3 2" xfId="8187" xr:uid="{00000000-0005-0000-0000-000070140000}"/>
    <cellStyle name="Comma 25 2 4 3 2 2" xfId="19084" xr:uid="{00000000-0005-0000-0000-000071140000}"/>
    <cellStyle name="Comma 25 2 4 3 3" xfId="14133" xr:uid="{00000000-0005-0000-0000-000072140000}"/>
    <cellStyle name="Comma 25 2 4 4" xfId="5875" xr:uid="{00000000-0005-0000-0000-000073140000}"/>
    <cellStyle name="Comma 25 2 4 4 2" xfId="16772" xr:uid="{00000000-0005-0000-0000-000074140000}"/>
    <cellStyle name="Comma 25 2 4 5" xfId="11869" xr:uid="{00000000-0005-0000-0000-000075140000}"/>
    <cellStyle name="Comma 25 2 5" xfId="1585" xr:uid="{00000000-0005-0000-0000-000076140000}"/>
    <cellStyle name="Comma 25 2 5 2" xfId="3897" xr:uid="{00000000-0005-0000-0000-000077140000}"/>
    <cellStyle name="Comma 25 2 5 2 2" xfId="8848" xr:uid="{00000000-0005-0000-0000-000078140000}"/>
    <cellStyle name="Comma 25 2 5 2 2 2" xfId="19745" xr:uid="{00000000-0005-0000-0000-000079140000}"/>
    <cellStyle name="Comma 25 2 5 2 3" xfId="14794" xr:uid="{00000000-0005-0000-0000-00007A140000}"/>
    <cellStyle name="Comma 25 2 5 3" xfId="6536" xr:uid="{00000000-0005-0000-0000-00007B140000}"/>
    <cellStyle name="Comma 25 2 5 3 2" xfId="17433" xr:uid="{00000000-0005-0000-0000-00007C140000}"/>
    <cellStyle name="Comma 25 2 5 4" xfId="12517" xr:uid="{00000000-0005-0000-0000-00007D140000}"/>
    <cellStyle name="Comma 25 2 6" xfId="2704" xr:uid="{00000000-0005-0000-0000-00007E140000}"/>
    <cellStyle name="Comma 25 2 6 2" xfId="7655" xr:uid="{00000000-0005-0000-0000-00007F140000}"/>
    <cellStyle name="Comma 25 2 6 2 2" xfId="18552" xr:uid="{00000000-0005-0000-0000-000080140000}"/>
    <cellStyle name="Comma 25 2 6 3" xfId="13601" xr:uid="{00000000-0005-0000-0000-000081140000}"/>
    <cellStyle name="Comma 25 2 7" xfId="5343" xr:uid="{00000000-0005-0000-0000-000082140000}"/>
    <cellStyle name="Comma 25 2 7 2" xfId="16240" xr:uid="{00000000-0005-0000-0000-000083140000}"/>
    <cellStyle name="Comma 25 2 8" xfId="11346" xr:uid="{00000000-0005-0000-0000-000084140000}"/>
    <cellStyle name="Comma 25 3" xfId="448" xr:uid="{00000000-0005-0000-0000-000085140000}"/>
    <cellStyle name="Comma 25 3 2" xfId="713" xr:uid="{00000000-0005-0000-0000-000086140000}"/>
    <cellStyle name="Comma 25 3 2 2" xfId="1245" xr:uid="{00000000-0005-0000-0000-000087140000}"/>
    <cellStyle name="Comma 25 3 2 2 2" xfId="2402" xr:uid="{00000000-0005-0000-0000-000088140000}"/>
    <cellStyle name="Comma 25 3 2 2 2 2" xfId="4714" xr:uid="{00000000-0005-0000-0000-000089140000}"/>
    <cellStyle name="Comma 25 3 2 2 2 2 2" xfId="9665" xr:uid="{00000000-0005-0000-0000-00008A140000}"/>
    <cellStyle name="Comma 25 3 2 2 2 2 2 2" xfId="20562" xr:uid="{00000000-0005-0000-0000-00008B140000}"/>
    <cellStyle name="Comma 25 3 2 2 2 2 3" xfId="15611" xr:uid="{00000000-0005-0000-0000-00008C140000}"/>
    <cellStyle name="Comma 25 3 2 2 2 3" xfId="7353" xr:uid="{00000000-0005-0000-0000-00008D140000}"/>
    <cellStyle name="Comma 25 3 2 2 2 3 2" xfId="18250" xr:uid="{00000000-0005-0000-0000-00008E140000}"/>
    <cellStyle name="Comma 25 3 2 2 2 4" xfId="13313" xr:uid="{00000000-0005-0000-0000-00008F140000}"/>
    <cellStyle name="Comma 25 3 2 2 3" xfId="3569" xr:uid="{00000000-0005-0000-0000-000090140000}"/>
    <cellStyle name="Comma 25 3 2 2 3 2" xfId="8520" xr:uid="{00000000-0005-0000-0000-000091140000}"/>
    <cellStyle name="Comma 25 3 2 2 3 2 2" xfId="19417" xr:uid="{00000000-0005-0000-0000-000092140000}"/>
    <cellStyle name="Comma 25 3 2 2 3 3" xfId="14466" xr:uid="{00000000-0005-0000-0000-000093140000}"/>
    <cellStyle name="Comma 25 3 2 2 4" xfId="6208" xr:uid="{00000000-0005-0000-0000-000094140000}"/>
    <cellStyle name="Comma 25 3 2 2 4 2" xfId="17105" xr:uid="{00000000-0005-0000-0000-000095140000}"/>
    <cellStyle name="Comma 25 3 2 2 5" xfId="12195" xr:uid="{00000000-0005-0000-0000-000096140000}"/>
    <cellStyle name="Comma 25 3 2 3" xfId="1881" xr:uid="{00000000-0005-0000-0000-000097140000}"/>
    <cellStyle name="Comma 25 3 2 3 2" xfId="4193" xr:uid="{00000000-0005-0000-0000-000098140000}"/>
    <cellStyle name="Comma 25 3 2 3 2 2" xfId="9144" xr:uid="{00000000-0005-0000-0000-000099140000}"/>
    <cellStyle name="Comma 25 3 2 3 2 2 2" xfId="20041" xr:uid="{00000000-0005-0000-0000-00009A140000}"/>
    <cellStyle name="Comma 25 3 2 3 2 3" xfId="15090" xr:uid="{00000000-0005-0000-0000-00009B140000}"/>
    <cellStyle name="Comma 25 3 2 3 3" xfId="6832" xr:uid="{00000000-0005-0000-0000-00009C140000}"/>
    <cellStyle name="Comma 25 3 2 3 3 2" xfId="17729" xr:uid="{00000000-0005-0000-0000-00009D140000}"/>
    <cellStyle name="Comma 25 3 2 3 4" xfId="12805" xr:uid="{00000000-0005-0000-0000-00009E140000}"/>
    <cellStyle name="Comma 25 3 2 4" xfId="3037" xr:uid="{00000000-0005-0000-0000-00009F140000}"/>
    <cellStyle name="Comma 25 3 2 4 2" xfId="7988" xr:uid="{00000000-0005-0000-0000-0000A0140000}"/>
    <cellStyle name="Comma 25 3 2 4 2 2" xfId="18885" xr:uid="{00000000-0005-0000-0000-0000A1140000}"/>
    <cellStyle name="Comma 25 3 2 4 3" xfId="13934" xr:uid="{00000000-0005-0000-0000-0000A2140000}"/>
    <cellStyle name="Comma 25 3 2 5" xfId="5676" xr:uid="{00000000-0005-0000-0000-0000A3140000}"/>
    <cellStyle name="Comma 25 3 2 5 2" xfId="16573" xr:uid="{00000000-0005-0000-0000-0000A4140000}"/>
    <cellStyle name="Comma 25 3 2 6" xfId="11674" xr:uid="{00000000-0005-0000-0000-0000A5140000}"/>
    <cellStyle name="Comma 25 3 3" xfId="980" xr:uid="{00000000-0005-0000-0000-0000A6140000}"/>
    <cellStyle name="Comma 25 3 3 2" xfId="2137" xr:uid="{00000000-0005-0000-0000-0000A7140000}"/>
    <cellStyle name="Comma 25 3 3 2 2" xfId="4449" xr:uid="{00000000-0005-0000-0000-0000A8140000}"/>
    <cellStyle name="Comma 25 3 3 2 2 2" xfId="9400" xr:uid="{00000000-0005-0000-0000-0000A9140000}"/>
    <cellStyle name="Comma 25 3 3 2 2 2 2" xfId="20297" xr:uid="{00000000-0005-0000-0000-0000AA140000}"/>
    <cellStyle name="Comma 25 3 3 2 2 3" xfId="15346" xr:uid="{00000000-0005-0000-0000-0000AB140000}"/>
    <cellStyle name="Comma 25 3 3 2 3" xfId="7088" xr:uid="{00000000-0005-0000-0000-0000AC140000}"/>
    <cellStyle name="Comma 25 3 3 2 3 2" xfId="17985" xr:uid="{00000000-0005-0000-0000-0000AD140000}"/>
    <cellStyle name="Comma 25 3 3 2 4" xfId="13054" xr:uid="{00000000-0005-0000-0000-0000AE140000}"/>
    <cellStyle name="Comma 25 3 3 3" xfId="3304" xr:uid="{00000000-0005-0000-0000-0000AF140000}"/>
    <cellStyle name="Comma 25 3 3 3 2" xfId="8255" xr:uid="{00000000-0005-0000-0000-0000B0140000}"/>
    <cellStyle name="Comma 25 3 3 3 2 2" xfId="19152" xr:uid="{00000000-0005-0000-0000-0000B1140000}"/>
    <cellStyle name="Comma 25 3 3 3 3" xfId="14201" xr:uid="{00000000-0005-0000-0000-0000B2140000}"/>
    <cellStyle name="Comma 25 3 3 4" xfId="5943" xr:uid="{00000000-0005-0000-0000-0000B3140000}"/>
    <cellStyle name="Comma 25 3 3 4 2" xfId="16840" xr:uid="{00000000-0005-0000-0000-0000B4140000}"/>
    <cellStyle name="Comma 25 3 3 5" xfId="11936" xr:uid="{00000000-0005-0000-0000-0000B5140000}"/>
    <cellStyle name="Comma 25 3 4" xfId="1648" xr:uid="{00000000-0005-0000-0000-0000B6140000}"/>
    <cellStyle name="Comma 25 3 4 2" xfId="3960" xr:uid="{00000000-0005-0000-0000-0000B7140000}"/>
    <cellStyle name="Comma 25 3 4 2 2" xfId="8911" xr:uid="{00000000-0005-0000-0000-0000B8140000}"/>
    <cellStyle name="Comma 25 3 4 2 2 2" xfId="19808" xr:uid="{00000000-0005-0000-0000-0000B9140000}"/>
    <cellStyle name="Comma 25 3 4 2 3" xfId="14857" xr:uid="{00000000-0005-0000-0000-0000BA140000}"/>
    <cellStyle name="Comma 25 3 4 3" xfId="6599" xr:uid="{00000000-0005-0000-0000-0000BB140000}"/>
    <cellStyle name="Comma 25 3 4 3 2" xfId="17496" xr:uid="{00000000-0005-0000-0000-0000BC140000}"/>
    <cellStyle name="Comma 25 3 4 4" xfId="12579" xr:uid="{00000000-0005-0000-0000-0000BD140000}"/>
    <cellStyle name="Comma 25 3 5" xfId="2772" xr:uid="{00000000-0005-0000-0000-0000BE140000}"/>
    <cellStyle name="Comma 25 3 5 2" xfId="7723" xr:uid="{00000000-0005-0000-0000-0000BF140000}"/>
    <cellStyle name="Comma 25 3 5 2 2" xfId="18620" xr:uid="{00000000-0005-0000-0000-0000C0140000}"/>
    <cellStyle name="Comma 25 3 5 3" xfId="13669" xr:uid="{00000000-0005-0000-0000-0000C1140000}"/>
    <cellStyle name="Comma 25 3 6" xfId="5411" xr:uid="{00000000-0005-0000-0000-0000C2140000}"/>
    <cellStyle name="Comma 25 3 6 2" xfId="16308" xr:uid="{00000000-0005-0000-0000-0000C3140000}"/>
    <cellStyle name="Comma 25 3 7" xfId="11413" xr:uid="{00000000-0005-0000-0000-0000C4140000}"/>
    <cellStyle name="Comma 25 4" xfId="578" xr:uid="{00000000-0005-0000-0000-0000C5140000}"/>
    <cellStyle name="Comma 25 4 2" xfId="1110" xr:uid="{00000000-0005-0000-0000-0000C6140000}"/>
    <cellStyle name="Comma 25 4 2 2" xfId="2267" xr:uid="{00000000-0005-0000-0000-0000C7140000}"/>
    <cellStyle name="Comma 25 4 2 2 2" xfId="4579" xr:uid="{00000000-0005-0000-0000-0000C8140000}"/>
    <cellStyle name="Comma 25 4 2 2 2 2" xfId="9530" xr:uid="{00000000-0005-0000-0000-0000C9140000}"/>
    <cellStyle name="Comma 25 4 2 2 2 2 2" xfId="20427" xr:uid="{00000000-0005-0000-0000-0000CA140000}"/>
    <cellStyle name="Comma 25 4 2 2 2 3" xfId="15476" xr:uid="{00000000-0005-0000-0000-0000CB140000}"/>
    <cellStyle name="Comma 25 4 2 2 3" xfId="7218" xr:uid="{00000000-0005-0000-0000-0000CC140000}"/>
    <cellStyle name="Comma 25 4 2 2 3 2" xfId="18115" xr:uid="{00000000-0005-0000-0000-0000CD140000}"/>
    <cellStyle name="Comma 25 4 2 2 4" xfId="13182" xr:uid="{00000000-0005-0000-0000-0000CE140000}"/>
    <cellStyle name="Comma 25 4 2 3" xfId="3434" xr:uid="{00000000-0005-0000-0000-0000CF140000}"/>
    <cellStyle name="Comma 25 4 2 3 2" xfId="8385" xr:uid="{00000000-0005-0000-0000-0000D0140000}"/>
    <cellStyle name="Comma 25 4 2 3 2 2" xfId="19282" xr:uid="{00000000-0005-0000-0000-0000D1140000}"/>
    <cellStyle name="Comma 25 4 2 3 3" xfId="14331" xr:uid="{00000000-0005-0000-0000-0000D2140000}"/>
    <cellStyle name="Comma 25 4 2 4" xfId="6073" xr:uid="{00000000-0005-0000-0000-0000D3140000}"/>
    <cellStyle name="Comma 25 4 2 4 2" xfId="16970" xr:uid="{00000000-0005-0000-0000-0000D4140000}"/>
    <cellStyle name="Comma 25 4 2 5" xfId="12064" xr:uid="{00000000-0005-0000-0000-0000D5140000}"/>
    <cellStyle name="Comma 25 4 3" xfId="1763" xr:uid="{00000000-0005-0000-0000-0000D6140000}"/>
    <cellStyle name="Comma 25 4 3 2" xfId="4075" xr:uid="{00000000-0005-0000-0000-0000D7140000}"/>
    <cellStyle name="Comma 25 4 3 2 2" xfId="9026" xr:uid="{00000000-0005-0000-0000-0000D8140000}"/>
    <cellStyle name="Comma 25 4 3 2 2 2" xfId="19923" xr:uid="{00000000-0005-0000-0000-0000D9140000}"/>
    <cellStyle name="Comma 25 4 3 2 3" xfId="14972" xr:uid="{00000000-0005-0000-0000-0000DA140000}"/>
    <cellStyle name="Comma 25 4 3 3" xfId="6714" xr:uid="{00000000-0005-0000-0000-0000DB140000}"/>
    <cellStyle name="Comma 25 4 3 3 2" xfId="17611" xr:uid="{00000000-0005-0000-0000-0000DC140000}"/>
    <cellStyle name="Comma 25 4 3 4" xfId="12692" xr:uid="{00000000-0005-0000-0000-0000DD140000}"/>
    <cellStyle name="Comma 25 4 4" xfId="2902" xr:uid="{00000000-0005-0000-0000-0000DE140000}"/>
    <cellStyle name="Comma 25 4 4 2" xfId="7853" xr:uid="{00000000-0005-0000-0000-0000DF140000}"/>
    <cellStyle name="Comma 25 4 4 2 2" xfId="18750" xr:uid="{00000000-0005-0000-0000-0000E0140000}"/>
    <cellStyle name="Comma 25 4 4 3" xfId="13799" xr:uid="{00000000-0005-0000-0000-0000E1140000}"/>
    <cellStyle name="Comma 25 4 5" xfId="5541" xr:uid="{00000000-0005-0000-0000-0000E2140000}"/>
    <cellStyle name="Comma 25 4 5 2" xfId="16438" xr:uid="{00000000-0005-0000-0000-0000E3140000}"/>
    <cellStyle name="Comma 25 4 6" xfId="11543" xr:uid="{00000000-0005-0000-0000-0000E4140000}"/>
    <cellStyle name="Comma 25 5" xfId="845" xr:uid="{00000000-0005-0000-0000-0000E5140000}"/>
    <cellStyle name="Comma 25 5 2" xfId="2002" xr:uid="{00000000-0005-0000-0000-0000E6140000}"/>
    <cellStyle name="Comma 25 5 2 2" xfId="4314" xr:uid="{00000000-0005-0000-0000-0000E7140000}"/>
    <cellStyle name="Comma 25 5 2 2 2" xfId="9265" xr:uid="{00000000-0005-0000-0000-0000E8140000}"/>
    <cellStyle name="Comma 25 5 2 2 2 2" xfId="20162" xr:uid="{00000000-0005-0000-0000-0000E9140000}"/>
    <cellStyle name="Comma 25 5 2 2 3" xfId="15211" xr:uid="{00000000-0005-0000-0000-0000EA140000}"/>
    <cellStyle name="Comma 25 5 2 3" xfId="6953" xr:uid="{00000000-0005-0000-0000-0000EB140000}"/>
    <cellStyle name="Comma 25 5 2 3 2" xfId="17850" xr:uid="{00000000-0005-0000-0000-0000EC140000}"/>
    <cellStyle name="Comma 25 5 2 4" xfId="12924" xr:uid="{00000000-0005-0000-0000-0000ED140000}"/>
    <cellStyle name="Comma 25 5 3" xfId="3169" xr:uid="{00000000-0005-0000-0000-0000EE140000}"/>
    <cellStyle name="Comma 25 5 3 2" xfId="8120" xr:uid="{00000000-0005-0000-0000-0000EF140000}"/>
    <cellStyle name="Comma 25 5 3 2 2" xfId="19017" xr:uid="{00000000-0005-0000-0000-0000F0140000}"/>
    <cellStyle name="Comma 25 5 3 3" xfId="14066" xr:uid="{00000000-0005-0000-0000-0000F1140000}"/>
    <cellStyle name="Comma 25 5 4" xfId="5808" xr:uid="{00000000-0005-0000-0000-0000F2140000}"/>
    <cellStyle name="Comma 25 5 4 2" xfId="16705" xr:uid="{00000000-0005-0000-0000-0000F3140000}"/>
    <cellStyle name="Comma 25 5 5" xfId="11806" xr:uid="{00000000-0005-0000-0000-0000F4140000}"/>
    <cellStyle name="Comma 25 6" xfId="1530" xr:uid="{00000000-0005-0000-0000-0000F5140000}"/>
    <cellStyle name="Comma 25 6 2" xfId="3842" xr:uid="{00000000-0005-0000-0000-0000F6140000}"/>
    <cellStyle name="Comma 25 6 2 2" xfId="8793" xr:uid="{00000000-0005-0000-0000-0000F7140000}"/>
    <cellStyle name="Comma 25 6 2 2 2" xfId="19690" xr:uid="{00000000-0005-0000-0000-0000F8140000}"/>
    <cellStyle name="Comma 25 6 2 3" xfId="14739" xr:uid="{00000000-0005-0000-0000-0000F9140000}"/>
    <cellStyle name="Comma 25 6 3" xfId="6481" xr:uid="{00000000-0005-0000-0000-0000FA140000}"/>
    <cellStyle name="Comma 25 6 3 2" xfId="17378" xr:uid="{00000000-0005-0000-0000-0000FB140000}"/>
    <cellStyle name="Comma 25 6 4" xfId="12465" xr:uid="{00000000-0005-0000-0000-0000FC140000}"/>
    <cellStyle name="Comma 25 7" xfId="2634" xr:uid="{00000000-0005-0000-0000-0000FD140000}"/>
    <cellStyle name="Comma 25 7 2" xfId="7585" xr:uid="{00000000-0005-0000-0000-0000FE140000}"/>
    <cellStyle name="Comma 25 7 2 2" xfId="18482" xr:uid="{00000000-0005-0000-0000-0000FF140000}"/>
    <cellStyle name="Comma 25 7 3" xfId="13531" xr:uid="{00000000-0005-0000-0000-000000150000}"/>
    <cellStyle name="Comma 25 8" xfId="5273" xr:uid="{00000000-0005-0000-0000-000001150000}"/>
    <cellStyle name="Comma 25 8 2" xfId="16170" xr:uid="{00000000-0005-0000-0000-000002150000}"/>
    <cellStyle name="Comma 25 9" xfId="11258" xr:uid="{00000000-0005-0000-0000-000003150000}"/>
    <cellStyle name="Comma 26" xfId="181" xr:uid="{00000000-0005-0000-0000-000004150000}"/>
    <cellStyle name="Comma 27" xfId="182" xr:uid="{00000000-0005-0000-0000-000005150000}"/>
    <cellStyle name="Comma 28" xfId="183" xr:uid="{00000000-0005-0000-0000-000006150000}"/>
    <cellStyle name="Comma 29" xfId="184" xr:uid="{00000000-0005-0000-0000-000007150000}"/>
    <cellStyle name="Comma 29 2" xfId="380" xr:uid="{00000000-0005-0000-0000-000008150000}"/>
    <cellStyle name="Comma 29 2 2" xfId="510" xr:uid="{00000000-0005-0000-0000-000009150000}"/>
    <cellStyle name="Comma 29 2 2 2" xfId="775" xr:uid="{00000000-0005-0000-0000-00000A150000}"/>
    <cellStyle name="Comma 29 2 2 2 2" xfId="1307" xr:uid="{00000000-0005-0000-0000-00000B150000}"/>
    <cellStyle name="Comma 29 2 2 2 2 2" xfId="2464" xr:uid="{00000000-0005-0000-0000-00000C150000}"/>
    <cellStyle name="Comma 29 2 2 2 2 2 2" xfId="4776" xr:uid="{00000000-0005-0000-0000-00000D150000}"/>
    <cellStyle name="Comma 29 2 2 2 2 2 2 2" xfId="9727" xr:uid="{00000000-0005-0000-0000-00000E150000}"/>
    <cellStyle name="Comma 29 2 2 2 2 2 2 2 2" xfId="20624" xr:uid="{00000000-0005-0000-0000-00000F150000}"/>
    <cellStyle name="Comma 29 2 2 2 2 2 2 3" xfId="15673" xr:uid="{00000000-0005-0000-0000-000010150000}"/>
    <cellStyle name="Comma 29 2 2 2 2 2 3" xfId="7415" xr:uid="{00000000-0005-0000-0000-000011150000}"/>
    <cellStyle name="Comma 29 2 2 2 2 2 3 2" xfId="18312" xr:uid="{00000000-0005-0000-0000-000012150000}"/>
    <cellStyle name="Comma 29 2 2 2 2 2 4" xfId="13375" xr:uid="{00000000-0005-0000-0000-000013150000}"/>
    <cellStyle name="Comma 29 2 2 2 2 3" xfId="3631" xr:uid="{00000000-0005-0000-0000-000014150000}"/>
    <cellStyle name="Comma 29 2 2 2 2 3 2" xfId="8582" xr:uid="{00000000-0005-0000-0000-000015150000}"/>
    <cellStyle name="Comma 29 2 2 2 2 3 2 2" xfId="19479" xr:uid="{00000000-0005-0000-0000-000016150000}"/>
    <cellStyle name="Comma 29 2 2 2 2 3 3" xfId="14528" xr:uid="{00000000-0005-0000-0000-000017150000}"/>
    <cellStyle name="Comma 29 2 2 2 2 4" xfId="6270" xr:uid="{00000000-0005-0000-0000-000018150000}"/>
    <cellStyle name="Comma 29 2 2 2 2 4 2" xfId="17167" xr:uid="{00000000-0005-0000-0000-000019150000}"/>
    <cellStyle name="Comma 29 2 2 2 2 5" xfId="12257" xr:uid="{00000000-0005-0000-0000-00001A150000}"/>
    <cellStyle name="Comma 29 2 2 2 3" xfId="1933" xr:uid="{00000000-0005-0000-0000-00001B150000}"/>
    <cellStyle name="Comma 29 2 2 2 3 2" xfId="4245" xr:uid="{00000000-0005-0000-0000-00001C150000}"/>
    <cellStyle name="Comma 29 2 2 2 3 2 2" xfId="9196" xr:uid="{00000000-0005-0000-0000-00001D150000}"/>
    <cellStyle name="Comma 29 2 2 2 3 2 2 2" xfId="20093" xr:uid="{00000000-0005-0000-0000-00001E150000}"/>
    <cellStyle name="Comma 29 2 2 2 3 2 3" xfId="15142" xr:uid="{00000000-0005-0000-0000-00001F150000}"/>
    <cellStyle name="Comma 29 2 2 2 3 3" xfId="6884" xr:uid="{00000000-0005-0000-0000-000020150000}"/>
    <cellStyle name="Comma 29 2 2 2 3 3 2" xfId="17781" xr:uid="{00000000-0005-0000-0000-000021150000}"/>
    <cellStyle name="Comma 29 2 2 2 3 4" xfId="12857" xr:uid="{00000000-0005-0000-0000-000022150000}"/>
    <cellStyle name="Comma 29 2 2 2 4" xfId="3099" xr:uid="{00000000-0005-0000-0000-000023150000}"/>
    <cellStyle name="Comma 29 2 2 2 4 2" xfId="8050" xr:uid="{00000000-0005-0000-0000-000024150000}"/>
    <cellStyle name="Comma 29 2 2 2 4 2 2" xfId="18947" xr:uid="{00000000-0005-0000-0000-000025150000}"/>
    <cellStyle name="Comma 29 2 2 2 4 3" xfId="13996" xr:uid="{00000000-0005-0000-0000-000026150000}"/>
    <cellStyle name="Comma 29 2 2 2 5" xfId="5738" xr:uid="{00000000-0005-0000-0000-000027150000}"/>
    <cellStyle name="Comma 29 2 2 2 5 2" xfId="16635" xr:uid="{00000000-0005-0000-0000-000028150000}"/>
    <cellStyle name="Comma 29 2 2 2 6" xfId="11736" xr:uid="{00000000-0005-0000-0000-000029150000}"/>
    <cellStyle name="Comma 29 2 2 3" xfId="1042" xr:uid="{00000000-0005-0000-0000-00002A150000}"/>
    <cellStyle name="Comma 29 2 2 3 2" xfId="2199" xr:uid="{00000000-0005-0000-0000-00002B150000}"/>
    <cellStyle name="Comma 29 2 2 3 2 2" xfId="4511" xr:uid="{00000000-0005-0000-0000-00002C150000}"/>
    <cellStyle name="Comma 29 2 2 3 2 2 2" xfId="9462" xr:uid="{00000000-0005-0000-0000-00002D150000}"/>
    <cellStyle name="Comma 29 2 2 3 2 2 2 2" xfId="20359" xr:uid="{00000000-0005-0000-0000-00002E150000}"/>
    <cellStyle name="Comma 29 2 2 3 2 2 3" xfId="15408" xr:uid="{00000000-0005-0000-0000-00002F150000}"/>
    <cellStyle name="Comma 29 2 2 3 2 3" xfId="7150" xr:uid="{00000000-0005-0000-0000-000030150000}"/>
    <cellStyle name="Comma 29 2 2 3 2 3 2" xfId="18047" xr:uid="{00000000-0005-0000-0000-000031150000}"/>
    <cellStyle name="Comma 29 2 2 3 2 4" xfId="13116" xr:uid="{00000000-0005-0000-0000-000032150000}"/>
    <cellStyle name="Comma 29 2 2 3 3" xfId="3366" xr:uid="{00000000-0005-0000-0000-000033150000}"/>
    <cellStyle name="Comma 29 2 2 3 3 2" xfId="8317" xr:uid="{00000000-0005-0000-0000-000034150000}"/>
    <cellStyle name="Comma 29 2 2 3 3 2 2" xfId="19214" xr:uid="{00000000-0005-0000-0000-000035150000}"/>
    <cellStyle name="Comma 29 2 2 3 3 3" xfId="14263" xr:uid="{00000000-0005-0000-0000-000036150000}"/>
    <cellStyle name="Comma 29 2 2 3 4" xfId="6005" xr:uid="{00000000-0005-0000-0000-000037150000}"/>
    <cellStyle name="Comma 29 2 2 3 4 2" xfId="16902" xr:uid="{00000000-0005-0000-0000-000038150000}"/>
    <cellStyle name="Comma 29 2 2 3 5" xfId="11998" xr:uid="{00000000-0005-0000-0000-000039150000}"/>
    <cellStyle name="Comma 29 2 2 4" xfId="1700" xr:uid="{00000000-0005-0000-0000-00003A150000}"/>
    <cellStyle name="Comma 29 2 2 4 2" xfId="4012" xr:uid="{00000000-0005-0000-0000-00003B150000}"/>
    <cellStyle name="Comma 29 2 2 4 2 2" xfId="8963" xr:uid="{00000000-0005-0000-0000-00003C150000}"/>
    <cellStyle name="Comma 29 2 2 4 2 2 2" xfId="19860" xr:uid="{00000000-0005-0000-0000-00003D150000}"/>
    <cellStyle name="Comma 29 2 2 4 2 3" xfId="14909" xr:uid="{00000000-0005-0000-0000-00003E150000}"/>
    <cellStyle name="Comma 29 2 2 4 3" xfId="6651" xr:uid="{00000000-0005-0000-0000-00003F150000}"/>
    <cellStyle name="Comma 29 2 2 4 3 2" xfId="17548" xr:uid="{00000000-0005-0000-0000-000040150000}"/>
    <cellStyle name="Comma 29 2 2 4 4" xfId="12631" xr:uid="{00000000-0005-0000-0000-000041150000}"/>
    <cellStyle name="Comma 29 2 2 5" xfId="2834" xr:uid="{00000000-0005-0000-0000-000042150000}"/>
    <cellStyle name="Comma 29 2 2 5 2" xfId="7785" xr:uid="{00000000-0005-0000-0000-000043150000}"/>
    <cellStyle name="Comma 29 2 2 5 2 2" xfId="18682" xr:uid="{00000000-0005-0000-0000-000044150000}"/>
    <cellStyle name="Comma 29 2 2 5 3" xfId="13731" xr:uid="{00000000-0005-0000-0000-000045150000}"/>
    <cellStyle name="Comma 29 2 2 6" xfId="5473" xr:uid="{00000000-0005-0000-0000-000046150000}"/>
    <cellStyle name="Comma 29 2 2 6 2" xfId="16370" xr:uid="{00000000-0005-0000-0000-000047150000}"/>
    <cellStyle name="Comma 29 2 2 7" xfId="11475" xr:uid="{00000000-0005-0000-0000-000048150000}"/>
    <cellStyle name="Comma 29 2 3" xfId="646" xr:uid="{00000000-0005-0000-0000-000049150000}"/>
    <cellStyle name="Comma 29 2 3 2" xfId="1178" xr:uid="{00000000-0005-0000-0000-00004A150000}"/>
    <cellStyle name="Comma 29 2 3 2 2" xfId="2335" xr:uid="{00000000-0005-0000-0000-00004B150000}"/>
    <cellStyle name="Comma 29 2 3 2 2 2" xfId="4647" xr:uid="{00000000-0005-0000-0000-00004C150000}"/>
    <cellStyle name="Comma 29 2 3 2 2 2 2" xfId="9598" xr:uid="{00000000-0005-0000-0000-00004D150000}"/>
    <cellStyle name="Comma 29 2 3 2 2 2 2 2" xfId="20495" xr:uid="{00000000-0005-0000-0000-00004E150000}"/>
    <cellStyle name="Comma 29 2 3 2 2 2 3" xfId="15544" xr:uid="{00000000-0005-0000-0000-00004F150000}"/>
    <cellStyle name="Comma 29 2 3 2 2 3" xfId="7286" xr:uid="{00000000-0005-0000-0000-000050150000}"/>
    <cellStyle name="Comma 29 2 3 2 2 3 2" xfId="18183" xr:uid="{00000000-0005-0000-0000-000051150000}"/>
    <cellStyle name="Comma 29 2 3 2 2 4" xfId="13247" xr:uid="{00000000-0005-0000-0000-000052150000}"/>
    <cellStyle name="Comma 29 2 3 2 3" xfId="3502" xr:uid="{00000000-0005-0000-0000-000053150000}"/>
    <cellStyle name="Comma 29 2 3 2 3 2" xfId="8453" xr:uid="{00000000-0005-0000-0000-000054150000}"/>
    <cellStyle name="Comma 29 2 3 2 3 2 2" xfId="19350" xr:uid="{00000000-0005-0000-0000-000055150000}"/>
    <cellStyle name="Comma 29 2 3 2 3 3" xfId="14399" xr:uid="{00000000-0005-0000-0000-000056150000}"/>
    <cellStyle name="Comma 29 2 3 2 4" xfId="6141" xr:uid="{00000000-0005-0000-0000-000057150000}"/>
    <cellStyle name="Comma 29 2 3 2 4 2" xfId="17038" xr:uid="{00000000-0005-0000-0000-000058150000}"/>
    <cellStyle name="Comma 29 2 3 2 5" xfId="12129" xr:uid="{00000000-0005-0000-0000-000059150000}"/>
    <cellStyle name="Comma 29 2 3 3" xfId="1819" xr:uid="{00000000-0005-0000-0000-00005A150000}"/>
    <cellStyle name="Comma 29 2 3 3 2" xfId="4131" xr:uid="{00000000-0005-0000-0000-00005B150000}"/>
    <cellStyle name="Comma 29 2 3 3 2 2" xfId="9082" xr:uid="{00000000-0005-0000-0000-00005C150000}"/>
    <cellStyle name="Comma 29 2 3 3 2 2 2" xfId="19979" xr:uid="{00000000-0005-0000-0000-00005D150000}"/>
    <cellStyle name="Comma 29 2 3 3 2 3" xfId="15028" xr:uid="{00000000-0005-0000-0000-00005E150000}"/>
    <cellStyle name="Comma 29 2 3 3 3" xfId="6770" xr:uid="{00000000-0005-0000-0000-00005F150000}"/>
    <cellStyle name="Comma 29 2 3 3 3 2" xfId="17667" xr:uid="{00000000-0005-0000-0000-000060150000}"/>
    <cellStyle name="Comma 29 2 3 3 4" xfId="12744" xr:uid="{00000000-0005-0000-0000-000061150000}"/>
    <cellStyle name="Comma 29 2 3 4" xfId="2970" xr:uid="{00000000-0005-0000-0000-000062150000}"/>
    <cellStyle name="Comma 29 2 3 4 2" xfId="7921" xr:uid="{00000000-0005-0000-0000-000063150000}"/>
    <cellStyle name="Comma 29 2 3 4 2 2" xfId="18818" xr:uid="{00000000-0005-0000-0000-000064150000}"/>
    <cellStyle name="Comma 29 2 3 4 3" xfId="13867" xr:uid="{00000000-0005-0000-0000-000065150000}"/>
    <cellStyle name="Comma 29 2 3 5" xfId="5609" xr:uid="{00000000-0005-0000-0000-000066150000}"/>
    <cellStyle name="Comma 29 2 3 5 2" xfId="16506" xr:uid="{00000000-0005-0000-0000-000067150000}"/>
    <cellStyle name="Comma 29 2 3 6" xfId="11608" xr:uid="{00000000-0005-0000-0000-000068150000}"/>
    <cellStyle name="Comma 29 2 4" xfId="913" xr:uid="{00000000-0005-0000-0000-000069150000}"/>
    <cellStyle name="Comma 29 2 4 2" xfId="2070" xr:uid="{00000000-0005-0000-0000-00006A150000}"/>
    <cellStyle name="Comma 29 2 4 2 2" xfId="4382" xr:uid="{00000000-0005-0000-0000-00006B150000}"/>
    <cellStyle name="Comma 29 2 4 2 2 2" xfId="9333" xr:uid="{00000000-0005-0000-0000-00006C150000}"/>
    <cellStyle name="Comma 29 2 4 2 2 2 2" xfId="20230" xr:uid="{00000000-0005-0000-0000-00006D150000}"/>
    <cellStyle name="Comma 29 2 4 2 2 3" xfId="15279" xr:uid="{00000000-0005-0000-0000-00006E150000}"/>
    <cellStyle name="Comma 29 2 4 2 3" xfId="7021" xr:uid="{00000000-0005-0000-0000-00006F150000}"/>
    <cellStyle name="Comma 29 2 4 2 3 2" xfId="17918" xr:uid="{00000000-0005-0000-0000-000070150000}"/>
    <cellStyle name="Comma 29 2 4 2 4" xfId="12988" xr:uid="{00000000-0005-0000-0000-000071150000}"/>
    <cellStyle name="Comma 29 2 4 3" xfId="3237" xr:uid="{00000000-0005-0000-0000-000072150000}"/>
    <cellStyle name="Comma 29 2 4 3 2" xfId="8188" xr:uid="{00000000-0005-0000-0000-000073150000}"/>
    <cellStyle name="Comma 29 2 4 3 2 2" xfId="19085" xr:uid="{00000000-0005-0000-0000-000074150000}"/>
    <cellStyle name="Comma 29 2 4 3 3" xfId="14134" xr:uid="{00000000-0005-0000-0000-000075150000}"/>
    <cellStyle name="Comma 29 2 4 4" xfId="5876" xr:uid="{00000000-0005-0000-0000-000076150000}"/>
    <cellStyle name="Comma 29 2 4 4 2" xfId="16773" xr:uid="{00000000-0005-0000-0000-000077150000}"/>
    <cellStyle name="Comma 29 2 4 5" xfId="11870" xr:uid="{00000000-0005-0000-0000-000078150000}"/>
    <cellStyle name="Comma 29 2 5" xfId="1586" xr:uid="{00000000-0005-0000-0000-000079150000}"/>
    <cellStyle name="Comma 29 2 5 2" xfId="3898" xr:uid="{00000000-0005-0000-0000-00007A150000}"/>
    <cellStyle name="Comma 29 2 5 2 2" xfId="8849" xr:uid="{00000000-0005-0000-0000-00007B150000}"/>
    <cellStyle name="Comma 29 2 5 2 2 2" xfId="19746" xr:uid="{00000000-0005-0000-0000-00007C150000}"/>
    <cellStyle name="Comma 29 2 5 2 3" xfId="14795" xr:uid="{00000000-0005-0000-0000-00007D150000}"/>
    <cellStyle name="Comma 29 2 5 3" xfId="6537" xr:uid="{00000000-0005-0000-0000-00007E150000}"/>
    <cellStyle name="Comma 29 2 5 3 2" xfId="17434" xr:uid="{00000000-0005-0000-0000-00007F150000}"/>
    <cellStyle name="Comma 29 2 5 4" xfId="12518" xr:uid="{00000000-0005-0000-0000-000080150000}"/>
    <cellStyle name="Comma 29 2 6" xfId="2705" xr:uid="{00000000-0005-0000-0000-000081150000}"/>
    <cellStyle name="Comma 29 2 6 2" xfId="7656" xr:uid="{00000000-0005-0000-0000-000082150000}"/>
    <cellStyle name="Comma 29 2 6 2 2" xfId="18553" xr:uid="{00000000-0005-0000-0000-000083150000}"/>
    <cellStyle name="Comma 29 2 6 3" xfId="13602" xr:uid="{00000000-0005-0000-0000-000084150000}"/>
    <cellStyle name="Comma 29 2 7" xfId="5344" xr:uid="{00000000-0005-0000-0000-000085150000}"/>
    <cellStyle name="Comma 29 2 7 2" xfId="16241" xr:uid="{00000000-0005-0000-0000-000086150000}"/>
    <cellStyle name="Comma 29 2 8" xfId="11347" xr:uid="{00000000-0005-0000-0000-000087150000}"/>
    <cellStyle name="Comma 29 3" xfId="449" xr:uid="{00000000-0005-0000-0000-000088150000}"/>
    <cellStyle name="Comma 29 3 2" xfId="714" xr:uid="{00000000-0005-0000-0000-000089150000}"/>
    <cellStyle name="Comma 29 3 2 2" xfId="1246" xr:uid="{00000000-0005-0000-0000-00008A150000}"/>
    <cellStyle name="Comma 29 3 2 2 2" xfId="2403" xr:uid="{00000000-0005-0000-0000-00008B150000}"/>
    <cellStyle name="Comma 29 3 2 2 2 2" xfId="4715" xr:uid="{00000000-0005-0000-0000-00008C150000}"/>
    <cellStyle name="Comma 29 3 2 2 2 2 2" xfId="9666" xr:uid="{00000000-0005-0000-0000-00008D150000}"/>
    <cellStyle name="Comma 29 3 2 2 2 2 2 2" xfId="20563" xr:uid="{00000000-0005-0000-0000-00008E150000}"/>
    <cellStyle name="Comma 29 3 2 2 2 2 3" xfId="15612" xr:uid="{00000000-0005-0000-0000-00008F150000}"/>
    <cellStyle name="Comma 29 3 2 2 2 3" xfId="7354" xr:uid="{00000000-0005-0000-0000-000090150000}"/>
    <cellStyle name="Comma 29 3 2 2 2 3 2" xfId="18251" xr:uid="{00000000-0005-0000-0000-000091150000}"/>
    <cellStyle name="Comma 29 3 2 2 2 4" xfId="13314" xr:uid="{00000000-0005-0000-0000-000092150000}"/>
    <cellStyle name="Comma 29 3 2 2 3" xfId="3570" xr:uid="{00000000-0005-0000-0000-000093150000}"/>
    <cellStyle name="Comma 29 3 2 2 3 2" xfId="8521" xr:uid="{00000000-0005-0000-0000-000094150000}"/>
    <cellStyle name="Comma 29 3 2 2 3 2 2" xfId="19418" xr:uid="{00000000-0005-0000-0000-000095150000}"/>
    <cellStyle name="Comma 29 3 2 2 3 3" xfId="14467" xr:uid="{00000000-0005-0000-0000-000096150000}"/>
    <cellStyle name="Comma 29 3 2 2 4" xfId="6209" xr:uid="{00000000-0005-0000-0000-000097150000}"/>
    <cellStyle name="Comma 29 3 2 2 4 2" xfId="17106" xr:uid="{00000000-0005-0000-0000-000098150000}"/>
    <cellStyle name="Comma 29 3 2 2 5" xfId="12196" xr:uid="{00000000-0005-0000-0000-000099150000}"/>
    <cellStyle name="Comma 29 3 2 3" xfId="1882" xr:uid="{00000000-0005-0000-0000-00009A150000}"/>
    <cellStyle name="Comma 29 3 2 3 2" xfId="4194" xr:uid="{00000000-0005-0000-0000-00009B150000}"/>
    <cellStyle name="Comma 29 3 2 3 2 2" xfId="9145" xr:uid="{00000000-0005-0000-0000-00009C150000}"/>
    <cellStyle name="Comma 29 3 2 3 2 2 2" xfId="20042" xr:uid="{00000000-0005-0000-0000-00009D150000}"/>
    <cellStyle name="Comma 29 3 2 3 2 3" xfId="15091" xr:uid="{00000000-0005-0000-0000-00009E150000}"/>
    <cellStyle name="Comma 29 3 2 3 3" xfId="6833" xr:uid="{00000000-0005-0000-0000-00009F150000}"/>
    <cellStyle name="Comma 29 3 2 3 3 2" xfId="17730" xr:uid="{00000000-0005-0000-0000-0000A0150000}"/>
    <cellStyle name="Comma 29 3 2 3 4" xfId="12806" xr:uid="{00000000-0005-0000-0000-0000A1150000}"/>
    <cellStyle name="Comma 29 3 2 4" xfId="3038" xr:uid="{00000000-0005-0000-0000-0000A2150000}"/>
    <cellStyle name="Comma 29 3 2 4 2" xfId="7989" xr:uid="{00000000-0005-0000-0000-0000A3150000}"/>
    <cellStyle name="Comma 29 3 2 4 2 2" xfId="18886" xr:uid="{00000000-0005-0000-0000-0000A4150000}"/>
    <cellStyle name="Comma 29 3 2 4 3" xfId="13935" xr:uid="{00000000-0005-0000-0000-0000A5150000}"/>
    <cellStyle name="Comma 29 3 2 5" xfId="5677" xr:uid="{00000000-0005-0000-0000-0000A6150000}"/>
    <cellStyle name="Comma 29 3 2 5 2" xfId="16574" xr:uid="{00000000-0005-0000-0000-0000A7150000}"/>
    <cellStyle name="Comma 29 3 2 6" xfId="11675" xr:uid="{00000000-0005-0000-0000-0000A8150000}"/>
    <cellStyle name="Comma 29 3 3" xfId="981" xr:uid="{00000000-0005-0000-0000-0000A9150000}"/>
    <cellStyle name="Comma 29 3 3 2" xfId="2138" xr:uid="{00000000-0005-0000-0000-0000AA150000}"/>
    <cellStyle name="Comma 29 3 3 2 2" xfId="4450" xr:uid="{00000000-0005-0000-0000-0000AB150000}"/>
    <cellStyle name="Comma 29 3 3 2 2 2" xfId="9401" xr:uid="{00000000-0005-0000-0000-0000AC150000}"/>
    <cellStyle name="Comma 29 3 3 2 2 2 2" xfId="20298" xr:uid="{00000000-0005-0000-0000-0000AD150000}"/>
    <cellStyle name="Comma 29 3 3 2 2 3" xfId="15347" xr:uid="{00000000-0005-0000-0000-0000AE150000}"/>
    <cellStyle name="Comma 29 3 3 2 3" xfId="7089" xr:uid="{00000000-0005-0000-0000-0000AF150000}"/>
    <cellStyle name="Comma 29 3 3 2 3 2" xfId="17986" xr:uid="{00000000-0005-0000-0000-0000B0150000}"/>
    <cellStyle name="Comma 29 3 3 2 4" xfId="13055" xr:uid="{00000000-0005-0000-0000-0000B1150000}"/>
    <cellStyle name="Comma 29 3 3 3" xfId="3305" xr:uid="{00000000-0005-0000-0000-0000B2150000}"/>
    <cellStyle name="Comma 29 3 3 3 2" xfId="8256" xr:uid="{00000000-0005-0000-0000-0000B3150000}"/>
    <cellStyle name="Comma 29 3 3 3 2 2" xfId="19153" xr:uid="{00000000-0005-0000-0000-0000B4150000}"/>
    <cellStyle name="Comma 29 3 3 3 3" xfId="14202" xr:uid="{00000000-0005-0000-0000-0000B5150000}"/>
    <cellStyle name="Comma 29 3 3 4" xfId="5944" xr:uid="{00000000-0005-0000-0000-0000B6150000}"/>
    <cellStyle name="Comma 29 3 3 4 2" xfId="16841" xr:uid="{00000000-0005-0000-0000-0000B7150000}"/>
    <cellStyle name="Comma 29 3 3 5" xfId="11937" xr:uid="{00000000-0005-0000-0000-0000B8150000}"/>
    <cellStyle name="Comma 29 3 4" xfId="1649" xr:uid="{00000000-0005-0000-0000-0000B9150000}"/>
    <cellStyle name="Comma 29 3 4 2" xfId="3961" xr:uid="{00000000-0005-0000-0000-0000BA150000}"/>
    <cellStyle name="Comma 29 3 4 2 2" xfId="8912" xr:uid="{00000000-0005-0000-0000-0000BB150000}"/>
    <cellStyle name="Comma 29 3 4 2 2 2" xfId="19809" xr:uid="{00000000-0005-0000-0000-0000BC150000}"/>
    <cellStyle name="Comma 29 3 4 2 3" xfId="14858" xr:uid="{00000000-0005-0000-0000-0000BD150000}"/>
    <cellStyle name="Comma 29 3 4 3" xfId="6600" xr:uid="{00000000-0005-0000-0000-0000BE150000}"/>
    <cellStyle name="Comma 29 3 4 3 2" xfId="17497" xr:uid="{00000000-0005-0000-0000-0000BF150000}"/>
    <cellStyle name="Comma 29 3 4 4" xfId="12580" xr:uid="{00000000-0005-0000-0000-0000C0150000}"/>
    <cellStyle name="Comma 29 3 5" xfId="2773" xr:uid="{00000000-0005-0000-0000-0000C1150000}"/>
    <cellStyle name="Comma 29 3 5 2" xfId="7724" xr:uid="{00000000-0005-0000-0000-0000C2150000}"/>
    <cellStyle name="Comma 29 3 5 2 2" xfId="18621" xr:uid="{00000000-0005-0000-0000-0000C3150000}"/>
    <cellStyle name="Comma 29 3 5 3" xfId="13670" xr:uid="{00000000-0005-0000-0000-0000C4150000}"/>
    <cellStyle name="Comma 29 3 6" xfId="5412" xr:uid="{00000000-0005-0000-0000-0000C5150000}"/>
    <cellStyle name="Comma 29 3 6 2" xfId="16309" xr:uid="{00000000-0005-0000-0000-0000C6150000}"/>
    <cellStyle name="Comma 29 3 7" xfId="11414" xr:uid="{00000000-0005-0000-0000-0000C7150000}"/>
    <cellStyle name="Comma 29 4" xfId="579" xr:uid="{00000000-0005-0000-0000-0000C8150000}"/>
    <cellStyle name="Comma 29 4 2" xfId="1111" xr:uid="{00000000-0005-0000-0000-0000C9150000}"/>
    <cellStyle name="Comma 29 4 2 2" xfId="2268" xr:uid="{00000000-0005-0000-0000-0000CA150000}"/>
    <cellStyle name="Comma 29 4 2 2 2" xfId="4580" xr:uid="{00000000-0005-0000-0000-0000CB150000}"/>
    <cellStyle name="Comma 29 4 2 2 2 2" xfId="9531" xr:uid="{00000000-0005-0000-0000-0000CC150000}"/>
    <cellStyle name="Comma 29 4 2 2 2 2 2" xfId="20428" xr:uid="{00000000-0005-0000-0000-0000CD150000}"/>
    <cellStyle name="Comma 29 4 2 2 2 3" xfId="15477" xr:uid="{00000000-0005-0000-0000-0000CE150000}"/>
    <cellStyle name="Comma 29 4 2 2 3" xfId="7219" xr:uid="{00000000-0005-0000-0000-0000CF150000}"/>
    <cellStyle name="Comma 29 4 2 2 3 2" xfId="18116" xr:uid="{00000000-0005-0000-0000-0000D0150000}"/>
    <cellStyle name="Comma 29 4 2 2 4" xfId="13183" xr:uid="{00000000-0005-0000-0000-0000D1150000}"/>
    <cellStyle name="Comma 29 4 2 3" xfId="3435" xr:uid="{00000000-0005-0000-0000-0000D2150000}"/>
    <cellStyle name="Comma 29 4 2 3 2" xfId="8386" xr:uid="{00000000-0005-0000-0000-0000D3150000}"/>
    <cellStyle name="Comma 29 4 2 3 2 2" xfId="19283" xr:uid="{00000000-0005-0000-0000-0000D4150000}"/>
    <cellStyle name="Comma 29 4 2 3 3" xfId="14332" xr:uid="{00000000-0005-0000-0000-0000D5150000}"/>
    <cellStyle name="Comma 29 4 2 4" xfId="6074" xr:uid="{00000000-0005-0000-0000-0000D6150000}"/>
    <cellStyle name="Comma 29 4 2 4 2" xfId="16971" xr:uid="{00000000-0005-0000-0000-0000D7150000}"/>
    <cellStyle name="Comma 29 4 2 5" xfId="12065" xr:uid="{00000000-0005-0000-0000-0000D8150000}"/>
    <cellStyle name="Comma 29 4 3" xfId="1764" xr:uid="{00000000-0005-0000-0000-0000D9150000}"/>
    <cellStyle name="Comma 29 4 3 2" xfId="4076" xr:uid="{00000000-0005-0000-0000-0000DA150000}"/>
    <cellStyle name="Comma 29 4 3 2 2" xfId="9027" xr:uid="{00000000-0005-0000-0000-0000DB150000}"/>
    <cellStyle name="Comma 29 4 3 2 2 2" xfId="19924" xr:uid="{00000000-0005-0000-0000-0000DC150000}"/>
    <cellStyle name="Comma 29 4 3 2 3" xfId="14973" xr:uid="{00000000-0005-0000-0000-0000DD150000}"/>
    <cellStyle name="Comma 29 4 3 3" xfId="6715" xr:uid="{00000000-0005-0000-0000-0000DE150000}"/>
    <cellStyle name="Comma 29 4 3 3 2" xfId="17612" xr:uid="{00000000-0005-0000-0000-0000DF150000}"/>
    <cellStyle name="Comma 29 4 3 4" xfId="12693" xr:uid="{00000000-0005-0000-0000-0000E0150000}"/>
    <cellStyle name="Comma 29 4 4" xfId="2903" xr:uid="{00000000-0005-0000-0000-0000E1150000}"/>
    <cellStyle name="Comma 29 4 4 2" xfId="7854" xr:uid="{00000000-0005-0000-0000-0000E2150000}"/>
    <cellStyle name="Comma 29 4 4 2 2" xfId="18751" xr:uid="{00000000-0005-0000-0000-0000E3150000}"/>
    <cellStyle name="Comma 29 4 4 3" xfId="13800" xr:uid="{00000000-0005-0000-0000-0000E4150000}"/>
    <cellStyle name="Comma 29 4 5" xfId="5542" xr:uid="{00000000-0005-0000-0000-0000E5150000}"/>
    <cellStyle name="Comma 29 4 5 2" xfId="16439" xr:uid="{00000000-0005-0000-0000-0000E6150000}"/>
    <cellStyle name="Comma 29 4 6" xfId="11544" xr:uid="{00000000-0005-0000-0000-0000E7150000}"/>
    <cellStyle name="Comma 29 5" xfId="846" xr:uid="{00000000-0005-0000-0000-0000E8150000}"/>
    <cellStyle name="Comma 29 5 2" xfId="2003" xr:uid="{00000000-0005-0000-0000-0000E9150000}"/>
    <cellStyle name="Comma 29 5 2 2" xfId="4315" xr:uid="{00000000-0005-0000-0000-0000EA150000}"/>
    <cellStyle name="Comma 29 5 2 2 2" xfId="9266" xr:uid="{00000000-0005-0000-0000-0000EB150000}"/>
    <cellStyle name="Comma 29 5 2 2 2 2" xfId="20163" xr:uid="{00000000-0005-0000-0000-0000EC150000}"/>
    <cellStyle name="Comma 29 5 2 2 3" xfId="15212" xr:uid="{00000000-0005-0000-0000-0000ED150000}"/>
    <cellStyle name="Comma 29 5 2 3" xfId="6954" xr:uid="{00000000-0005-0000-0000-0000EE150000}"/>
    <cellStyle name="Comma 29 5 2 3 2" xfId="17851" xr:uid="{00000000-0005-0000-0000-0000EF150000}"/>
    <cellStyle name="Comma 29 5 2 4" xfId="12925" xr:uid="{00000000-0005-0000-0000-0000F0150000}"/>
    <cellStyle name="Comma 29 5 3" xfId="3170" xr:uid="{00000000-0005-0000-0000-0000F1150000}"/>
    <cellStyle name="Comma 29 5 3 2" xfId="8121" xr:uid="{00000000-0005-0000-0000-0000F2150000}"/>
    <cellStyle name="Comma 29 5 3 2 2" xfId="19018" xr:uid="{00000000-0005-0000-0000-0000F3150000}"/>
    <cellStyle name="Comma 29 5 3 3" xfId="14067" xr:uid="{00000000-0005-0000-0000-0000F4150000}"/>
    <cellStyle name="Comma 29 5 4" xfId="5809" xr:uid="{00000000-0005-0000-0000-0000F5150000}"/>
    <cellStyle name="Comma 29 5 4 2" xfId="16706" xr:uid="{00000000-0005-0000-0000-0000F6150000}"/>
    <cellStyle name="Comma 29 5 5" xfId="11807" xr:uid="{00000000-0005-0000-0000-0000F7150000}"/>
    <cellStyle name="Comma 29 6" xfId="1531" xr:uid="{00000000-0005-0000-0000-0000F8150000}"/>
    <cellStyle name="Comma 29 6 2" xfId="3843" xr:uid="{00000000-0005-0000-0000-0000F9150000}"/>
    <cellStyle name="Comma 29 6 2 2" xfId="8794" xr:uid="{00000000-0005-0000-0000-0000FA150000}"/>
    <cellStyle name="Comma 29 6 2 2 2" xfId="19691" xr:uid="{00000000-0005-0000-0000-0000FB150000}"/>
    <cellStyle name="Comma 29 6 2 3" xfId="14740" xr:uid="{00000000-0005-0000-0000-0000FC150000}"/>
    <cellStyle name="Comma 29 6 3" xfId="6482" xr:uid="{00000000-0005-0000-0000-0000FD150000}"/>
    <cellStyle name="Comma 29 6 3 2" xfId="17379" xr:uid="{00000000-0005-0000-0000-0000FE150000}"/>
    <cellStyle name="Comma 29 6 4" xfId="12466" xr:uid="{00000000-0005-0000-0000-0000FF150000}"/>
    <cellStyle name="Comma 29 7" xfId="2635" xr:uid="{00000000-0005-0000-0000-000000160000}"/>
    <cellStyle name="Comma 29 7 2" xfId="7586" xr:uid="{00000000-0005-0000-0000-000001160000}"/>
    <cellStyle name="Comma 29 7 2 2" xfId="18483" xr:uid="{00000000-0005-0000-0000-000002160000}"/>
    <cellStyle name="Comma 29 7 3" xfId="13532" xr:uid="{00000000-0005-0000-0000-000003160000}"/>
    <cellStyle name="Comma 29 8" xfId="5275" xr:uid="{00000000-0005-0000-0000-000004160000}"/>
    <cellStyle name="Comma 29 8 2" xfId="16172" xr:uid="{00000000-0005-0000-0000-000005160000}"/>
    <cellStyle name="Comma 29 9" xfId="11259" xr:uid="{00000000-0005-0000-0000-000006160000}"/>
    <cellStyle name="Comma 3" xfId="185" xr:uid="{00000000-0005-0000-0000-000007160000}"/>
    <cellStyle name="Comma 3 2" xfId="1484" xr:uid="{00000000-0005-0000-0000-000008160000}"/>
    <cellStyle name="Comma 30" xfId="186" xr:uid="{00000000-0005-0000-0000-000009160000}"/>
    <cellStyle name="Comma 31" xfId="187" xr:uid="{00000000-0005-0000-0000-00000A160000}"/>
    <cellStyle name="Comma 31 2" xfId="381" xr:uid="{00000000-0005-0000-0000-00000B160000}"/>
    <cellStyle name="Comma 31 2 2" xfId="511" xr:uid="{00000000-0005-0000-0000-00000C160000}"/>
    <cellStyle name="Comma 31 2 2 2" xfId="776" xr:uid="{00000000-0005-0000-0000-00000D160000}"/>
    <cellStyle name="Comma 31 2 2 2 2" xfId="1308" xr:uid="{00000000-0005-0000-0000-00000E160000}"/>
    <cellStyle name="Comma 31 2 2 2 2 2" xfId="2465" xr:uid="{00000000-0005-0000-0000-00000F160000}"/>
    <cellStyle name="Comma 31 2 2 2 2 2 2" xfId="4777" xr:uid="{00000000-0005-0000-0000-000010160000}"/>
    <cellStyle name="Comma 31 2 2 2 2 2 2 2" xfId="9728" xr:uid="{00000000-0005-0000-0000-000011160000}"/>
    <cellStyle name="Comma 31 2 2 2 2 2 2 2 2" xfId="20625" xr:uid="{00000000-0005-0000-0000-000012160000}"/>
    <cellStyle name="Comma 31 2 2 2 2 2 2 3" xfId="15674" xr:uid="{00000000-0005-0000-0000-000013160000}"/>
    <cellStyle name="Comma 31 2 2 2 2 2 3" xfId="7416" xr:uid="{00000000-0005-0000-0000-000014160000}"/>
    <cellStyle name="Comma 31 2 2 2 2 2 3 2" xfId="18313" xr:uid="{00000000-0005-0000-0000-000015160000}"/>
    <cellStyle name="Comma 31 2 2 2 2 2 4" xfId="13376" xr:uid="{00000000-0005-0000-0000-000016160000}"/>
    <cellStyle name="Comma 31 2 2 2 2 3" xfId="3632" xr:uid="{00000000-0005-0000-0000-000017160000}"/>
    <cellStyle name="Comma 31 2 2 2 2 3 2" xfId="8583" xr:uid="{00000000-0005-0000-0000-000018160000}"/>
    <cellStyle name="Comma 31 2 2 2 2 3 2 2" xfId="19480" xr:uid="{00000000-0005-0000-0000-000019160000}"/>
    <cellStyle name="Comma 31 2 2 2 2 3 3" xfId="14529" xr:uid="{00000000-0005-0000-0000-00001A160000}"/>
    <cellStyle name="Comma 31 2 2 2 2 4" xfId="6271" xr:uid="{00000000-0005-0000-0000-00001B160000}"/>
    <cellStyle name="Comma 31 2 2 2 2 4 2" xfId="17168" xr:uid="{00000000-0005-0000-0000-00001C160000}"/>
    <cellStyle name="Comma 31 2 2 2 2 5" xfId="12258" xr:uid="{00000000-0005-0000-0000-00001D160000}"/>
    <cellStyle name="Comma 31 2 2 2 3" xfId="1934" xr:uid="{00000000-0005-0000-0000-00001E160000}"/>
    <cellStyle name="Comma 31 2 2 2 3 2" xfId="4246" xr:uid="{00000000-0005-0000-0000-00001F160000}"/>
    <cellStyle name="Comma 31 2 2 2 3 2 2" xfId="9197" xr:uid="{00000000-0005-0000-0000-000020160000}"/>
    <cellStyle name="Comma 31 2 2 2 3 2 2 2" xfId="20094" xr:uid="{00000000-0005-0000-0000-000021160000}"/>
    <cellStyle name="Comma 31 2 2 2 3 2 3" xfId="15143" xr:uid="{00000000-0005-0000-0000-000022160000}"/>
    <cellStyle name="Comma 31 2 2 2 3 3" xfId="6885" xr:uid="{00000000-0005-0000-0000-000023160000}"/>
    <cellStyle name="Comma 31 2 2 2 3 3 2" xfId="17782" xr:uid="{00000000-0005-0000-0000-000024160000}"/>
    <cellStyle name="Comma 31 2 2 2 3 4" xfId="12858" xr:uid="{00000000-0005-0000-0000-000025160000}"/>
    <cellStyle name="Comma 31 2 2 2 4" xfId="3100" xr:uid="{00000000-0005-0000-0000-000026160000}"/>
    <cellStyle name="Comma 31 2 2 2 4 2" xfId="8051" xr:uid="{00000000-0005-0000-0000-000027160000}"/>
    <cellStyle name="Comma 31 2 2 2 4 2 2" xfId="18948" xr:uid="{00000000-0005-0000-0000-000028160000}"/>
    <cellStyle name="Comma 31 2 2 2 4 3" xfId="13997" xr:uid="{00000000-0005-0000-0000-000029160000}"/>
    <cellStyle name="Comma 31 2 2 2 5" xfId="5739" xr:uid="{00000000-0005-0000-0000-00002A160000}"/>
    <cellStyle name="Comma 31 2 2 2 5 2" xfId="16636" xr:uid="{00000000-0005-0000-0000-00002B160000}"/>
    <cellStyle name="Comma 31 2 2 2 6" xfId="11737" xr:uid="{00000000-0005-0000-0000-00002C160000}"/>
    <cellStyle name="Comma 31 2 2 3" xfId="1043" xr:uid="{00000000-0005-0000-0000-00002D160000}"/>
    <cellStyle name="Comma 31 2 2 3 2" xfId="2200" xr:uid="{00000000-0005-0000-0000-00002E160000}"/>
    <cellStyle name="Comma 31 2 2 3 2 2" xfId="4512" xr:uid="{00000000-0005-0000-0000-00002F160000}"/>
    <cellStyle name="Comma 31 2 2 3 2 2 2" xfId="9463" xr:uid="{00000000-0005-0000-0000-000030160000}"/>
    <cellStyle name="Comma 31 2 2 3 2 2 2 2" xfId="20360" xr:uid="{00000000-0005-0000-0000-000031160000}"/>
    <cellStyle name="Comma 31 2 2 3 2 2 3" xfId="15409" xr:uid="{00000000-0005-0000-0000-000032160000}"/>
    <cellStyle name="Comma 31 2 2 3 2 3" xfId="7151" xr:uid="{00000000-0005-0000-0000-000033160000}"/>
    <cellStyle name="Comma 31 2 2 3 2 3 2" xfId="18048" xr:uid="{00000000-0005-0000-0000-000034160000}"/>
    <cellStyle name="Comma 31 2 2 3 2 4" xfId="13117" xr:uid="{00000000-0005-0000-0000-000035160000}"/>
    <cellStyle name="Comma 31 2 2 3 3" xfId="3367" xr:uid="{00000000-0005-0000-0000-000036160000}"/>
    <cellStyle name="Comma 31 2 2 3 3 2" xfId="8318" xr:uid="{00000000-0005-0000-0000-000037160000}"/>
    <cellStyle name="Comma 31 2 2 3 3 2 2" xfId="19215" xr:uid="{00000000-0005-0000-0000-000038160000}"/>
    <cellStyle name="Comma 31 2 2 3 3 3" xfId="14264" xr:uid="{00000000-0005-0000-0000-000039160000}"/>
    <cellStyle name="Comma 31 2 2 3 4" xfId="6006" xr:uid="{00000000-0005-0000-0000-00003A160000}"/>
    <cellStyle name="Comma 31 2 2 3 4 2" xfId="16903" xr:uid="{00000000-0005-0000-0000-00003B160000}"/>
    <cellStyle name="Comma 31 2 2 3 5" xfId="11999" xr:uid="{00000000-0005-0000-0000-00003C160000}"/>
    <cellStyle name="Comma 31 2 2 4" xfId="1701" xr:uid="{00000000-0005-0000-0000-00003D160000}"/>
    <cellStyle name="Comma 31 2 2 4 2" xfId="4013" xr:uid="{00000000-0005-0000-0000-00003E160000}"/>
    <cellStyle name="Comma 31 2 2 4 2 2" xfId="8964" xr:uid="{00000000-0005-0000-0000-00003F160000}"/>
    <cellStyle name="Comma 31 2 2 4 2 2 2" xfId="19861" xr:uid="{00000000-0005-0000-0000-000040160000}"/>
    <cellStyle name="Comma 31 2 2 4 2 3" xfId="14910" xr:uid="{00000000-0005-0000-0000-000041160000}"/>
    <cellStyle name="Comma 31 2 2 4 3" xfId="6652" xr:uid="{00000000-0005-0000-0000-000042160000}"/>
    <cellStyle name="Comma 31 2 2 4 3 2" xfId="17549" xr:uid="{00000000-0005-0000-0000-000043160000}"/>
    <cellStyle name="Comma 31 2 2 4 4" xfId="12632" xr:uid="{00000000-0005-0000-0000-000044160000}"/>
    <cellStyle name="Comma 31 2 2 5" xfId="2835" xr:uid="{00000000-0005-0000-0000-000045160000}"/>
    <cellStyle name="Comma 31 2 2 5 2" xfId="7786" xr:uid="{00000000-0005-0000-0000-000046160000}"/>
    <cellStyle name="Comma 31 2 2 5 2 2" xfId="18683" xr:uid="{00000000-0005-0000-0000-000047160000}"/>
    <cellStyle name="Comma 31 2 2 5 3" xfId="13732" xr:uid="{00000000-0005-0000-0000-000048160000}"/>
    <cellStyle name="Comma 31 2 2 6" xfId="5474" xr:uid="{00000000-0005-0000-0000-000049160000}"/>
    <cellStyle name="Comma 31 2 2 6 2" xfId="16371" xr:uid="{00000000-0005-0000-0000-00004A160000}"/>
    <cellStyle name="Comma 31 2 2 7" xfId="11476" xr:uid="{00000000-0005-0000-0000-00004B160000}"/>
    <cellStyle name="Comma 31 2 3" xfId="647" xr:uid="{00000000-0005-0000-0000-00004C160000}"/>
    <cellStyle name="Comma 31 2 3 2" xfId="1179" xr:uid="{00000000-0005-0000-0000-00004D160000}"/>
    <cellStyle name="Comma 31 2 3 2 2" xfId="2336" xr:uid="{00000000-0005-0000-0000-00004E160000}"/>
    <cellStyle name="Comma 31 2 3 2 2 2" xfId="4648" xr:uid="{00000000-0005-0000-0000-00004F160000}"/>
    <cellStyle name="Comma 31 2 3 2 2 2 2" xfId="9599" xr:uid="{00000000-0005-0000-0000-000050160000}"/>
    <cellStyle name="Comma 31 2 3 2 2 2 2 2" xfId="20496" xr:uid="{00000000-0005-0000-0000-000051160000}"/>
    <cellStyle name="Comma 31 2 3 2 2 2 3" xfId="15545" xr:uid="{00000000-0005-0000-0000-000052160000}"/>
    <cellStyle name="Comma 31 2 3 2 2 3" xfId="7287" xr:uid="{00000000-0005-0000-0000-000053160000}"/>
    <cellStyle name="Comma 31 2 3 2 2 3 2" xfId="18184" xr:uid="{00000000-0005-0000-0000-000054160000}"/>
    <cellStyle name="Comma 31 2 3 2 2 4" xfId="13248" xr:uid="{00000000-0005-0000-0000-000055160000}"/>
    <cellStyle name="Comma 31 2 3 2 3" xfId="3503" xr:uid="{00000000-0005-0000-0000-000056160000}"/>
    <cellStyle name="Comma 31 2 3 2 3 2" xfId="8454" xr:uid="{00000000-0005-0000-0000-000057160000}"/>
    <cellStyle name="Comma 31 2 3 2 3 2 2" xfId="19351" xr:uid="{00000000-0005-0000-0000-000058160000}"/>
    <cellStyle name="Comma 31 2 3 2 3 3" xfId="14400" xr:uid="{00000000-0005-0000-0000-000059160000}"/>
    <cellStyle name="Comma 31 2 3 2 4" xfId="6142" xr:uid="{00000000-0005-0000-0000-00005A160000}"/>
    <cellStyle name="Comma 31 2 3 2 4 2" xfId="17039" xr:uid="{00000000-0005-0000-0000-00005B160000}"/>
    <cellStyle name="Comma 31 2 3 2 5" xfId="12130" xr:uid="{00000000-0005-0000-0000-00005C160000}"/>
    <cellStyle name="Comma 31 2 3 3" xfId="1820" xr:uid="{00000000-0005-0000-0000-00005D160000}"/>
    <cellStyle name="Comma 31 2 3 3 2" xfId="4132" xr:uid="{00000000-0005-0000-0000-00005E160000}"/>
    <cellStyle name="Comma 31 2 3 3 2 2" xfId="9083" xr:uid="{00000000-0005-0000-0000-00005F160000}"/>
    <cellStyle name="Comma 31 2 3 3 2 2 2" xfId="19980" xr:uid="{00000000-0005-0000-0000-000060160000}"/>
    <cellStyle name="Comma 31 2 3 3 2 3" xfId="15029" xr:uid="{00000000-0005-0000-0000-000061160000}"/>
    <cellStyle name="Comma 31 2 3 3 3" xfId="6771" xr:uid="{00000000-0005-0000-0000-000062160000}"/>
    <cellStyle name="Comma 31 2 3 3 3 2" xfId="17668" xr:uid="{00000000-0005-0000-0000-000063160000}"/>
    <cellStyle name="Comma 31 2 3 3 4" xfId="12745" xr:uid="{00000000-0005-0000-0000-000064160000}"/>
    <cellStyle name="Comma 31 2 3 4" xfId="2971" xr:uid="{00000000-0005-0000-0000-000065160000}"/>
    <cellStyle name="Comma 31 2 3 4 2" xfId="7922" xr:uid="{00000000-0005-0000-0000-000066160000}"/>
    <cellStyle name="Comma 31 2 3 4 2 2" xfId="18819" xr:uid="{00000000-0005-0000-0000-000067160000}"/>
    <cellStyle name="Comma 31 2 3 4 3" xfId="13868" xr:uid="{00000000-0005-0000-0000-000068160000}"/>
    <cellStyle name="Comma 31 2 3 5" xfId="5610" xr:uid="{00000000-0005-0000-0000-000069160000}"/>
    <cellStyle name="Comma 31 2 3 5 2" xfId="16507" xr:uid="{00000000-0005-0000-0000-00006A160000}"/>
    <cellStyle name="Comma 31 2 3 6" xfId="11609" xr:uid="{00000000-0005-0000-0000-00006B160000}"/>
    <cellStyle name="Comma 31 2 4" xfId="914" xr:uid="{00000000-0005-0000-0000-00006C160000}"/>
    <cellStyle name="Comma 31 2 4 2" xfId="2071" xr:uid="{00000000-0005-0000-0000-00006D160000}"/>
    <cellStyle name="Comma 31 2 4 2 2" xfId="4383" xr:uid="{00000000-0005-0000-0000-00006E160000}"/>
    <cellStyle name="Comma 31 2 4 2 2 2" xfId="9334" xr:uid="{00000000-0005-0000-0000-00006F160000}"/>
    <cellStyle name="Comma 31 2 4 2 2 2 2" xfId="20231" xr:uid="{00000000-0005-0000-0000-000070160000}"/>
    <cellStyle name="Comma 31 2 4 2 2 3" xfId="15280" xr:uid="{00000000-0005-0000-0000-000071160000}"/>
    <cellStyle name="Comma 31 2 4 2 3" xfId="7022" xr:uid="{00000000-0005-0000-0000-000072160000}"/>
    <cellStyle name="Comma 31 2 4 2 3 2" xfId="17919" xr:uid="{00000000-0005-0000-0000-000073160000}"/>
    <cellStyle name="Comma 31 2 4 2 4" xfId="12989" xr:uid="{00000000-0005-0000-0000-000074160000}"/>
    <cellStyle name="Comma 31 2 4 3" xfId="3238" xr:uid="{00000000-0005-0000-0000-000075160000}"/>
    <cellStyle name="Comma 31 2 4 3 2" xfId="8189" xr:uid="{00000000-0005-0000-0000-000076160000}"/>
    <cellStyle name="Comma 31 2 4 3 2 2" xfId="19086" xr:uid="{00000000-0005-0000-0000-000077160000}"/>
    <cellStyle name="Comma 31 2 4 3 3" xfId="14135" xr:uid="{00000000-0005-0000-0000-000078160000}"/>
    <cellStyle name="Comma 31 2 4 4" xfId="5877" xr:uid="{00000000-0005-0000-0000-000079160000}"/>
    <cellStyle name="Comma 31 2 4 4 2" xfId="16774" xr:uid="{00000000-0005-0000-0000-00007A160000}"/>
    <cellStyle name="Comma 31 2 4 5" xfId="11871" xr:uid="{00000000-0005-0000-0000-00007B160000}"/>
    <cellStyle name="Comma 31 2 5" xfId="1587" xr:uid="{00000000-0005-0000-0000-00007C160000}"/>
    <cellStyle name="Comma 31 2 5 2" xfId="3899" xr:uid="{00000000-0005-0000-0000-00007D160000}"/>
    <cellStyle name="Comma 31 2 5 2 2" xfId="8850" xr:uid="{00000000-0005-0000-0000-00007E160000}"/>
    <cellStyle name="Comma 31 2 5 2 2 2" xfId="19747" xr:uid="{00000000-0005-0000-0000-00007F160000}"/>
    <cellStyle name="Comma 31 2 5 2 3" xfId="14796" xr:uid="{00000000-0005-0000-0000-000080160000}"/>
    <cellStyle name="Comma 31 2 5 3" xfId="6538" xr:uid="{00000000-0005-0000-0000-000081160000}"/>
    <cellStyle name="Comma 31 2 5 3 2" xfId="17435" xr:uid="{00000000-0005-0000-0000-000082160000}"/>
    <cellStyle name="Comma 31 2 5 4" xfId="12519" xr:uid="{00000000-0005-0000-0000-000083160000}"/>
    <cellStyle name="Comma 31 2 6" xfId="2706" xr:uid="{00000000-0005-0000-0000-000084160000}"/>
    <cellStyle name="Comma 31 2 6 2" xfId="7657" xr:uid="{00000000-0005-0000-0000-000085160000}"/>
    <cellStyle name="Comma 31 2 6 2 2" xfId="18554" xr:uid="{00000000-0005-0000-0000-000086160000}"/>
    <cellStyle name="Comma 31 2 6 3" xfId="13603" xr:uid="{00000000-0005-0000-0000-000087160000}"/>
    <cellStyle name="Comma 31 2 7" xfId="5345" xr:uid="{00000000-0005-0000-0000-000088160000}"/>
    <cellStyle name="Comma 31 2 7 2" xfId="16242" xr:uid="{00000000-0005-0000-0000-000089160000}"/>
    <cellStyle name="Comma 31 2 8" xfId="11348" xr:uid="{00000000-0005-0000-0000-00008A160000}"/>
    <cellStyle name="Comma 31 3" xfId="450" xr:uid="{00000000-0005-0000-0000-00008B160000}"/>
    <cellStyle name="Comma 31 3 2" xfId="715" xr:uid="{00000000-0005-0000-0000-00008C160000}"/>
    <cellStyle name="Comma 31 3 2 2" xfId="1247" xr:uid="{00000000-0005-0000-0000-00008D160000}"/>
    <cellStyle name="Comma 31 3 2 2 2" xfId="2404" xr:uid="{00000000-0005-0000-0000-00008E160000}"/>
    <cellStyle name="Comma 31 3 2 2 2 2" xfId="4716" xr:uid="{00000000-0005-0000-0000-00008F160000}"/>
    <cellStyle name="Comma 31 3 2 2 2 2 2" xfId="9667" xr:uid="{00000000-0005-0000-0000-000090160000}"/>
    <cellStyle name="Comma 31 3 2 2 2 2 2 2" xfId="20564" xr:uid="{00000000-0005-0000-0000-000091160000}"/>
    <cellStyle name="Comma 31 3 2 2 2 2 3" xfId="15613" xr:uid="{00000000-0005-0000-0000-000092160000}"/>
    <cellStyle name="Comma 31 3 2 2 2 3" xfId="7355" xr:uid="{00000000-0005-0000-0000-000093160000}"/>
    <cellStyle name="Comma 31 3 2 2 2 3 2" xfId="18252" xr:uid="{00000000-0005-0000-0000-000094160000}"/>
    <cellStyle name="Comma 31 3 2 2 2 4" xfId="13315" xr:uid="{00000000-0005-0000-0000-000095160000}"/>
    <cellStyle name="Comma 31 3 2 2 3" xfId="3571" xr:uid="{00000000-0005-0000-0000-000096160000}"/>
    <cellStyle name="Comma 31 3 2 2 3 2" xfId="8522" xr:uid="{00000000-0005-0000-0000-000097160000}"/>
    <cellStyle name="Comma 31 3 2 2 3 2 2" xfId="19419" xr:uid="{00000000-0005-0000-0000-000098160000}"/>
    <cellStyle name="Comma 31 3 2 2 3 3" xfId="14468" xr:uid="{00000000-0005-0000-0000-000099160000}"/>
    <cellStyle name="Comma 31 3 2 2 4" xfId="6210" xr:uid="{00000000-0005-0000-0000-00009A160000}"/>
    <cellStyle name="Comma 31 3 2 2 4 2" xfId="17107" xr:uid="{00000000-0005-0000-0000-00009B160000}"/>
    <cellStyle name="Comma 31 3 2 2 5" xfId="12197" xr:uid="{00000000-0005-0000-0000-00009C160000}"/>
    <cellStyle name="Comma 31 3 2 3" xfId="1883" xr:uid="{00000000-0005-0000-0000-00009D160000}"/>
    <cellStyle name="Comma 31 3 2 3 2" xfId="4195" xr:uid="{00000000-0005-0000-0000-00009E160000}"/>
    <cellStyle name="Comma 31 3 2 3 2 2" xfId="9146" xr:uid="{00000000-0005-0000-0000-00009F160000}"/>
    <cellStyle name="Comma 31 3 2 3 2 2 2" xfId="20043" xr:uid="{00000000-0005-0000-0000-0000A0160000}"/>
    <cellStyle name="Comma 31 3 2 3 2 3" xfId="15092" xr:uid="{00000000-0005-0000-0000-0000A1160000}"/>
    <cellStyle name="Comma 31 3 2 3 3" xfId="6834" xr:uid="{00000000-0005-0000-0000-0000A2160000}"/>
    <cellStyle name="Comma 31 3 2 3 3 2" xfId="17731" xr:uid="{00000000-0005-0000-0000-0000A3160000}"/>
    <cellStyle name="Comma 31 3 2 3 4" xfId="12807" xr:uid="{00000000-0005-0000-0000-0000A4160000}"/>
    <cellStyle name="Comma 31 3 2 4" xfId="3039" xr:uid="{00000000-0005-0000-0000-0000A5160000}"/>
    <cellStyle name="Comma 31 3 2 4 2" xfId="7990" xr:uid="{00000000-0005-0000-0000-0000A6160000}"/>
    <cellStyle name="Comma 31 3 2 4 2 2" xfId="18887" xr:uid="{00000000-0005-0000-0000-0000A7160000}"/>
    <cellStyle name="Comma 31 3 2 4 3" xfId="13936" xr:uid="{00000000-0005-0000-0000-0000A8160000}"/>
    <cellStyle name="Comma 31 3 2 5" xfId="5678" xr:uid="{00000000-0005-0000-0000-0000A9160000}"/>
    <cellStyle name="Comma 31 3 2 5 2" xfId="16575" xr:uid="{00000000-0005-0000-0000-0000AA160000}"/>
    <cellStyle name="Comma 31 3 2 6" xfId="11676" xr:uid="{00000000-0005-0000-0000-0000AB160000}"/>
    <cellStyle name="Comma 31 3 3" xfId="982" xr:uid="{00000000-0005-0000-0000-0000AC160000}"/>
    <cellStyle name="Comma 31 3 3 2" xfId="2139" xr:uid="{00000000-0005-0000-0000-0000AD160000}"/>
    <cellStyle name="Comma 31 3 3 2 2" xfId="4451" xr:uid="{00000000-0005-0000-0000-0000AE160000}"/>
    <cellStyle name="Comma 31 3 3 2 2 2" xfId="9402" xr:uid="{00000000-0005-0000-0000-0000AF160000}"/>
    <cellStyle name="Comma 31 3 3 2 2 2 2" xfId="20299" xr:uid="{00000000-0005-0000-0000-0000B0160000}"/>
    <cellStyle name="Comma 31 3 3 2 2 3" xfId="15348" xr:uid="{00000000-0005-0000-0000-0000B1160000}"/>
    <cellStyle name="Comma 31 3 3 2 3" xfId="7090" xr:uid="{00000000-0005-0000-0000-0000B2160000}"/>
    <cellStyle name="Comma 31 3 3 2 3 2" xfId="17987" xr:uid="{00000000-0005-0000-0000-0000B3160000}"/>
    <cellStyle name="Comma 31 3 3 2 4" xfId="13056" xr:uid="{00000000-0005-0000-0000-0000B4160000}"/>
    <cellStyle name="Comma 31 3 3 3" xfId="3306" xr:uid="{00000000-0005-0000-0000-0000B5160000}"/>
    <cellStyle name="Comma 31 3 3 3 2" xfId="8257" xr:uid="{00000000-0005-0000-0000-0000B6160000}"/>
    <cellStyle name="Comma 31 3 3 3 2 2" xfId="19154" xr:uid="{00000000-0005-0000-0000-0000B7160000}"/>
    <cellStyle name="Comma 31 3 3 3 3" xfId="14203" xr:uid="{00000000-0005-0000-0000-0000B8160000}"/>
    <cellStyle name="Comma 31 3 3 4" xfId="5945" xr:uid="{00000000-0005-0000-0000-0000B9160000}"/>
    <cellStyle name="Comma 31 3 3 4 2" xfId="16842" xr:uid="{00000000-0005-0000-0000-0000BA160000}"/>
    <cellStyle name="Comma 31 3 3 5" xfId="11938" xr:uid="{00000000-0005-0000-0000-0000BB160000}"/>
    <cellStyle name="Comma 31 3 4" xfId="1650" xr:uid="{00000000-0005-0000-0000-0000BC160000}"/>
    <cellStyle name="Comma 31 3 4 2" xfId="3962" xr:uid="{00000000-0005-0000-0000-0000BD160000}"/>
    <cellStyle name="Comma 31 3 4 2 2" xfId="8913" xr:uid="{00000000-0005-0000-0000-0000BE160000}"/>
    <cellStyle name="Comma 31 3 4 2 2 2" xfId="19810" xr:uid="{00000000-0005-0000-0000-0000BF160000}"/>
    <cellStyle name="Comma 31 3 4 2 3" xfId="14859" xr:uid="{00000000-0005-0000-0000-0000C0160000}"/>
    <cellStyle name="Comma 31 3 4 3" xfId="6601" xr:uid="{00000000-0005-0000-0000-0000C1160000}"/>
    <cellStyle name="Comma 31 3 4 3 2" xfId="17498" xr:uid="{00000000-0005-0000-0000-0000C2160000}"/>
    <cellStyle name="Comma 31 3 4 4" xfId="12581" xr:uid="{00000000-0005-0000-0000-0000C3160000}"/>
    <cellStyle name="Comma 31 3 5" xfId="2774" xr:uid="{00000000-0005-0000-0000-0000C4160000}"/>
    <cellStyle name="Comma 31 3 5 2" xfId="7725" xr:uid="{00000000-0005-0000-0000-0000C5160000}"/>
    <cellStyle name="Comma 31 3 5 2 2" xfId="18622" xr:uid="{00000000-0005-0000-0000-0000C6160000}"/>
    <cellStyle name="Comma 31 3 5 3" xfId="13671" xr:uid="{00000000-0005-0000-0000-0000C7160000}"/>
    <cellStyle name="Comma 31 3 6" xfId="5413" xr:uid="{00000000-0005-0000-0000-0000C8160000}"/>
    <cellStyle name="Comma 31 3 6 2" xfId="16310" xr:uid="{00000000-0005-0000-0000-0000C9160000}"/>
    <cellStyle name="Comma 31 3 7" xfId="11415" xr:uid="{00000000-0005-0000-0000-0000CA160000}"/>
    <cellStyle name="Comma 31 4" xfId="580" xr:uid="{00000000-0005-0000-0000-0000CB160000}"/>
    <cellStyle name="Comma 31 4 2" xfId="1112" xr:uid="{00000000-0005-0000-0000-0000CC160000}"/>
    <cellStyle name="Comma 31 4 2 2" xfId="2269" xr:uid="{00000000-0005-0000-0000-0000CD160000}"/>
    <cellStyle name="Comma 31 4 2 2 2" xfId="4581" xr:uid="{00000000-0005-0000-0000-0000CE160000}"/>
    <cellStyle name="Comma 31 4 2 2 2 2" xfId="9532" xr:uid="{00000000-0005-0000-0000-0000CF160000}"/>
    <cellStyle name="Comma 31 4 2 2 2 2 2" xfId="20429" xr:uid="{00000000-0005-0000-0000-0000D0160000}"/>
    <cellStyle name="Comma 31 4 2 2 2 3" xfId="15478" xr:uid="{00000000-0005-0000-0000-0000D1160000}"/>
    <cellStyle name="Comma 31 4 2 2 3" xfId="7220" xr:uid="{00000000-0005-0000-0000-0000D2160000}"/>
    <cellStyle name="Comma 31 4 2 2 3 2" xfId="18117" xr:uid="{00000000-0005-0000-0000-0000D3160000}"/>
    <cellStyle name="Comma 31 4 2 2 4" xfId="13184" xr:uid="{00000000-0005-0000-0000-0000D4160000}"/>
    <cellStyle name="Comma 31 4 2 3" xfId="3436" xr:uid="{00000000-0005-0000-0000-0000D5160000}"/>
    <cellStyle name="Comma 31 4 2 3 2" xfId="8387" xr:uid="{00000000-0005-0000-0000-0000D6160000}"/>
    <cellStyle name="Comma 31 4 2 3 2 2" xfId="19284" xr:uid="{00000000-0005-0000-0000-0000D7160000}"/>
    <cellStyle name="Comma 31 4 2 3 3" xfId="14333" xr:uid="{00000000-0005-0000-0000-0000D8160000}"/>
    <cellStyle name="Comma 31 4 2 4" xfId="6075" xr:uid="{00000000-0005-0000-0000-0000D9160000}"/>
    <cellStyle name="Comma 31 4 2 4 2" xfId="16972" xr:uid="{00000000-0005-0000-0000-0000DA160000}"/>
    <cellStyle name="Comma 31 4 2 5" xfId="12066" xr:uid="{00000000-0005-0000-0000-0000DB160000}"/>
    <cellStyle name="Comma 31 4 3" xfId="1765" xr:uid="{00000000-0005-0000-0000-0000DC160000}"/>
    <cellStyle name="Comma 31 4 3 2" xfId="4077" xr:uid="{00000000-0005-0000-0000-0000DD160000}"/>
    <cellStyle name="Comma 31 4 3 2 2" xfId="9028" xr:uid="{00000000-0005-0000-0000-0000DE160000}"/>
    <cellStyle name="Comma 31 4 3 2 2 2" xfId="19925" xr:uid="{00000000-0005-0000-0000-0000DF160000}"/>
    <cellStyle name="Comma 31 4 3 2 3" xfId="14974" xr:uid="{00000000-0005-0000-0000-0000E0160000}"/>
    <cellStyle name="Comma 31 4 3 3" xfId="6716" xr:uid="{00000000-0005-0000-0000-0000E1160000}"/>
    <cellStyle name="Comma 31 4 3 3 2" xfId="17613" xr:uid="{00000000-0005-0000-0000-0000E2160000}"/>
    <cellStyle name="Comma 31 4 3 4" xfId="12694" xr:uid="{00000000-0005-0000-0000-0000E3160000}"/>
    <cellStyle name="Comma 31 4 4" xfId="2904" xr:uid="{00000000-0005-0000-0000-0000E4160000}"/>
    <cellStyle name="Comma 31 4 4 2" xfId="7855" xr:uid="{00000000-0005-0000-0000-0000E5160000}"/>
    <cellStyle name="Comma 31 4 4 2 2" xfId="18752" xr:uid="{00000000-0005-0000-0000-0000E6160000}"/>
    <cellStyle name="Comma 31 4 4 3" xfId="13801" xr:uid="{00000000-0005-0000-0000-0000E7160000}"/>
    <cellStyle name="Comma 31 4 5" xfId="5543" xr:uid="{00000000-0005-0000-0000-0000E8160000}"/>
    <cellStyle name="Comma 31 4 5 2" xfId="16440" xr:uid="{00000000-0005-0000-0000-0000E9160000}"/>
    <cellStyle name="Comma 31 4 6" xfId="11545" xr:uid="{00000000-0005-0000-0000-0000EA160000}"/>
    <cellStyle name="Comma 31 5" xfId="847" xr:uid="{00000000-0005-0000-0000-0000EB160000}"/>
    <cellStyle name="Comma 31 5 2" xfId="2004" xr:uid="{00000000-0005-0000-0000-0000EC160000}"/>
    <cellStyle name="Comma 31 5 2 2" xfId="4316" xr:uid="{00000000-0005-0000-0000-0000ED160000}"/>
    <cellStyle name="Comma 31 5 2 2 2" xfId="9267" xr:uid="{00000000-0005-0000-0000-0000EE160000}"/>
    <cellStyle name="Comma 31 5 2 2 2 2" xfId="20164" xr:uid="{00000000-0005-0000-0000-0000EF160000}"/>
    <cellStyle name="Comma 31 5 2 2 3" xfId="15213" xr:uid="{00000000-0005-0000-0000-0000F0160000}"/>
    <cellStyle name="Comma 31 5 2 3" xfId="6955" xr:uid="{00000000-0005-0000-0000-0000F1160000}"/>
    <cellStyle name="Comma 31 5 2 3 2" xfId="17852" xr:uid="{00000000-0005-0000-0000-0000F2160000}"/>
    <cellStyle name="Comma 31 5 2 4" xfId="12926" xr:uid="{00000000-0005-0000-0000-0000F3160000}"/>
    <cellStyle name="Comma 31 5 3" xfId="3171" xr:uid="{00000000-0005-0000-0000-0000F4160000}"/>
    <cellStyle name="Comma 31 5 3 2" xfId="8122" xr:uid="{00000000-0005-0000-0000-0000F5160000}"/>
    <cellStyle name="Comma 31 5 3 2 2" xfId="19019" xr:uid="{00000000-0005-0000-0000-0000F6160000}"/>
    <cellStyle name="Comma 31 5 3 3" xfId="14068" xr:uid="{00000000-0005-0000-0000-0000F7160000}"/>
    <cellStyle name="Comma 31 5 4" xfId="5810" xr:uid="{00000000-0005-0000-0000-0000F8160000}"/>
    <cellStyle name="Comma 31 5 4 2" xfId="16707" xr:uid="{00000000-0005-0000-0000-0000F9160000}"/>
    <cellStyle name="Comma 31 5 5" xfId="11808" xr:uid="{00000000-0005-0000-0000-0000FA160000}"/>
    <cellStyle name="Comma 31 6" xfId="1532" xr:uid="{00000000-0005-0000-0000-0000FB160000}"/>
    <cellStyle name="Comma 31 6 2" xfId="3844" xr:uid="{00000000-0005-0000-0000-0000FC160000}"/>
    <cellStyle name="Comma 31 6 2 2" xfId="8795" xr:uid="{00000000-0005-0000-0000-0000FD160000}"/>
    <cellStyle name="Comma 31 6 2 2 2" xfId="19692" xr:uid="{00000000-0005-0000-0000-0000FE160000}"/>
    <cellStyle name="Comma 31 6 2 3" xfId="14741" xr:uid="{00000000-0005-0000-0000-0000FF160000}"/>
    <cellStyle name="Comma 31 6 3" xfId="6483" xr:uid="{00000000-0005-0000-0000-000000170000}"/>
    <cellStyle name="Comma 31 6 3 2" xfId="17380" xr:uid="{00000000-0005-0000-0000-000001170000}"/>
    <cellStyle name="Comma 31 6 4" xfId="12467" xr:uid="{00000000-0005-0000-0000-000002170000}"/>
    <cellStyle name="Comma 31 7" xfId="2637" xr:uid="{00000000-0005-0000-0000-000003170000}"/>
    <cellStyle name="Comma 31 7 2" xfId="7588" xr:uid="{00000000-0005-0000-0000-000004170000}"/>
    <cellStyle name="Comma 31 7 2 2" xfId="18485" xr:uid="{00000000-0005-0000-0000-000005170000}"/>
    <cellStyle name="Comma 31 7 3" xfId="13534" xr:uid="{00000000-0005-0000-0000-000006170000}"/>
    <cellStyle name="Comma 31 8" xfId="5278" xr:uid="{00000000-0005-0000-0000-000007170000}"/>
    <cellStyle name="Comma 31 8 2" xfId="16175" xr:uid="{00000000-0005-0000-0000-000008170000}"/>
    <cellStyle name="Comma 31 9" xfId="11260" xr:uid="{00000000-0005-0000-0000-000009170000}"/>
    <cellStyle name="Comma 32" xfId="188" xr:uid="{00000000-0005-0000-0000-00000A170000}"/>
    <cellStyle name="Comma 33" xfId="419" xr:uid="{00000000-0005-0000-0000-00000B170000}"/>
    <cellStyle name="Comma 33 2" xfId="548" xr:uid="{00000000-0005-0000-0000-00000C170000}"/>
    <cellStyle name="Comma 33 2 2" xfId="813" xr:uid="{00000000-0005-0000-0000-00000D170000}"/>
    <cellStyle name="Comma 33 2 2 2" xfId="1345" xr:uid="{00000000-0005-0000-0000-00000E170000}"/>
    <cellStyle name="Comma 33 2 2 2 2" xfId="2502" xr:uid="{00000000-0005-0000-0000-00000F170000}"/>
    <cellStyle name="Comma 33 2 2 2 2 2" xfId="4814" xr:uid="{00000000-0005-0000-0000-000010170000}"/>
    <cellStyle name="Comma 33 2 2 2 2 2 2" xfId="9765" xr:uid="{00000000-0005-0000-0000-000011170000}"/>
    <cellStyle name="Comma 33 2 2 2 2 2 2 2" xfId="20662" xr:uid="{00000000-0005-0000-0000-000012170000}"/>
    <cellStyle name="Comma 33 2 2 2 2 2 3" xfId="15711" xr:uid="{00000000-0005-0000-0000-000013170000}"/>
    <cellStyle name="Comma 33 2 2 2 2 3" xfId="7453" xr:uid="{00000000-0005-0000-0000-000014170000}"/>
    <cellStyle name="Comma 33 2 2 2 2 3 2" xfId="18350" xr:uid="{00000000-0005-0000-0000-000015170000}"/>
    <cellStyle name="Comma 33 2 2 2 2 4" xfId="13413" xr:uid="{00000000-0005-0000-0000-000016170000}"/>
    <cellStyle name="Comma 33 2 2 2 3" xfId="3669" xr:uid="{00000000-0005-0000-0000-000017170000}"/>
    <cellStyle name="Comma 33 2 2 2 3 2" xfId="8620" xr:uid="{00000000-0005-0000-0000-000018170000}"/>
    <cellStyle name="Comma 33 2 2 2 3 2 2" xfId="19517" xr:uid="{00000000-0005-0000-0000-000019170000}"/>
    <cellStyle name="Comma 33 2 2 2 3 3" xfId="14566" xr:uid="{00000000-0005-0000-0000-00001A170000}"/>
    <cellStyle name="Comma 33 2 2 2 4" xfId="6308" xr:uid="{00000000-0005-0000-0000-00001B170000}"/>
    <cellStyle name="Comma 33 2 2 2 4 2" xfId="17205" xr:uid="{00000000-0005-0000-0000-00001C170000}"/>
    <cellStyle name="Comma 33 2 2 2 5" xfId="12295" xr:uid="{00000000-0005-0000-0000-00001D170000}"/>
    <cellStyle name="Comma 33 2 2 3" xfId="1971" xr:uid="{00000000-0005-0000-0000-00001E170000}"/>
    <cellStyle name="Comma 33 2 2 3 2" xfId="4283" xr:uid="{00000000-0005-0000-0000-00001F170000}"/>
    <cellStyle name="Comma 33 2 2 3 2 2" xfId="9234" xr:uid="{00000000-0005-0000-0000-000020170000}"/>
    <cellStyle name="Comma 33 2 2 3 2 2 2" xfId="20131" xr:uid="{00000000-0005-0000-0000-000021170000}"/>
    <cellStyle name="Comma 33 2 2 3 2 3" xfId="15180" xr:uid="{00000000-0005-0000-0000-000022170000}"/>
    <cellStyle name="Comma 33 2 2 3 3" xfId="6922" xr:uid="{00000000-0005-0000-0000-000023170000}"/>
    <cellStyle name="Comma 33 2 2 3 3 2" xfId="17819" xr:uid="{00000000-0005-0000-0000-000024170000}"/>
    <cellStyle name="Comma 33 2 2 3 4" xfId="12895" xr:uid="{00000000-0005-0000-0000-000025170000}"/>
    <cellStyle name="Comma 33 2 2 4" xfId="3137" xr:uid="{00000000-0005-0000-0000-000026170000}"/>
    <cellStyle name="Comma 33 2 2 4 2" xfId="8088" xr:uid="{00000000-0005-0000-0000-000027170000}"/>
    <cellStyle name="Comma 33 2 2 4 2 2" xfId="18985" xr:uid="{00000000-0005-0000-0000-000028170000}"/>
    <cellStyle name="Comma 33 2 2 4 3" xfId="14034" xr:uid="{00000000-0005-0000-0000-000029170000}"/>
    <cellStyle name="Comma 33 2 2 5" xfId="5776" xr:uid="{00000000-0005-0000-0000-00002A170000}"/>
    <cellStyle name="Comma 33 2 2 5 2" xfId="16673" xr:uid="{00000000-0005-0000-0000-00002B170000}"/>
    <cellStyle name="Comma 33 2 2 6" xfId="11774" xr:uid="{00000000-0005-0000-0000-00002C170000}"/>
    <cellStyle name="Comma 33 2 3" xfId="1080" xr:uid="{00000000-0005-0000-0000-00002D170000}"/>
    <cellStyle name="Comma 33 2 3 2" xfId="2237" xr:uid="{00000000-0005-0000-0000-00002E170000}"/>
    <cellStyle name="Comma 33 2 3 2 2" xfId="4549" xr:uid="{00000000-0005-0000-0000-00002F170000}"/>
    <cellStyle name="Comma 33 2 3 2 2 2" xfId="9500" xr:uid="{00000000-0005-0000-0000-000030170000}"/>
    <cellStyle name="Comma 33 2 3 2 2 2 2" xfId="20397" xr:uid="{00000000-0005-0000-0000-000031170000}"/>
    <cellStyle name="Comma 33 2 3 2 2 3" xfId="15446" xr:uid="{00000000-0005-0000-0000-000032170000}"/>
    <cellStyle name="Comma 33 2 3 2 3" xfId="7188" xr:uid="{00000000-0005-0000-0000-000033170000}"/>
    <cellStyle name="Comma 33 2 3 2 3 2" xfId="18085" xr:uid="{00000000-0005-0000-0000-000034170000}"/>
    <cellStyle name="Comma 33 2 3 2 4" xfId="13154" xr:uid="{00000000-0005-0000-0000-000035170000}"/>
    <cellStyle name="Comma 33 2 3 3" xfId="3404" xr:uid="{00000000-0005-0000-0000-000036170000}"/>
    <cellStyle name="Comma 33 2 3 3 2" xfId="8355" xr:uid="{00000000-0005-0000-0000-000037170000}"/>
    <cellStyle name="Comma 33 2 3 3 2 2" xfId="19252" xr:uid="{00000000-0005-0000-0000-000038170000}"/>
    <cellStyle name="Comma 33 2 3 3 3" xfId="14301" xr:uid="{00000000-0005-0000-0000-000039170000}"/>
    <cellStyle name="Comma 33 2 3 4" xfId="6043" xr:uid="{00000000-0005-0000-0000-00003A170000}"/>
    <cellStyle name="Comma 33 2 3 4 2" xfId="16940" xr:uid="{00000000-0005-0000-0000-00003B170000}"/>
    <cellStyle name="Comma 33 2 3 5" xfId="12036" xr:uid="{00000000-0005-0000-0000-00003C170000}"/>
    <cellStyle name="Comma 33 2 4" xfId="1738" xr:uid="{00000000-0005-0000-0000-00003D170000}"/>
    <cellStyle name="Comma 33 2 4 2" xfId="4050" xr:uid="{00000000-0005-0000-0000-00003E170000}"/>
    <cellStyle name="Comma 33 2 4 2 2" xfId="9001" xr:uid="{00000000-0005-0000-0000-00003F170000}"/>
    <cellStyle name="Comma 33 2 4 2 2 2" xfId="19898" xr:uid="{00000000-0005-0000-0000-000040170000}"/>
    <cellStyle name="Comma 33 2 4 2 3" xfId="14947" xr:uid="{00000000-0005-0000-0000-000041170000}"/>
    <cellStyle name="Comma 33 2 4 3" xfId="6689" xr:uid="{00000000-0005-0000-0000-000042170000}"/>
    <cellStyle name="Comma 33 2 4 3 2" xfId="17586" xr:uid="{00000000-0005-0000-0000-000043170000}"/>
    <cellStyle name="Comma 33 2 4 4" xfId="12669" xr:uid="{00000000-0005-0000-0000-000044170000}"/>
    <cellStyle name="Comma 33 2 5" xfId="2872" xr:uid="{00000000-0005-0000-0000-000045170000}"/>
    <cellStyle name="Comma 33 2 5 2" xfId="7823" xr:uid="{00000000-0005-0000-0000-000046170000}"/>
    <cellStyle name="Comma 33 2 5 2 2" xfId="18720" xr:uid="{00000000-0005-0000-0000-000047170000}"/>
    <cellStyle name="Comma 33 2 5 3" xfId="13769" xr:uid="{00000000-0005-0000-0000-000048170000}"/>
    <cellStyle name="Comma 33 2 6" xfId="5511" xr:uid="{00000000-0005-0000-0000-000049170000}"/>
    <cellStyle name="Comma 33 2 6 2" xfId="16408" xr:uid="{00000000-0005-0000-0000-00004A170000}"/>
    <cellStyle name="Comma 33 2 7" xfId="11513" xr:uid="{00000000-0005-0000-0000-00004B170000}"/>
    <cellStyle name="Comma 33 3" xfId="684" xr:uid="{00000000-0005-0000-0000-00004C170000}"/>
    <cellStyle name="Comma 33 3 2" xfId="1216" xr:uid="{00000000-0005-0000-0000-00004D170000}"/>
    <cellStyle name="Comma 33 3 2 2" xfId="2373" xr:uid="{00000000-0005-0000-0000-00004E170000}"/>
    <cellStyle name="Comma 33 3 2 2 2" xfId="4685" xr:uid="{00000000-0005-0000-0000-00004F170000}"/>
    <cellStyle name="Comma 33 3 2 2 2 2" xfId="9636" xr:uid="{00000000-0005-0000-0000-000050170000}"/>
    <cellStyle name="Comma 33 3 2 2 2 2 2" xfId="20533" xr:uid="{00000000-0005-0000-0000-000051170000}"/>
    <cellStyle name="Comma 33 3 2 2 2 3" xfId="15582" xr:uid="{00000000-0005-0000-0000-000052170000}"/>
    <cellStyle name="Comma 33 3 2 2 3" xfId="7324" xr:uid="{00000000-0005-0000-0000-000053170000}"/>
    <cellStyle name="Comma 33 3 2 2 3 2" xfId="18221" xr:uid="{00000000-0005-0000-0000-000054170000}"/>
    <cellStyle name="Comma 33 3 2 2 4" xfId="13285" xr:uid="{00000000-0005-0000-0000-000055170000}"/>
    <cellStyle name="Comma 33 3 2 3" xfId="3540" xr:uid="{00000000-0005-0000-0000-000056170000}"/>
    <cellStyle name="Comma 33 3 2 3 2" xfId="8491" xr:uid="{00000000-0005-0000-0000-000057170000}"/>
    <cellStyle name="Comma 33 3 2 3 2 2" xfId="19388" xr:uid="{00000000-0005-0000-0000-000058170000}"/>
    <cellStyle name="Comma 33 3 2 3 3" xfId="14437" xr:uid="{00000000-0005-0000-0000-000059170000}"/>
    <cellStyle name="Comma 33 3 2 4" xfId="6179" xr:uid="{00000000-0005-0000-0000-00005A170000}"/>
    <cellStyle name="Comma 33 3 2 4 2" xfId="17076" xr:uid="{00000000-0005-0000-0000-00005B170000}"/>
    <cellStyle name="Comma 33 3 2 5" xfId="12167" xr:uid="{00000000-0005-0000-0000-00005C170000}"/>
    <cellStyle name="Comma 33 3 3" xfId="1857" xr:uid="{00000000-0005-0000-0000-00005D170000}"/>
    <cellStyle name="Comma 33 3 3 2" xfId="4169" xr:uid="{00000000-0005-0000-0000-00005E170000}"/>
    <cellStyle name="Comma 33 3 3 2 2" xfId="9120" xr:uid="{00000000-0005-0000-0000-00005F170000}"/>
    <cellStyle name="Comma 33 3 3 2 2 2" xfId="20017" xr:uid="{00000000-0005-0000-0000-000060170000}"/>
    <cellStyle name="Comma 33 3 3 2 3" xfId="15066" xr:uid="{00000000-0005-0000-0000-000061170000}"/>
    <cellStyle name="Comma 33 3 3 3" xfId="6808" xr:uid="{00000000-0005-0000-0000-000062170000}"/>
    <cellStyle name="Comma 33 3 3 3 2" xfId="17705" xr:uid="{00000000-0005-0000-0000-000063170000}"/>
    <cellStyle name="Comma 33 3 3 4" xfId="12782" xr:uid="{00000000-0005-0000-0000-000064170000}"/>
    <cellStyle name="Comma 33 3 4" xfId="3008" xr:uid="{00000000-0005-0000-0000-000065170000}"/>
    <cellStyle name="Comma 33 3 4 2" xfId="7959" xr:uid="{00000000-0005-0000-0000-000066170000}"/>
    <cellStyle name="Comma 33 3 4 2 2" xfId="18856" xr:uid="{00000000-0005-0000-0000-000067170000}"/>
    <cellStyle name="Comma 33 3 4 3" xfId="13905" xr:uid="{00000000-0005-0000-0000-000068170000}"/>
    <cellStyle name="Comma 33 3 5" xfId="5647" xr:uid="{00000000-0005-0000-0000-000069170000}"/>
    <cellStyle name="Comma 33 3 5 2" xfId="16544" xr:uid="{00000000-0005-0000-0000-00006A170000}"/>
    <cellStyle name="Comma 33 3 6" xfId="11646" xr:uid="{00000000-0005-0000-0000-00006B170000}"/>
    <cellStyle name="Comma 33 4" xfId="951" xr:uid="{00000000-0005-0000-0000-00006C170000}"/>
    <cellStyle name="Comma 33 4 2" xfId="2108" xr:uid="{00000000-0005-0000-0000-00006D170000}"/>
    <cellStyle name="Comma 33 4 2 2" xfId="4420" xr:uid="{00000000-0005-0000-0000-00006E170000}"/>
    <cellStyle name="Comma 33 4 2 2 2" xfId="9371" xr:uid="{00000000-0005-0000-0000-00006F170000}"/>
    <cellStyle name="Comma 33 4 2 2 2 2" xfId="20268" xr:uid="{00000000-0005-0000-0000-000070170000}"/>
    <cellStyle name="Comma 33 4 2 2 3" xfId="15317" xr:uid="{00000000-0005-0000-0000-000071170000}"/>
    <cellStyle name="Comma 33 4 2 3" xfId="7059" xr:uid="{00000000-0005-0000-0000-000072170000}"/>
    <cellStyle name="Comma 33 4 2 3 2" xfId="17956" xr:uid="{00000000-0005-0000-0000-000073170000}"/>
    <cellStyle name="Comma 33 4 2 4" xfId="13026" xr:uid="{00000000-0005-0000-0000-000074170000}"/>
    <cellStyle name="Comma 33 4 3" xfId="3275" xr:uid="{00000000-0005-0000-0000-000075170000}"/>
    <cellStyle name="Comma 33 4 3 2" xfId="8226" xr:uid="{00000000-0005-0000-0000-000076170000}"/>
    <cellStyle name="Comma 33 4 3 2 2" xfId="19123" xr:uid="{00000000-0005-0000-0000-000077170000}"/>
    <cellStyle name="Comma 33 4 3 3" xfId="14172" xr:uid="{00000000-0005-0000-0000-000078170000}"/>
    <cellStyle name="Comma 33 4 4" xfId="5914" xr:uid="{00000000-0005-0000-0000-000079170000}"/>
    <cellStyle name="Comma 33 4 4 2" xfId="16811" xr:uid="{00000000-0005-0000-0000-00007A170000}"/>
    <cellStyle name="Comma 33 4 5" xfId="11908" xr:uid="{00000000-0005-0000-0000-00007B170000}"/>
    <cellStyle name="Comma 33 5" xfId="1624" xr:uid="{00000000-0005-0000-0000-00007C170000}"/>
    <cellStyle name="Comma 33 5 2" xfId="3936" xr:uid="{00000000-0005-0000-0000-00007D170000}"/>
    <cellStyle name="Comma 33 5 2 2" xfId="8887" xr:uid="{00000000-0005-0000-0000-00007E170000}"/>
    <cellStyle name="Comma 33 5 2 2 2" xfId="19784" xr:uid="{00000000-0005-0000-0000-00007F170000}"/>
    <cellStyle name="Comma 33 5 2 3" xfId="14833" xr:uid="{00000000-0005-0000-0000-000080170000}"/>
    <cellStyle name="Comma 33 5 3" xfId="6575" xr:uid="{00000000-0005-0000-0000-000081170000}"/>
    <cellStyle name="Comma 33 5 3 2" xfId="17472" xr:uid="{00000000-0005-0000-0000-000082170000}"/>
    <cellStyle name="Comma 33 5 4" xfId="12556" xr:uid="{00000000-0005-0000-0000-000083170000}"/>
    <cellStyle name="Comma 33 6" xfId="2743" xr:uid="{00000000-0005-0000-0000-000084170000}"/>
    <cellStyle name="Comma 33 6 2" xfId="7694" xr:uid="{00000000-0005-0000-0000-000085170000}"/>
    <cellStyle name="Comma 33 6 2 2" xfId="18591" xr:uid="{00000000-0005-0000-0000-000086170000}"/>
    <cellStyle name="Comma 33 6 3" xfId="13640" xr:uid="{00000000-0005-0000-0000-000087170000}"/>
    <cellStyle name="Comma 33 7" xfId="5382" xr:uid="{00000000-0005-0000-0000-000088170000}"/>
    <cellStyle name="Comma 33 7 2" xfId="16279" xr:uid="{00000000-0005-0000-0000-000089170000}"/>
    <cellStyle name="Comma 33 8" xfId="11385" xr:uid="{00000000-0005-0000-0000-00008A170000}"/>
    <cellStyle name="Comma 34" xfId="1419" xr:uid="{00000000-0005-0000-0000-00008B170000}"/>
    <cellStyle name="Comma 34 2" xfId="2528" xr:uid="{00000000-0005-0000-0000-00008C170000}"/>
    <cellStyle name="Comma 34 2 2" xfId="4840" xr:uid="{00000000-0005-0000-0000-00008D170000}"/>
    <cellStyle name="Comma 34 2 2 2" xfId="9791" xr:uid="{00000000-0005-0000-0000-00008E170000}"/>
    <cellStyle name="Comma 34 2 2 2 2" xfId="20688" xr:uid="{00000000-0005-0000-0000-00008F170000}"/>
    <cellStyle name="Comma 34 2 2 3" xfId="15737" xr:uid="{00000000-0005-0000-0000-000090170000}"/>
    <cellStyle name="Comma 34 2 3" xfId="7479" xr:uid="{00000000-0005-0000-0000-000091170000}"/>
    <cellStyle name="Comma 34 2 3 2" xfId="18376" xr:uid="{00000000-0005-0000-0000-000092170000}"/>
    <cellStyle name="Comma 34 2 4" xfId="13425" xr:uid="{00000000-0005-0000-0000-000093170000}"/>
    <cellStyle name="Comma 34 3" xfId="3743" xr:uid="{00000000-0005-0000-0000-000094170000}"/>
    <cellStyle name="Comma 34 3 2" xfId="8694" xr:uid="{00000000-0005-0000-0000-000095170000}"/>
    <cellStyle name="Comma 34 3 2 2" xfId="19591" xr:uid="{00000000-0005-0000-0000-000096170000}"/>
    <cellStyle name="Comma 34 3 3" xfId="14640" xr:uid="{00000000-0005-0000-0000-000097170000}"/>
    <cellStyle name="Comma 34 4" xfId="6382" xr:uid="{00000000-0005-0000-0000-000098170000}"/>
    <cellStyle name="Comma 34 4 2" xfId="17279" xr:uid="{00000000-0005-0000-0000-000099170000}"/>
    <cellStyle name="Comma 34 5" xfId="12357" xr:uid="{00000000-0005-0000-0000-00009A170000}"/>
    <cellStyle name="Comma 35" xfId="1428" xr:uid="{00000000-0005-0000-0000-00009B170000}"/>
    <cellStyle name="Comma 35 2" xfId="2537" xr:uid="{00000000-0005-0000-0000-00009C170000}"/>
    <cellStyle name="Comma 35 2 2" xfId="4849" xr:uid="{00000000-0005-0000-0000-00009D170000}"/>
    <cellStyle name="Comma 35 2 2 2" xfId="9800" xr:uid="{00000000-0005-0000-0000-00009E170000}"/>
    <cellStyle name="Comma 35 2 2 2 2" xfId="20697" xr:uid="{00000000-0005-0000-0000-00009F170000}"/>
    <cellStyle name="Comma 35 2 2 3" xfId="15746" xr:uid="{00000000-0005-0000-0000-0000A0170000}"/>
    <cellStyle name="Comma 35 2 3" xfId="7488" xr:uid="{00000000-0005-0000-0000-0000A1170000}"/>
    <cellStyle name="Comma 35 2 3 2" xfId="18385" xr:uid="{00000000-0005-0000-0000-0000A2170000}"/>
    <cellStyle name="Comma 35 2 4" xfId="13434" xr:uid="{00000000-0005-0000-0000-0000A3170000}"/>
    <cellStyle name="Comma 35 3" xfId="3752" xr:uid="{00000000-0005-0000-0000-0000A4170000}"/>
    <cellStyle name="Comma 35 3 2" xfId="8703" xr:uid="{00000000-0005-0000-0000-0000A5170000}"/>
    <cellStyle name="Comma 35 3 2 2" xfId="19600" xr:uid="{00000000-0005-0000-0000-0000A6170000}"/>
    <cellStyle name="Comma 35 3 3" xfId="14649" xr:uid="{00000000-0005-0000-0000-0000A7170000}"/>
    <cellStyle name="Comma 35 4" xfId="6391" xr:uid="{00000000-0005-0000-0000-0000A8170000}"/>
    <cellStyle name="Comma 35 4 2" xfId="17288" xr:uid="{00000000-0005-0000-0000-0000A9170000}"/>
    <cellStyle name="Comma 35 5" xfId="12366" xr:uid="{00000000-0005-0000-0000-0000AA170000}"/>
    <cellStyle name="Comma 36" xfId="1432" xr:uid="{00000000-0005-0000-0000-0000AB170000}"/>
    <cellStyle name="Comma 36 2" xfId="2540" xr:uid="{00000000-0005-0000-0000-0000AC170000}"/>
    <cellStyle name="Comma 36 2 2" xfId="4852" xr:uid="{00000000-0005-0000-0000-0000AD170000}"/>
    <cellStyle name="Comma 36 2 2 2" xfId="9803" xr:uid="{00000000-0005-0000-0000-0000AE170000}"/>
    <cellStyle name="Comma 36 2 2 2 2" xfId="20700" xr:uid="{00000000-0005-0000-0000-0000AF170000}"/>
    <cellStyle name="Comma 36 2 2 3" xfId="15749" xr:uid="{00000000-0005-0000-0000-0000B0170000}"/>
    <cellStyle name="Comma 36 2 3" xfId="7491" xr:uid="{00000000-0005-0000-0000-0000B1170000}"/>
    <cellStyle name="Comma 36 2 3 2" xfId="18388" xr:uid="{00000000-0005-0000-0000-0000B2170000}"/>
    <cellStyle name="Comma 36 2 4" xfId="13437" xr:uid="{00000000-0005-0000-0000-0000B3170000}"/>
    <cellStyle name="Comma 36 3" xfId="3755" xr:uid="{00000000-0005-0000-0000-0000B4170000}"/>
    <cellStyle name="Comma 36 3 2" xfId="8706" xr:uid="{00000000-0005-0000-0000-0000B5170000}"/>
    <cellStyle name="Comma 36 3 2 2" xfId="19603" xr:uid="{00000000-0005-0000-0000-0000B6170000}"/>
    <cellStyle name="Comma 36 3 3" xfId="14652" xr:uid="{00000000-0005-0000-0000-0000B7170000}"/>
    <cellStyle name="Comma 36 4" xfId="6394" xr:uid="{00000000-0005-0000-0000-0000B8170000}"/>
    <cellStyle name="Comma 36 4 2" xfId="17291" xr:uid="{00000000-0005-0000-0000-0000B9170000}"/>
    <cellStyle name="Comma 36 5" xfId="12370" xr:uid="{00000000-0005-0000-0000-0000BA170000}"/>
    <cellStyle name="Comma 37" xfId="1435" xr:uid="{00000000-0005-0000-0000-0000BB170000}"/>
    <cellStyle name="Comma 37 2" xfId="2543" xr:uid="{00000000-0005-0000-0000-0000BC170000}"/>
    <cellStyle name="Comma 37 2 2" xfId="4855" xr:uid="{00000000-0005-0000-0000-0000BD170000}"/>
    <cellStyle name="Comma 37 2 2 2" xfId="9806" xr:uid="{00000000-0005-0000-0000-0000BE170000}"/>
    <cellStyle name="Comma 37 2 2 2 2" xfId="20703" xr:uid="{00000000-0005-0000-0000-0000BF170000}"/>
    <cellStyle name="Comma 37 2 2 3" xfId="15752" xr:uid="{00000000-0005-0000-0000-0000C0170000}"/>
    <cellStyle name="Comma 37 2 3" xfId="7494" xr:uid="{00000000-0005-0000-0000-0000C1170000}"/>
    <cellStyle name="Comma 37 2 3 2" xfId="18391" xr:uid="{00000000-0005-0000-0000-0000C2170000}"/>
    <cellStyle name="Comma 37 2 4" xfId="13440" xr:uid="{00000000-0005-0000-0000-0000C3170000}"/>
    <cellStyle name="Comma 37 3" xfId="3758" xr:uid="{00000000-0005-0000-0000-0000C4170000}"/>
    <cellStyle name="Comma 37 3 2" xfId="8709" xr:uid="{00000000-0005-0000-0000-0000C5170000}"/>
    <cellStyle name="Comma 37 3 2 2" xfId="19606" xr:uid="{00000000-0005-0000-0000-0000C6170000}"/>
    <cellStyle name="Comma 37 3 3" xfId="14655" xr:uid="{00000000-0005-0000-0000-0000C7170000}"/>
    <cellStyle name="Comma 37 4" xfId="6397" xr:uid="{00000000-0005-0000-0000-0000C8170000}"/>
    <cellStyle name="Comma 37 4 2" xfId="17294" xr:uid="{00000000-0005-0000-0000-0000C9170000}"/>
    <cellStyle name="Comma 37 5" xfId="12374" xr:uid="{00000000-0005-0000-0000-0000CA170000}"/>
    <cellStyle name="Comma 38" xfId="1438" xr:uid="{00000000-0005-0000-0000-0000CB170000}"/>
    <cellStyle name="Comma 38 2" xfId="2546" xr:uid="{00000000-0005-0000-0000-0000CC170000}"/>
    <cellStyle name="Comma 38 2 2" xfId="4858" xr:uid="{00000000-0005-0000-0000-0000CD170000}"/>
    <cellStyle name="Comma 38 2 2 2" xfId="9809" xr:uid="{00000000-0005-0000-0000-0000CE170000}"/>
    <cellStyle name="Comma 38 2 2 2 2" xfId="20706" xr:uid="{00000000-0005-0000-0000-0000CF170000}"/>
    <cellStyle name="Comma 38 2 2 3" xfId="15755" xr:uid="{00000000-0005-0000-0000-0000D0170000}"/>
    <cellStyle name="Comma 38 2 3" xfId="7497" xr:uid="{00000000-0005-0000-0000-0000D1170000}"/>
    <cellStyle name="Comma 38 2 3 2" xfId="18394" xr:uid="{00000000-0005-0000-0000-0000D2170000}"/>
    <cellStyle name="Comma 38 2 4" xfId="13443" xr:uid="{00000000-0005-0000-0000-0000D3170000}"/>
    <cellStyle name="Comma 38 3" xfId="3761" xr:uid="{00000000-0005-0000-0000-0000D4170000}"/>
    <cellStyle name="Comma 38 3 2" xfId="8712" xr:uid="{00000000-0005-0000-0000-0000D5170000}"/>
    <cellStyle name="Comma 38 3 2 2" xfId="19609" xr:uid="{00000000-0005-0000-0000-0000D6170000}"/>
    <cellStyle name="Comma 38 3 3" xfId="14658" xr:uid="{00000000-0005-0000-0000-0000D7170000}"/>
    <cellStyle name="Comma 38 4" xfId="6400" xr:uid="{00000000-0005-0000-0000-0000D8170000}"/>
    <cellStyle name="Comma 38 4 2" xfId="17297" xr:uid="{00000000-0005-0000-0000-0000D9170000}"/>
    <cellStyle name="Comma 38 5" xfId="12377" xr:uid="{00000000-0005-0000-0000-0000DA170000}"/>
    <cellStyle name="Comma 39" xfId="1441" xr:uid="{00000000-0005-0000-0000-0000DB170000}"/>
    <cellStyle name="Comma 39 2" xfId="2549" xr:uid="{00000000-0005-0000-0000-0000DC170000}"/>
    <cellStyle name="Comma 39 2 2" xfId="4861" xr:uid="{00000000-0005-0000-0000-0000DD170000}"/>
    <cellStyle name="Comma 39 2 2 2" xfId="9812" xr:uid="{00000000-0005-0000-0000-0000DE170000}"/>
    <cellStyle name="Comma 39 2 2 2 2" xfId="20709" xr:uid="{00000000-0005-0000-0000-0000DF170000}"/>
    <cellStyle name="Comma 39 2 2 3" xfId="15758" xr:uid="{00000000-0005-0000-0000-0000E0170000}"/>
    <cellStyle name="Comma 39 2 3" xfId="7500" xr:uid="{00000000-0005-0000-0000-0000E1170000}"/>
    <cellStyle name="Comma 39 2 3 2" xfId="18397" xr:uid="{00000000-0005-0000-0000-0000E2170000}"/>
    <cellStyle name="Comma 39 2 4" xfId="13446" xr:uid="{00000000-0005-0000-0000-0000E3170000}"/>
    <cellStyle name="Comma 39 3" xfId="3764" xr:uid="{00000000-0005-0000-0000-0000E4170000}"/>
    <cellStyle name="Comma 39 3 2" xfId="8715" xr:uid="{00000000-0005-0000-0000-0000E5170000}"/>
    <cellStyle name="Comma 39 3 2 2" xfId="19612" xr:uid="{00000000-0005-0000-0000-0000E6170000}"/>
    <cellStyle name="Comma 39 3 3" xfId="14661" xr:uid="{00000000-0005-0000-0000-0000E7170000}"/>
    <cellStyle name="Comma 39 4" xfId="6403" xr:uid="{00000000-0005-0000-0000-0000E8170000}"/>
    <cellStyle name="Comma 39 4 2" xfId="17300" xr:uid="{00000000-0005-0000-0000-0000E9170000}"/>
    <cellStyle name="Comma 39 5" xfId="12380" xr:uid="{00000000-0005-0000-0000-0000EA170000}"/>
    <cellStyle name="Comma 4" xfId="189" xr:uid="{00000000-0005-0000-0000-0000EB170000}"/>
    <cellStyle name="Comma 4 2" xfId="190" xr:uid="{00000000-0005-0000-0000-0000EC170000}"/>
    <cellStyle name="Comma 40" xfId="1445" xr:uid="{00000000-0005-0000-0000-0000ED170000}"/>
    <cellStyle name="Comma 40 2" xfId="2553" xr:uid="{00000000-0005-0000-0000-0000EE170000}"/>
    <cellStyle name="Comma 40 2 2" xfId="4865" xr:uid="{00000000-0005-0000-0000-0000EF170000}"/>
    <cellStyle name="Comma 40 2 2 2" xfId="9816" xr:uid="{00000000-0005-0000-0000-0000F0170000}"/>
    <cellStyle name="Comma 40 2 2 2 2" xfId="20713" xr:uid="{00000000-0005-0000-0000-0000F1170000}"/>
    <cellStyle name="Comma 40 2 2 3" xfId="15762" xr:uid="{00000000-0005-0000-0000-0000F2170000}"/>
    <cellStyle name="Comma 40 2 3" xfId="7504" xr:uid="{00000000-0005-0000-0000-0000F3170000}"/>
    <cellStyle name="Comma 40 2 3 2" xfId="18401" xr:uid="{00000000-0005-0000-0000-0000F4170000}"/>
    <cellStyle name="Comma 40 2 4" xfId="13450" xr:uid="{00000000-0005-0000-0000-0000F5170000}"/>
    <cellStyle name="Comma 40 3" xfId="3768" xr:uid="{00000000-0005-0000-0000-0000F6170000}"/>
    <cellStyle name="Comma 40 3 2" xfId="8719" xr:uid="{00000000-0005-0000-0000-0000F7170000}"/>
    <cellStyle name="Comma 40 3 2 2" xfId="19616" xr:uid="{00000000-0005-0000-0000-0000F8170000}"/>
    <cellStyle name="Comma 40 3 3" xfId="14665" xr:uid="{00000000-0005-0000-0000-0000F9170000}"/>
    <cellStyle name="Comma 40 4" xfId="6407" xr:uid="{00000000-0005-0000-0000-0000FA170000}"/>
    <cellStyle name="Comma 40 4 2" xfId="17304" xr:uid="{00000000-0005-0000-0000-0000FB170000}"/>
    <cellStyle name="Comma 40 5" xfId="12385" xr:uid="{00000000-0005-0000-0000-0000FC170000}"/>
    <cellStyle name="Comma 41" xfId="1449" xr:uid="{00000000-0005-0000-0000-0000FD170000}"/>
    <cellStyle name="Comma 41 2" xfId="2557" xr:uid="{00000000-0005-0000-0000-0000FE170000}"/>
    <cellStyle name="Comma 41 2 2" xfId="4869" xr:uid="{00000000-0005-0000-0000-0000FF170000}"/>
    <cellStyle name="Comma 41 2 2 2" xfId="9820" xr:uid="{00000000-0005-0000-0000-000000180000}"/>
    <cellStyle name="Comma 41 2 2 2 2" xfId="20717" xr:uid="{00000000-0005-0000-0000-000001180000}"/>
    <cellStyle name="Comma 41 2 2 3" xfId="15766" xr:uid="{00000000-0005-0000-0000-000002180000}"/>
    <cellStyle name="Comma 41 2 3" xfId="7508" xr:uid="{00000000-0005-0000-0000-000003180000}"/>
    <cellStyle name="Comma 41 2 3 2" xfId="18405" xr:uid="{00000000-0005-0000-0000-000004180000}"/>
    <cellStyle name="Comma 41 2 4" xfId="13454" xr:uid="{00000000-0005-0000-0000-000005180000}"/>
    <cellStyle name="Comma 41 3" xfId="3772" xr:uid="{00000000-0005-0000-0000-000006180000}"/>
    <cellStyle name="Comma 41 3 2" xfId="8723" xr:uid="{00000000-0005-0000-0000-000007180000}"/>
    <cellStyle name="Comma 41 3 2 2" xfId="19620" xr:uid="{00000000-0005-0000-0000-000008180000}"/>
    <cellStyle name="Comma 41 3 3" xfId="14669" xr:uid="{00000000-0005-0000-0000-000009180000}"/>
    <cellStyle name="Comma 41 4" xfId="6411" xr:uid="{00000000-0005-0000-0000-00000A180000}"/>
    <cellStyle name="Comma 41 4 2" xfId="17308" xr:uid="{00000000-0005-0000-0000-00000B180000}"/>
    <cellStyle name="Comma 41 5" xfId="12390" xr:uid="{00000000-0005-0000-0000-00000C180000}"/>
    <cellStyle name="Comma 42" xfId="1460" xr:uid="{00000000-0005-0000-0000-00000D180000}"/>
    <cellStyle name="Comma 42 2" xfId="2566" xr:uid="{00000000-0005-0000-0000-00000E180000}"/>
    <cellStyle name="Comma 42 2 2" xfId="4878" xr:uid="{00000000-0005-0000-0000-00000F180000}"/>
    <cellStyle name="Comma 42 2 2 2" xfId="9829" xr:uid="{00000000-0005-0000-0000-000010180000}"/>
    <cellStyle name="Comma 42 2 2 2 2" xfId="20726" xr:uid="{00000000-0005-0000-0000-000011180000}"/>
    <cellStyle name="Comma 42 2 2 3" xfId="15775" xr:uid="{00000000-0005-0000-0000-000012180000}"/>
    <cellStyle name="Comma 42 2 3" xfId="7517" xr:uid="{00000000-0005-0000-0000-000013180000}"/>
    <cellStyle name="Comma 42 2 3 2" xfId="18414" xr:uid="{00000000-0005-0000-0000-000014180000}"/>
    <cellStyle name="Comma 42 2 4" xfId="13463" xr:uid="{00000000-0005-0000-0000-000015180000}"/>
    <cellStyle name="Comma 42 3" xfId="3781" xr:uid="{00000000-0005-0000-0000-000016180000}"/>
    <cellStyle name="Comma 42 3 2" xfId="8732" xr:uid="{00000000-0005-0000-0000-000017180000}"/>
    <cellStyle name="Comma 42 3 2 2" xfId="19629" xr:uid="{00000000-0005-0000-0000-000018180000}"/>
    <cellStyle name="Comma 42 3 3" xfId="14678" xr:uid="{00000000-0005-0000-0000-000019180000}"/>
    <cellStyle name="Comma 42 4" xfId="6420" xr:uid="{00000000-0005-0000-0000-00001A180000}"/>
    <cellStyle name="Comma 42 4 2" xfId="17317" xr:uid="{00000000-0005-0000-0000-00001B180000}"/>
    <cellStyle name="Comma 42 5" xfId="12399" xr:uid="{00000000-0005-0000-0000-00001C180000}"/>
    <cellStyle name="Comma 43" xfId="1464" xr:uid="{00000000-0005-0000-0000-00001D180000}"/>
    <cellStyle name="Comma 43 2" xfId="2570" xr:uid="{00000000-0005-0000-0000-00001E180000}"/>
    <cellStyle name="Comma 43 2 2" xfId="4882" xr:uid="{00000000-0005-0000-0000-00001F180000}"/>
    <cellStyle name="Comma 43 2 2 2" xfId="9833" xr:uid="{00000000-0005-0000-0000-000020180000}"/>
    <cellStyle name="Comma 43 2 2 2 2" xfId="20730" xr:uid="{00000000-0005-0000-0000-000021180000}"/>
    <cellStyle name="Comma 43 2 2 3" xfId="15779" xr:uid="{00000000-0005-0000-0000-000022180000}"/>
    <cellStyle name="Comma 43 2 3" xfId="7521" xr:uid="{00000000-0005-0000-0000-000023180000}"/>
    <cellStyle name="Comma 43 2 3 2" xfId="18418" xr:uid="{00000000-0005-0000-0000-000024180000}"/>
    <cellStyle name="Comma 43 2 4" xfId="13467" xr:uid="{00000000-0005-0000-0000-000025180000}"/>
    <cellStyle name="Comma 43 3" xfId="3785" xr:uid="{00000000-0005-0000-0000-000026180000}"/>
    <cellStyle name="Comma 43 3 2" xfId="8736" xr:uid="{00000000-0005-0000-0000-000027180000}"/>
    <cellStyle name="Comma 43 3 2 2" xfId="19633" xr:uid="{00000000-0005-0000-0000-000028180000}"/>
    <cellStyle name="Comma 43 3 3" xfId="14682" xr:uid="{00000000-0005-0000-0000-000029180000}"/>
    <cellStyle name="Comma 43 4" xfId="6424" xr:uid="{00000000-0005-0000-0000-00002A180000}"/>
    <cellStyle name="Comma 43 4 2" xfId="17321" xr:uid="{00000000-0005-0000-0000-00002B180000}"/>
    <cellStyle name="Comma 43 5" xfId="12403" xr:uid="{00000000-0005-0000-0000-00002C180000}"/>
    <cellStyle name="Comma 44" xfId="1466" xr:uid="{00000000-0005-0000-0000-00002D180000}"/>
    <cellStyle name="Comma 44 2" xfId="2572" xr:uid="{00000000-0005-0000-0000-00002E180000}"/>
    <cellStyle name="Comma 44 2 2" xfId="4884" xr:uid="{00000000-0005-0000-0000-00002F180000}"/>
    <cellStyle name="Comma 44 2 2 2" xfId="9835" xr:uid="{00000000-0005-0000-0000-000030180000}"/>
    <cellStyle name="Comma 44 2 2 2 2" xfId="20732" xr:uid="{00000000-0005-0000-0000-000031180000}"/>
    <cellStyle name="Comma 44 2 2 3" xfId="15781" xr:uid="{00000000-0005-0000-0000-000032180000}"/>
    <cellStyle name="Comma 44 2 3" xfId="7523" xr:uid="{00000000-0005-0000-0000-000033180000}"/>
    <cellStyle name="Comma 44 2 3 2" xfId="18420" xr:uid="{00000000-0005-0000-0000-000034180000}"/>
    <cellStyle name="Comma 44 2 4" xfId="13469" xr:uid="{00000000-0005-0000-0000-000035180000}"/>
    <cellStyle name="Comma 44 3" xfId="3787" xr:uid="{00000000-0005-0000-0000-000036180000}"/>
    <cellStyle name="Comma 44 3 2" xfId="8738" xr:uid="{00000000-0005-0000-0000-000037180000}"/>
    <cellStyle name="Comma 44 3 2 2" xfId="19635" xr:uid="{00000000-0005-0000-0000-000038180000}"/>
    <cellStyle name="Comma 44 3 3" xfId="14684" xr:uid="{00000000-0005-0000-0000-000039180000}"/>
    <cellStyle name="Comma 44 4" xfId="6426" xr:uid="{00000000-0005-0000-0000-00003A180000}"/>
    <cellStyle name="Comma 44 4 2" xfId="17323" xr:uid="{00000000-0005-0000-0000-00003B180000}"/>
    <cellStyle name="Comma 44 5" xfId="12405" xr:uid="{00000000-0005-0000-0000-00003C180000}"/>
    <cellStyle name="Comma 45" xfId="1468" xr:uid="{00000000-0005-0000-0000-00003D180000}"/>
    <cellStyle name="Comma 45 2" xfId="2574" xr:uid="{00000000-0005-0000-0000-00003E180000}"/>
    <cellStyle name="Comma 45 2 2" xfId="4886" xr:uid="{00000000-0005-0000-0000-00003F180000}"/>
    <cellStyle name="Comma 45 2 2 2" xfId="9837" xr:uid="{00000000-0005-0000-0000-000040180000}"/>
    <cellStyle name="Comma 45 2 2 2 2" xfId="20734" xr:uid="{00000000-0005-0000-0000-000041180000}"/>
    <cellStyle name="Comma 45 2 2 3" xfId="15783" xr:uid="{00000000-0005-0000-0000-000042180000}"/>
    <cellStyle name="Comma 45 2 3" xfId="7525" xr:uid="{00000000-0005-0000-0000-000043180000}"/>
    <cellStyle name="Comma 45 2 3 2" xfId="18422" xr:uid="{00000000-0005-0000-0000-000044180000}"/>
    <cellStyle name="Comma 45 2 4" xfId="13471" xr:uid="{00000000-0005-0000-0000-000045180000}"/>
    <cellStyle name="Comma 45 3" xfId="3789" xr:uid="{00000000-0005-0000-0000-000046180000}"/>
    <cellStyle name="Comma 45 3 2" xfId="8740" xr:uid="{00000000-0005-0000-0000-000047180000}"/>
    <cellStyle name="Comma 45 3 2 2" xfId="19637" xr:uid="{00000000-0005-0000-0000-000048180000}"/>
    <cellStyle name="Comma 45 3 3" xfId="14686" xr:uid="{00000000-0005-0000-0000-000049180000}"/>
    <cellStyle name="Comma 45 4" xfId="6428" xr:uid="{00000000-0005-0000-0000-00004A180000}"/>
    <cellStyle name="Comma 45 4 2" xfId="17325" xr:uid="{00000000-0005-0000-0000-00004B180000}"/>
    <cellStyle name="Comma 45 5" xfId="12407" xr:uid="{00000000-0005-0000-0000-00004C180000}"/>
    <cellStyle name="Comma 46" xfId="1477" xr:uid="{00000000-0005-0000-0000-00004D180000}"/>
    <cellStyle name="Comma 46 2" xfId="2581" xr:uid="{00000000-0005-0000-0000-00004E180000}"/>
    <cellStyle name="Comma 46 2 2" xfId="4893" xr:uid="{00000000-0005-0000-0000-00004F180000}"/>
    <cellStyle name="Comma 46 2 2 2" xfId="9844" xr:uid="{00000000-0005-0000-0000-000050180000}"/>
    <cellStyle name="Comma 46 2 2 2 2" xfId="20741" xr:uid="{00000000-0005-0000-0000-000051180000}"/>
    <cellStyle name="Comma 46 2 2 3" xfId="15790" xr:uid="{00000000-0005-0000-0000-000052180000}"/>
    <cellStyle name="Comma 46 2 3" xfId="7532" xr:uid="{00000000-0005-0000-0000-000053180000}"/>
    <cellStyle name="Comma 46 2 3 2" xfId="18429" xr:uid="{00000000-0005-0000-0000-000054180000}"/>
    <cellStyle name="Comma 46 2 4" xfId="13478" xr:uid="{00000000-0005-0000-0000-000055180000}"/>
    <cellStyle name="Comma 46 3" xfId="3796" xr:uid="{00000000-0005-0000-0000-000056180000}"/>
    <cellStyle name="Comma 46 3 2" xfId="8747" xr:uid="{00000000-0005-0000-0000-000057180000}"/>
    <cellStyle name="Comma 46 3 2 2" xfId="19644" xr:uid="{00000000-0005-0000-0000-000058180000}"/>
    <cellStyle name="Comma 46 3 3" xfId="14693" xr:uid="{00000000-0005-0000-0000-000059180000}"/>
    <cellStyle name="Comma 46 4" xfId="6435" xr:uid="{00000000-0005-0000-0000-00005A180000}"/>
    <cellStyle name="Comma 46 4 2" xfId="17332" xr:uid="{00000000-0005-0000-0000-00005B180000}"/>
    <cellStyle name="Comma 46 5" xfId="12414" xr:uid="{00000000-0005-0000-0000-00005C180000}"/>
    <cellStyle name="Comma 47" xfId="1480" xr:uid="{00000000-0005-0000-0000-00005D180000}"/>
    <cellStyle name="Comma 47 2" xfId="2584" xr:uid="{00000000-0005-0000-0000-00005E180000}"/>
    <cellStyle name="Comma 47 2 2" xfId="4896" xr:uid="{00000000-0005-0000-0000-00005F180000}"/>
    <cellStyle name="Comma 47 2 2 2" xfId="9847" xr:uid="{00000000-0005-0000-0000-000060180000}"/>
    <cellStyle name="Comma 47 2 2 2 2" xfId="20744" xr:uid="{00000000-0005-0000-0000-000061180000}"/>
    <cellStyle name="Comma 47 2 2 3" xfId="15793" xr:uid="{00000000-0005-0000-0000-000062180000}"/>
    <cellStyle name="Comma 47 2 3" xfId="7535" xr:uid="{00000000-0005-0000-0000-000063180000}"/>
    <cellStyle name="Comma 47 2 3 2" xfId="18432" xr:uid="{00000000-0005-0000-0000-000064180000}"/>
    <cellStyle name="Comma 47 2 4" xfId="13481" xr:uid="{00000000-0005-0000-0000-000065180000}"/>
    <cellStyle name="Comma 47 3" xfId="3799" xr:uid="{00000000-0005-0000-0000-000066180000}"/>
    <cellStyle name="Comma 47 3 2" xfId="8750" xr:uid="{00000000-0005-0000-0000-000067180000}"/>
    <cellStyle name="Comma 47 3 2 2" xfId="19647" xr:uid="{00000000-0005-0000-0000-000068180000}"/>
    <cellStyle name="Comma 47 3 3" xfId="14696" xr:uid="{00000000-0005-0000-0000-000069180000}"/>
    <cellStyle name="Comma 47 4" xfId="6438" xr:uid="{00000000-0005-0000-0000-00006A180000}"/>
    <cellStyle name="Comma 47 4 2" xfId="17335" xr:uid="{00000000-0005-0000-0000-00006B180000}"/>
    <cellStyle name="Comma 47 5" xfId="12417" xr:uid="{00000000-0005-0000-0000-00006C180000}"/>
    <cellStyle name="Comma 48" xfId="1487" xr:uid="{00000000-0005-0000-0000-00006D180000}"/>
    <cellStyle name="Comma 48 2" xfId="2590" xr:uid="{00000000-0005-0000-0000-00006E180000}"/>
    <cellStyle name="Comma 48 2 2" xfId="4902" xr:uid="{00000000-0005-0000-0000-00006F180000}"/>
    <cellStyle name="Comma 48 2 2 2" xfId="9853" xr:uid="{00000000-0005-0000-0000-000070180000}"/>
    <cellStyle name="Comma 48 2 2 2 2" xfId="20750" xr:uid="{00000000-0005-0000-0000-000071180000}"/>
    <cellStyle name="Comma 48 2 2 3" xfId="15799" xr:uid="{00000000-0005-0000-0000-000072180000}"/>
    <cellStyle name="Comma 48 2 3" xfId="7541" xr:uid="{00000000-0005-0000-0000-000073180000}"/>
    <cellStyle name="Comma 48 2 3 2" xfId="18438" xr:uid="{00000000-0005-0000-0000-000074180000}"/>
    <cellStyle name="Comma 48 2 4" xfId="13487" xr:uid="{00000000-0005-0000-0000-000075180000}"/>
    <cellStyle name="Comma 48 3" xfId="3806" xr:uid="{00000000-0005-0000-0000-000076180000}"/>
    <cellStyle name="Comma 48 3 2" xfId="8757" xr:uid="{00000000-0005-0000-0000-000077180000}"/>
    <cellStyle name="Comma 48 3 2 2" xfId="19654" xr:uid="{00000000-0005-0000-0000-000078180000}"/>
    <cellStyle name="Comma 48 3 3" xfId="14703" xr:uid="{00000000-0005-0000-0000-000079180000}"/>
    <cellStyle name="Comma 48 4" xfId="6445" xr:uid="{00000000-0005-0000-0000-00007A180000}"/>
    <cellStyle name="Comma 48 4 2" xfId="17342" xr:uid="{00000000-0005-0000-0000-00007B180000}"/>
    <cellStyle name="Comma 48 5" xfId="12423" xr:uid="{00000000-0005-0000-0000-00007C180000}"/>
    <cellStyle name="Comma 49" xfId="1493" xr:uid="{00000000-0005-0000-0000-00007D180000}"/>
    <cellStyle name="Comma 49 2" xfId="1502" xr:uid="{00000000-0005-0000-0000-00007E180000}"/>
    <cellStyle name="Comma 49 2 2" xfId="2605" xr:uid="{00000000-0005-0000-0000-00007F180000}"/>
    <cellStyle name="Comma 49 2 2 2" xfId="4917" xr:uid="{00000000-0005-0000-0000-000080180000}"/>
    <cellStyle name="Comma 49 2 2 2 2" xfId="9868" xr:uid="{00000000-0005-0000-0000-000081180000}"/>
    <cellStyle name="Comma 49 2 2 2 2 2" xfId="20765" xr:uid="{00000000-0005-0000-0000-000082180000}"/>
    <cellStyle name="Comma 49 2 2 2 3" xfId="15814" xr:uid="{00000000-0005-0000-0000-000083180000}"/>
    <cellStyle name="Comma 49 2 2 3" xfId="7556" xr:uid="{00000000-0005-0000-0000-000084180000}"/>
    <cellStyle name="Comma 49 2 2 3 2" xfId="18453" xr:uid="{00000000-0005-0000-0000-000085180000}"/>
    <cellStyle name="Comma 49 2 2 4" xfId="13502" xr:uid="{00000000-0005-0000-0000-000086180000}"/>
    <cellStyle name="Comma 49 2 3" xfId="3821" xr:uid="{00000000-0005-0000-0000-000087180000}"/>
    <cellStyle name="Comma 49 2 3 2" xfId="8772" xr:uid="{00000000-0005-0000-0000-000088180000}"/>
    <cellStyle name="Comma 49 2 3 2 2" xfId="19669" xr:uid="{00000000-0005-0000-0000-000089180000}"/>
    <cellStyle name="Comma 49 2 3 3" xfId="14718" xr:uid="{00000000-0005-0000-0000-00008A180000}"/>
    <cellStyle name="Comma 49 2 4" xfId="6460" xr:uid="{00000000-0005-0000-0000-00008B180000}"/>
    <cellStyle name="Comma 49 2 4 2" xfId="17357" xr:uid="{00000000-0005-0000-0000-00008C180000}"/>
    <cellStyle name="Comma 49 2 5" xfId="12438" xr:uid="{00000000-0005-0000-0000-00008D180000}"/>
    <cellStyle name="Comma 49 3" xfId="2596" xr:uid="{00000000-0005-0000-0000-00008E180000}"/>
    <cellStyle name="Comma 49 3 2" xfId="4908" xr:uid="{00000000-0005-0000-0000-00008F180000}"/>
    <cellStyle name="Comma 49 3 2 2" xfId="9859" xr:uid="{00000000-0005-0000-0000-000090180000}"/>
    <cellStyle name="Comma 49 3 2 2 2" xfId="20756" xr:uid="{00000000-0005-0000-0000-000091180000}"/>
    <cellStyle name="Comma 49 3 2 3" xfId="15805" xr:uid="{00000000-0005-0000-0000-000092180000}"/>
    <cellStyle name="Comma 49 3 3" xfId="7547" xr:uid="{00000000-0005-0000-0000-000093180000}"/>
    <cellStyle name="Comma 49 3 3 2" xfId="18444" xr:uid="{00000000-0005-0000-0000-000094180000}"/>
    <cellStyle name="Comma 49 3 4" xfId="13493" xr:uid="{00000000-0005-0000-0000-000095180000}"/>
    <cellStyle name="Comma 49 4" xfId="3812" xr:uid="{00000000-0005-0000-0000-000096180000}"/>
    <cellStyle name="Comma 49 4 2" xfId="8763" xr:uid="{00000000-0005-0000-0000-000097180000}"/>
    <cellStyle name="Comma 49 4 2 2" xfId="19660" xr:uid="{00000000-0005-0000-0000-000098180000}"/>
    <cellStyle name="Comma 49 4 3" xfId="14709" xr:uid="{00000000-0005-0000-0000-000099180000}"/>
    <cellStyle name="Comma 49 5" xfId="6451" xr:uid="{00000000-0005-0000-0000-00009A180000}"/>
    <cellStyle name="Comma 49 5 2" xfId="17348" xr:uid="{00000000-0005-0000-0000-00009B180000}"/>
    <cellStyle name="Comma 49 6" xfId="12429" xr:uid="{00000000-0005-0000-0000-00009C180000}"/>
    <cellStyle name="Comma 5" xfId="191" xr:uid="{00000000-0005-0000-0000-00009D180000}"/>
    <cellStyle name="Comma 5 2" xfId="382" xr:uid="{00000000-0005-0000-0000-00009E180000}"/>
    <cellStyle name="Comma 5 2 2" xfId="512" xr:uid="{00000000-0005-0000-0000-00009F180000}"/>
    <cellStyle name="Comma 5 2 2 2" xfId="777" xr:uid="{00000000-0005-0000-0000-0000A0180000}"/>
    <cellStyle name="Comma 5 2 2 2 2" xfId="1309" xr:uid="{00000000-0005-0000-0000-0000A1180000}"/>
    <cellStyle name="Comma 5 2 2 2 2 2" xfId="2466" xr:uid="{00000000-0005-0000-0000-0000A2180000}"/>
    <cellStyle name="Comma 5 2 2 2 2 2 2" xfId="4778" xr:uid="{00000000-0005-0000-0000-0000A3180000}"/>
    <cellStyle name="Comma 5 2 2 2 2 2 2 2" xfId="9729" xr:uid="{00000000-0005-0000-0000-0000A4180000}"/>
    <cellStyle name="Comma 5 2 2 2 2 2 2 2 2" xfId="20626" xr:uid="{00000000-0005-0000-0000-0000A5180000}"/>
    <cellStyle name="Comma 5 2 2 2 2 2 2 3" xfId="15675" xr:uid="{00000000-0005-0000-0000-0000A6180000}"/>
    <cellStyle name="Comma 5 2 2 2 2 2 3" xfId="7417" xr:uid="{00000000-0005-0000-0000-0000A7180000}"/>
    <cellStyle name="Comma 5 2 2 2 2 2 3 2" xfId="18314" xr:uid="{00000000-0005-0000-0000-0000A8180000}"/>
    <cellStyle name="Comma 5 2 2 2 2 2 4" xfId="13377" xr:uid="{00000000-0005-0000-0000-0000A9180000}"/>
    <cellStyle name="Comma 5 2 2 2 2 3" xfId="3633" xr:uid="{00000000-0005-0000-0000-0000AA180000}"/>
    <cellStyle name="Comma 5 2 2 2 2 3 2" xfId="8584" xr:uid="{00000000-0005-0000-0000-0000AB180000}"/>
    <cellStyle name="Comma 5 2 2 2 2 3 2 2" xfId="19481" xr:uid="{00000000-0005-0000-0000-0000AC180000}"/>
    <cellStyle name="Comma 5 2 2 2 2 3 3" xfId="14530" xr:uid="{00000000-0005-0000-0000-0000AD180000}"/>
    <cellStyle name="Comma 5 2 2 2 2 4" xfId="6272" xr:uid="{00000000-0005-0000-0000-0000AE180000}"/>
    <cellStyle name="Comma 5 2 2 2 2 4 2" xfId="17169" xr:uid="{00000000-0005-0000-0000-0000AF180000}"/>
    <cellStyle name="Comma 5 2 2 2 2 5" xfId="12259" xr:uid="{00000000-0005-0000-0000-0000B0180000}"/>
    <cellStyle name="Comma 5 2 2 2 3" xfId="1935" xr:uid="{00000000-0005-0000-0000-0000B1180000}"/>
    <cellStyle name="Comma 5 2 2 2 3 2" xfId="4247" xr:uid="{00000000-0005-0000-0000-0000B2180000}"/>
    <cellStyle name="Comma 5 2 2 2 3 2 2" xfId="9198" xr:uid="{00000000-0005-0000-0000-0000B3180000}"/>
    <cellStyle name="Comma 5 2 2 2 3 2 2 2" xfId="20095" xr:uid="{00000000-0005-0000-0000-0000B4180000}"/>
    <cellStyle name="Comma 5 2 2 2 3 2 3" xfId="15144" xr:uid="{00000000-0005-0000-0000-0000B5180000}"/>
    <cellStyle name="Comma 5 2 2 2 3 3" xfId="6886" xr:uid="{00000000-0005-0000-0000-0000B6180000}"/>
    <cellStyle name="Comma 5 2 2 2 3 3 2" xfId="17783" xr:uid="{00000000-0005-0000-0000-0000B7180000}"/>
    <cellStyle name="Comma 5 2 2 2 3 4" xfId="12859" xr:uid="{00000000-0005-0000-0000-0000B8180000}"/>
    <cellStyle name="Comma 5 2 2 2 4" xfId="3101" xr:uid="{00000000-0005-0000-0000-0000B9180000}"/>
    <cellStyle name="Comma 5 2 2 2 4 2" xfId="8052" xr:uid="{00000000-0005-0000-0000-0000BA180000}"/>
    <cellStyle name="Comma 5 2 2 2 4 2 2" xfId="18949" xr:uid="{00000000-0005-0000-0000-0000BB180000}"/>
    <cellStyle name="Comma 5 2 2 2 4 3" xfId="13998" xr:uid="{00000000-0005-0000-0000-0000BC180000}"/>
    <cellStyle name="Comma 5 2 2 2 5" xfId="5740" xr:uid="{00000000-0005-0000-0000-0000BD180000}"/>
    <cellStyle name="Comma 5 2 2 2 5 2" xfId="16637" xr:uid="{00000000-0005-0000-0000-0000BE180000}"/>
    <cellStyle name="Comma 5 2 2 2 6" xfId="11738" xr:uid="{00000000-0005-0000-0000-0000BF180000}"/>
    <cellStyle name="Comma 5 2 2 3" xfId="1044" xr:uid="{00000000-0005-0000-0000-0000C0180000}"/>
    <cellStyle name="Comma 5 2 2 3 2" xfId="2201" xr:uid="{00000000-0005-0000-0000-0000C1180000}"/>
    <cellStyle name="Comma 5 2 2 3 2 2" xfId="4513" xr:uid="{00000000-0005-0000-0000-0000C2180000}"/>
    <cellStyle name="Comma 5 2 2 3 2 2 2" xfId="9464" xr:uid="{00000000-0005-0000-0000-0000C3180000}"/>
    <cellStyle name="Comma 5 2 2 3 2 2 2 2" xfId="20361" xr:uid="{00000000-0005-0000-0000-0000C4180000}"/>
    <cellStyle name="Comma 5 2 2 3 2 2 3" xfId="15410" xr:uid="{00000000-0005-0000-0000-0000C5180000}"/>
    <cellStyle name="Comma 5 2 2 3 2 3" xfId="7152" xr:uid="{00000000-0005-0000-0000-0000C6180000}"/>
    <cellStyle name="Comma 5 2 2 3 2 3 2" xfId="18049" xr:uid="{00000000-0005-0000-0000-0000C7180000}"/>
    <cellStyle name="Comma 5 2 2 3 2 4" xfId="13118" xr:uid="{00000000-0005-0000-0000-0000C8180000}"/>
    <cellStyle name="Comma 5 2 2 3 3" xfId="3368" xr:uid="{00000000-0005-0000-0000-0000C9180000}"/>
    <cellStyle name="Comma 5 2 2 3 3 2" xfId="8319" xr:uid="{00000000-0005-0000-0000-0000CA180000}"/>
    <cellStyle name="Comma 5 2 2 3 3 2 2" xfId="19216" xr:uid="{00000000-0005-0000-0000-0000CB180000}"/>
    <cellStyle name="Comma 5 2 2 3 3 3" xfId="14265" xr:uid="{00000000-0005-0000-0000-0000CC180000}"/>
    <cellStyle name="Comma 5 2 2 3 4" xfId="6007" xr:uid="{00000000-0005-0000-0000-0000CD180000}"/>
    <cellStyle name="Comma 5 2 2 3 4 2" xfId="16904" xr:uid="{00000000-0005-0000-0000-0000CE180000}"/>
    <cellStyle name="Comma 5 2 2 3 5" xfId="12000" xr:uid="{00000000-0005-0000-0000-0000CF180000}"/>
    <cellStyle name="Comma 5 2 2 4" xfId="1702" xr:uid="{00000000-0005-0000-0000-0000D0180000}"/>
    <cellStyle name="Comma 5 2 2 4 2" xfId="4014" xr:uid="{00000000-0005-0000-0000-0000D1180000}"/>
    <cellStyle name="Comma 5 2 2 4 2 2" xfId="8965" xr:uid="{00000000-0005-0000-0000-0000D2180000}"/>
    <cellStyle name="Comma 5 2 2 4 2 2 2" xfId="19862" xr:uid="{00000000-0005-0000-0000-0000D3180000}"/>
    <cellStyle name="Comma 5 2 2 4 2 3" xfId="14911" xr:uid="{00000000-0005-0000-0000-0000D4180000}"/>
    <cellStyle name="Comma 5 2 2 4 3" xfId="6653" xr:uid="{00000000-0005-0000-0000-0000D5180000}"/>
    <cellStyle name="Comma 5 2 2 4 3 2" xfId="17550" xr:uid="{00000000-0005-0000-0000-0000D6180000}"/>
    <cellStyle name="Comma 5 2 2 4 4" xfId="12633" xr:uid="{00000000-0005-0000-0000-0000D7180000}"/>
    <cellStyle name="Comma 5 2 2 5" xfId="2836" xr:uid="{00000000-0005-0000-0000-0000D8180000}"/>
    <cellStyle name="Comma 5 2 2 5 2" xfId="7787" xr:uid="{00000000-0005-0000-0000-0000D9180000}"/>
    <cellStyle name="Comma 5 2 2 5 2 2" xfId="18684" xr:uid="{00000000-0005-0000-0000-0000DA180000}"/>
    <cellStyle name="Comma 5 2 2 5 3" xfId="13733" xr:uid="{00000000-0005-0000-0000-0000DB180000}"/>
    <cellStyle name="Comma 5 2 2 6" xfId="5475" xr:uid="{00000000-0005-0000-0000-0000DC180000}"/>
    <cellStyle name="Comma 5 2 2 6 2" xfId="16372" xr:uid="{00000000-0005-0000-0000-0000DD180000}"/>
    <cellStyle name="Comma 5 2 2 7" xfId="11477" xr:uid="{00000000-0005-0000-0000-0000DE180000}"/>
    <cellStyle name="Comma 5 2 3" xfId="648" xr:uid="{00000000-0005-0000-0000-0000DF180000}"/>
    <cellStyle name="Comma 5 2 3 2" xfId="1180" xr:uid="{00000000-0005-0000-0000-0000E0180000}"/>
    <cellStyle name="Comma 5 2 3 2 2" xfId="2337" xr:uid="{00000000-0005-0000-0000-0000E1180000}"/>
    <cellStyle name="Comma 5 2 3 2 2 2" xfId="4649" xr:uid="{00000000-0005-0000-0000-0000E2180000}"/>
    <cellStyle name="Comma 5 2 3 2 2 2 2" xfId="9600" xr:uid="{00000000-0005-0000-0000-0000E3180000}"/>
    <cellStyle name="Comma 5 2 3 2 2 2 2 2" xfId="20497" xr:uid="{00000000-0005-0000-0000-0000E4180000}"/>
    <cellStyle name="Comma 5 2 3 2 2 2 3" xfId="15546" xr:uid="{00000000-0005-0000-0000-0000E5180000}"/>
    <cellStyle name="Comma 5 2 3 2 2 3" xfId="7288" xr:uid="{00000000-0005-0000-0000-0000E6180000}"/>
    <cellStyle name="Comma 5 2 3 2 2 3 2" xfId="18185" xr:uid="{00000000-0005-0000-0000-0000E7180000}"/>
    <cellStyle name="Comma 5 2 3 2 2 4" xfId="13249" xr:uid="{00000000-0005-0000-0000-0000E8180000}"/>
    <cellStyle name="Comma 5 2 3 2 3" xfId="3504" xr:uid="{00000000-0005-0000-0000-0000E9180000}"/>
    <cellStyle name="Comma 5 2 3 2 3 2" xfId="8455" xr:uid="{00000000-0005-0000-0000-0000EA180000}"/>
    <cellStyle name="Comma 5 2 3 2 3 2 2" xfId="19352" xr:uid="{00000000-0005-0000-0000-0000EB180000}"/>
    <cellStyle name="Comma 5 2 3 2 3 3" xfId="14401" xr:uid="{00000000-0005-0000-0000-0000EC180000}"/>
    <cellStyle name="Comma 5 2 3 2 4" xfId="6143" xr:uid="{00000000-0005-0000-0000-0000ED180000}"/>
    <cellStyle name="Comma 5 2 3 2 4 2" xfId="17040" xr:uid="{00000000-0005-0000-0000-0000EE180000}"/>
    <cellStyle name="Comma 5 2 3 2 5" xfId="12131" xr:uid="{00000000-0005-0000-0000-0000EF180000}"/>
    <cellStyle name="Comma 5 2 3 3" xfId="1821" xr:uid="{00000000-0005-0000-0000-0000F0180000}"/>
    <cellStyle name="Comma 5 2 3 3 2" xfId="4133" xr:uid="{00000000-0005-0000-0000-0000F1180000}"/>
    <cellStyle name="Comma 5 2 3 3 2 2" xfId="9084" xr:uid="{00000000-0005-0000-0000-0000F2180000}"/>
    <cellStyle name="Comma 5 2 3 3 2 2 2" xfId="19981" xr:uid="{00000000-0005-0000-0000-0000F3180000}"/>
    <cellStyle name="Comma 5 2 3 3 2 3" xfId="15030" xr:uid="{00000000-0005-0000-0000-0000F4180000}"/>
    <cellStyle name="Comma 5 2 3 3 3" xfId="6772" xr:uid="{00000000-0005-0000-0000-0000F5180000}"/>
    <cellStyle name="Comma 5 2 3 3 3 2" xfId="17669" xr:uid="{00000000-0005-0000-0000-0000F6180000}"/>
    <cellStyle name="Comma 5 2 3 3 4" xfId="12746" xr:uid="{00000000-0005-0000-0000-0000F7180000}"/>
    <cellStyle name="Comma 5 2 3 4" xfId="2972" xr:uid="{00000000-0005-0000-0000-0000F8180000}"/>
    <cellStyle name="Comma 5 2 3 4 2" xfId="7923" xr:uid="{00000000-0005-0000-0000-0000F9180000}"/>
    <cellStyle name="Comma 5 2 3 4 2 2" xfId="18820" xr:uid="{00000000-0005-0000-0000-0000FA180000}"/>
    <cellStyle name="Comma 5 2 3 4 3" xfId="13869" xr:uid="{00000000-0005-0000-0000-0000FB180000}"/>
    <cellStyle name="Comma 5 2 3 5" xfId="5611" xr:uid="{00000000-0005-0000-0000-0000FC180000}"/>
    <cellStyle name="Comma 5 2 3 5 2" xfId="16508" xr:uid="{00000000-0005-0000-0000-0000FD180000}"/>
    <cellStyle name="Comma 5 2 3 6" xfId="11610" xr:uid="{00000000-0005-0000-0000-0000FE180000}"/>
    <cellStyle name="Comma 5 2 4" xfId="915" xr:uid="{00000000-0005-0000-0000-0000FF180000}"/>
    <cellStyle name="Comma 5 2 4 2" xfId="2072" xr:uid="{00000000-0005-0000-0000-000000190000}"/>
    <cellStyle name="Comma 5 2 4 2 2" xfId="4384" xr:uid="{00000000-0005-0000-0000-000001190000}"/>
    <cellStyle name="Comma 5 2 4 2 2 2" xfId="9335" xr:uid="{00000000-0005-0000-0000-000002190000}"/>
    <cellStyle name="Comma 5 2 4 2 2 2 2" xfId="20232" xr:uid="{00000000-0005-0000-0000-000003190000}"/>
    <cellStyle name="Comma 5 2 4 2 2 3" xfId="15281" xr:uid="{00000000-0005-0000-0000-000004190000}"/>
    <cellStyle name="Comma 5 2 4 2 3" xfId="7023" xr:uid="{00000000-0005-0000-0000-000005190000}"/>
    <cellStyle name="Comma 5 2 4 2 3 2" xfId="17920" xr:uid="{00000000-0005-0000-0000-000006190000}"/>
    <cellStyle name="Comma 5 2 4 2 4" xfId="12990" xr:uid="{00000000-0005-0000-0000-000007190000}"/>
    <cellStyle name="Comma 5 2 4 3" xfId="3239" xr:uid="{00000000-0005-0000-0000-000008190000}"/>
    <cellStyle name="Comma 5 2 4 3 2" xfId="8190" xr:uid="{00000000-0005-0000-0000-000009190000}"/>
    <cellStyle name="Comma 5 2 4 3 2 2" xfId="19087" xr:uid="{00000000-0005-0000-0000-00000A190000}"/>
    <cellStyle name="Comma 5 2 4 3 3" xfId="14136" xr:uid="{00000000-0005-0000-0000-00000B190000}"/>
    <cellStyle name="Comma 5 2 4 4" xfId="5878" xr:uid="{00000000-0005-0000-0000-00000C190000}"/>
    <cellStyle name="Comma 5 2 4 4 2" xfId="16775" xr:uid="{00000000-0005-0000-0000-00000D190000}"/>
    <cellStyle name="Comma 5 2 4 5" xfId="11872" xr:uid="{00000000-0005-0000-0000-00000E190000}"/>
    <cellStyle name="Comma 5 2 5" xfId="1588" xr:uid="{00000000-0005-0000-0000-00000F190000}"/>
    <cellStyle name="Comma 5 2 5 2" xfId="3900" xr:uid="{00000000-0005-0000-0000-000010190000}"/>
    <cellStyle name="Comma 5 2 5 2 2" xfId="8851" xr:uid="{00000000-0005-0000-0000-000011190000}"/>
    <cellStyle name="Comma 5 2 5 2 2 2" xfId="19748" xr:uid="{00000000-0005-0000-0000-000012190000}"/>
    <cellStyle name="Comma 5 2 5 2 3" xfId="14797" xr:uid="{00000000-0005-0000-0000-000013190000}"/>
    <cellStyle name="Comma 5 2 5 3" xfId="6539" xr:uid="{00000000-0005-0000-0000-000014190000}"/>
    <cellStyle name="Comma 5 2 5 3 2" xfId="17436" xr:uid="{00000000-0005-0000-0000-000015190000}"/>
    <cellStyle name="Comma 5 2 5 4" xfId="12520" xr:uid="{00000000-0005-0000-0000-000016190000}"/>
    <cellStyle name="Comma 5 2 6" xfId="2707" xr:uid="{00000000-0005-0000-0000-000017190000}"/>
    <cellStyle name="Comma 5 2 6 2" xfId="7658" xr:uid="{00000000-0005-0000-0000-000018190000}"/>
    <cellStyle name="Comma 5 2 6 2 2" xfId="18555" xr:uid="{00000000-0005-0000-0000-000019190000}"/>
    <cellStyle name="Comma 5 2 6 3" xfId="13604" xr:uid="{00000000-0005-0000-0000-00001A190000}"/>
    <cellStyle name="Comma 5 2 7" xfId="5346" xr:uid="{00000000-0005-0000-0000-00001B190000}"/>
    <cellStyle name="Comma 5 2 7 2" xfId="16243" xr:uid="{00000000-0005-0000-0000-00001C190000}"/>
    <cellStyle name="Comma 5 2 8" xfId="11349" xr:uid="{00000000-0005-0000-0000-00001D190000}"/>
    <cellStyle name="Comma 5 3" xfId="451" xr:uid="{00000000-0005-0000-0000-00001E190000}"/>
    <cellStyle name="Comma 5 3 2" xfId="716" xr:uid="{00000000-0005-0000-0000-00001F190000}"/>
    <cellStyle name="Comma 5 3 2 2" xfId="1248" xr:uid="{00000000-0005-0000-0000-000020190000}"/>
    <cellStyle name="Comma 5 3 2 2 2" xfId="2405" xr:uid="{00000000-0005-0000-0000-000021190000}"/>
    <cellStyle name="Comma 5 3 2 2 2 2" xfId="4717" xr:uid="{00000000-0005-0000-0000-000022190000}"/>
    <cellStyle name="Comma 5 3 2 2 2 2 2" xfId="9668" xr:uid="{00000000-0005-0000-0000-000023190000}"/>
    <cellStyle name="Comma 5 3 2 2 2 2 2 2" xfId="20565" xr:uid="{00000000-0005-0000-0000-000024190000}"/>
    <cellStyle name="Comma 5 3 2 2 2 2 3" xfId="15614" xr:uid="{00000000-0005-0000-0000-000025190000}"/>
    <cellStyle name="Comma 5 3 2 2 2 3" xfId="7356" xr:uid="{00000000-0005-0000-0000-000026190000}"/>
    <cellStyle name="Comma 5 3 2 2 2 3 2" xfId="18253" xr:uid="{00000000-0005-0000-0000-000027190000}"/>
    <cellStyle name="Comma 5 3 2 2 2 4" xfId="13316" xr:uid="{00000000-0005-0000-0000-000028190000}"/>
    <cellStyle name="Comma 5 3 2 2 3" xfId="3572" xr:uid="{00000000-0005-0000-0000-000029190000}"/>
    <cellStyle name="Comma 5 3 2 2 3 2" xfId="8523" xr:uid="{00000000-0005-0000-0000-00002A190000}"/>
    <cellStyle name="Comma 5 3 2 2 3 2 2" xfId="19420" xr:uid="{00000000-0005-0000-0000-00002B190000}"/>
    <cellStyle name="Comma 5 3 2 2 3 3" xfId="14469" xr:uid="{00000000-0005-0000-0000-00002C190000}"/>
    <cellStyle name="Comma 5 3 2 2 4" xfId="6211" xr:uid="{00000000-0005-0000-0000-00002D190000}"/>
    <cellStyle name="Comma 5 3 2 2 4 2" xfId="17108" xr:uid="{00000000-0005-0000-0000-00002E190000}"/>
    <cellStyle name="Comma 5 3 2 2 5" xfId="12198" xr:uid="{00000000-0005-0000-0000-00002F190000}"/>
    <cellStyle name="Comma 5 3 2 3" xfId="1884" xr:uid="{00000000-0005-0000-0000-000030190000}"/>
    <cellStyle name="Comma 5 3 2 3 2" xfId="4196" xr:uid="{00000000-0005-0000-0000-000031190000}"/>
    <cellStyle name="Comma 5 3 2 3 2 2" xfId="9147" xr:uid="{00000000-0005-0000-0000-000032190000}"/>
    <cellStyle name="Comma 5 3 2 3 2 2 2" xfId="20044" xr:uid="{00000000-0005-0000-0000-000033190000}"/>
    <cellStyle name="Comma 5 3 2 3 2 3" xfId="15093" xr:uid="{00000000-0005-0000-0000-000034190000}"/>
    <cellStyle name="Comma 5 3 2 3 3" xfId="6835" xr:uid="{00000000-0005-0000-0000-000035190000}"/>
    <cellStyle name="Comma 5 3 2 3 3 2" xfId="17732" xr:uid="{00000000-0005-0000-0000-000036190000}"/>
    <cellStyle name="Comma 5 3 2 3 4" xfId="12808" xr:uid="{00000000-0005-0000-0000-000037190000}"/>
    <cellStyle name="Comma 5 3 2 4" xfId="3040" xr:uid="{00000000-0005-0000-0000-000038190000}"/>
    <cellStyle name="Comma 5 3 2 4 2" xfId="7991" xr:uid="{00000000-0005-0000-0000-000039190000}"/>
    <cellStyle name="Comma 5 3 2 4 2 2" xfId="18888" xr:uid="{00000000-0005-0000-0000-00003A190000}"/>
    <cellStyle name="Comma 5 3 2 4 3" xfId="13937" xr:uid="{00000000-0005-0000-0000-00003B190000}"/>
    <cellStyle name="Comma 5 3 2 5" xfId="5679" xr:uid="{00000000-0005-0000-0000-00003C190000}"/>
    <cellStyle name="Comma 5 3 2 5 2" xfId="16576" xr:uid="{00000000-0005-0000-0000-00003D190000}"/>
    <cellStyle name="Comma 5 3 2 6" xfId="11677" xr:uid="{00000000-0005-0000-0000-00003E190000}"/>
    <cellStyle name="Comma 5 3 3" xfId="983" xr:uid="{00000000-0005-0000-0000-00003F190000}"/>
    <cellStyle name="Comma 5 3 3 2" xfId="2140" xr:uid="{00000000-0005-0000-0000-000040190000}"/>
    <cellStyle name="Comma 5 3 3 2 2" xfId="4452" xr:uid="{00000000-0005-0000-0000-000041190000}"/>
    <cellStyle name="Comma 5 3 3 2 2 2" xfId="9403" xr:uid="{00000000-0005-0000-0000-000042190000}"/>
    <cellStyle name="Comma 5 3 3 2 2 2 2" xfId="20300" xr:uid="{00000000-0005-0000-0000-000043190000}"/>
    <cellStyle name="Comma 5 3 3 2 2 3" xfId="15349" xr:uid="{00000000-0005-0000-0000-000044190000}"/>
    <cellStyle name="Comma 5 3 3 2 3" xfId="7091" xr:uid="{00000000-0005-0000-0000-000045190000}"/>
    <cellStyle name="Comma 5 3 3 2 3 2" xfId="17988" xr:uid="{00000000-0005-0000-0000-000046190000}"/>
    <cellStyle name="Comma 5 3 3 2 4" xfId="13057" xr:uid="{00000000-0005-0000-0000-000047190000}"/>
    <cellStyle name="Comma 5 3 3 3" xfId="3307" xr:uid="{00000000-0005-0000-0000-000048190000}"/>
    <cellStyle name="Comma 5 3 3 3 2" xfId="8258" xr:uid="{00000000-0005-0000-0000-000049190000}"/>
    <cellStyle name="Comma 5 3 3 3 2 2" xfId="19155" xr:uid="{00000000-0005-0000-0000-00004A190000}"/>
    <cellStyle name="Comma 5 3 3 3 3" xfId="14204" xr:uid="{00000000-0005-0000-0000-00004B190000}"/>
    <cellStyle name="Comma 5 3 3 4" xfId="5946" xr:uid="{00000000-0005-0000-0000-00004C190000}"/>
    <cellStyle name="Comma 5 3 3 4 2" xfId="16843" xr:uid="{00000000-0005-0000-0000-00004D190000}"/>
    <cellStyle name="Comma 5 3 3 5" xfId="11939" xr:uid="{00000000-0005-0000-0000-00004E190000}"/>
    <cellStyle name="Comma 5 3 4" xfId="1651" xr:uid="{00000000-0005-0000-0000-00004F190000}"/>
    <cellStyle name="Comma 5 3 4 2" xfId="3963" xr:uid="{00000000-0005-0000-0000-000050190000}"/>
    <cellStyle name="Comma 5 3 4 2 2" xfId="8914" xr:uid="{00000000-0005-0000-0000-000051190000}"/>
    <cellStyle name="Comma 5 3 4 2 2 2" xfId="19811" xr:uid="{00000000-0005-0000-0000-000052190000}"/>
    <cellStyle name="Comma 5 3 4 2 3" xfId="14860" xr:uid="{00000000-0005-0000-0000-000053190000}"/>
    <cellStyle name="Comma 5 3 4 3" xfId="6602" xr:uid="{00000000-0005-0000-0000-000054190000}"/>
    <cellStyle name="Comma 5 3 4 3 2" xfId="17499" xr:uid="{00000000-0005-0000-0000-000055190000}"/>
    <cellStyle name="Comma 5 3 4 4" xfId="12582" xr:uid="{00000000-0005-0000-0000-000056190000}"/>
    <cellStyle name="Comma 5 3 5" xfId="2775" xr:uid="{00000000-0005-0000-0000-000057190000}"/>
    <cellStyle name="Comma 5 3 5 2" xfId="7726" xr:uid="{00000000-0005-0000-0000-000058190000}"/>
    <cellStyle name="Comma 5 3 5 2 2" xfId="18623" xr:uid="{00000000-0005-0000-0000-000059190000}"/>
    <cellStyle name="Comma 5 3 5 3" xfId="13672" xr:uid="{00000000-0005-0000-0000-00005A190000}"/>
    <cellStyle name="Comma 5 3 6" xfId="5414" xr:uid="{00000000-0005-0000-0000-00005B190000}"/>
    <cellStyle name="Comma 5 3 6 2" xfId="16311" xr:uid="{00000000-0005-0000-0000-00005C190000}"/>
    <cellStyle name="Comma 5 3 7" xfId="11416" xr:uid="{00000000-0005-0000-0000-00005D190000}"/>
    <cellStyle name="Comma 5 4" xfId="581" xr:uid="{00000000-0005-0000-0000-00005E190000}"/>
    <cellStyle name="Comma 5 4 2" xfId="1113" xr:uid="{00000000-0005-0000-0000-00005F190000}"/>
    <cellStyle name="Comma 5 4 2 2" xfId="2270" xr:uid="{00000000-0005-0000-0000-000060190000}"/>
    <cellStyle name="Comma 5 4 2 2 2" xfId="4582" xr:uid="{00000000-0005-0000-0000-000061190000}"/>
    <cellStyle name="Comma 5 4 2 2 2 2" xfId="9533" xr:uid="{00000000-0005-0000-0000-000062190000}"/>
    <cellStyle name="Comma 5 4 2 2 2 2 2" xfId="20430" xr:uid="{00000000-0005-0000-0000-000063190000}"/>
    <cellStyle name="Comma 5 4 2 2 2 3" xfId="15479" xr:uid="{00000000-0005-0000-0000-000064190000}"/>
    <cellStyle name="Comma 5 4 2 2 3" xfId="7221" xr:uid="{00000000-0005-0000-0000-000065190000}"/>
    <cellStyle name="Comma 5 4 2 2 3 2" xfId="18118" xr:uid="{00000000-0005-0000-0000-000066190000}"/>
    <cellStyle name="Comma 5 4 2 2 4" xfId="13185" xr:uid="{00000000-0005-0000-0000-000067190000}"/>
    <cellStyle name="Comma 5 4 2 3" xfId="3437" xr:uid="{00000000-0005-0000-0000-000068190000}"/>
    <cellStyle name="Comma 5 4 2 3 2" xfId="8388" xr:uid="{00000000-0005-0000-0000-000069190000}"/>
    <cellStyle name="Comma 5 4 2 3 2 2" xfId="19285" xr:uid="{00000000-0005-0000-0000-00006A190000}"/>
    <cellStyle name="Comma 5 4 2 3 3" xfId="14334" xr:uid="{00000000-0005-0000-0000-00006B190000}"/>
    <cellStyle name="Comma 5 4 2 4" xfId="6076" xr:uid="{00000000-0005-0000-0000-00006C190000}"/>
    <cellStyle name="Comma 5 4 2 4 2" xfId="16973" xr:uid="{00000000-0005-0000-0000-00006D190000}"/>
    <cellStyle name="Comma 5 4 2 5" xfId="12067" xr:uid="{00000000-0005-0000-0000-00006E190000}"/>
    <cellStyle name="Comma 5 4 3" xfId="1766" xr:uid="{00000000-0005-0000-0000-00006F190000}"/>
    <cellStyle name="Comma 5 4 3 2" xfId="4078" xr:uid="{00000000-0005-0000-0000-000070190000}"/>
    <cellStyle name="Comma 5 4 3 2 2" xfId="9029" xr:uid="{00000000-0005-0000-0000-000071190000}"/>
    <cellStyle name="Comma 5 4 3 2 2 2" xfId="19926" xr:uid="{00000000-0005-0000-0000-000072190000}"/>
    <cellStyle name="Comma 5 4 3 2 3" xfId="14975" xr:uid="{00000000-0005-0000-0000-000073190000}"/>
    <cellStyle name="Comma 5 4 3 3" xfId="6717" xr:uid="{00000000-0005-0000-0000-000074190000}"/>
    <cellStyle name="Comma 5 4 3 3 2" xfId="17614" xr:uid="{00000000-0005-0000-0000-000075190000}"/>
    <cellStyle name="Comma 5 4 3 4" xfId="12695" xr:uid="{00000000-0005-0000-0000-000076190000}"/>
    <cellStyle name="Comma 5 4 4" xfId="2905" xr:uid="{00000000-0005-0000-0000-000077190000}"/>
    <cellStyle name="Comma 5 4 4 2" xfId="7856" xr:uid="{00000000-0005-0000-0000-000078190000}"/>
    <cellStyle name="Comma 5 4 4 2 2" xfId="18753" xr:uid="{00000000-0005-0000-0000-000079190000}"/>
    <cellStyle name="Comma 5 4 4 3" xfId="13802" xr:uid="{00000000-0005-0000-0000-00007A190000}"/>
    <cellStyle name="Comma 5 4 5" xfId="5544" xr:uid="{00000000-0005-0000-0000-00007B190000}"/>
    <cellStyle name="Comma 5 4 5 2" xfId="16441" xr:uid="{00000000-0005-0000-0000-00007C190000}"/>
    <cellStyle name="Comma 5 4 6" xfId="11546" xr:uid="{00000000-0005-0000-0000-00007D190000}"/>
    <cellStyle name="Comma 5 5" xfId="848" xr:uid="{00000000-0005-0000-0000-00007E190000}"/>
    <cellStyle name="Comma 5 5 2" xfId="2005" xr:uid="{00000000-0005-0000-0000-00007F190000}"/>
    <cellStyle name="Comma 5 5 2 2" xfId="4317" xr:uid="{00000000-0005-0000-0000-000080190000}"/>
    <cellStyle name="Comma 5 5 2 2 2" xfId="9268" xr:uid="{00000000-0005-0000-0000-000081190000}"/>
    <cellStyle name="Comma 5 5 2 2 2 2" xfId="20165" xr:uid="{00000000-0005-0000-0000-000082190000}"/>
    <cellStyle name="Comma 5 5 2 2 3" xfId="15214" xr:uid="{00000000-0005-0000-0000-000083190000}"/>
    <cellStyle name="Comma 5 5 2 3" xfId="6956" xr:uid="{00000000-0005-0000-0000-000084190000}"/>
    <cellStyle name="Comma 5 5 2 3 2" xfId="17853" xr:uid="{00000000-0005-0000-0000-000085190000}"/>
    <cellStyle name="Comma 5 5 2 4" xfId="12927" xr:uid="{00000000-0005-0000-0000-000086190000}"/>
    <cellStyle name="Comma 5 5 3" xfId="3172" xr:uid="{00000000-0005-0000-0000-000087190000}"/>
    <cellStyle name="Comma 5 5 3 2" xfId="8123" xr:uid="{00000000-0005-0000-0000-000088190000}"/>
    <cellStyle name="Comma 5 5 3 2 2" xfId="19020" xr:uid="{00000000-0005-0000-0000-000089190000}"/>
    <cellStyle name="Comma 5 5 3 3" xfId="14069" xr:uid="{00000000-0005-0000-0000-00008A190000}"/>
    <cellStyle name="Comma 5 5 4" xfId="5811" xr:uid="{00000000-0005-0000-0000-00008B190000}"/>
    <cellStyle name="Comma 5 5 4 2" xfId="16708" xr:uid="{00000000-0005-0000-0000-00008C190000}"/>
    <cellStyle name="Comma 5 5 5" xfId="11809" xr:uid="{00000000-0005-0000-0000-00008D190000}"/>
    <cellStyle name="Comma 5 6" xfId="1533" xr:uid="{00000000-0005-0000-0000-00008E190000}"/>
    <cellStyle name="Comma 5 6 2" xfId="3845" xr:uid="{00000000-0005-0000-0000-00008F190000}"/>
    <cellStyle name="Comma 5 6 2 2" xfId="8796" xr:uid="{00000000-0005-0000-0000-000090190000}"/>
    <cellStyle name="Comma 5 6 2 2 2" xfId="19693" xr:uid="{00000000-0005-0000-0000-000091190000}"/>
    <cellStyle name="Comma 5 6 2 3" xfId="14742" xr:uid="{00000000-0005-0000-0000-000092190000}"/>
    <cellStyle name="Comma 5 6 3" xfId="6484" xr:uid="{00000000-0005-0000-0000-000093190000}"/>
    <cellStyle name="Comma 5 6 3 2" xfId="17381" xr:uid="{00000000-0005-0000-0000-000094190000}"/>
    <cellStyle name="Comma 5 6 4" xfId="12468" xr:uid="{00000000-0005-0000-0000-000095190000}"/>
    <cellStyle name="Comma 5 7" xfId="2640" xr:uid="{00000000-0005-0000-0000-000096190000}"/>
    <cellStyle name="Comma 5 7 2" xfId="7591" xr:uid="{00000000-0005-0000-0000-000097190000}"/>
    <cellStyle name="Comma 5 7 2 2" xfId="18488" xr:uid="{00000000-0005-0000-0000-000098190000}"/>
    <cellStyle name="Comma 5 7 3" xfId="13537" xr:uid="{00000000-0005-0000-0000-000099190000}"/>
    <cellStyle name="Comma 5 8" xfId="5279" xr:uid="{00000000-0005-0000-0000-00009A190000}"/>
    <cellStyle name="Comma 5 8 2" xfId="16176" xr:uid="{00000000-0005-0000-0000-00009B190000}"/>
    <cellStyle name="Comma 5 9" xfId="11261" xr:uid="{00000000-0005-0000-0000-00009C190000}"/>
    <cellStyle name="Comma 50" xfId="1501" xr:uid="{00000000-0005-0000-0000-00009D190000}"/>
    <cellStyle name="Comma 50 2" xfId="2604" xr:uid="{00000000-0005-0000-0000-00009E190000}"/>
    <cellStyle name="Comma 50 2 2" xfId="4916" xr:uid="{00000000-0005-0000-0000-00009F190000}"/>
    <cellStyle name="Comma 50 2 2 2" xfId="9867" xr:uid="{00000000-0005-0000-0000-0000A0190000}"/>
    <cellStyle name="Comma 50 2 2 2 2" xfId="20764" xr:uid="{00000000-0005-0000-0000-0000A1190000}"/>
    <cellStyle name="Comma 50 2 2 3" xfId="15813" xr:uid="{00000000-0005-0000-0000-0000A2190000}"/>
    <cellStyle name="Comma 50 2 3" xfId="7555" xr:uid="{00000000-0005-0000-0000-0000A3190000}"/>
    <cellStyle name="Comma 50 2 3 2" xfId="18452" xr:uid="{00000000-0005-0000-0000-0000A4190000}"/>
    <cellStyle name="Comma 50 2 4" xfId="13501" xr:uid="{00000000-0005-0000-0000-0000A5190000}"/>
    <cellStyle name="Comma 50 3" xfId="3820" xr:uid="{00000000-0005-0000-0000-0000A6190000}"/>
    <cellStyle name="Comma 50 3 2" xfId="8771" xr:uid="{00000000-0005-0000-0000-0000A7190000}"/>
    <cellStyle name="Comma 50 3 2 2" xfId="19668" xr:uid="{00000000-0005-0000-0000-0000A8190000}"/>
    <cellStyle name="Comma 50 3 3" xfId="14717" xr:uid="{00000000-0005-0000-0000-0000A9190000}"/>
    <cellStyle name="Comma 50 4" xfId="6459" xr:uid="{00000000-0005-0000-0000-0000AA190000}"/>
    <cellStyle name="Comma 50 4 2" xfId="17356" xr:uid="{00000000-0005-0000-0000-0000AB190000}"/>
    <cellStyle name="Comma 50 5" xfId="12437" xr:uid="{00000000-0005-0000-0000-0000AC190000}"/>
    <cellStyle name="Comma 51" xfId="1510" xr:uid="{00000000-0005-0000-0000-0000AD190000}"/>
    <cellStyle name="Comma 6" xfId="192" xr:uid="{00000000-0005-0000-0000-0000AE190000}"/>
    <cellStyle name="Comma 7" xfId="193" xr:uid="{00000000-0005-0000-0000-0000AF190000}"/>
    <cellStyle name="Comma 7 2" xfId="1454" xr:uid="{00000000-0005-0000-0000-0000B0190000}"/>
    <cellStyle name="Comma 8" xfId="194" xr:uid="{00000000-0005-0000-0000-0000B1190000}"/>
    <cellStyle name="Comma 9" xfId="195" xr:uid="{00000000-0005-0000-0000-0000B2190000}"/>
    <cellStyle name="Comma0 - Style2" xfId="196" xr:uid="{00000000-0005-0000-0000-0000B3190000}"/>
    <cellStyle name="Currency" xfId="417" builtinId="4"/>
    <cellStyle name="Currency 10" xfId="197" xr:uid="{00000000-0005-0000-0000-0000B5190000}"/>
    <cellStyle name="Currency 10 2" xfId="383" xr:uid="{00000000-0005-0000-0000-0000B6190000}"/>
    <cellStyle name="Currency 10 2 2" xfId="513" xr:uid="{00000000-0005-0000-0000-0000B7190000}"/>
    <cellStyle name="Currency 10 2 2 2" xfId="778" xr:uid="{00000000-0005-0000-0000-0000B8190000}"/>
    <cellStyle name="Currency 10 2 2 2 2" xfId="1310" xr:uid="{00000000-0005-0000-0000-0000B9190000}"/>
    <cellStyle name="Currency 10 2 2 2 2 2" xfId="2467" xr:uid="{00000000-0005-0000-0000-0000BA190000}"/>
    <cellStyle name="Currency 10 2 2 2 2 2 2" xfId="4779" xr:uid="{00000000-0005-0000-0000-0000BB190000}"/>
    <cellStyle name="Currency 10 2 2 2 2 2 2 2" xfId="9730" xr:uid="{00000000-0005-0000-0000-0000BC190000}"/>
    <cellStyle name="Currency 10 2 2 2 2 2 2 2 2" xfId="20627" xr:uid="{00000000-0005-0000-0000-0000BD190000}"/>
    <cellStyle name="Currency 10 2 2 2 2 2 2 3" xfId="15676" xr:uid="{00000000-0005-0000-0000-0000BE190000}"/>
    <cellStyle name="Currency 10 2 2 2 2 2 3" xfId="7418" xr:uid="{00000000-0005-0000-0000-0000BF190000}"/>
    <cellStyle name="Currency 10 2 2 2 2 2 3 2" xfId="18315" xr:uid="{00000000-0005-0000-0000-0000C0190000}"/>
    <cellStyle name="Currency 10 2 2 2 2 2 4" xfId="13378" xr:uid="{00000000-0005-0000-0000-0000C1190000}"/>
    <cellStyle name="Currency 10 2 2 2 2 3" xfId="3634" xr:uid="{00000000-0005-0000-0000-0000C2190000}"/>
    <cellStyle name="Currency 10 2 2 2 2 3 2" xfId="8585" xr:uid="{00000000-0005-0000-0000-0000C3190000}"/>
    <cellStyle name="Currency 10 2 2 2 2 3 2 2" xfId="19482" xr:uid="{00000000-0005-0000-0000-0000C4190000}"/>
    <cellStyle name="Currency 10 2 2 2 2 3 3" xfId="14531" xr:uid="{00000000-0005-0000-0000-0000C5190000}"/>
    <cellStyle name="Currency 10 2 2 2 2 4" xfId="6273" xr:uid="{00000000-0005-0000-0000-0000C6190000}"/>
    <cellStyle name="Currency 10 2 2 2 2 4 2" xfId="17170" xr:uid="{00000000-0005-0000-0000-0000C7190000}"/>
    <cellStyle name="Currency 10 2 2 2 2 5" xfId="12260" xr:uid="{00000000-0005-0000-0000-0000C8190000}"/>
    <cellStyle name="Currency 10 2 2 2 3" xfId="1936" xr:uid="{00000000-0005-0000-0000-0000C9190000}"/>
    <cellStyle name="Currency 10 2 2 2 3 2" xfId="4248" xr:uid="{00000000-0005-0000-0000-0000CA190000}"/>
    <cellStyle name="Currency 10 2 2 2 3 2 2" xfId="9199" xr:uid="{00000000-0005-0000-0000-0000CB190000}"/>
    <cellStyle name="Currency 10 2 2 2 3 2 2 2" xfId="20096" xr:uid="{00000000-0005-0000-0000-0000CC190000}"/>
    <cellStyle name="Currency 10 2 2 2 3 2 3" xfId="15145" xr:uid="{00000000-0005-0000-0000-0000CD190000}"/>
    <cellStyle name="Currency 10 2 2 2 3 3" xfId="6887" xr:uid="{00000000-0005-0000-0000-0000CE190000}"/>
    <cellStyle name="Currency 10 2 2 2 3 3 2" xfId="17784" xr:uid="{00000000-0005-0000-0000-0000CF190000}"/>
    <cellStyle name="Currency 10 2 2 2 3 4" xfId="12860" xr:uid="{00000000-0005-0000-0000-0000D0190000}"/>
    <cellStyle name="Currency 10 2 2 2 4" xfId="3102" xr:uid="{00000000-0005-0000-0000-0000D1190000}"/>
    <cellStyle name="Currency 10 2 2 2 4 2" xfId="8053" xr:uid="{00000000-0005-0000-0000-0000D2190000}"/>
    <cellStyle name="Currency 10 2 2 2 4 2 2" xfId="18950" xr:uid="{00000000-0005-0000-0000-0000D3190000}"/>
    <cellStyle name="Currency 10 2 2 2 4 3" xfId="13999" xr:uid="{00000000-0005-0000-0000-0000D4190000}"/>
    <cellStyle name="Currency 10 2 2 2 5" xfId="5741" xr:uid="{00000000-0005-0000-0000-0000D5190000}"/>
    <cellStyle name="Currency 10 2 2 2 5 2" xfId="16638" xr:uid="{00000000-0005-0000-0000-0000D6190000}"/>
    <cellStyle name="Currency 10 2 2 2 6" xfId="11739" xr:uid="{00000000-0005-0000-0000-0000D7190000}"/>
    <cellStyle name="Currency 10 2 2 3" xfId="1045" xr:uid="{00000000-0005-0000-0000-0000D8190000}"/>
    <cellStyle name="Currency 10 2 2 3 2" xfId="2202" xr:uid="{00000000-0005-0000-0000-0000D9190000}"/>
    <cellStyle name="Currency 10 2 2 3 2 2" xfId="4514" xr:uid="{00000000-0005-0000-0000-0000DA190000}"/>
    <cellStyle name="Currency 10 2 2 3 2 2 2" xfId="9465" xr:uid="{00000000-0005-0000-0000-0000DB190000}"/>
    <cellStyle name="Currency 10 2 2 3 2 2 2 2" xfId="20362" xr:uid="{00000000-0005-0000-0000-0000DC190000}"/>
    <cellStyle name="Currency 10 2 2 3 2 2 3" xfId="15411" xr:uid="{00000000-0005-0000-0000-0000DD190000}"/>
    <cellStyle name="Currency 10 2 2 3 2 3" xfId="7153" xr:uid="{00000000-0005-0000-0000-0000DE190000}"/>
    <cellStyle name="Currency 10 2 2 3 2 3 2" xfId="18050" xr:uid="{00000000-0005-0000-0000-0000DF190000}"/>
    <cellStyle name="Currency 10 2 2 3 2 4" xfId="13119" xr:uid="{00000000-0005-0000-0000-0000E0190000}"/>
    <cellStyle name="Currency 10 2 2 3 3" xfId="3369" xr:uid="{00000000-0005-0000-0000-0000E1190000}"/>
    <cellStyle name="Currency 10 2 2 3 3 2" xfId="8320" xr:uid="{00000000-0005-0000-0000-0000E2190000}"/>
    <cellStyle name="Currency 10 2 2 3 3 2 2" xfId="19217" xr:uid="{00000000-0005-0000-0000-0000E3190000}"/>
    <cellStyle name="Currency 10 2 2 3 3 3" xfId="14266" xr:uid="{00000000-0005-0000-0000-0000E4190000}"/>
    <cellStyle name="Currency 10 2 2 3 4" xfId="6008" xr:uid="{00000000-0005-0000-0000-0000E5190000}"/>
    <cellStyle name="Currency 10 2 2 3 4 2" xfId="16905" xr:uid="{00000000-0005-0000-0000-0000E6190000}"/>
    <cellStyle name="Currency 10 2 2 3 5" xfId="12001" xr:uid="{00000000-0005-0000-0000-0000E7190000}"/>
    <cellStyle name="Currency 10 2 2 4" xfId="1703" xr:uid="{00000000-0005-0000-0000-0000E8190000}"/>
    <cellStyle name="Currency 10 2 2 4 2" xfId="4015" xr:uid="{00000000-0005-0000-0000-0000E9190000}"/>
    <cellStyle name="Currency 10 2 2 4 2 2" xfId="8966" xr:uid="{00000000-0005-0000-0000-0000EA190000}"/>
    <cellStyle name="Currency 10 2 2 4 2 2 2" xfId="19863" xr:uid="{00000000-0005-0000-0000-0000EB190000}"/>
    <cellStyle name="Currency 10 2 2 4 2 3" xfId="14912" xr:uid="{00000000-0005-0000-0000-0000EC190000}"/>
    <cellStyle name="Currency 10 2 2 4 3" xfId="6654" xr:uid="{00000000-0005-0000-0000-0000ED190000}"/>
    <cellStyle name="Currency 10 2 2 4 3 2" xfId="17551" xr:uid="{00000000-0005-0000-0000-0000EE190000}"/>
    <cellStyle name="Currency 10 2 2 4 4" xfId="12634" xr:uid="{00000000-0005-0000-0000-0000EF190000}"/>
    <cellStyle name="Currency 10 2 2 5" xfId="2837" xr:uid="{00000000-0005-0000-0000-0000F0190000}"/>
    <cellStyle name="Currency 10 2 2 5 2" xfId="7788" xr:uid="{00000000-0005-0000-0000-0000F1190000}"/>
    <cellStyle name="Currency 10 2 2 5 2 2" xfId="18685" xr:uid="{00000000-0005-0000-0000-0000F2190000}"/>
    <cellStyle name="Currency 10 2 2 5 3" xfId="13734" xr:uid="{00000000-0005-0000-0000-0000F3190000}"/>
    <cellStyle name="Currency 10 2 2 6" xfId="5476" xr:uid="{00000000-0005-0000-0000-0000F4190000}"/>
    <cellStyle name="Currency 10 2 2 6 2" xfId="16373" xr:uid="{00000000-0005-0000-0000-0000F5190000}"/>
    <cellStyle name="Currency 10 2 2 7" xfId="11478" xr:uid="{00000000-0005-0000-0000-0000F6190000}"/>
    <cellStyle name="Currency 10 2 3" xfId="649" xr:uid="{00000000-0005-0000-0000-0000F7190000}"/>
    <cellStyle name="Currency 10 2 3 2" xfId="1181" xr:uid="{00000000-0005-0000-0000-0000F8190000}"/>
    <cellStyle name="Currency 10 2 3 2 2" xfId="2338" xr:uid="{00000000-0005-0000-0000-0000F9190000}"/>
    <cellStyle name="Currency 10 2 3 2 2 2" xfId="4650" xr:uid="{00000000-0005-0000-0000-0000FA190000}"/>
    <cellStyle name="Currency 10 2 3 2 2 2 2" xfId="9601" xr:uid="{00000000-0005-0000-0000-0000FB190000}"/>
    <cellStyle name="Currency 10 2 3 2 2 2 2 2" xfId="20498" xr:uid="{00000000-0005-0000-0000-0000FC190000}"/>
    <cellStyle name="Currency 10 2 3 2 2 2 3" xfId="15547" xr:uid="{00000000-0005-0000-0000-0000FD190000}"/>
    <cellStyle name="Currency 10 2 3 2 2 3" xfId="7289" xr:uid="{00000000-0005-0000-0000-0000FE190000}"/>
    <cellStyle name="Currency 10 2 3 2 2 3 2" xfId="18186" xr:uid="{00000000-0005-0000-0000-0000FF190000}"/>
    <cellStyle name="Currency 10 2 3 2 2 4" xfId="13250" xr:uid="{00000000-0005-0000-0000-0000001A0000}"/>
    <cellStyle name="Currency 10 2 3 2 3" xfId="3505" xr:uid="{00000000-0005-0000-0000-0000011A0000}"/>
    <cellStyle name="Currency 10 2 3 2 3 2" xfId="8456" xr:uid="{00000000-0005-0000-0000-0000021A0000}"/>
    <cellStyle name="Currency 10 2 3 2 3 2 2" xfId="19353" xr:uid="{00000000-0005-0000-0000-0000031A0000}"/>
    <cellStyle name="Currency 10 2 3 2 3 3" xfId="14402" xr:uid="{00000000-0005-0000-0000-0000041A0000}"/>
    <cellStyle name="Currency 10 2 3 2 4" xfId="6144" xr:uid="{00000000-0005-0000-0000-0000051A0000}"/>
    <cellStyle name="Currency 10 2 3 2 4 2" xfId="17041" xr:uid="{00000000-0005-0000-0000-0000061A0000}"/>
    <cellStyle name="Currency 10 2 3 2 5" xfId="12132" xr:uid="{00000000-0005-0000-0000-0000071A0000}"/>
    <cellStyle name="Currency 10 2 3 3" xfId="1822" xr:uid="{00000000-0005-0000-0000-0000081A0000}"/>
    <cellStyle name="Currency 10 2 3 3 2" xfId="4134" xr:uid="{00000000-0005-0000-0000-0000091A0000}"/>
    <cellStyle name="Currency 10 2 3 3 2 2" xfId="9085" xr:uid="{00000000-0005-0000-0000-00000A1A0000}"/>
    <cellStyle name="Currency 10 2 3 3 2 2 2" xfId="19982" xr:uid="{00000000-0005-0000-0000-00000B1A0000}"/>
    <cellStyle name="Currency 10 2 3 3 2 3" xfId="15031" xr:uid="{00000000-0005-0000-0000-00000C1A0000}"/>
    <cellStyle name="Currency 10 2 3 3 3" xfId="6773" xr:uid="{00000000-0005-0000-0000-00000D1A0000}"/>
    <cellStyle name="Currency 10 2 3 3 3 2" xfId="17670" xr:uid="{00000000-0005-0000-0000-00000E1A0000}"/>
    <cellStyle name="Currency 10 2 3 3 4" xfId="12747" xr:uid="{00000000-0005-0000-0000-00000F1A0000}"/>
    <cellStyle name="Currency 10 2 3 4" xfId="2973" xr:uid="{00000000-0005-0000-0000-0000101A0000}"/>
    <cellStyle name="Currency 10 2 3 4 2" xfId="7924" xr:uid="{00000000-0005-0000-0000-0000111A0000}"/>
    <cellStyle name="Currency 10 2 3 4 2 2" xfId="18821" xr:uid="{00000000-0005-0000-0000-0000121A0000}"/>
    <cellStyle name="Currency 10 2 3 4 3" xfId="13870" xr:uid="{00000000-0005-0000-0000-0000131A0000}"/>
    <cellStyle name="Currency 10 2 3 5" xfId="5612" xr:uid="{00000000-0005-0000-0000-0000141A0000}"/>
    <cellStyle name="Currency 10 2 3 5 2" xfId="16509" xr:uid="{00000000-0005-0000-0000-0000151A0000}"/>
    <cellStyle name="Currency 10 2 3 6" xfId="11611" xr:uid="{00000000-0005-0000-0000-0000161A0000}"/>
    <cellStyle name="Currency 10 2 4" xfId="916" xr:uid="{00000000-0005-0000-0000-0000171A0000}"/>
    <cellStyle name="Currency 10 2 4 2" xfId="2073" xr:uid="{00000000-0005-0000-0000-0000181A0000}"/>
    <cellStyle name="Currency 10 2 4 2 2" xfId="4385" xr:uid="{00000000-0005-0000-0000-0000191A0000}"/>
    <cellStyle name="Currency 10 2 4 2 2 2" xfId="9336" xr:uid="{00000000-0005-0000-0000-00001A1A0000}"/>
    <cellStyle name="Currency 10 2 4 2 2 2 2" xfId="20233" xr:uid="{00000000-0005-0000-0000-00001B1A0000}"/>
    <cellStyle name="Currency 10 2 4 2 2 3" xfId="15282" xr:uid="{00000000-0005-0000-0000-00001C1A0000}"/>
    <cellStyle name="Currency 10 2 4 2 3" xfId="7024" xr:uid="{00000000-0005-0000-0000-00001D1A0000}"/>
    <cellStyle name="Currency 10 2 4 2 3 2" xfId="17921" xr:uid="{00000000-0005-0000-0000-00001E1A0000}"/>
    <cellStyle name="Currency 10 2 4 2 4" xfId="12991" xr:uid="{00000000-0005-0000-0000-00001F1A0000}"/>
    <cellStyle name="Currency 10 2 4 3" xfId="3240" xr:uid="{00000000-0005-0000-0000-0000201A0000}"/>
    <cellStyle name="Currency 10 2 4 3 2" xfId="8191" xr:uid="{00000000-0005-0000-0000-0000211A0000}"/>
    <cellStyle name="Currency 10 2 4 3 2 2" xfId="19088" xr:uid="{00000000-0005-0000-0000-0000221A0000}"/>
    <cellStyle name="Currency 10 2 4 3 3" xfId="14137" xr:uid="{00000000-0005-0000-0000-0000231A0000}"/>
    <cellStyle name="Currency 10 2 4 4" xfId="5879" xr:uid="{00000000-0005-0000-0000-0000241A0000}"/>
    <cellStyle name="Currency 10 2 4 4 2" xfId="16776" xr:uid="{00000000-0005-0000-0000-0000251A0000}"/>
    <cellStyle name="Currency 10 2 4 5" xfId="11873" xr:uid="{00000000-0005-0000-0000-0000261A0000}"/>
    <cellStyle name="Currency 10 2 5" xfId="1589" xr:uid="{00000000-0005-0000-0000-0000271A0000}"/>
    <cellStyle name="Currency 10 2 5 2" xfId="3901" xr:uid="{00000000-0005-0000-0000-0000281A0000}"/>
    <cellStyle name="Currency 10 2 5 2 2" xfId="8852" xr:uid="{00000000-0005-0000-0000-0000291A0000}"/>
    <cellStyle name="Currency 10 2 5 2 2 2" xfId="19749" xr:uid="{00000000-0005-0000-0000-00002A1A0000}"/>
    <cellStyle name="Currency 10 2 5 2 3" xfId="14798" xr:uid="{00000000-0005-0000-0000-00002B1A0000}"/>
    <cellStyle name="Currency 10 2 5 3" xfId="6540" xr:uid="{00000000-0005-0000-0000-00002C1A0000}"/>
    <cellStyle name="Currency 10 2 5 3 2" xfId="17437" xr:uid="{00000000-0005-0000-0000-00002D1A0000}"/>
    <cellStyle name="Currency 10 2 5 4" xfId="12521" xr:uid="{00000000-0005-0000-0000-00002E1A0000}"/>
    <cellStyle name="Currency 10 2 6" xfId="2708" xr:uid="{00000000-0005-0000-0000-00002F1A0000}"/>
    <cellStyle name="Currency 10 2 6 2" xfId="7659" xr:uid="{00000000-0005-0000-0000-0000301A0000}"/>
    <cellStyle name="Currency 10 2 6 2 2" xfId="18556" xr:uid="{00000000-0005-0000-0000-0000311A0000}"/>
    <cellStyle name="Currency 10 2 6 3" xfId="13605" xr:uid="{00000000-0005-0000-0000-0000321A0000}"/>
    <cellStyle name="Currency 10 2 7" xfId="5347" xr:uid="{00000000-0005-0000-0000-0000331A0000}"/>
    <cellStyle name="Currency 10 2 7 2" xfId="16244" xr:uid="{00000000-0005-0000-0000-0000341A0000}"/>
    <cellStyle name="Currency 10 2 8" xfId="11350" xr:uid="{00000000-0005-0000-0000-0000351A0000}"/>
    <cellStyle name="Currency 10 3" xfId="452" xr:uid="{00000000-0005-0000-0000-0000361A0000}"/>
    <cellStyle name="Currency 10 3 2" xfId="717" xr:uid="{00000000-0005-0000-0000-0000371A0000}"/>
    <cellStyle name="Currency 10 3 2 2" xfId="1249" xr:uid="{00000000-0005-0000-0000-0000381A0000}"/>
    <cellStyle name="Currency 10 3 2 2 2" xfId="2406" xr:uid="{00000000-0005-0000-0000-0000391A0000}"/>
    <cellStyle name="Currency 10 3 2 2 2 2" xfId="4718" xr:uid="{00000000-0005-0000-0000-00003A1A0000}"/>
    <cellStyle name="Currency 10 3 2 2 2 2 2" xfId="9669" xr:uid="{00000000-0005-0000-0000-00003B1A0000}"/>
    <cellStyle name="Currency 10 3 2 2 2 2 2 2" xfId="20566" xr:uid="{00000000-0005-0000-0000-00003C1A0000}"/>
    <cellStyle name="Currency 10 3 2 2 2 2 3" xfId="15615" xr:uid="{00000000-0005-0000-0000-00003D1A0000}"/>
    <cellStyle name="Currency 10 3 2 2 2 3" xfId="7357" xr:uid="{00000000-0005-0000-0000-00003E1A0000}"/>
    <cellStyle name="Currency 10 3 2 2 2 3 2" xfId="18254" xr:uid="{00000000-0005-0000-0000-00003F1A0000}"/>
    <cellStyle name="Currency 10 3 2 2 2 4" xfId="13317" xr:uid="{00000000-0005-0000-0000-0000401A0000}"/>
    <cellStyle name="Currency 10 3 2 2 3" xfId="3573" xr:uid="{00000000-0005-0000-0000-0000411A0000}"/>
    <cellStyle name="Currency 10 3 2 2 3 2" xfId="8524" xr:uid="{00000000-0005-0000-0000-0000421A0000}"/>
    <cellStyle name="Currency 10 3 2 2 3 2 2" xfId="19421" xr:uid="{00000000-0005-0000-0000-0000431A0000}"/>
    <cellStyle name="Currency 10 3 2 2 3 3" xfId="14470" xr:uid="{00000000-0005-0000-0000-0000441A0000}"/>
    <cellStyle name="Currency 10 3 2 2 4" xfId="6212" xr:uid="{00000000-0005-0000-0000-0000451A0000}"/>
    <cellStyle name="Currency 10 3 2 2 4 2" xfId="17109" xr:uid="{00000000-0005-0000-0000-0000461A0000}"/>
    <cellStyle name="Currency 10 3 2 2 5" xfId="12199" xr:uid="{00000000-0005-0000-0000-0000471A0000}"/>
    <cellStyle name="Currency 10 3 2 3" xfId="1885" xr:uid="{00000000-0005-0000-0000-0000481A0000}"/>
    <cellStyle name="Currency 10 3 2 3 2" xfId="4197" xr:uid="{00000000-0005-0000-0000-0000491A0000}"/>
    <cellStyle name="Currency 10 3 2 3 2 2" xfId="9148" xr:uid="{00000000-0005-0000-0000-00004A1A0000}"/>
    <cellStyle name="Currency 10 3 2 3 2 2 2" xfId="20045" xr:uid="{00000000-0005-0000-0000-00004B1A0000}"/>
    <cellStyle name="Currency 10 3 2 3 2 3" xfId="15094" xr:uid="{00000000-0005-0000-0000-00004C1A0000}"/>
    <cellStyle name="Currency 10 3 2 3 3" xfId="6836" xr:uid="{00000000-0005-0000-0000-00004D1A0000}"/>
    <cellStyle name="Currency 10 3 2 3 3 2" xfId="17733" xr:uid="{00000000-0005-0000-0000-00004E1A0000}"/>
    <cellStyle name="Currency 10 3 2 3 4" xfId="12809" xr:uid="{00000000-0005-0000-0000-00004F1A0000}"/>
    <cellStyle name="Currency 10 3 2 4" xfId="3041" xr:uid="{00000000-0005-0000-0000-0000501A0000}"/>
    <cellStyle name="Currency 10 3 2 4 2" xfId="7992" xr:uid="{00000000-0005-0000-0000-0000511A0000}"/>
    <cellStyle name="Currency 10 3 2 4 2 2" xfId="18889" xr:uid="{00000000-0005-0000-0000-0000521A0000}"/>
    <cellStyle name="Currency 10 3 2 4 3" xfId="13938" xr:uid="{00000000-0005-0000-0000-0000531A0000}"/>
    <cellStyle name="Currency 10 3 2 5" xfId="5680" xr:uid="{00000000-0005-0000-0000-0000541A0000}"/>
    <cellStyle name="Currency 10 3 2 5 2" xfId="16577" xr:uid="{00000000-0005-0000-0000-0000551A0000}"/>
    <cellStyle name="Currency 10 3 2 6" xfId="11678" xr:uid="{00000000-0005-0000-0000-0000561A0000}"/>
    <cellStyle name="Currency 10 3 3" xfId="984" xr:uid="{00000000-0005-0000-0000-0000571A0000}"/>
    <cellStyle name="Currency 10 3 3 2" xfId="2141" xr:uid="{00000000-0005-0000-0000-0000581A0000}"/>
    <cellStyle name="Currency 10 3 3 2 2" xfId="4453" xr:uid="{00000000-0005-0000-0000-0000591A0000}"/>
    <cellStyle name="Currency 10 3 3 2 2 2" xfId="9404" xr:uid="{00000000-0005-0000-0000-00005A1A0000}"/>
    <cellStyle name="Currency 10 3 3 2 2 2 2" xfId="20301" xr:uid="{00000000-0005-0000-0000-00005B1A0000}"/>
    <cellStyle name="Currency 10 3 3 2 2 3" xfId="15350" xr:uid="{00000000-0005-0000-0000-00005C1A0000}"/>
    <cellStyle name="Currency 10 3 3 2 3" xfId="7092" xr:uid="{00000000-0005-0000-0000-00005D1A0000}"/>
    <cellStyle name="Currency 10 3 3 2 3 2" xfId="17989" xr:uid="{00000000-0005-0000-0000-00005E1A0000}"/>
    <cellStyle name="Currency 10 3 3 2 4" xfId="13058" xr:uid="{00000000-0005-0000-0000-00005F1A0000}"/>
    <cellStyle name="Currency 10 3 3 3" xfId="3308" xr:uid="{00000000-0005-0000-0000-0000601A0000}"/>
    <cellStyle name="Currency 10 3 3 3 2" xfId="8259" xr:uid="{00000000-0005-0000-0000-0000611A0000}"/>
    <cellStyle name="Currency 10 3 3 3 2 2" xfId="19156" xr:uid="{00000000-0005-0000-0000-0000621A0000}"/>
    <cellStyle name="Currency 10 3 3 3 3" xfId="14205" xr:uid="{00000000-0005-0000-0000-0000631A0000}"/>
    <cellStyle name="Currency 10 3 3 4" xfId="5947" xr:uid="{00000000-0005-0000-0000-0000641A0000}"/>
    <cellStyle name="Currency 10 3 3 4 2" xfId="16844" xr:uid="{00000000-0005-0000-0000-0000651A0000}"/>
    <cellStyle name="Currency 10 3 3 5" xfId="11940" xr:uid="{00000000-0005-0000-0000-0000661A0000}"/>
    <cellStyle name="Currency 10 3 4" xfId="1652" xr:uid="{00000000-0005-0000-0000-0000671A0000}"/>
    <cellStyle name="Currency 10 3 4 2" xfId="3964" xr:uid="{00000000-0005-0000-0000-0000681A0000}"/>
    <cellStyle name="Currency 10 3 4 2 2" xfId="8915" xr:uid="{00000000-0005-0000-0000-0000691A0000}"/>
    <cellStyle name="Currency 10 3 4 2 2 2" xfId="19812" xr:uid="{00000000-0005-0000-0000-00006A1A0000}"/>
    <cellStyle name="Currency 10 3 4 2 3" xfId="14861" xr:uid="{00000000-0005-0000-0000-00006B1A0000}"/>
    <cellStyle name="Currency 10 3 4 3" xfId="6603" xr:uid="{00000000-0005-0000-0000-00006C1A0000}"/>
    <cellStyle name="Currency 10 3 4 3 2" xfId="17500" xr:uid="{00000000-0005-0000-0000-00006D1A0000}"/>
    <cellStyle name="Currency 10 3 4 4" xfId="12583" xr:uid="{00000000-0005-0000-0000-00006E1A0000}"/>
    <cellStyle name="Currency 10 3 5" xfId="2776" xr:uid="{00000000-0005-0000-0000-00006F1A0000}"/>
    <cellStyle name="Currency 10 3 5 2" xfId="7727" xr:uid="{00000000-0005-0000-0000-0000701A0000}"/>
    <cellStyle name="Currency 10 3 5 2 2" xfId="18624" xr:uid="{00000000-0005-0000-0000-0000711A0000}"/>
    <cellStyle name="Currency 10 3 5 3" xfId="13673" xr:uid="{00000000-0005-0000-0000-0000721A0000}"/>
    <cellStyle name="Currency 10 3 6" xfId="5415" xr:uid="{00000000-0005-0000-0000-0000731A0000}"/>
    <cellStyle name="Currency 10 3 6 2" xfId="16312" xr:uid="{00000000-0005-0000-0000-0000741A0000}"/>
    <cellStyle name="Currency 10 3 7" xfId="11417" xr:uid="{00000000-0005-0000-0000-0000751A0000}"/>
    <cellStyle name="Currency 10 4" xfId="582" xr:uid="{00000000-0005-0000-0000-0000761A0000}"/>
    <cellStyle name="Currency 10 4 2" xfId="1114" xr:uid="{00000000-0005-0000-0000-0000771A0000}"/>
    <cellStyle name="Currency 10 4 2 2" xfId="2271" xr:uid="{00000000-0005-0000-0000-0000781A0000}"/>
    <cellStyle name="Currency 10 4 2 2 2" xfId="4583" xr:uid="{00000000-0005-0000-0000-0000791A0000}"/>
    <cellStyle name="Currency 10 4 2 2 2 2" xfId="9534" xr:uid="{00000000-0005-0000-0000-00007A1A0000}"/>
    <cellStyle name="Currency 10 4 2 2 2 2 2" xfId="20431" xr:uid="{00000000-0005-0000-0000-00007B1A0000}"/>
    <cellStyle name="Currency 10 4 2 2 2 3" xfId="15480" xr:uid="{00000000-0005-0000-0000-00007C1A0000}"/>
    <cellStyle name="Currency 10 4 2 2 3" xfId="7222" xr:uid="{00000000-0005-0000-0000-00007D1A0000}"/>
    <cellStyle name="Currency 10 4 2 2 3 2" xfId="18119" xr:uid="{00000000-0005-0000-0000-00007E1A0000}"/>
    <cellStyle name="Currency 10 4 2 2 4" xfId="13186" xr:uid="{00000000-0005-0000-0000-00007F1A0000}"/>
    <cellStyle name="Currency 10 4 2 3" xfId="3438" xr:uid="{00000000-0005-0000-0000-0000801A0000}"/>
    <cellStyle name="Currency 10 4 2 3 2" xfId="8389" xr:uid="{00000000-0005-0000-0000-0000811A0000}"/>
    <cellStyle name="Currency 10 4 2 3 2 2" xfId="19286" xr:uid="{00000000-0005-0000-0000-0000821A0000}"/>
    <cellStyle name="Currency 10 4 2 3 3" xfId="14335" xr:uid="{00000000-0005-0000-0000-0000831A0000}"/>
    <cellStyle name="Currency 10 4 2 4" xfId="6077" xr:uid="{00000000-0005-0000-0000-0000841A0000}"/>
    <cellStyle name="Currency 10 4 2 4 2" xfId="16974" xr:uid="{00000000-0005-0000-0000-0000851A0000}"/>
    <cellStyle name="Currency 10 4 2 5" xfId="12068" xr:uid="{00000000-0005-0000-0000-0000861A0000}"/>
    <cellStyle name="Currency 10 4 3" xfId="1767" xr:uid="{00000000-0005-0000-0000-0000871A0000}"/>
    <cellStyle name="Currency 10 4 3 2" xfId="4079" xr:uid="{00000000-0005-0000-0000-0000881A0000}"/>
    <cellStyle name="Currency 10 4 3 2 2" xfId="9030" xr:uid="{00000000-0005-0000-0000-0000891A0000}"/>
    <cellStyle name="Currency 10 4 3 2 2 2" xfId="19927" xr:uid="{00000000-0005-0000-0000-00008A1A0000}"/>
    <cellStyle name="Currency 10 4 3 2 3" xfId="14976" xr:uid="{00000000-0005-0000-0000-00008B1A0000}"/>
    <cellStyle name="Currency 10 4 3 3" xfId="6718" xr:uid="{00000000-0005-0000-0000-00008C1A0000}"/>
    <cellStyle name="Currency 10 4 3 3 2" xfId="17615" xr:uid="{00000000-0005-0000-0000-00008D1A0000}"/>
    <cellStyle name="Currency 10 4 3 4" xfId="12696" xr:uid="{00000000-0005-0000-0000-00008E1A0000}"/>
    <cellStyle name="Currency 10 4 4" xfId="2906" xr:uid="{00000000-0005-0000-0000-00008F1A0000}"/>
    <cellStyle name="Currency 10 4 4 2" xfId="7857" xr:uid="{00000000-0005-0000-0000-0000901A0000}"/>
    <cellStyle name="Currency 10 4 4 2 2" xfId="18754" xr:uid="{00000000-0005-0000-0000-0000911A0000}"/>
    <cellStyle name="Currency 10 4 4 3" xfId="13803" xr:uid="{00000000-0005-0000-0000-0000921A0000}"/>
    <cellStyle name="Currency 10 4 5" xfId="5545" xr:uid="{00000000-0005-0000-0000-0000931A0000}"/>
    <cellStyle name="Currency 10 4 5 2" xfId="16442" xr:uid="{00000000-0005-0000-0000-0000941A0000}"/>
    <cellStyle name="Currency 10 4 6" xfId="11547" xr:uid="{00000000-0005-0000-0000-0000951A0000}"/>
    <cellStyle name="Currency 10 5" xfId="849" xr:uid="{00000000-0005-0000-0000-0000961A0000}"/>
    <cellStyle name="Currency 10 5 2" xfId="2006" xr:uid="{00000000-0005-0000-0000-0000971A0000}"/>
    <cellStyle name="Currency 10 5 2 2" xfId="4318" xr:uid="{00000000-0005-0000-0000-0000981A0000}"/>
    <cellStyle name="Currency 10 5 2 2 2" xfId="9269" xr:uid="{00000000-0005-0000-0000-0000991A0000}"/>
    <cellStyle name="Currency 10 5 2 2 2 2" xfId="20166" xr:uid="{00000000-0005-0000-0000-00009A1A0000}"/>
    <cellStyle name="Currency 10 5 2 2 3" xfId="15215" xr:uid="{00000000-0005-0000-0000-00009B1A0000}"/>
    <cellStyle name="Currency 10 5 2 3" xfId="6957" xr:uid="{00000000-0005-0000-0000-00009C1A0000}"/>
    <cellStyle name="Currency 10 5 2 3 2" xfId="17854" xr:uid="{00000000-0005-0000-0000-00009D1A0000}"/>
    <cellStyle name="Currency 10 5 2 4" xfId="12928" xr:uid="{00000000-0005-0000-0000-00009E1A0000}"/>
    <cellStyle name="Currency 10 5 3" xfId="3173" xr:uid="{00000000-0005-0000-0000-00009F1A0000}"/>
    <cellStyle name="Currency 10 5 3 2" xfId="8124" xr:uid="{00000000-0005-0000-0000-0000A01A0000}"/>
    <cellStyle name="Currency 10 5 3 2 2" xfId="19021" xr:uid="{00000000-0005-0000-0000-0000A11A0000}"/>
    <cellStyle name="Currency 10 5 3 3" xfId="14070" xr:uid="{00000000-0005-0000-0000-0000A21A0000}"/>
    <cellStyle name="Currency 10 5 4" xfId="5812" xr:uid="{00000000-0005-0000-0000-0000A31A0000}"/>
    <cellStyle name="Currency 10 5 4 2" xfId="16709" xr:uid="{00000000-0005-0000-0000-0000A41A0000}"/>
    <cellStyle name="Currency 10 5 5" xfId="11810" xr:uid="{00000000-0005-0000-0000-0000A51A0000}"/>
    <cellStyle name="Currency 10 6" xfId="1534" xr:uid="{00000000-0005-0000-0000-0000A61A0000}"/>
    <cellStyle name="Currency 10 6 2" xfId="3846" xr:uid="{00000000-0005-0000-0000-0000A71A0000}"/>
    <cellStyle name="Currency 10 6 2 2" xfId="8797" xr:uid="{00000000-0005-0000-0000-0000A81A0000}"/>
    <cellStyle name="Currency 10 6 2 2 2" xfId="19694" xr:uid="{00000000-0005-0000-0000-0000A91A0000}"/>
    <cellStyle name="Currency 10 6 2 3" xfId="14743" xr:uid="{00000000-0005-0000-0000-0000AA1A0000}"/>
    <cellStyle name="Currency 10 6 3" xfId="6485" xr:uid="{00000000-0005-0000-0000-0000AB1A0000}"/>
    <cellStyle name="Currency 10 6 3 2" xfId="17382" xr:uid="{00000000-0005-0000-0000-0000AC1A0000}"/>
    <cellStyle name="Currency 10 6 4" xfId="12469" xr:uid="{00000000-0005-0000-0000-0000AD1A0000}"/>
    <cellStyle name="Currency 10 7" xfId="2641" xr:uid="{00000000-0005-0000-0000-0000AE1A0000}"/>
    <cellStyle name="Currency 10 7 2" xfId="7592" xr:uid="{00000000-0005-0000-0000-0000AF1A0000}"/>
    <cellStyle name="Currency 10 7 2 2" xfId="18489" xr:uid="{00000000-0005-0000-0000-0000B01A0000}"/>
    <cellStyle name="Currency 10 7 3" xfId="13538" xr:uid="{00000000-0005-0000-0000-0000B11A0000}"/>
    <cellStyle name="Currency 10 8" xfId="5280" xr:uid="{00000000-0005-0000-0000-0000B21A0000}"/>
    <cellStyle name="Currency 10 8 2" xfId="16177" xr:uid="{00000000-0005-0000-0000-0000B31A0000}"/>
    <cellStyle name="Currency 10 9" xfId="11264" xr:uid="{00000000-0005-0000-0000-0000B41A0000}"/>
    <cellStyle name="Currency 11" xfId="420" xr:uid="{00000000-0005-0000-0000-0000B51A0000}"/>
    <cellStyle name="Currency 11 2" xfId="549" xr:uid="{00000000-0005-0000-0000-0000B61A0000}"/>
    <cellStyle name="Currency 11 2 2" xfId="814" xr:uid="{00000000-0005-0000-0000-0000B71A0000}"/>
    <cellStyle name="Currency 11 2 2 2" xfId="1346" xr:uid="{00000000-0005-0000-0000-0000B81A0000}"/>
    <cellStyle name="Currency 11 2 2 2 2" xfId="2503" xr:uid="{00000000-0005-0000-0000-0000B91A0000}"/>
    <cellStyle name="Currency 11 2 2 2 2 2" xfId="4815" xr:uid="{00000000-0005-0000-0000-0000BA1A0000}"/>
    <cellStyle name="Currency 11 2 2 2 2 2 2" xfId="9766" xr:uid="{00000000-0005-0000-0000-0000BB1A0000}"/>
    <cellStyle name="Currency 11 2 2 2 2 2 2 2" xfId="20663" xr:uid="{00000000-0005-0000-0000-0000BC1A0000}"/>
    <cellStyle name="Currency 11 2 2 2 2 2 3" xfId="15712" xr:uid="{00000000-0005-0000-0000-0000BD1A0000}"/>
    <cellStyle name="Currency 11 2 2 2 2 3" xfId="7454" xr:uid="{00000000-0005-0000-0000-0000BE1A0000}"/>
    <cellStyle name="Currency 11 2 2 2 2 3 2" xfId="18351" xr:uid="{00000000-0005-0000-0000-0000BF1A0000}"/>
    <cellStyle name="Currency 11 2 2 2 2 4" xfId="13414" xr:uid="{00000000-0005-0000-0000-0000C01A0000}"/>
    <cellStyle name="Currency 11 2 2 2 3" xfId="3670" xr:uid="{00000000-0005-0000-0000-0000C11A0000}"/>
    <cellStyle name="Currency 11 2 2 2 3 2" xfId="8621" xr:uid="{00000000-0005-0000-0000-0000C21A0000}"/>
    <cellStyle name="Currency 11 2 2 2 3 2 2" xfId="19518" xr:uid="{00000000-0005-0000-0000-0000C31A0000}"/>
    <cellStyle name="Currency 11 2 2 2 3 3" xfId="14567" xr:uid="{00000000-0005-0000-0000-0000C41A0000}"/>
    <cellStyle name="Currency 11 2 2 2 4" xfId="6309" xr:uid="{00000000-0005-0000-0000-0000C51A0000}"/>
    <cellStyle name="Currency 11 2 2 2 4 2" xfId="17206" xr:uid="{00000000-0005-0000-0000-0000C61A0000}"/>
    <cellStyle name="Currency 11 2 2 2 5" xfId="12296" xr:uid="{00000000-0005-0000-0000-0000C71A0000}"/>
    <cellStyle name="Currency 11 2 2 3" xfId="1972" xr:uid="{00000000-0005-0000-0000-0000C81A0000}"/>
    <cellStyle name="Currency 11 2 2 3 2" xfId="4284" xr:uid="{00000000-0005-0000-0000-0000C91A0000}"/>
    <cellStyle name="Currency 11 2 2 3 2 2" xfId="9235" xr:uid="{00000000-0005-0000-0000-0000CA1A0000}"/>
    <cellStyle name="Currency 11 2 2 3 2 2 2" xfId="20132" xr:uid="{00000000-0005-0000-0000-0000CB1A0000}"/>
    <cellStyle name="Currency 11 2 2 3 2 3" xfId="15181" xr:uid="{00000000-0005-0000-0000-0000CC1A0000}"/>
    <cellStyle name="Currency 11 2 2 3 3" xfId="6923" xr:uid="{00000000-0005-0000-0000-0000CD1A0000}"/>
    <cellStyle name="Currency 11 2 2 3 3 2" xfId="17820" xr:uid="{00000000-0005-0000-0000-0000CE1A0000}"/>
    <cellStyle name="Currency 11 2 2 3 4" xfId="12896" xr:uid="{00000000-0005-0000-0000-0000CF1A0000}"/>
    <cellStyle name="Currency 11 2 2 4" xfId="3138" xr:uid="{00000000-0005-0000-0000-0000D01A0000}"/>
    <cellStyle name="Currency 11 2 2 4 2" xfId="8089" xr:uid="{00000000-0005-0000-0000-0000D11A0000}"/>
    <cellStyle name="Currency 11 2 2 4 2 2" xfId="18986" xr:uid="{00000000-0005-0000-0000-0000D21A0000}"/>
    <cellStyle name="Currency 11 2 2 4 3" xfId="14035" xr:uid="{00000000-0005-0000-0000-0000D31A0000}"/>
    <cellStyle name="Currency 11 2 2 5" xfId="5777" xr:uid="{00000000-0005-0000-0000-0000D41A0000}"/>
    <cellStyle name="Currency 11 2 2 5 2" xfId="16674" xr:uid="{00000000-0005-0000-0000-0000D51A0000}"/>
    <cellStyle name="Currency 11 2 2 6" xfId="11775" xr:uid="{00000000-0005-0000-0000-0000D61A0000}"/>
    <cellStyle name="Currency 11 2 3" xfId="1081" xr:uid="{00000000-0005-0000-0000-0000D71A0000}"/>
    <cellStyle name="Currency 11 2 3 2" xfId="2238" xr:uid="{00000000-0005-0000-0000-0000D81A0000}"/>
    <cellStyle name="Currency 11 2 3 2 2" xfId="4550" xr:uid="{00000000-0005-0000-0000-0000D91A0000}"/>
    <cellStyle name="Currency 11 2 3 2 2 2" xfId="9501" xr:uid="{00000000-0005-0000-0000-0000DA1A0000}"/>
    <cellStyle name="Currency 11 2 3 2 2 2 2" xfId="20398" xr:uid="{00000000-0005-0000-0000-0000DB1A0000}"/>
    <cellStyle name="Currency 11 2 3 2 2 3" xfId="15447" xr:uid="{00000000-0005-0000-0000-0000DC1A0000}"/>
    <cellStyle name="Currency 11 2 3 2 3" xfId="7189" xr:uid="{00000000-0005-0000-0000-0000DD1A0000}"/>
    <cellStyle name="Currency 11 2 3 2 3 2" xfId="18086" xr:uid="{00000000-0005-0000-0000-0000DE1A0000}"/>
    <cellStyle name="Currency 11 2 3 2 4" xfId="13155" xr:uid="{00000000-0005-0000-0000-0000DF1A0000}"/>
    <cellStyle name="Currency 11 2 3 3" xfId="3405" xr:uid="{00000000-0005-0000-0000-0000E01A0000}"/>
    <cellStyle name="Currency 11 2 3 3 2" xfId="8356" xr:uid="{00000000-0005-0000-0000-0000E11A0000}"/>
    <cellStyle name="Currency 11 2 3 3 2 2" xfId="19253" xr:uid="{00000000-0005-0000-0000-0000E21A0000}"/>
    <cellStyle name="Currency 11 2 3 3 3" xfId="14302" xr:uid="{00000000-0005-0000-0000-0000E31A0000}"/>
    <cellStyle name="Currency 11 2 3 4" xfId="6044" xr:uid="{00000000-0005-0000-0000-0000E41A0000}"/>
    <cellStyle name="Currency 11 2 3 4 2" xfId="16941" xr:uid="{00000000-0005-0000-0000-0000E51A0000}"/>
    <cellStyle name="Currency 11 2 3 5" xfId="12037" xr:uid="{00000000-0005-0000-0000-0000E61A0000}"/>
    <cellStyle name="Currency 11 2 4" xfId="1739" xr:uid="{00000000-0005-0000-0000-0000E71A0000}"/>
    <cellStyle name="Currency 11 2 4 2" xfId="4051" xr:uid="{00000000-0005-0000-0000-0000E81A0000}"/>
    <cellStyle name="Currency 11 2 4 2 2" xfId="9002" xr:uid="{00000000-0005-0000-0000-0000E91A0000}"/>
    <cellStyle name="Currency 11 2 4 2 2 2" xfId="19899" xr:uid="{00000000-0005-0000-0000-0000EA1A0000}"/>
    <cellStyle name="Currency 11 2 4 2 3" xfId="14948" xr:uid="{00000000-0005-0000-0000-0000EB1A0000}"/>
    <cellStyle name="Currency 11 2 4 3" xfId="6690" xr:uid="{00000000-0005-0000-0000-0000EC1A0000}"/>
    <cellStyle name="Currency 11 2 4 3 2" xfId="17587" xr:uid="{00000000-0005-0000-0000-0000ED1A0000}"/>
    <cellStyle name="Currency 11 2 4 4" xfId="12670" xr:uid="{00000000-0005-0000-0000-0000EE1A0000}"/>
    <cellStyle name="Currency 11 2 5" xfId="2873" xr:uid="{00000000-0005-0000-0000-0000EF1A0000}"/>
    <cellStyle name="Currency 11 2 5 2" xfId="7824" xr:uid="{00000000-0005-0000-0000-0000F01A0000}"/>
    <cellStyle name="Currency 11 2 5 2 2" xfId="18721" xr:uid="{00000000-0005-0000-0000-0000F11A0000}"/>
    <cellStyle name="Currency 11 2 5 3" xfId="13770" xr:uid="{00000000-0005-0000-0000-0000F21A0000}"/>
    <cellStyle name="Currency 11 2 6" xfId="5512" xr:uid="{00000000-0005-0000-0000-0000F31A0000}"/>
    <cellStyle name="Currency 11 2 6 2" xfId="16409" xr:uid="{00000000-0005-0000-0000-0000F41A0000}"/>
    <cellStyle name="Currency 11 2 7" xfId="11514" xr:uid="{00000000-0005-0000-0000-0000F51A0000}"/>
    <cellStyle name="Currency 11 3" xfId="685" xr:uid="{00000000-0005-0000-0000-0000F61A0000}"/>
    <cellStyle name="Currency 11 3 2" xfId="1217" xr:uid="{00000000-0005-0000-0000-0000F71A0000}"/>
    <cellStyle name="Currency 11 3 2 2" xfId="2374" xr:uid="{00000000-0005-0000-0000-0000F81A0000}"/>
    <cellStyle name="Currency 11 3 2 2 2" xfId="4686" xr:uid="{00000000-0005-0000-0000-0000F91A0000}"/>
    <cellStyle name="Currency 11 3 2 2 2 2" xfId="9637" xr:uid="{00000000-0005-0000-0000-0000FA1A0000}"/>
    <cellStyle name="Currency 11 3 2 2 2 2 2" xfId="20534" xr:uid="{00000000-0005-0000-0000-0000FB1A0000}"/>
    <cellStyle name="Currency 11 3 2 2 2 3" xfId="15583" xr:uid="{00000000-0005-0000-0000-0000FC1A0000}"/>
    <cellStyle name="Currency 11 3 2 2 3" xfId="7325" xr:uid="{00000000-0005-0000-0000-0000FD1A0000}"/>
    <cellStyle name="Currency 11 3 2 2 3 2" xfId="18222" xr:uid="{00000000-0005-0000-0000-0000FE1A0000}"/>
    <cellStyle name="Currency 11 3 2 2 4" xfId="13286" xr:uid="{00000000-0005-0000-0000-0000FF1A0000}"/>
    <cellStyle name="Currency 11 3 2 3" xfId="3541" xr:uid="{00000000-0005-0000-0000-0000001B0000}"/>
    <cellStyle name="Currency 11 3 2 3 2" xfId="8492" xr:uid="{00000000-0005-0000-0000-0000011B0000}"/>
    <cellStyle name="Currency 11 3 2 3 2 2" xfId="19389" xr:uid="{00000000-0005-0000-0000-0000021B0000}"/>
    <cellStyle name="Currency 11 3 2 3 3" xfId="14438" xr:uid="{00000000-0005-0000-0000-0000031B0000}"/>
    <cellStyle name="Currency 11 3 2 4" xfId="6180" xr:uid="{00000000-0005-0000-0000-0000041B0000}"/>
    <cellStyle name="Currency 11 3 2 4 2" xfId="17077" xr:uid="{00000000-0005-0000-0000-0000051B0000}"/>
    <cellStyle name="Currency 11 3 2 5" xfId="12168" xr:uid="{00000000-0005-0000-0000-0000061B0000}"/>
    <cellStyle name="Currency 11 3 3" xfId="1858" xr:uid="{00000000-0005-0000-0000-0000071B0000}"/>
    <cellStyle name="Currency 11 3 3 2" xfId="4170" xr:uid="{00000000-0005-0000-0000-0000081B0000}"/>
    <cellStyle name="Currency 11 3 3 2 2" xfId="9121" xr:uid="{00000000-0005-0000-0000-0000091B0000}"/>
    <cellStyle name="Currency 11 3 3 2 2 2" xfId="20018" xr:uid="{00000000-0005-0000-0000-00000A1B0000}"/>
    <cellStyle name="Currency 11 3 3 2 3" xfId="15067" xr:uid="{00000000-0005-0000-0000-00000B1B0000}"/>
    <cellStyle name="Currency 11 3 3 3" xfId="6809" xr:uid="{00000000-0005-0000-0000-00000C1B0000}"/>
    <cellStyle name="Currency 11 3 3 3 2" xfId="17706" xr:uid="{00000000-0005-0000-0000-00000D1B0000}"/>
    <cellStyle name="Currency 11 3 3 4" xfId="12783" xr:uid="{00000000-0005-0000-0000-00000E1B0000}"/>
    <cellStyle name="Currency 11 3 4" xfId="3009" xr:uid="{00000000-0005-0000-0000-00000F1B0000}"/>
    <cellStyle name="Currency 11 3 4 2" xfId="7960" xr:uid="{00000000-0005-0000-0000-0000101B0000}"/>
    <cellStyle name="Currency 11 3 4 2 2" xfId="18857" xr:uid="{00000000-0005-0000-0000-0000111B0000}"/>
    <cellStyle name="Currency 11 3 4 3" xfId="13906" xr:uid="{00000000-0005-0000-0000-0000121B0000}"/>
    <cellStyle name="Currency 11 3 5" xfId="5648" xr:uid="{00000000-0005-0000-0000-0000131B0000}"/>
    <cellStyle name="Currency 11 3 5 2" xfId="16545" xr:uid="{00000000-0005-0000-0000-0000141B0000}"/>
    <cellStyle name="Currency 11 3 6" xfId="11647" xr:uid="{00000000-0005-0000-0000-0000151B0000}"/>
    <cellStyle name="Currency 11 4" xfId="952" xr:uid="{00000000-0005-0000-0000-0000161B0000}"/>
    <cellStyle name="Currency 11 4 2" xfId="2109" xr:uid="{00000000-0005-0000-0000-0000171B0000}"/>
    <cellStyle name="Currency 11 4 2 2" xfId="4421" xr:uid="{00000000-0005-0000-0000-0000181B0000}"/>
    <cellStyle name="Currency 11 4 2 2 2" xfId="9372" xr:uid="{00000000-0005-0000-0000-0000191B0000}"/>
    <cellStyle name="Currency 11 4 2 2 2 2" xfId="20269" xr:uid="{00000000-0005-0000-0000-00001A1B0000}"/>
    <cellStyle name="Currency 11 4 2 2 3" xfId="15318" xr:uid="{00000000-0005-0000-0000-00001B1B0000}"/>
    <cellStyle name="Currency 11 4 2 3" xfId="7060" xr:uid="{00000000-0005-0000-0000-00001C1B0000}"/>
    <cellStyle name="Currency 11 4 2 3 2" xfId="17957" xr:uid="{00000000-0005-0000-0000-00001D1B0000}"/>
    <cellStyle name="Currency 11 4 2 4" xfId="13027" xr:uid="{00000000-0005-0000-0000-00001E1B0000}"/>
    <cellStyle name="Currency 11 4 3" xfId="3276" xr:uid="{00000000-0005-0000-0000-00001F1B0000}"/>
    <cellStyle name="Currency 11 4 3 2" xfId="8227" xr:uid="{00000000-0005-0000-0000-0000201B0000}"/>
    <cellStyle name="Currency 11 4 3 2 2" xfId="19124" xr:uid="{00000000-0005-0000-0000-0000211B0000}"/>
    <cellStyle name="Currency 11 4 3 3" xfId="14173" xr:uid="{00000000-0005-0000-0000-0000221B0000}"/>
    <cellStyle name="Currency 11 4 4" xfId="5915" xr:uid="{00000000-0005-0000-0000-0000231B0000}"/>
    <cellStyle name="Currency 11 4 4 2" xfId="16812" xr:uid="{00000000-0005-0000-0000-0000241B0000}"/>
    <cellStyle name="Currency 11 4 5" xfId="11909" xr:uid="{00000000-0005-0000-0000-0000251B0000}"/>
    <cellStyle name="Currency 11 5" xfId="1625" xr:uid="{00000000-0005-0000-0000-0000261B0000}"/>
    <cellStyle name="Currency 11 5 2" xfId="3937" xr:uid="{00000000-0005-0000-0000-0000271B0000}"/>
    <cellStyle name="Currency 11 5 2 2" xfId="8888" xr:uid="{00000000-0005-0000-0000-0000281B0000}"/>
    <cellStyle name="Currency 11 5 2 2 2" xfId="19785" xr:uid="{00000000-0005-0000-0000-0000291B0000}"/>
    <cellStyle name="Currency 11 5 2 3" xfId="14834" xr:uid="{00000000-0005-0000-0000-00002A1B0000}"/>
    <cellStyle name="Currency 11 5 3" xfId="6576" xr:uid="{00000000-0005-0000-0000-00002B1B0000}"/>
    <cellStyle name="Currency 11 5 3 2" xfId="17473" xr:uid="{00000000-0005-0000-0000-00002C1B0000}"/>
    <cellStyle name="Currency 11 5 4" xfId="12557" xr:uid="{00000000-0005-0000-0000-00002D1B0000}"/>
    <cellStyle name="Currency 11 6" xfId="2744" xr:uid="{00000000-0005-0000-0000-00002E1B0000}"/>
    <cellStyle name="Currency 11 6 2" xfId="7695" xr:uid="{00000000-0005-0000-0000-00002F1B0000}"/>
    <cellStyle name="Currency 11 6 2 2" xfId="18592" xr:uid="{00000000-0005-0000-0000-0000301B0000}"/>
    <cellStyle name="Currency 11 6 3" xfId="13641" xr:uid="{00000000-0005-0000-0000-0000311B0000}"/>
    <cellStyle name="Currency 11 7" xfId="5383" xr:uid="{00000000-0005-0000-0000-0000321B0000}"/>
    <cellStyle name="Currency 11 7 2" xfId="16280" xr:uid="{00000000-0005-0000-0000-0000331B0000}"/>
    <cellStyle name="Currency 11 8" xfId="11386" xr:uid="{00000000-0005-0000-0000-0000341B0000}"/>
    <cellStyle name="Currency 12" xfId="1426" xr:uid="{00000000-0005-0000-0000-0000351B0000}"/>
    <cellStyle name="Currency 12 2" xfId="2535" xr:uid="{00000000-0005-0000-0000-0000361B0000}"/>
    <cellStyle name="Currency 12 2 2" xfId="4847" xr:uid="{00000000-0005-0000-0000-0000371B0000}"/>
    <cellStyle name="Currency 12 2 2 2" xfId="9798" xr:uid="{00000000-0005-0000-0000-0000381B0000}"/>
    <cellStyle name="Currency 12 2 2 2 2" xfId="20695" xr:uid="{00000000-0005-0000-0000-0000391B0000}"/>
    <cellStyle name="Currency 12 2 2 3" xfId="15744" xr:uid="{00000000-0005-0000-0000-00003A1B0000}"/>
    <cellStyle name="Currency 12 2 3" xfId="7486" xr:uid="{00000000-0005-0000-0000-00003B1B0000}"/>
    <cellStyle name="Currency 12 2 3 2" xfId="18383" xr:uid="{00000000-0005-0000-0000-00003C1B0000}"/>
    <cellStyle name="Currency 12 2 4" xfId="13432" xr:uid="{00000000-0005-0000-0000-00003D1B0000}"/>
    <cellStyle name="Currency 12 3" xfId="3750" xr:uid="{00000000-0005-0000-0000-00003E1B0000}"/>
    <cellStyle name="Currency 12 3 2" xfId="8701" xr:uid="{00000000-0005-0000-0000-00003F1B0000}"/>
    <cellStyle name="Currency 12 3 2 2" xfId="19598" xr:uid="{00000000-0005-0000-0000-0000401B0000}"/>
    <cellStyle name="Currency 12 3 3" xfId="14647" xr:uid="{00000000-0005-0000-0000-0000411B0000}"/>
    <cellStyle name="Currency 12 4" xfId="6389" xr:uid="{00000000-0005-0000-0000-0000421B0000}"/>
    <cellStyle name="Currency 12 4 2" xfId="17286" xr:uid="{00000000-0005-0000-0000-0000431B0000}"/>
    <cellStyle name="Currency 12 5" xfId="12364" xr:uid="{00000000-0005-0000-0000-0000441B0000}"/>
    <cellStyle name="Currency 13" xfId="1439" xr:uid="{00000000-0005-0000-0000-0000451B0000}"/>
    <cellStyle name="Currency 13 2" xfId="2547" xr:uid="{00000000-0005-0000-0000-0000461B0000}"/>
    <cellStyle name="Currency 13 2 2" xfId="4859" xr:uid="{00000000-0005-0000-0000-0000471B0000}"/>
    <cellStyle name="Currency 13 2 2 2" xfId="9810" xr:uid="{00000000-0005-0000-0000-0000481B0000}"/>
    <cellStyle name="Currency 13 2 2 2 2" xfId="20707" xr:uid="{00000000-0005-0000-0000-0000491B0000}"/>
    <cellStyle name="Currency 13 2 2 3" xfId="15756" xr:uid="{00000000-0005-0000-0000-00004A1B0000}"/>
    <cellStyle name="Currency 13 2 3" xfId="7498" xr:uid="{00000000-0005-0000-0000-00004B1B0000}"/>
    <cellStyle name="Currency 13 2 3 2" xfId="18395" xr:uid="{00000000-0005-0000-0000-00004C1B0000}"/>
    <cellStyle name="Currency 13 2 4" xfId="13444" xr:uid="{00000000-0005-0000-0000-00004D1B0000}"/>
    <cellStyle name="Currency 13 3" xfId="3762" xr:uid="{00000000-0005-0000-0000-00004E1B0000}"/>
    <cellStyle name="Currency 13 3 2" xfId="8713" xr:uid="{00000000-0005-0000-0000-00004F1B0000}"/>
    <cellStyle name="Currency 13 3 2 2" xfId="19610" xr:uid="{00000000-0005-0000-0000-0000501B0000}"/>
    <cellStyle name="Currency 13 3 3" xfId="14659" xr:uid="{00000000-0005-0000-0000-0000511B0000}"/>
    <cellStyle name="Currency 13 4" xfId="6401" xr:uid="{00000000-0005-0000-0000-0000521B0000}"/>
    <cellStyle name="Currency 13 4 2" xfId="17298" xr:uid="{00000000-0005-0000-0000-0000531B0000}"/>
    <cellStyle name="Currency 13 5" xfId="12378" xr:uid="{00000000-0005-0000-0000-0000541B0000}"/>
    <cellStyle name="Currency 14" xfId="1442" xr:uid="{00000000-0005-0000-0000-0000551B0000}"/>
    <cellStyle name="Currency 14 2" xfId="2550" xr:uid="{00000000-0005-0000-0000-0000561B0000}"/>
    <cellStyle name="Currency 14 2 2" xfId="4862" xr:uid="{00000000-0005-0000-0000-0000571B0000}"/>
    <cellStyle name="Currency 14 2 2 2" xfId="9813" xr:uid="{00000000-0005-0000-0000-0000581B0000}"/>
    <cellStyle name="Currency 14 2 2 2 2" xfId="20710" xr:uid="{00000000-0005-0000-0000-0000591B0000}"/>
    <cellStyle name="Currency 14 2 2 3" xfId="15759" xr:uid="{00000000-0005-0000-0000-00005A1B0000}"/>
    <cellStyle name="Currency 14 2 3" xfId="7501" xr:uid="{00000000-0005-0000-0000-00005B1B0000}"/>
    <cellStyle name="Currency 14 2 3 2" xfId="18398" xr:uid="{00000000-0005-0000-0000-00005C1B0000}"/>
    <cellStyle name="Currency 14 2 4" xfId="13447" xr:uid="{00000000-0005-0000-0000-00005D1B0000}"/>
    <cellStyle name="Currency 14 3" xfId="3765" xr:uid="{00000000-0005-0000-0000-00005E1B0000}"/>
    <cellStyle name="Currency 14 3 2" xfId="8716" xr:uid="{00000000-0005-0000-0000-00005F1B0000}"/>
    <cellStyle name="Currency 14 3 2 2" xfId="19613" xr:uid="{00000000-0005-0000-0000-0000601B0000}"/>
    <cellStyle name="Currency 14 3 3" xfId="14662" xr:uid="{00000000-0005-0000-0000-0000611B0000}"/>
    <cellStyle name="Currency 14 4" xfId="6404" xr:uid="{00000000-0005-0000-0000-0000621B0000}"/>
    <cellStyle name="Currency 14 4 2" xfId="17301" xr:uid="{00000000-0005-0000-0000-0000631B0000}"/>
    <cellStyle name="Currency 14 5" xfId="12381" xr:uid="{00000000-0005-0000-0000-0000641B0000}"/>
    <cellStyle name="Currency 15" xfId="1446" xr:uid="{00000000-0005-0000-0000-0000651B0000}"/>
    <cellStyle name="Currency 15 2" xfId="2554" xr:uid="{00000000-0005-0000-0000-0000661B0000}"/>
    <cellStyle name="Currency 15 2 2" xfId="4866" xr:uid="{00000000-0005-0000-0000-0000671B0000}"/>
    <cellStyle name="Currency 15 2 2 2" xfId="9817" xr:uid="{00000000-0005-0000-0000-0000681B0000}"/>
    <cellStyle name="Currency 15 2 2 2 2" xfId="20714" xr:uid="{00000000-0005-0000-0000-0000691B0000}"/>
    <cellStyle name="Currency 15 2 2 3" xfId="15763" xr:uid="{00000000-0005-0000-0000-00006A1B0000}"/>
    <cellStyle name="Currency 15 2 3" xfId="7505" xr:uid="{00000000-0005-0000-0000-00006B1B0000}"/>
    <cellStyle name="Currency 15 2 3 2" xfId="18402" xr:uid="{00000000-0005-0000-0000-00006C1B0000}"/>
    <cellStyle name="Currency 15 2 4" xfId="13451" xr:uid="{00000000-0005-0000-0000-00006D1B0000}"/>
    <cellStyle name="Currency 15 3" xfId="3769" xr:uid="{00000000-0005-0000-0000-00006E1B0000}"/>
    <cellStyle name="Currency 15 3 2" xfId="8720" xr:uid="{00000000-0005-0000-0000-00006F1B0000}"/>
    <cellStyle name="Currency 15 3 2 2" xfId="19617" xr:uid="{00000000-0005-0000-0000-0000701B0000}"/>
    <cellStyle name="Currency 15 3 3" xfId="14666" xr:uid="{00000000-0005-0000-0000-0000711B0000}"/>
    <cellStyle name="Currency 15 4" xfId="6408" xr:uid="{00000000-0005-0000-0000-0000721B0000}"/>
    <cellStyle name="Currency 15 4 2" xfId="17305" xr:uid="{00000000-0005-0000-0000-0000731B0000}"/>
    <cellStyle name="Currency 15 5" xfId="12386" xr:uid="{00000000-0005-0000-0000-0000741B0000}"/>
    <cellStyle name="Currency 16" xfId="1450" xr:uid="{00000000-0005-0000-0000-0000751B0000}"/>
    <cellStyle name="Currency 16 2" xfId="2558" xr:uid="{00000000-0005-0000-0000-0000761B0000}"/>
    <cellStyle name="Currency 16 2 2" xfId="4870" xr:uid="{00000000-0005-0000-0000-0000771B0000}"/>
    <cellStyle name="Currency 16 2 2 2" xfId="9821" xr:uid="{00000000-0005-0000-0000-0000781B0000}"/>
    <cellStyle name="Currency 16 2 2 2 2" xfId="20718" xr:uid="{00000000-0005-0000-0000-0000791B0000}"/>
    <cellStyle name="Currency 16 2 2 3" xfId="15767" xr:uid="{00000000-0005-0000-0000-00007A1B0000}"/>
    <cellStyle name="Currency 16 2 3" xfId="7509" xr:uid="{00000000-0005-0000-0000-00007B1B0000}"/>
    <cellStyle name="Currency 16 2 3 2" xfId="18406" xr:uid="{00000000-0005-0000-0000-00007C1B0000}"/>
    <cellStyle name="Currency 16 2 4" xfId="13455" xr:uid="{00000000-0005-0000-0000-00007D1B0000}"/>
    <cellStyle name="Currency 16 3" xfId="3773" xr:uid="{00000000-0005-0000-0000-00007E1B0000}"/>
    <cellStyle name="Currency 16 3 2" xfId="8724" xr:uid="{00000000-0005-0000-0000-00007F1B0000}"/>
    <cellStyle name="Currency 16 3 2 2" xfId="19621" xr:uid="{00000000-0005-0000-0000-0000801B0000}"/>
    <cellStyle name="Currency 16 3 3" xfId="14670" xr:uid="{00000000-0005-0000-0000-0000811B0000}"/>
    <cellStyle name="Currency 16 4" xfId="6412" xr:uid="{00000000-0005-0000-0000-0000821B0000}"/>
    <cellStyle name="Currency 16 4 2" xfId="17309" xr:uid="{00000000-0005-0000-0000-0000831B0000}"/>
    <cellStyle name="Currency 16 5" xfId="12391" xr:uid="{00000000-0005-0000-0000-0000841B0000}"/>
    <cellStyle name="Currency 17" xfId="1461" xr:uid="{00000000-0005-0000-0000-0000851B0000}"/>
    <cellStyle name="Currency 17 2" xfId="2567" xr:uid="{00000000-0005-0000-0000-0000861B0000}"/>
    <cellStyle name="Currency 17 2 2" xfId="4879" xr:uid="{00000000-0005-0000-0000-0000871B0000}"/>
    <cellStyle name="Currency 17 2 2 2" xfId="9830" xr:uid="{00000000-0005-0000-0000-0000881B0000}"/>
    <cellStyle name="Currency 17 2 2 2 2" xfId="20727" xr:uid="{00000000-0005-0000-0000-0000891B0000}"/>
    <cellStyle name="Currency 17 2 2 3" xfId="15776" xr:uid="{00000000-0005-0000-0000-00008A1B0000}"/>
    <cellStyle name="Currency 17 2 3" xfId="7518" xr:uid="{00000000-0005-0000-0000-00008B1B0000}"/>
    <cellStyle name="Currency 17 2 3 2" xfId="18415" xr:uid="{00000000-0005-0000-0000-00008C1B0000}"/>
    <cellStyle name="Currency 17 2 4" xfId="13464" xr:uid="{00000000-0005-0000-0000-00008D1B0000}"/>
    <cellStyle name="Currency 17 3" xfId="3782" xr:uid="{00000000-0005-0000-0000-00008E1B0000}"/>
    <cellStyle name="Currency 17 3 2" xfId="8733" xr:uid="{00000000-0005-0000-0000-00008F1B0000}"/>
    <cellStyle name="Currency 17 3 2 2" xfId="19630" xr:uid="{00000000-0005-0000-0000-0000901B0000}"/>
    <cellStyle name="Currency 17 3 3" xfId="14679" xr:uid="{00000000-0005-0000-0000-0000911B0000}"/>
    <cellStyle name="Currency 17 4" xfId="6421" xr:uid="{00000000-0005-0000-0000-0000921B0000}"/>
    <cellStyle name="Currency 17 4 2" xfId="17318" xr:uid="{00000000-0005-0000-0000-0000931B0000}"/>
    <cellStyle name="Currency 17 5" xfId="12400" xr:uid="{00000000-0005-0000-0000-0000941B0000}"/>
    <cellStyle name="Currency 18" xfId="1469" xr:uid="{00000000-0005-0000-0000-0000951B0000}"/>
    <cellStyle name="Currency 18 2" xfId="2575" xr:uid="{00000000-0005-0000-0000-0000961B0000}"/>
    <cellStyle name="Currency 18 2 2" xfId="4887" xr:uid="{00000000-0005-0000-0000-0000971B0000}"/>
    <cellStyle name="Currency 18 2 2 2" xfId="9838" xr:uid="{00000000-0005-0000-0000-0000981B0000}"/>
    <cellStyle name="Currency 18 2 2 2 2" xfId="20735" xr:uid="{00000000-0005-0000-0000-0000991B0000}"/>
    <cellStyle name="Currency 18 2 2 3" xfId="15784" xr:uid="{00000000-0005-0000-0000-00009A1B0000}"/>
    <cellStyle name="Currency 18 2 3" xfId="7526" xr:uid="{00000000-0005-0000-0000-00009B1B0000}"/>
    <cellStyle name="Currency 18 2 3 2" xfId="18423" xr:uid="{00000000-0005-0000-0000-00009C1B0000}"/>
    <cellStyle name="Currency 18 2 4" xfId="13472" xr:uid="{00000000-0005-0000-0000-00009D1B0000}"/>
    <cellStyle name="Currency 18 3" xfId="3790" xr:uid="{00000000-0005-0000-0000-00009E1B0000}"/>
    <cellStyle name="Currency 18 3 2" xfId="8741" xr:uid="{00000000-0005-0000-0000-00009F1B0000}"/>
    <cellStyle name="Currency 18 3 2 2" xfId="19638" xr:uid="{00000000-0005-0000-0000-0000A01B0000}"/>
    <cellStyle name="Currency 18 3 3" xfId="14687" xr:uid="{00000000-0005-0000-0000-0000A11B0000}"/>
    <cellStyle name="Currency 18 4" xfId="6429" xr:uid="{00000000-0005-0000-0000-0000A21B0000}"/>
    <cellStyle name="Currency 18 4 2" xfId="17326" xr:uid="{00000000-0005-0000-0000-0000A31B0000}"/>
    <cellStyle name="Currency 18 5" xfId="12408" xr:uid="{00000000-0005-0000-0000-0000A41B0000}"/>
    <cellStyle name="Currency 19" xfId="1485" xr:uid="{00000000-0005-0000-0000-0000A51B0000}"/>
    <cellStyle name="Currency 19 2" xfId="2588" xr:uid="{00000000-0005-0000-0000-0000A61B0000}"/>
    <cellStyle name="Currency 19 2 2" xfId="4900" xr:uid="{00000000-0005-0000-0000-0000A71B0000}"/>
    <cellStyle name="Currency 19 2 2 2" xfId="9851" xr:uid="{00000000-0005-0000-0000-0000A81B0000}"/>
    <cellStyle name="Currency 19 2 2 2 2" xfId="20748" xr:uid="{00000000-0005-0000-0000-0000A91B0000}"/>
    <cellStyle name="Currency 19 2 2 3" xfId="15797" xr:uid="{00000000-0005-0000-0000-0000AA1B0000}"/>
    <cellStyle name="Currency 19 2 3" xfId="7539" xr:uid="{00000000-0005-0000-0000-0000AB1B0000}"/>
    <cellStyle name="Currency 19 2 3 2" xfId="18436" xr:uid="{00000000-0005-0000-0000-0000AC1B0000}"/>
    <cellStyle name="Currency 19 2 4" xfId="13485" xr:uid="{00000000-0005-0000-0000-0000AD1B0000}"/>
    <cellStyle name="Currency 19 3" xfId="3804" xr:uid="{00000000-0005-0000-0000-0000AE1B0000}"/>
    <cellStyle name="Currency 19 3 2" xfId="8755" xr:uid="{00000000-0005-0000-0000-0000AF1B0000}"/>
    <cellStyle name="Currency 19 3 2 2" xfId="19652" xr:uid="{00000000-0005-0000-0000-0000B01B0000}"/>
    <cellStyle name="Currency 19 3 3" xfId="14701" xr:uid="{00000000-0005-0000-0000-0000B11B0000}"/>
    <cellStyle name="Currency 19 4" xfId="6443" xr:uid="{00000000-0005-0000-0000-0000B21B0000}"/>
    <cellStyle name="Currency 19 4 2" xfId="17340" xr:uid="{00000000-0005-0000-0000-0000B31B0000}"/>
    <cellStyle name="Currency 19 5" xfId="12421" xr:uid="{00000000-0005-0000-0000-0000B41B0000}"/>
    <cellStyle name="Currency 2" xfId="5" xr:uid="{00000000-0005-0000-0000-0000B51B0000}"/>
    <cellStyle name="Currency 2 10" xfId="2614" xr:uid="{00000000-0005-0000-0000-0000B61B0000}"/>
    <cellStyle name="Currency 2 10 2" xfId="7565" xr:uid="{00000000-0005-0000-0000-0000B71B0000}"/>
    <cellStyle name="Currency 2 10 2 2" xfId="18462" xr:uid="{00000000-0005-0000-0000-0000B81B0000}"/>
    <cellStyle name="Currency 2 10 3" xfId="13511" xr:uid="{00000000-0005-0000-0000-0000B91B0000}"/>
    <cellStyle name="Currency 2 11" xfId="5253" xr:uid="{00000000-0005-0000-0000-0000BA1B0000}"/>
    <cellStyle name="Currency 2 11 2" xfId="16150" xr:uid="{00000000-0005-0000-0000-0000BB1B0000}"/>
    <cellStyle name="Currency 2 12" xfId="11202" xr:uid="{00000000-0005-0000-0000-0000BC1B0000}"/>
    <cellStyle name="Currency 2 2" xfId="198" xr:uid="{00000000-0005-0000-0000-0000BD1B0000}"/>
    <cellStyle name="Currency 2 3" xfId="367" xr:uid="{00000000-0005-0000-0000-0000BE1B0000}"/>
    <cellStyle name="Currency 2 3 2" xfId="497" xr:uid="{00000000-0005-0000-0000-0000BF1B0000}"/>
    <cellStyle name="Currency 2 3 2 2" xfId="762" xr:uid="{00000000-0005-0000-0000-0000C01B0000}"/>
    <cellStyle name="Currency 2 3 2 2 2" xfId="1294" xr:uid="{00000000-0005-0000-0000-0000C11B0000}"/>
    <cellStyle name="Currency 2 3 2 2 2 2" xfId="2451" xr:uid="{00000000-0005-0000-0000-0000C21B0000}"/>
    <cellStyle name="Currency 2 3 2 2 2 2 2" xfId="4763" xr:uid="{00000000-0005-0000-0000-0000C31B0000}"/>
    <cellStyle name="Currency 2 3 2 2 2 2 2 2" xfId="9714" xr:uid="{00000000-0005-0000-0000-0000C41B0000}"/>
    <cellStyle name="Currency 2 3 2 2 2 2 2 2 2" xfId="20611" xr:uid="{00000000-0005-0000-0000-0000C51B0000}"/>
    <cellStyle name="Currency 2 3 2 2 2 2 2 3" xfId="15660" xr:uid="{00000000-0005-0000-0000-0000C61B0000}"/>
    <cellStyle name="Currency 2 3 2 2 2 2 3" xfId="7402" xr:uid="{00000000-0005-0000-0000-0000C71B0000}"/>
    <cellStyle name="Currency 2 3 2 2 2 2 3 2" xfId="18299" xr:uid="{00000000-0005-0000-0000-0000C81B0000}"/>
    <cellStyle name="Currency 2 3 2 2 2 2 4" xfId="13362" xr:uid="{00000000-0005-0000-0000-0000C91B0000}"/>
    <cellStyle name="Currency 2 3 2 2 2 3" xfId="3618" xr:uid="{00000000-0005-0000-0000-0000CA1B0000}"/>
    <cellStyle name="Currency 2 3 2 2 2 3 2" xfId="8569" xr:uid="{00000000-0005-0000-0000-0000CB1B0000}"/>
    <cellStyle name="Currency 2 3 2 2 2 3 2 2" xfId="19466" xr:uid="{00000000-0005-0000-0000-0000CC1B0000}"/>
    <cellStyle name="Currency 2 3 2 2 2 3 3" xfId="14515" xr:uid="{00000000-0005-0000-0000-0000CD1B0000}"/>
    <cellStyle name="Currency 2 3 2 2 2 4" xfId="6257" xr:uid="{00000000-0005-0000-0000-0000CE1B0000}"/>
    <cellStyle name="Currency 2 3 2 2 2 4 2" xfId="17154" xr:uid="{00000000-0005-0000-0000-0000CF1B0000}"/>
    <cellStyle name="Currency 2 3 2 2 2 5" xfId="12244" xr:uid="{00000000-0005-0000-0000-0000D01B0000}"/>
    <cellStyle name="Currency 2 3 2 2 3" xfId="1920" xr:uid="{00000000-0005-0000-0000-0000D11B0000}"/>
    <cellStyle name="Currency 2 3 2 2 3 2" xfId="4232" xr:uid="{00000000-0005-0000-0000-0000D21B0000}"/>
    <cellStyle name="Currency 2 3 2 2 3 2 2" xfId="9183" xr:uid="{00000000-0005-0000-0000-0000D31B0000}"/>
    <cellStyle name="Currency 2 3 2 2 3 2 2 2" xfId="20080" xr:uid="{00000000-0005-0000-0000-0000D41B0000}"/>
    <cellStyle name="Currency 2 3 2 2 3 2 3" xfId="15129" xr:uid="{00000000-0005-0000-0000-0000D51B0000}"/>
    <cellStyle name="Currency 2 3 2 2 3 3" xfId="6871" xr:uid="{00000000-0005-0000-0000-0000D61B0000}"/>
    <cellStyle name="Currency 2 3 2 2 3 3 2" xfId="17768" xr:uid="{00000000-0005-0000-0000-0000D71B0000}"/>
    <cellStyle name="Currency 2 3 2 2 3 4" xfId="12844" xr:uid="{00000000-0005-0000-0000-0000D81B0000}"/>
    <cellStyle name="Currency 2 3 2 2 4" xfId="3086" xr:uid="{00000000-0005-0000-0000-0000D91B0000}"/>
    <cellStyle name="Currency 2 3 2 2 4 2" xfId="8037" xr:uid="{00000000-0005-0000-0000-0000DA1B0000}"/>
    <cellStyle name="Currency 2 3 2 2 4 2 2" xfId="18934" xr:uid="{00000000-0005-0000-0000-0000DB1B0000}"/>
    <cellStyle name="Currency 2 3 2 2 4 3" xfId="13983" xr:uid="{00000000-0005-0000-0000-0000DC1B0000}"/>
    <cellStyle name="Currency 2 3 2 2 5" xfId="5725" xr:uid="{00000000-0005-0000-0000-0000DD1B0000}"/>
    <cellStyle name="Currency 2 3 2 2 5 2" xfId="16622" xr:uid="{00000000-0005-0000-0000-0000DE1B0000}"/>
    <cellStyle name="Currency 2 3 2 2 6" xfId="11723" xr:uid="{00000000-0005-0000-0000-0000DF1B0000}"/>
    <cellStyle name="Currency 2 3 2 3" xfId="1029" xr:uid="{00000000-0005-0000-0000-0000E01B0000}"/>
    <cellStyle name="Currency 2 3 2 3 2" xfId="2186" xr:uid="{00000000-0005-0000-0000-0000E11B0000}"/>
    <cellStyle name="Currency 2 3 2 3 2 2" xfId="4498" xr:uid="{00000000-0005-0000-0000-0000E21B0000}"/>
    <cellStyle name="Currency 2 3 2 3 2 2 2" xfId="9449" xr:uid="{00000000-0005-0000-0000-0000E31B0000}"/>
    <cellStyle name="Currency 2 3 2 3 2 2 2 2" xfId="20346" xr:uid="{00000000-0005-0000-0000-0000E41B0000}"/>
    <cellStyle name="Currency 2 3 2 3 2 2 3" xfId="15395" xr:uid="{00000000-0005-0000-0000-0000E51B0000}"/>
    <cellStyle name="Currency 2 3 2 3 2 3" xfId="7137" xr:uid="{00000000-0005-0000-0000-0000E61B0000}"/>
    <cellStyle name="Currency 2 3 2 3 2 3 2" xfId="18034" xr:uid="{00000000-0005-0000-0000-0000E71B0000}"/>
    <cellStyle name="Currency 2 3 2 3 2 4" xfId="13103" xr:uid="{00000000-0005-0000-0000-0000E81B0000}"/>
    <cellStyle name="Currency 2 3 2 3 3" xfId="3353" xr:uid="{00000000-0005-0000-0000-0000E91B0000}"/>
    <cellStyle name="Currency 2 3 2 3 3 2" xfId="8304" xr:uid="{00000000-0005-0000-0000-0000EA1B0000}"/>
    <cellStyle name="Currency 2 3 2 3 3 2 2" xfId="19201" xr:uid="{00000000-0005-0000-0000-0000EB1B0000}"/>
    <cellStyle name="Currency 2 3 2 3 3 3" xfId="14250" xr:uid="{00000000-0005-0000-0000-0000EC1B0000}"/>
    <cellStyle name="Currency 2 3 2 3 4" xfId="5992" xr:uid="{00000000-0005-0000-0000-0000ED1B0000}"/>
    <cellStyle name="Currency 2 3 2 3 4 2" xfId="16889" xr:uid="{00000000-0005-0000-0000-0000EE1B0000}"/>
    <cellStyle name="Currency 2 3 2 3 5" xfId="11985" xr:uid="{00000000-0005-0000-0000-0000EF1B0000}"/>
    <cellStyle name="Currency 2 3 2 4" xfId="1687" xr:uid="{00000000-0005-0000-0000-0000F01B0000}"/>
    <cellStyle name="Currency 2 3 2 4 2" xfId="3999" xr:uid="{00000000-0005-0000-0000-0000F11B0000}"/>
    <cellStyle name="Currency 2 3 2 4 2 2" xfId="8950" xr:uid="{00000000-0005-0000-0000-0000F21B0000}"/>
    <cellStyle name="Currency 2 3 2 4 2 2 2" xfId="19847" xr:uid="{00000000-0005-0000-0000-0000F31B0000}"/>
    <cellStyle name="Currency 2 3 2 4 2 3" xfId="14896" xr:uid="{00000000-0005-0000-0000-0000F41B0000}"/>
    <cellStyle name="Currency 2 3 2 4 3" xfId="6638" xr:uid="{00000000-0005-0000-0000-0000F51B0000}"/>
    <cellStyle name="Currency 2 3 2 4 3 2" xfId="17535" xr:uid="{00000000-0005-0000-0000-0000F61B0000}"/>
    <cellStyle name="Currency 2 3 2 4 4" xfId="12618" xr:uid="{00000000-0005-0000-0000-0000F71B0000}"/>
    <cellStyle name="Currency 2 3 2 5" xfId="2821" xr:uid="{00000000-0005-0000-0000-0000F81B0000}"/>
    <cellStyle name="Currency 2 3 2 5 2" xfId="7772" xr:uid="{00000000-0005-0000-0000-0000F91B0000}"/>
    <cellStyle name="Currency 2 3 2 5 2 2" xfId="18669" xr:uid="{00000000-0005-0000-0000-0000FA1B0000}"/>
    <cellStyle name="Currency 2 3 2 5 3" xfId="13718" xr:uid="{00000000-0005-0000-0000-0000FB1B0000}"/>
    <cellStyle name="Currency 2 3 2 6" xfId="5460" xr:uid="{00000000-0005-0000-0000-0000FC1B0000}"/>
    <cellStyle name="Currency 2 3 2 6 2" xfId="16357" xr:uid="{00000000-0005-0000-0000-0000FD1B0000}"/>
    <cellStyle name="Currency 2 3 2 7" xfId="11462" xr:uid="{00000000-0005-0000-0000-0000FE1B0000}"/>
    <cellStyle name="Currency 2 3 3" xfId="633" xr:uid="{00000000-0005-0000-0000-0000FF1B0000}"/>
    <cellStyle name="Currency 2 3 3 2" xfId="1165" xr:uid="{00000000-0005-0000-0000-0000001C0000}"/>
    <cellStyle name="Currency 2 3 3 2 2" xfId="2322" xr:uid="{00000000-0005-0000-0000-0000011C0000}"/>
    <cellStyle name="Currency 2 3 3 2 2 2" xfId="4634" xr:uid="{00000000-0005-0000-0000-0000021C0000}"/>
    <cellStyle name="Currency 2 3 3 2 2 2 2" xfId="9585" xr:uid="{00000000-0005-0000-0000-0000031C0000}"/>
    <cellStyle name="Currency 2 3 3 2 2 2 2 2" xfId="20482" xr:uid="{00000000-0005-0000-0000-0000041C0000}"/>
    <cellStyle name="Currency 2 3 3 2 2 2 3" xfId="15531" xr:uid="{00000000-0005-0000-0000-0000051C0000}"/>
    <cellStyle name="Currency 2 3 3 2 2 3" xfId="7273" xr:uid="{00000000-0005-0000-0000-0000061C0000}"/>
    <cellStyle name="Currency 2 3 3 2 2 3 2" xfId="18170" xr:uid="{00000000-0005-0000-0000-0000071C0000}"/>
    <cellStyle name="Currency 2 3 3 2 2 4" xfId="13234" xr:uid="{00000000-0005-0000-0000-0000081C0000}"/>
    <cellStyle name="Currency 2 3 3 2 3" xfId="3489" xr:uid="{00000000-0005-0000-0000-0000091C0000}"/>
    <cellStyle name="Currency 2 3 3 2 3 2" xfId="8440" xr:uid="{00000000-0005-0000-0000-00000A1C0000}"/>
    <cellStyle name="Currency 2 3 3 2 3 2 2" xfId="19337" xr:uid="{00000000-0005-0000-0000-00000B1C0000}"/>
    <cellStyle name="Currency 2 3 3 2 3 3" xfId="14386" xr:uid="{00000000-0005-0000-0000-00000C1C0000}"/>
    <cellStyle name="Currency 2 3 3 2 4" xfId="6128" xr:uid="{00000000-0005-0000-0000-00000D1C0000}"/>
    <cellStyle name="Currency 2 3 3 2 4 2" xfId="17025" xr:uid="{00000000-0005-0000-0000-00000E1C0000}"/>
    <cellStyle name="Currency 2 3 3 2 5" xfId="12116" xr:uid="{00000000-0005-0000-0000-00000F1C0000}"/>
    <cellStyle name="Currency 2 3 3 3" xfId="1806" xr:uid="{00000000-0005-0000-0000-0000101C0000}"/>
    <cellStyle name="Currency 2 3 3 3 2" xfId="4118" xr:uid="{00000000-0005-0000-0000-0000111C0000}"/>
    <cellStyle name="Currency 2 3 3 3 2 2" xfId="9069" xr:uid="{00000000-0005-0000-0000-0000121C0000}"/>
    <cellStyle name="Currency 2 3 3 3 2 2 2" xfId="19966" xr:uid="{00000000-0005-0000-0000-0000131C0000}"/>
    <cellStyle name="Currency 2 3 3 3 2 3" xfId="15015" xr:uid="{00000000-0005-0000-0000-0000141C0000}"/>
    <cellStyle name="Currency 2 3 3 3 3" xfId="6757" xr:uid="{00000000-0005-0000-0000-0000151C0000}"/>
    <cellStyle name="Currency 2 3 3 3 3 2" xfId="17654" xr:uid="{00000000-0005-0000-0000-0000161C0000}"/>
    <cellStyle name="Currency 2 3 3 3 4" xfId="12731" xr:uid="{00000000-0005-0000-0000-0000171C0000}"/>
    <cellStyle name="Currency 2 3 3 4" xfId="2957" xr:uid="{00000000-0005-0000-0000-0000181C0000}"/>
    <cellStyle name="Currency 2 3 3 4 2" xfId="7908" xr:uid="{00000000-0005-0000-0000-0000191C0000}"/>
    <cellStyle name="Currency 2 3 3 4 2 2" xfId="18805" xr:uid="{00000000-0005-0000-0000-00001A1C0000}"/>
    <cellStyle name="Currency 2 3 3 4 3" xfId="13854" xr:uid="{00000000-0005-0000-0000-00001B1C0000}"/>
    <cellStyle name="Currency 2 3 3 5" xfId="5596" xr:uid="{00000000-0005-0000-0000-00001C1C0000}"/>
    <cellStyle name="Currency 2 3 3 5 2" xfId="16493" xr:uid="{00000000-0005-0000-0000-00001D1C0000}"/>
    <cellStyle name="Currency 2 3 3 6" xfId="11595" xr:uid="{00000000-0005-0000-0000-00001E1C0000}"/>
    <cellStyle name="Currency 2 3 4" xfId="900" xr:uid="{00000000-0005-0000-0000-00001F1C0000}"/>
    <cellStyle name="Currency 2 3 4 2" xfId="2057" xr:uid="{00000000-0005-0000-0000-0000201C0000}"/>
    <cellStyle name="Currency 2 3 4 2 2" xfId="4369" xr:uid="{00000000-0005-0000-0000-0000211C0000}"/>
    <cellStyle name="Currency 2 3 4 2 2 2" xfId="9320" xr:uid="{00000000-0005-0000-0000-0000221C0000}"/>
    <cellStyle name="Currency 2 3 4 2 2 2 2" xfId="20217" xr:uid="{00000000-0005-0000-0000-0000231C0000}"/>
    <cellStyle name="Currency 2 3 4 2 2 3" xfId="15266" xr:uid="{00000000-0005-0000-0000-0000241C0000}"/>
    <cellStyle name="Currency 2 3 4 2 3" xfId="7008" xr:uid="{00000000-0005-0000-0000-0000251C0000}"/>
    <cellStyle name="Currency 2 3 4 2 3 2" xfId="17905" xr:uid="{00000000-0005-0000-0000-0000261C0000}"/>
    <cellStyle name="Currency 2 3 4 2 4" xfId="12975" xr:uid="{00000000-0005-0000-0000-0000271C0000}"/>
    <cellStyle name="Currency 2 3 4 3" xfId="3224" xr:uid="{00000000-0005-0000-0000-0000281C0000}"/>
    <cellStyle name="Currency 2 3 4 3 2" xfId="8175" xr:uid="{00000000-0005-0000-0000-0000291C0000}"/>
    <cellStyle name="Currency 2 3 4 3 2 2" xfId="19072" xr:uid="{00000000-0005-0000-0000-00002A1C0000}"/>
    <cellStyle name="Currency 2 3 4 3 3" xfId="14121" xr:uid="{00000000-0005-0000-0000-00002B1C0000}"/>
    <cellStyle name="Currency 2 3 4 4" xfId="5863" xr:uid="{00000000-0005-0000-0000-00002C1C0000}"/>
    <cellStyle name="Currency 2 3 4 4 2" xfId="16760" xr:uid="{00000000-0005-0000-0000-00002D1C0000}"/>
    <cellStyle name="Currency 2 3 4 5" xfId="11857" xr:uid="{00000000-0005-0000-0000-00002E1C0000}"/>
    <cellStyle name="Currency 2 3 5" xfId="1573" xr:uid="{00000000-0005-0000-0000-00002F1C0000}"/>
    <cellStyle name="Currency 2 3 5 2" xfId="3885" xr:uid="{00000000-0005-0000-0000-0000301C0000}"/>
    <cellStyle name="Currency 2 3 5 2 2" xfId="8836" xr:uid="{00000000-0005-0000-0000-0000311C0000}"/>
    <cellStyle name="Currency 2 3 5 2 2 2" xfId="19733" xr:uid="{00000000-0005-0000-0000-0000321C0000}"/>
    <cellStyle name="Currency 2 3 5 2 3" xfId="14782" xr:uid="{00000000-0005-0000-0000-0000331C0000}"/>
    <cellStyle name="Currency 2 3 5 3" xfId="6524" xr:uid="{00000000-0005-0000-0000-0000341C0000}"/>
    <cellStyle name="Currency 2 3 5 3 2" xfId="17421" xr:uid="{00000000-0005-0000-0000-0000351C0000}"/>
    <cellStyle name="Currency 2 3 5 4" xfId="12505" xr:uid="{00000000-0005-0000-0000-0000361C0000}"/>
    <cellStyle name="Currency 2 3 6" xfId="2692" xr:uid="{00000000-0005-0000-0000-0000371C0000}"/>
    <cellStyle name="Currency 2 3 6 2" xfId="7643" xr:uid="{00000000-0005-0000-0000-0000381C0000}"/>
    <cellStyle name="Currency 2 3 6 2 2" xfId="18540" xr:uid="{00000000-0005-0000-0000-0000391C0000}"/>
    <cellStyle name="Currency 2 3 6 3" xfId="13589" xr:uid="{00000000-0005-0000-0000-00003A1C0000}"/>
    <cellStyle name="Currency 2 3 7" xfId="5331" xr:uid="{00000000-0005-0000-0000-00003B1C0000}"/>
    <cellStyle name="Currency 2 3 7 2" xfId="16228" xr:uid="{00000000-0005-0000-0000-00003C1C0000}"/>
    <cellStyle name="Currency 2 3 8" xfId="11334" xr:uid="{00000000-0005-0000-0000-00003D1C0000}"/>
    <cellStyle name="Currency 2 4" xfId="429" xr:uid="{00000000-0005-0000-0000-00003E1C0000}"/>
    <cellStyle name="Currency 2 4 2" xfId="694" xr:uid="{00000000-0005-0000-0000-00003F1C0000}"/>
    <cellStyle name="Currency 2 4 2 2" xfId="1226" xr:uid="{00000000-0005-0000-0000-0000401C0000}"/>
    <cellStyle name="Currency 2 4 2 2 2" xfId="2383" xr:uid="{00000000-0005-0000-0000-0000411C0000}"/>
    <cellStyle name="Currency 2 4 2 2 2 2" xfId="4695" xr:uid="{00000000-0005-0000-0000-0000421C0000}"/>
    <cellStyle name="Currency 2 4 2 2 2 2 2" xfId="9646" xr:uid="{00000000-0005-0000-0000-0000431C0000}"/>
    <cellStyle name="Currency 2 4 2 2 2 2 2 2" xfId="20543" xr:uid="{00000000-0005-0000-0000-0000441C0000}"/>
    <cellStyle name="Currency 2 4 2 2 2 2 3" xfId="15592" xr:uid="{00000000-0005-0000-0000-0000451C0000}"/>
    <cellStyle name="Currency 2 4 2 2 2 3" xfId="7334" xr:uid="{00000000-0005-0000-0000-0000461C0000}"/>
    <cellStyle name="Currency 2 4 2 2 2 3 2" xfId="18231" xr:uid="{00000000-0005-0000-0000-0000471C0000}"/>
    <cellStyle name="Currency 2 4 2 2 2 4" xfId="13295" xr:uid="{00000000-0005-0000-0000-0000481C0000}"/>
    <cellStyle name="Currency 2 4 2 2 3" xfId="3550" xr:uid="{00000000-0005-0000-0000-0000491C0000}"/>
    <cellStyle name="Currency 2 4 2 2 3 2" xfId="8501" xr:uid="{00000000-0005-0000-0000-00004A1C0000}"/>
    <cellStyle name="Currency 2 4 2 2 3 2 2" xfId="19398" xr:uid="{00000000-0005-0000-0000-00004B1C0000}"/>
    <cellStyle name="Currency 2 4 2 2 3 3" xfId="14447" xr:uid="{00000000-0005-0000-0000-00004C1C0000}"/>
    <cellStyle name="Currency 2 4 2 2 4" xfId="6189" xr:uid="{00000000-0005-0000-0000-00004D1C0000}"/>
    <cellStyle name="Currency 2 4 2 2 4 2" xfId="17086" xr:uid="{00000000-0005-0000-0000-00004E1C0000}"/>
    <cellStyle name="Currency 2 4 2 2 5" xfId="12177" xr:uid="{00000000-0005-0000-0000-00004F1C0000}"/>
    <cellStyle name="Currency 2 4 2 3" xfId="1867" xr:uid="{00000000-0005-0000-0000-0000501C0000}"/>
    <cellStyle name="Currency 2 4 2 3 2" xfId="4179" xr:uid="{00000000-0005-0000-0000-0000511C0000}"/>
    <cellStyle name="Currency 2 4 2 3 2 2" xfId="9130" xr:uid="{00000000-0005-0000-0000-0000521C0000}"/>
    <cellStyle name="Currency 2 4 2 3 2 2 2" xfId="20027" xr:uid="{00000000-0005-0000-0000-0000531C0000}"/>
    <cellStyle name="Currency 2 4 2 3 2 3" xfId="15076" xr:uid="{00000000-0005-0000-0000-0000541C0000}"/>
    <cellStyle name="Currency 2 4 2 3 3" xfId="6818" xr:uid="{00000000-0005-0000-0000-0000551C0000}"/>
    <cellStyle name="Currency 2 4 2 3 3 2" xfId="17715" xr:uid="{00000000-0005-0000-0000-0000561C0000}"/>
    <cellStyle name="Currency 2 4 2 3 4" xfId="12792" xr:uid="{00000000-0005-0000-0000-0000571C0000}"/>
    <cellStyle name="Currency 2 4 2 4" xfId="3018" xr:uid="{00000000-0005-0000-0000-0000581C0000}"/>
    <cellStyle name="Currency 2 4 2 4 2" xfId="7969" xr:uid="{00000000-0005-0000-0000-0000591C0000}"/>
    <cellStyle name="Currency 2 4 2 4 2 2" xfId="18866" xr:uid="{00000000-0005-0000-0000-00005A1C0000}"/>
    <cellStyle name="Currency 2 4 2 4 3" xfId="13915" xr:uid="{00000000-0005-0000-0000-00005B1C0000}"/>
    <cellStyle name="Currency 2 4 2 5" xfId="5657" xr:uid="{00000000-0005-0000-0000-00005C1C0000}"/>
    <cellStyle name="Currency 2 4 2 5 2" xfId="16554" xr:uid="{00000000-0005-0000-0000-00005D1C0000}"/>
    <cellStyle name="Currency 2 4 2 6" xfId="11656" xr:uid="{00000000-0005-0000-0000-00005E1C0000}"/>
    <cellStyle name="Currency 2 4 3" xfId="961" xr:uid="{00000000-0005-0000-0000-00005F1C0000}"/>
    <cellStyle name="Currency 2 4 3 2" xfId="2118" xr:uid="{00000000-0005-0000-0000-0000601C0000}"/>
    <cellStyle name="Currency 2 4 3 2 2" xfId="4430" xr:uid="{00000000-0005-0000-0000-0000611C0000}"/>
    <cellStyle name="Currency 2 4 3 2 2 2" xfId="9381" xr:uid="{00000000-0005-0000-0000-0000621C0000}"/>
    <cellStyle name="Currency 2 4 3 2 2 2 2" xfId="20278" xr:uid="{00000000-0005-0000-0000-0000631C0000}"/>
    <cellStyle name="Currency 2 4 3 2 2 3" xfId="15327" xr:uid="{00000000-0005-0000-0000-0000641C0000}"/>
    <cellStyle name="Currency 2 4 3 2 3" xfId="7069" xr:uid="{00000000-0005-0000-0000-0000651C0000}"/>
    <cellStyle name="Currency 2 4 3 2 3 2" xfId="17966" xr:uid="{00000000-0005-0000-0000-0000661C0000}"/>
    <cellStyle name="Currency 2 4 3 2 4" xfId="13036" xr:uid="{00000000-0005-0000-0000-0000671C0000}"/>
    <cellStyle name="Currency 2 4 3 3" xfId="3285" xr:uid="{00000000-0005-0000-0000-0000681C0000}"/>
    <cellStyle name="Currency 2 4 3 3 2" xfId="8236" xr:uid="{00000000-0005-0000-0000-0000691C0000}"/>
    <cellStyle name="Currency 2 4 3 3 2 2" xfId="19133" xr:uid="{00000000-0005-0000-0000-00006A1C0000}"/>
    <cellStyle name="Currency 2 4 3 3 3" xfId="14182" xr:uid="{00000000-0005-0000-0000-00006B1C0000}"/>
    <cellStyle name="Currency 2 4 3 4" xfId="5924" xr:uid="{00000000-0005-0000-0000-00006C1C0000}"/>
    <cellStyle name="Currency 2 4 3 4 2" xfId="16821" xr:uid="{00000000-0005-0000-0000-00006D1C0000}"/>
    <cellStyle name="Currency 2 4 3 5" xfId="11918" xr:uid="{00000000-0005-0000-0000-00006E1C0000}"/>
    <cellStyle name="Currency 2 4 4" xfId="1634" xr:uid="{00000000-0005-0000-0000-00006F1C0000}"/>
    <cellStyle name="Currency 2 4 4 2" xfId="3946" xr:uid="{00000000-0005-0000-0000-0000701C0000}"/>
    <cellStyle name="Currency 2 4 4 2 2" xfId="8897" xr:uid="{00000000-0005-0000-0000-0000711C0000}"/>
    <cellStyle name="Currency 2 4 4 2 2 2" xfId="19794" xr:uid="{00000000-0005-0000-0000-0000721C0000}"/>
    <cellStyle name="Currency 2 4 4 2 3" xfId="14843" xr:uid="{00000000-0005-0000-0000-0000731C0000}"/>
    <cellStyle name="Currency 2 4 4 3" xfId="6585" xr:uid="{00000000-0005-0000-0000-0000741C0000}"/>
    <cellStyle name="Currency 2 4 4 3 2" xfId="17482" xr:uid="{00000000-0005-0000-0000-0000751C0000}"/>
    <cellStyle name="Currency 2 4 4 4" xfId="12566" xr:uid="{00000000-0005-0000-0000-0000761C0000}"/>
    <cellStyle name="Currency 2 4 5" xfId="2753" xr:uid="{00000000-0005-0000-0000-0000771C0000}"/>
    <cellStyle name="Currency 2 4 5 2" xfId="7704" xr:uid="{00000000-0005-0000-0000-0000781C0000}"/>
    <cellStyle name="Currency 2 4 5 2 2" xfId="18601" xr:uid="{00000000-0005-0000-0000-0000791C0000}"/>
    <cellStyle name="Currency 2 4 5 3" xfId="13650" xr:uid="{00000000-0005-0000-0000-00007A1C0000}"/>
    <cellStyle name="Currency 2 4 6" xfId="5392" xr:uid="{00000000-0005-0000-0000-00007B1C0000}"/>
    <cellStyle name="Currency 2 4 6 2" xfId="16289" xr:uid="{00000000-0005-0000-0000-00007C1C0000}"/>
    <cellStyle name="Currency 2 4 7" xfId="11395" xr:uid="{00000000-0005-0000-0000-00007D1C0000}"/>
    <cellStyle name="Currency 2 5" xfId="562" xr:uid="{00000000-0005-0000-0000-00007E1C0000}"/>
    <cellStyle name="Currency 2 5 2" xfId="1094" xr:uid="{00000000-0005-0000-0000-00007F1C0000}"/>
    <cellStyle name="Currency 2 5 2 2" xfId="2251" xr:uid="{00000000-0005-0000-0000-0000801C0000}"/>
    <cellStyle name="Currency 2 5 2 2 2" xfId="4563" xr:uid="{00000000-0005-0000-0000-0000811C0000}"/>
    <cellStyle name="Currency 2 5 2 2 2 2" xfId="9514" xr:uid="{00000000-0005-0000-0000-0000821C0000}"/>
    <cellStyle name="Currency 2 5 2 2 2 2 2" xfId="20411" xr:uid="{00000000-0005-0000-0000-0000831C0000}"/>
    <cellStyle name="Currency 2 5 2 2 2 3" xfId="15460" xr:uid="{00000000-0005-0000-0000-0000841C0000}"/>
    <cellStyle name="Currency 2 5 2 2 3" xfId="7202" xr:uid="{00000000-0005-0000-0000-0000851C0000}"/>
    <cellStyle name="Currency 2 5 2 2 3 2" xfId="18099" xr:uid="{00000000-0005-0000-0000-0000861C0000}"/>
    <cellStyle name="Currency 2 5 2 2 4" xfId="13166" xr:uid="{00000000-0005-0000-0000-0000871C0000}"/>
    <cellStyle name="Currency 2 5 2 3" xfId="3418" xr:uid="{00000000-0005-0000-0000-0000881C0000}"/>
    <cellStyle name="Currency 2 5 2 3 2" xfId="8369" xr:uid="{00000000-0005-0000-0000-0000891C0000}"/>
    <cellStyle name="Currency 2 5 2 3 2 2" xfId="19266" xr:uid="{00000000-0005-0000-0000-00008A1C0000}"/>
    <cellStyle name="Currency 2 5 2 3 3" xfId="14315" xr:uid="{00000000-0005-0000-0000-00008B1C0000}"/>
    <cellStyle name="Currency 2 5 2 4" xfId="6057" xr:uid="{00000000-0005-0000-0000-00008C1C0000}"/>
    <cellStyle name="Currency 2 5 2 4 2" xfId="16954" xr:uid="{00000000-0005-0000-0000-00008D1C0000}"/>
    <cellStyle name="Currency 2 5 2 5" xfId="12048" xr:uid="{00000000-0005-0000-0000-00008E1C0000}"/>
    <cellStyle name="Currency 2 5 3" xfId="1751" xr:uid="{00000000-0005-0000-0000-00008F1C0000}"/>
    <cellStyle name="Currency 2 5 3 2" xfId="4063" xr:uid="{00000000-0005-0000-0000-0000901C0000}"/>
    <cellStyle name="Currency 2 5 3 2 2" xfId="9014" xr:uid="{00000000-0005-0000-0000-0000911C0000}"/>
    <cellStyle name="Currency 2 5 3 2 2 2" xfId="19911" xr:uid="{00000000-0005-0000-0000-0000921C0000}"/>
    <cellStyle name="Currency 2 5 3 2 3" xfId="14960" xr:uid="{00000000-0005-0000-0000-0000931C0000}"/>
    <cellStyle name="Currency 2 5 3 3" xfId="6702" xr:uid="{00000000-0005-0000-0000-0000941C0000}"/>
    <cellStyle name="Currency 2 5 3 3 2" xfId="17599" xr:uid="{00000000-0005-0000-0000-0000951C0000}"/>
    <cellStyle name="Currency 2 5 3 4" xfId="12680" xr:uid="{00000000-0005-0000-0000-0000961C0000}"/>
    <cellStyle name="Currency 2 5 4" xfId="2886" xr:uid="{00000000-0005-0000-0000-0000971C0000}"/>
    <cellStyle name="Currency 2 5 4 2" xfId="7837" xr:uid="{00000000-0005-0000-0000-0000981C0000}"/>
    <cellStyle name="Currency 2 5 4 2 2" xfId="18734" xr:uid="{00000000-0005-0000-0000-0000991C0000}"/>
    <cellStyle name="Currency 2 5 4 3" xfId="13783" xr:uid="{00000000-0005-0000-0000-00009A1C0000}"/>
    <cellStyle name="Currency 2 5 5" xfId="5525" xr:uid="{00000000-0005-0000-0000-00009B1C0000}"/>
    <cellStyle name="Currency 2 5 5 2" xfId="16422" xr:uid="{00000000-0005-0000-0000-00009C1C0000}"/>
    <cellStyle name="Currency 2 5 6" xfId="11527" xr:uid="{00000000-0005-0000-0000-00009D1C0000}"/>
    <cellStyle name="Currency 2 6" xfId="829" xr:uid="{00000000-0005-0000-0000-00009E1C0000}"/>
    <cellStyle name="Currency 2 6 2" xfId="1986" xr:uid="{00000000-0005-0000-0000-00009F1C0000}"/>
    <cellStyle name="Currency 2 6 2 2" xfId="4298" xr:uid="{00000000-0005-0000-0000-0000A01C0000}"/>
    <cellStyle name="Currency 2 6 2 2 2" xfId="9249" xr:uid="{00000000-0005-0000-0000-0000A11C0000}"/>
    <cellStyle name="Currency 2 6 2 2 2 2" xfId="20146" xr:uid="{00000000-0005-0000-0000-0000A21C0000}"/>
    <cellStyle name="Currency 2 6 2 2 3" xfId="15195" xr:uid="{00000000-0005-0000-0000-0000A31C0000}"/>
    <cellStyle name="Currency 2 6 2 3" xfId="6937" xr:uid="{00000000-0005-0000-0000-0000A41C0000}"/>
    <cellStyle name="Currency 2 6 2 3 2" xfId="17834" xr:uid="{00000000-0005-0000-0000-0000A51C0000}"/>
    <cellStyle name="Currency 2 6 2 4" xfId="12908" xr:uid="{00000000-0005-0000-0000-0000A61C0000}"/>
    <cellStyle name="Currency 2 6 3" xfId="3153" xr:uid="{00000000-0005-0000-0000-0000A71C0000}"/>
    <cellStyle name="Currency 2 6 3 2" xfId="8104" xr:uid="{00000000-0005-0000-0000-0000A81C0000}"/>
    <cellStyle name="Currency 2 6 3 2 2" xfId="19001" xr:uid="{00000000-0005-0000-0000-0000A91C0000}"/>
    <cellStyle name="Currency 2 6 3 3" xfId="14050" xr:uid="{00000000-0005-0000-0000-0000AA1C0000}"/>
    <cellStyle name="Currency 2 6 4" xfId="5792" xr:uid="{00000000-0005-0000-0000-0000AB1C0000}"/>
    <cellStyle name="Currency 2 6 4 2" xfId="16689" xr:uid="{00000000-0005-0000-0000-0000AC1C0000}"/>
    <cellStyle name="Currency 2 6 5" xfId="11790" xr:uid="{00000000-0005-0000-0000-0000AD1C0000}"/>
    <cellStyle name="Currency 2 7" xfId="1423" xr:uid="{00000000-0005-0000-0000-0000AE1C0000}"/>
    <cellStyle name="Currency 2 7 2" xfId="2532" xr:uid="{00000000-0005-0000-0000-0000AF1C0000}"/>
    <cellStyle name="Currency 2 7 2 2" xfId="4844" xr:uid="{00000000-0005-0000-0000-0000B01C0000}"/>
    <cellStyle name="Currency 2 7 2 2 2" xfId="9795" xr:uid="{00000000-0005-0000-0000-0000B11C0000}"/>
    <cellStyle name="Currency 2 7 2 2 2 2" xfId="20692" xr:uid="{00000000-0005-0000-0000-0000B21C0000}"/>
    <cellStyle name="Currency 2 7 2 2 3" xfId="15741" xr:uid="{00000000-0005-0000-0000-0000B31C0000}"/>
    <cellStyle name="Currency 2 7 2 3" xfId="7483" xr:uid="{00000000-0005-0000-0000-0000B41C0000}"/>
    <cellStyle name="Currency 2 7 2 3 2" xfId="18380" xr:uid="{00000000-0005-0000-0000-0000B51C0000}"/>
    <cellStyle name="Currency 2 7 2 4" xfId="13429" xr:uid="{00000000-0005-0000-0000-0000B61C0000}"/>
    <cellStyle name="Currency 2 7 3" xfId="3747" xr:uid="{00000000-0005-0000-0000-0000B71C0000}"/>
    <cellStyle name="Currency 2 7 3 2" xfId="8698" xr:uid="{00000000-0005-0000-0000-0000B81C0000}"/>
    <cellStyle name="Currency 2 7 3 2 2" xfId="19595" xr:uid="{00000000-0005-0000-0000-0000B91C0000}"/>
    <cellStyle name="Currency 2 7 3 3" xfId="14644" xr:uid="{00000000-0005-0000-0000-0000BA1C0000}"/>
    <cellStyle name="Currency 2 7 4" xfId="6386" xr:uid="{00000000-0005-0000-0000-0000BB1C0000}"/>
    <cellStyle name="Currency 2 7 4 2" xfId="17283" xr:uid="{00000000-0005-0000-0000-0000BC1C0000}"/>
    <cellStyle name="Currency 2 7 5" xfId="12361" xr:uid="{00000000-0005-0000-0000-0000BD1C0000}"/>
    <cellStyle name="Currency 2 8" xfId="1472" xr:uid="{00000000-0005-0000-0000-0000BE1C0000}"/>
    <cellStyle name="Currency 2 9" xfId="1518" xr:uid="{00000000-0005-0000-0000-0000BF1C0000}"/>
    <cellStyle name="Currency 2 9 2" xfId="3830" xr:uid="{00000000-0005-0000-0000-0000C01C0000}"/>
    <cellStyle name="Currency 2 9 2 2" xfId="8781" xr:uid="{00000000-0005-0000-0000-0000C11C0000}"/>
    <cellStyle name="Currency 2 9 2 2 2" xfId="19678" xr:uid="{00000000-0005-0000-0000-0000C21C0000}"/>
    <cellStyle name="Currency 2 9 2 3" xfId="14727" xr:uid="{00000000-0005-0000-0000-0000C31C0000}"/>
    <cellStyle name="Currency 2 9 3" xfId="6469" xr:uid="{00000000-0005-0000-0000-0000C41C0000}"/>
    <cellStyle name="Currency 2 9 3 2" xfId="17366" xr:uid="{00000000-0005-0000-0000-0000C51C0000}"/>
    <cellStyle name="Currency 2 9 4" xfId="12453" xr:uid="{00000000-0005-0000-0000-0000C61C0000}"/>
    <cellStyle name="Currency 20" xfId="1488" xr:uid="{00000000-0005-0000-0000-0000C71C0000}"/>
    <cellStyle name="Currency 20 2" xfId="2591" xr:uid="{00000000-0005-0000-0000-0000C81C0000}"/>
    <cellStyle name="Currency 20 2 2" xfId="4903" xr:uid="{00000000-0005-0000-0000-0000C91C0000}"/>
    <cellStyle name="Currency 20 2 2 2" xfId="9854" xr:uid="{00000000-0005-0000-0000-0000CA1C0000}"/>
    <cellStyle name="Currency 20 2 2 2 2" xfId="20751" xr:uid="{00000000-0005-0000-0000-0000CB1C0000}"/>
    <cellStyle name="Currency 20 2 2 3" xfId="15800" xr:uid="{00000000-0005-0000-0000-0000CC1C0000}"/>
    <cellStyle name="Currency 20 2 3" xfId="7542" xr:uid="{00000000-0005-0000-0000-0000CD1C0000}"/>
    <cellStyle name="Currency 20 2 3 2" xfId="18439" xr:uid="{00000000-0005-0000-0000-0000CE1C0000}"/>
    <cellStyle name="Currency 20 2 4" xfId="13488" xr:uid="{00000000-0005-0000-0000-0000CF1C0000}"/>
    <cellStyle name="Currency 20 3" xfId="3807" xr:uid="{00000000-0005-0000-0000-0000D01C0000}"/>
    <cellStyle name="Currency 20 3 2" xfId="8758" xr:uid="{00000000-0005-0000-0000-0000D11C0000}"/>
    <cellStyle name="Currency 20 3 2 2" xfId="19655" xr:uid="{00000000-0005-0000-0000-0000D21C0000}"/>
    <cellStyle name="Currency 20 3 3" xfId="14704" xr:uid="{00000000-0005-0000-0000-0000D31C0000}"/>
    <cellStyle name="Currency 20 4" xfId="6446" xr:uid="{00000000-0005-0000-0000-0000D41C0000}"/>
    <cellStyle name="Currency 20 4 2" xfId="17343" xr:uid="{00000000-0005-0000-0000-0000D51C0000}"/>
    <cellStyle name="Currency 20 5" xfId="12424" xr:uid="{00000000-0005-0000-0000-0000D61C0000}"/>
    <cellStyle name="Currency 21" xfId="1496" xr:uid="{00000000-0005-0000-0000-0000D71C0000}"/>
    <cellStyle name="Currency 21 2" xfId="2599" xr:uid="{00000000-0005-0000-0000-0000D81C0000}"/>
    <cellStyle name="Currency 21 2 2" xfId="4911" xr:uid="{00000000-0005-0000-0000-0000D91C0000}"/>
    <cellStyle name="Currency 21 2 2 2" xfId="9862" xr:uid="{00000000-0005-0000-0000-0000DA1C0000}"/>
    <cellStyle name="Currency 21 2 2 2 2" xfId="20759" xr:uid="{00000000-0005-0000-0000-0000DB1C0000}"/>
    <cellStyle name="Currency 21 2 2 3" xfId="15808" xr:uid="{00000000-0005-0000-0000-0000DC1C0000}"/>
    <cellStyle name="Currency 21 2 3" xfId="7550" xr:uid="{00000000-0005-0000-0000-0000DD1C0000}"/>
    <cellStyle name="Currency 21 2 3 2" xfId="18447" xr:uid="{00000000-0005-0000-0000-0000DE1C0000}"/>
    <cellStyle name="Currency 21 2 4" xfId="13496" xr:uid="{00000000-0005-0000-0000-0000DF1C0000}"/>
    <cellStyle name="Currency 21 3" xfId="3815" xr:uid="{00000000-0005-0000-0000-0000E01C0000}"/>
    <cellStyle name="Currency 21 3 2" xfId="8766" xr:uid="{00000000-0005-0000-0000-0000E11C0000}"/>
    <cellStyle name="Currency 21 3 2 2" xfId="19663" xr:uid="{00000000-0005-0000-0000-0000E21C0000}"/>
    <cellStyle name="Currency 21 3 3" xfId="14712" xr:uid="{00000000-0005-0000-0000-0000E31C0000}"/>
    <cellStyle name="Currency 21 4" xfId="6454" xr:uid="{00000000-0005-0000-0000-0000E41C0000}"/>
    <cellStyle name="Currency 21 4 2" xfId="17351" xr:uid="{00000000-0005-0000-0000-0000E51C0000}"/>
    <cellStyle name="Currency 21 5" xfId="12432" xr:uid="{00000000-0005-0000-0000-0000E61C0000}"/>
    <cellStyle name="Currency 22" xfId="1500" xr:uid="{00000000-0005-0000-0000-0000E71C0000}"/>
    <cellStyle name="Currency 22 2" xfId="2603" xr:uid="{00000000-0005-0000-0000-0000E81C0000}"/>
    <cellStyle name="Currency 22 2 2" xfId="4915" xr:uid="{00000000-0005-0000-0000-0000E91C0000}"/>
    <cellStyle name="Currency 22 2 2 2" xfId="9866" xr:uid="{00000000-0005-0000-0000-0000EA1C0000}"/>
    <cellStyle name="Currency 22 2 2 2 2" xfId="20763" xr:uid="{00000000-0005-0000-0000-0000EB1C0000}"/>
    <cellStyle name="Currency 22 2 2 3" xfId="15812" xr:uid="{00000000-0005-0000-0000-0000EC1C0000}"/>
    <cellStyle name="Currency 22 2 3" xfId="7554" xr:uid="{00000000-0005-0000-0000-0000ED1C0000}"/>
    <cellStyle name="Currency 22 2 3 2" xfId="18451" xr:uid="{00000000-0005-0000-0000-0000EE1C0000}"/>
    <cellStyle name="Currency 22 2 4" xfId="13500" xr:uid="{00000000-0005-0000-0000-0000EF1C0000}"/>
    <cellStyle name="Currency 22 3" xfId="3819" xr:uid="{00000000-0005-0000-0000-0000F01C0000}"/>
    <cellStyle name="Currency 22 3 2" xfId="8770" xr:uid="{00000000-0005-0000-0000-0000F11C0000}"/>
    <cellStyle name="Currency 22 3 2 2" xfId="19667" xr:uid="{00000000-0005-0000-0000-0000F21C0000}"/>
    <cellStyle name="Currency 22 3 3" xfId="14716" xr:uid="{00000000-0005-0000-0000-0000F31C0000}"/>
    <cellStyle name="Currency 22 4" xfId="6458" xr:uid="{00000000-0005-0000-0000-0000F41C0000}"/>
    <cellStyle name="Currency 22 4 2" xfId="17355" xr:uid="{00000000-0005-0000-0000-0000F51C0000}"/>
    <cellStyle name="Currency 22 5" xfId="12436" xr:uid="{00000000-0005-0000-0000-0000F61C0000}"/>
    <cellStyle name="Currency 23" xfId="1511" xr:uid="{00000000-0005-0000-0000-0000F71C0000}"/>
    <cellStyle name="Currency 3" xfId="199" xr:uid="{00000000-0005-0000-0000-0000F81C0000}"/>
    <cellStyle name="Currency 4" xfId="200" xr:uid="{00000000-0005-0000-0000-0000F91C0000}"/>
    <cellStyle name="Currency 5" xfId="201" xr:uid="{00000000-0005-0000-0000-0000FA1C0000}"/>
    <cellStyle name="Currency 6" xfId="202" xr:uid="{00000000-0005-0000-0000-0000FB1C0000}"/>
    <cellStyle name="Currency 6 2" xfId="384" xr:uid="{00000000-0005-0000-0000-0000FC1C0000}"/>
    <cellStyle name="Currency 6 2 2" xfId="514" xr:uid="{00000000-0005-0000-0000-0000FD1C0000}"/>
    <cellStyle name="Currency 6 2 2 2" xfId="779" xr:uid="{00000000-0005-0000-0000-0000FE1C0000}"/>
    <cellStyle name="Currency 6 2 2 2 2" xfId="1311" xr:uid="{00000000-0005-0000-0000-0000FF1C0000}"/>
    <cellStyle name="Currency 6 2 2 2 2 2" xfId="2468" xr:uid="{00000000-0005-0000-0000-0000001D0000}"/>
    <cellStyle name="Currency 6 2 2 2 2 2 2" xfId="4780" xr:uid="{00000000-0005-0000-0000-0000011D0000}"/>
    <cellStyle name="Currency 6 2 2 2 2 2 2 2" xfId="9731" xr:uid="{00000000-0005-0000-0000-0000021D0000}"/>
    <cellStyle name="Currency 6 2 2 2 2 2 2 2 2" xfId="20628" xr:uid="{00000000-0005-0000-0000-0000031D0000}"/>
    <cellStyle name="Currency 6 2 2 2 2 2 2 3" xfId="15677" xr:uid="{00000000-0005-0000-0000-0000041D0000}"/>
    <cellStyle name="Currency 6 2 2 2 2 2 3" xfId="7419" xr:uid="{00000000-0005-0000-0000-0000051D0000}"/>
    <cellStyle name="Currency 6 2 2 2 2 2 3 2" xfId="18316" xr:uid="{00000000-0005-0000-0000-0000061D0000}"/>
    <cellStyle name="Currency 6 2 2 2 2 2 4" xfId="13379" xr:uid="{00000000-0005-0000-0000-0000071D0000}"/>
    <cellStyle name="Currency 6 2 2 2 2 3" xfId="3635" xr:uid="{00000000-0005-0000-0000-0000081D0000}"/>
    <cellStyle name="Currency 6 2 2 2 2 3 2" xfId="8586" xr:uid="{00000000-0005-0000-0000-0000091D0000}"/>
    <cellStyle name="Currency 6 2 2 2 2 3 2 2" xfId="19483" xr:uid="{00000000-0005-0000-0000-00000A1D0000}"/>
    <cellStyle name="Currency 6 2 2 2 2 3 3" xfId="14532" xr:uid="{00000000-0005-0000-0000-00000B1D0000}"/>
    <cellStyle name="Currency 6 2 2 2 2 4" xfId="6274" xr:uid="{00000000-0005-0000-0000-00000C1D0000}"/>
    <cellStyle name="Currency 6 2 2 2 2 4 2" xfId="17171" xr:uid="{00000000-0005-0000-0000-00000D1D0000}"/>
    <cellStyle name="Currency 6 2 2 2 2 5" xfId="12261" xr:uid="{00000000-0005-0000-0000-00000E1D0000}"/>
    <cellStyle name="Currency 6 2 2 2 3" xfId="1937" xr:uid="{00000000-0005-0000-0000-00000F1D0000}"/>
    <cellStyle name="Currency 6 2 2 2 3 2" xfId="4249" xr:uid="{00000000-0005-0000-0000-0000101D0000}"/>
    <cellStyle name="Currency 6 2 2 2 3 2 2" xfId="9200" xr:uid="{00000000-0005-0000-0000-0000111D0000}"/>
    <cellStyle name="Currency 6 2 2 2 3 2 2 2" xfId="20097" xr:uid="{00000000-0005-0000-0000-0000121D0000}"/>
    <cellStyle name="Currency 6 2 2 2 3 2 3" xfId="15146" xr:uid="{00000000-0005-0000-0000-0000131D0000}"/>
    <cellStyle name="Currency 6 2 2 2 3 3" xfId="6888" xr:uid="{00000000-0005-0000-0000-0000141D0000}"/>
    <cellStyle name="Currency 6 2 2 2 3 3 2" xfId="17785" xr:uid="{00000000-0005-0000-0000-0000151D0000}"/>
    <cellStyle name="Currency 6 2 2 2 3 4" xfId="12861" xr:uid="{00000000-0005-0000-0000-0000161D0000}"/>
    <cellStyle name="Currency 6 2 2 2 4" xfId="3103" xr:uid="{00000000-0005-0000-0000-0000171D0000}"/>
    <cellStyle name="Currency 6 2 2 2 4 2" xfId="8054" xr:uid="{00000000-0005-0000-0000-0000181D0000}"/>
    <cellStyle name="Currency 6 2 2 2 4 2 2" xfId="18951" xr:uid="{00000000-0005-0000-0000-0000191D0000}"/>
    <cellStyle name="Currency 6 2 2 2 4 3" xfId="14000" xr:uid="{00000000-0005-0000-0000-00001A1D0000}"/>
    <cellStyle name="Currency 6 2 2 2 5" xfId="5742" xr:uid="{00000000-0005-0000-0000-00001B1D0000}"/>
    <cellStyle name="Currency 6 2 2 2 5 2" xfId="16639" xr:uid="{00000000-0005-0000-0000-00001C1D0000}"/>
    <cellStyle name="Currency 6 2 2 2 6" xfId="11740" xr:uid="{00000000-0005-0000-0000-00001D1D0000}"/>
    <cellStyle name="Currency 6 2 2 3" xfId="1046" xr:uid="{00000000-0005-0000-0000-00001E1D0000}"/>
    <cellStyle name="Currency 6 2 2 3 2" xfId="2203" xr:uid="{00000000-0005-0000-0000-00001F1D0000}"/>
    <cellStyle name="Currency 6 2 2 3 2 2" xfId="4515" xr:uid="{00000000-0005-0000-0000-0000201D0000}"/>
    <cellStyle name="Currency 6 2 2 3 2 2 2" xfId="9466" xr:uid="{00000000-0005-0000-0000-0000211D0000}"/>
    <cellStyle name="Currency 6 2 2 3 2 2 2 2" xfId="20363" xr:uid="{00000000-0005-0000-0000-0000221D0000}"/>
    <cellStyle name="Currency 6 2 2 3 2 2 3" xfId="15412" xr:uid="{00000000-0005-0000-0000-0000231D0000}"/>
    <cellStyle name="Currency 6 2 2 3 2 3" xfId="7154" xr:uid="{00000000-0005-0000-0000-0000241D0000}"/>
    <cellStyle name="Currency 6 2 2 3 2 3 2" xfId="18051" xr:uid="{00000000-0005-0000-0000-0000251D0000}"/>
    <cellStyle name="Currency 6 2 2 3 2 4" xfId="13120" xr:uid="{00000000-0005-0000-0000-0000261D0000}"/>
    <cellStyle name="Currency 6 2 2 3 3" xfId="3370" xr:uid="{00000000-0005-0000-0000-0000271D0000}"/>
    <cellStyle name="Currency 6 2 2 3 3 2" xfId="8321" xr:uid="{00000000-0005-0000-0000-0000281D0000}"/>
    <cellStyle name="Currency 6 2 2 3 3 2 2" xfId="19218" xr:uid="{00000000-0005-0000-0000-0000291D0000}"/>
    <cellStyle name="Currency 6 2 2 3 3 3" xfId="14267" xr:uid="{00000000-0005-0000-0000-00002A1D0000}"/>
    <cellStyle name="Currency 6 2 2 3 4" xfId="6009" xr:uid="{00000000-0005-0000-0000-00002B1D0000}"/>
    <cellStyle name="Currency 6 2 2 3 4 2" xfId="16906" xr:uid="{00000000-0005-0000-0000-00002C1D0000}"/>
    <cellStyle name="Currency 6 2 2 3 5" xfId="12002" xr:uid="{00000000-0005-0000-0000-00002D1D0000}"/>
    <cellStyle name="Currency 6 2 2 4" xfId="1704" xr:uid="{00000000-0005-0000-0000-00002E1D0000}"/>
    <cellStyle name="Currency 6 2 2 4 2" xfId="4016" xr:uid="{00000000-0005-0000-0000-00002F1D0000}"/>
    <cellStyle name="Currency 6 2 2 4 2 2" xfId="8967" xr:uid="{00000000-0005-0000-0000-0000301D0000}"/>
    <cellStyle name="Currency 6 2 2 4 2 2 2" xfId="19864" xr:uid="{00000000-0005-0000-0000-0000311D0000}"/>
    <cellStyle name="Currency 6 2 2 4 2 3" xfId="14913" xr:uid="{00000000-0005-0000-0000-0000321D0000}"/>
    <cellStyle name="Currency 6 2 2 4 3" xfId="6655" xr:uid="{00000000-0005-0000-0000-0000331D0000}"/>
    <cellStyle name="Currency 6 2 2 4 3 2" xfId="17552" xr:uid="{00000000-0005-0000-0000-0000341D0000}"/>
    <cellStyle name="Currency 6 2 2 4 4" xfId="12635" xr:uid="{00000000-0005-0000-0000-0000351D0000}"/>
    <cellStyle name="Currency 6 2 2 5" xfId="2838" xr:uid="{00000000-0005-0000-0000-0000361D0000}"/>
    <cellStyle name="Currency 6 2 2 5 2" xfId="7789" xr:uid="{00000000-0005-0000-0000-0000371D0000}"/>
    <cellStyle name="Currency 6 2 2 5 2 2" xfId="18686" xr:uid="{00000000-0005-0000-0000-0000381D0000}"/>
    <cellStyle name="Currency 6 2 2 5 3" xfId="13735" xr:uid="{00000000-0005-0000-0000-0000391D0000}"/>
    <cellStyle name="Currency 6 2 2 6" xfId="5477" xr:uid="{00000000-0005-0000-0000-00003A1D0000}"/>
    <cellStyle name="Currency 6 2 2 6 2" xfId="16374" xr:uid="{00000000-0005-0000-0000-00003B1D0000}"/>
    <cellStyle name="Currency 6 2 2 7" xfId="11479" xr:uid="{00000000-0005-0000-0000-00003C1D0000}"/>
    <cellStyle name="Currency 6 2 3" xfId="650" xr:uid="{00000000-0005-0000-0000-00003D1D0000}"/>
    <cellStyle name="Currency 6 2 3 2" xfId="1182" xr:uid="{00000000-0005-0000-0000-00003E1D0000}"/>
    <cellStyle name="Currency 6 2 3 2 2" xfId="2339" xr:uid="{00000000-0005-0000-0000-00003F1D0000}"/>
    <cellStyle name="Currency 6 2 3 2 2 2" xfId="4651" xr:uid="{00000000-0005-0000-0000-0000401D0000}"/>
    <cellStyle name="Currency 6 2 3 2 2 2 2" xfId="9602" xr:uid="{00000000-0005-0000-0000-0000411D0000}"/>
    <cellStyle name="Currency 6 2 3 2 2 2 2 2" xfId="20499" xr:uid="{00000000-0005-0000-0000-0000421D0000}"/>
    <cellStyle name="Currency 6 2 3 2 2 2 3" xfId="15548" xr:uid="{00000000-0005-0000-0000-0000431D0000}"/>
    <cellStyle name="Currency 6 2 3 2 2 3" xfId="7290" xr:uid="{00000000-0005-0000-0000-0000441D0000}"/>
    <cellStyle name="Currency 6 2 3 2 2 3 2" xfId="18187" xr:uid="{00000000-0005-0000-0000-0000451D0000}"/>
    <cellStyle name="Currency 6 2 3 2 2 4" xfId="13251" xr:uid="{00000000-0005-0000-0000-0000461D0000}"/>
    <cellStyle name="Currency 6 2 3 2 3" xfId="3506" xr:uid="{00000000-0005-0000-0000-0000471D0000}"/>
    <cellStyle name="Currency 6 2 3 2 3 2" xfId="8457" xr:uid="{00000000-0005-0000-0000-0000481D0000}"/>
    <cellStyle name="Currency 6 2 3 2 3 2 2" xfId="19354" xr:uid="{00000000-0005-0000-0000-0000491D0000}"/>
    <cellStyle name="Currency 6 2 3 2 3 3" xfId="14403" xr:uid="{00000000-0005-0000-0000-00004A1D0000}"/>
    <cellStyle name="Currency 6 2 3 2 4" xfId="6145" xr:uid="{00000000-0005-0000-0000-00004B1D0000}"/>
    <cellStyle name="Currency 6 2 3 2 4 2" xfId="17042" xr:uid="{00000000-0005-0000-0000-00004C1D0000}"/>
    <cellStyle name="Currency 6 2 3 2 5" xfId="12133" xr:uid="{00000000-0005-0000-0000-00004D1D0000}"/>
    <cellStyle name="Currency 6 2 3 3" xfId="1823" xr:uid="{00000000-0005-0000-0000-00004E1D0000}"/>
    <cellStyle name="Currency 6 2 3 3 2" xfId="4135" xr:uid="{00000000-0005-0000-0000-00004F1D0000}"/>
    <cellStyle name="Currency 6 2 3 3 2 2" xfId="9086" xr:uid="{00000000-0005-0000-0000-0000501D0000}"/>
    <cellStyle name="Currency 6 2 3 3 2 2 2" xfId="19983" xr:uid="{00000000-0005-0000-0000-0000511D0000}"/>
    <cellStyle name="Currency 6 2 3 3 2 3" xfId="15032" xr:uid="{00000000-0005-0000-0000-0000521D0000}"/>
    <cellStyle name="Currency 6 2 3 3 3" xfId="6774" xr:uid="{00000000-0005-0000-0000-0000531D0000}"/>
    <cellStyle name="Currency 6 2 3 3 3 2" xfId="17671" xr:uid="{00000000-0005-0000-0000-0000541D0000}"/>
    <cellStyle name="Currency 6 2 3 3 4" xfId="12748" xr:uid="{00000000-0005-0000-0000-0000551D0000}"/>
    <cellStyle name="Currency 6 2 3 4" xfId="2974" xr:uid="{00000000-0005-0000-0000-0000561D0000}"/>
    <cellStyle name="Currency 6 2 3 4 2" xfId="7925" xr:uid="{00000000-0005-0000-0000-0000571D0000}"/>
    <cellStyle name="Currency 6 2 3 4 2 2" xfId="18822" xr:uid="{00000000-0005-0000-0000-0000581D0000}"/>
    <cellStyle name="Currency 6 2 3 4 3" xfId="13871" xr:uid="{00000000-0005-0000-0000-0000591D0000}"/>
    <cellStyle name="Currency 6 2 3 5" xfId="5613" xr:uid="{00000000-0005-0000-0000-00005A1D0000}"/>
    <cellStyle name="Currency 6 2 3 5 2" xfId="16510" xr:uid="{00000000-0005-0000-0000-00005B1D0000}"/>
    <cellStyle name="Currency 6 2 3 6" xfId="11612" xr:uid="{00000000-0005-0000-0000-00005C1D0000}"/>
    <cellStyle name="Currency 6 2 4" xfId="917" xr:uid="{00000000-0005-0000-0000-00005D1D0000}"/>
    <cellStyle name="Currency 6 2 4 2" xfId="2074" xr:uid="{00000000-0005-0000-0000-00005E1D0000}"/>
    <cellStyle name="Currency 6 2 4 2 2" xfId="4386" xr:uid="{00000000-0005-0000-0000-00005F1D0000}"/>
    <cellStyle name="Currency 6 2 4 2 2 2" xfId="9337" xr:uid="{00000000-0005-0000-0000-0000601D0000}"/>
    <cellStyle name="Currency 6 2 4 2 2 2 2" xfId="20234" xr:uid="{00000000-0005-0000-0000-0000611D0000}"/>
    <cellStyle name="Currency 6 2 4 2 2 3" xfId="15283" xr:uid="{00000000-0005-0000-0000-0000621D0000}"/>
    <cellStyle name="Currency 6 2 4 2 3" xfId="7025" xr:uid="{00000000-0005-0000-0000-0000631D0000}"/>
    <cellStyle name="Currency 6 2 4 2 3 2" xfId="17922" xr:uid="{00000000-0005-0000-0000-0000641D0000}"/>
    <cellStyle name="Currency 6 2 4 2 4" xfId="12992" xr:uid="{00000000-0005-0000-0000-0000651D0000}"/>
    <cellStyle name="Currency 6 2 4 3" xfId="3241" xr:uid="{00000000-0005-0000-0000-0000661D0000}"/>
    <cellStyle name="Currency 6 2 4 3 2" xfId="8192" xr:uid="{00000000-0005-0000-0000-0000671D0000}"/>
    <cellStyle name="Currency 6 2 4 3 2 2" xfId="19089" xr:uid="{00000000-0005-0000-0000-0000681D0000}"/>
    <cellStyle name="Currency 6 2 4 3 3" xfId="14138" xr:uid="{00000000-0005-0000-0000-0000691D0000}"/>
    <cellStyle name="Currency 6 2 4 4" xfId="5880" xr:uid="{00000000-0005-0000-0000-00006A1D0000}"/>
    <cellStyle name="Currency 6 2 4 4 2" xfId="16777" xr:uid="{00000000-0005-0000-0000-00006B1D0000}"/>
    <cellStyle name="Currency 6 2 4 5" xfId="11874" xr:uid="{00000000-0005-0000-0000-00006C1D0000}"/>
    <cellStyle name="Currency 6 2 5" xfId="1590" xr:uid="{00000000-0005-0000-0000-00006D1D0000}"/>
    <cellStyle name="Currency 6 2 5 2" xfId="3902" xr:uid="{00000000-0005-0000-0000-00006E1D0000}"/>
    <cellStyle name="Currency 6 2 5 2 2" xfId="8853" xr:uid="{00000000-0005-0000-0000-00006F1D0000}"/>
    <cellStyle name="Currency 6 2 5 2 2 2" xfId="19750" xr:uid="{00000000-0005-0000-0000-0000701D0000}"/>
    <cellStyle name="Currency 6 2 5 2 3" xfId="14799" xr:uid="{00000000-0005-0000-0000-0000711D0000}"/>
    <cellStyle name="Currency 6 2 5 3" xfId="6541" xr:uid="{00000000-0005-0000-0000-0000721D0000}"/>
    <cellStyle name="Currency 6 2 5 3 2" xfId="17438" xr:uid="{00000000-0005-0000-0000-0000731D0000}"/>
    <cellStyle name="Currency 6 2 5 4" xfId="12522" xr:uid="{00000000-0005-0000-0000-0000741D0000}"/>
    <cellStyle name="Currency 6 2 6" xfId="2709" xr:uid="{00000000-0005-0000-0000-0000751D0000}"/>
    <cellStyle name="Currency 6 2 6 2" xfId="7660" xr:uid="{00000000-0005-0000-0000-0000761D0000}"/>
    <cellStyle name="Currency 6 2 6 2 2" xfId="18557" xr:uid="{00000000-0005-0000-0000-0000771D0000}"/>
    <cellStyle name="Currency 6 2 6 3" xfId="13606" xr:uid="{00000000-0005-0000-0000-0000781D0000}"/>
    <cellStyle name="Currency 6 2 7" xfId="5348" xr:uid="{00000000-0005-0000-0000-0000791D0000}"/>
    <cellStyle name="Currency 6 2 7 2" xfId="16245" xr:uid="{00000000-0005-0000-0000-00007A1D0000}"/>
    <cellStyle name="Currency 6 2 8" xfId="11351" xr:uid="{00000000-0005-0000-0000-00007B1D0000}"/>
    <cellStyle name="Currency 6 3" xfId="453" xr:uid="{00000000-0005-0000-0000-00007C1D0000}"/>
    <cellStyle name="Currency 6 3 2" xfId="718" xr:uid="{00000000-0005-0000-0000-00007D1D0000}"/>
    <cellStyle name="Currency 6 3 2 2" xfId="1250" xr:uid="{00000000-0005-0000-0000-00007E1D0000}"/>
    <cellStyle name="Currency 6 3 2 2 2" xfId="2407" xr:uid="{00000000-0005-0000-0000-00007F1D0000}"/>
    <cellStyle name="Currency 6 3 2 2 2 2" xfId="4719" xr:uid="{00000000-0005-0000-0000-0000801D0000}"/>
    <cellStyle name="Currency 6 3 2 2 2 2 2" xfId="9670" xr:uid="{00000000-0005-0000-0000-0000811D0000}"/>
    <cellStyle name="Currency 6 3 2 2 2 2 2 2" xfId="20567" xr:uid="{00000000-0005-0000-0000-0000821D0000}"/>
    <cellStyle name="Currency 6 3 2 2 2 2 3" xfId="15616" xr:uid="{00000000-0005-0000-0000-0000831D0000}"/>
    <cellStyle name="Currency 6 3 2 2 2 3" xfId="7358" xr:uid="{00000000-0005-0000-0000-0000841D0000}"/>
    <cellStyle name="Currency 6 3 2 2 2 3 2" xfId="18255" xr:uid="{00000000-0005-0000-0000-0000851D0000}"/>
    <cellStyle name="Currency 6 3 2 2 2 4" xfId="13318" xr:uid="{00000000-0005-0000-0000-0000861D0000}"/>
    <cellStyle name="Currency 6 3 2 2 3" xfId="3574" xr:uid="{00000000-0005-0000-0000-0000871D0000}"/>
    <cellStyle name="Currency 6 3 2 2 3 2" xfId="8525" xr:uid="{00000000-0005-0000-0000-0000881D0000}"/>
    <cellStyle name="Currency 6 3 2 2 3 2 2" xfId="19422" xr:uid="{00000000-0005-0000-0000-0000891D0000}"/>
    <cellStyle name="Currency 6 3 2 2 3 3" xfId="14471" xr:uid="{00000000-0005-0000-0000-00008A1D0000}"/>
    <cellStyle name="Currency 6 3 2 2 4" xfId="6213" xr:uid="{00000000-0005-0000-0000-00008B1D0000}"/>
    <cellStyle name="Currency 6 3 2 2 4 2" xfId="17110" xr:uid="{00000000-0005-0000-0000-00008C1D0000}"/>
    <cellStyle name="Currency 6 3 2 2 5" xfId="12200" xr:uid="{00000000-0005-0000-0000-00008D1D0000}"/>
    <cellStyle name="Currency 6 3 2 3" xfId="1886" xr:uid="{00000000-0005-0000-0000-00008E1D0000}"/>
    <cellStyle name="Currency 6 3 2 3 2" xfId="4198" xr:uid="{00000000-0005-0000-0000-00008F1D0000}"/>
    <cellStyle name="Currency 6 3 2 3 2 2" xfId="9149" xr:uid="{00000000-0005-0000-0000-0000901D0000}"/>
    <cellStyle name="Currency 6 3 2 3 2 2 2" xfId="20046" xr:uid="{00000000-0005-0000-0000-0000911D0000}"/>
    <cellStyle name="Currency 6 3 2 3 2 3" xfId="15095" xr:uid="{00000000-0005-0000-0000-0000921D0000}"/>
    <cellStyle name="Currency 6 3 2 3 3" xfId="6837" xr:uid="{00000000-0005-0000-0000-0000931D0000}"/>
    <cellStyle name="Currency 6 3 2 3 3 2" xfId="17734" xr:uid="{00000000-0005-0000-0000-0000941D0000}"/>
    <cellStyle name="Currency 6 3 2 3 4" xfId="12810" xr:uid="{00000000-0005-0000-0000-0000951D0000}"/>
    <cellStyle name="Currency 6 3 2 4" xfId="3042" xr:uid="{00000000-0005-0000-0000-0000961D0000}"/>
    <cellStyle name="Currency 6 3 2 4 2" xfId="7993" xr:uid="{00000000-0005-0000-0000-0000971D0000}"/>
    <cellStyle name="Currency 6 3 2 4 2 2" xfId="18890" xr:uid="{00000000-0005-0000-0000-0000981D0000}"/>
    <cellStyle name="Currency 6 3 2 4 3" xfId="13939" xr:uid="{00000000-0005-0000-0000-0000991D0000}"/>
    <cellStyle name="Currency 6 3 2 5" xfId="5681" xr:uid="{00000000-0005-0000-0000-00009A1D0000}"/>
    <cellStyle name="Currency 6 3 2 5 2" xfId="16578" xr:uid="{00000000-0005-0000-0000-00009B1D0000}"/>
    <cellStyle name="Currency 6 3 2 6" xfId="11679" xr:uid="{00000000-0005-0000-0000-00009C1D0000}"/>
    <cellStyle name="Currency 6 3 3" xfId="985" xr:uid="{00000000-0005-0000-0000-00009D1D0000}"/>
    <cellStyle name="Currency 6 3 3 2" xfId="2142" xr:uid="{00000000-0005-0000-0000-00009E1D0000}"/>
    <cellStyle name="Currency 6 3 3 2 2" xfId="4454" xr:uid="{00000000-0005-0000-0000-00009F1D0000}"/>
    <cellStyle name="Currency 6 3 3 2 2 2" xfId="9405" xr:uid="{00000000-0005-0000-0000-0000A01D0000}"/>
    <cellStyle name="Currency 6 3 3 2 2 2 2" xfId="20302" xr:uid="{00000000-0005-0000-0000-0000A11D0000}"/>
    <cellStyle name="Currency 6 3 3 2 2 3" xfId="15351" xr:uid="{00000000-0005-0000-0000-0000A21D0000}"/>
    <cellStyle name="Currency 6 3 3 2 3" xfId="7093" xr:uid="{00000000-0005-0000-0000-0000A31D0000}"/>
    <cellStyle name="Currency 6 3 3 2 3 2" xfId="17990" xr:uid="{00000000-0005-0000-0000-0000A41D0000}"/>
    <cellStyle name="Currency 6 3 3 2 4" xfId="13059" xr:uid="{00000000-0005-0000-0000-0000A51D0000}"/>
    <cellStyle name="Currency 6 3 3 3" xfId="3309" xr:uid="{00000000-0005-0000-0000-0000A61D0000}"/>
    <cellStyle name="Currency 6 3 3 3 2" xfId="8260" xr:uid="{00000000-0005-0000-0000-0000A71D0000}"/>
    <cellStyle name="Currency 6 3 3 3 2 2" xfId="19157" xr:uid="{00000000-0005-0000-0000-0000A81D0000}"/>
    <cellStyle name="Currency 6 3 3 3 3" xfId="14206" xr:uid="{00000000-0005-0000-0000-0000A91D0000}"/>
    <cellStyle name="Currency 6 3 3 4" xfId="5948" xr:uid="{00000000-0005-0000-0000-0000AA1D0000}"/>
    <cellStyle name="Currency 6 3 3 4 2" xfId="16845" xr:uid="{00000000-0005-0000-0000-0000AB1D0000}"/>
    <cellStyle name="Currency 6 3 3 5" xfId="11941" xr:uid="{00000000-0005-0000-0000-0000AC1D0000}"/>
    <cellStyle name="Currency 6 3 4" xfId="1653" xr:uid="{00000000-0005-0000-0000-0000AD1D0000}"/>
    <cellStyle name="Currency 6 3 4 2" xfId="3965" xr:uid="{00000000-0005-0000-0000-0000AE1D0000}"/>
    <cellStyle name="Currency 6 3 4 2 2" xfId="8916" xr:uid="{00000000-0005-0000-0000-0000AF1D0000}"/>
    <cellStyle name="Currency 6 3 4 2 2 2" xfId="19813" xr:uid="{00000000-0005-0000-0000-0000B01D0000}"/>
    <cellStyle name="Currency 6 3 4 2 3" xfId="14862" xr:uid="{00000000-0005-0000-0000-0000B11D0000}"/>
    <cellStyle name="Currency 6 3 4 3" xfId="6604" xr:uid="{00000000-0005-0000-0000-0000B21D0000}"/>
    <cellStyle name="Currency 6 3 4 3 2" xfId="17501" xr:uid="{00000000-0005-0000-0000-0000B31D0000}"/>
    <cellStyle name="Currency 6 3 4 4" xfId="12584" xr:uid="{00000000-0005-0000-0000-0000B41D0000}"/>
    <cellStyle name="Currency 6 3 5" xfId="2777" xr:uid="{00000000-0005-0000-0000-0000B51D0000}"/>
    <cellStyle name="Currency 6 3 5 2" xfId="7728" xr:uid="{00000000-0005-0000-0000-0000B61D0000}"/>
    <cellStyle name="Currency 6 3 5 2 2" xfId="18625" xr:uid="{00000000-0005-0000-0000-0000B71D0000}"/>
    <cellStyle name="Currency 6 3 5 3" xfId="13674" xr:uid="{00000000-0005-0000-0000-0000B81D0000}"/>
    <cellStyle name="Currency 6 3 6" xfId="5416" xr:uid="{00000000-0005-0000-0000-0000B91D0000}"/>
    <cellStyle name="Currency 6 3 6 2" xfId="16313" xr:uid="{00000000-0005-0000-0000-0000BA1D0000}"/>
    <cellStyle name="Currency 6 3 7" xfId="11418" xr:uid="{00000000-0005-0000-0000-0000BB1D0000}"/>
    <cellStyle name="Currency 6 4" xfId="583" xr:uid="{00000000-0005-0000-0000-0000BC1D0000}"/>
    <cellStyle name="Currency 6 4 2" xfId="1115" xr:uid="{00000000-0005-0000-0000-0000BD1D0000}"/>
    <cellStyle name="Currency 6 4 2 2" xfId="2272" xr:uid="{00000000-0005-0000-0000-0000BE1D0000}"/>
    <cellStyle name="Currency 6 4 2 2 2" xfId="4584" xr:uid="{00000000-0005-0000-0000-0000BF1D0000}"/>
    <cellStyle name="Currency 6 4 2 2 2 2" xfId="9535" xr:uid="{00000000-0005-0000-0000-0000C01D0000}"/>
    <cellStyle name="Currency 6 4 2 2 2 2 2" xfId="20432" xr:uid="{00000000-0005-0000-0000-0000C11D0000}"/>
    <cellStyle name="Currency 6 4 2 2 2 3" xfId="15481" xr:uid="{00000000-0005-0000-0000-0000C21D0000}"/>
    <cellStyle name="Currency 6 4 2 2 3" xfId="7223" xr:uid="{00000000-0005-0000-0000-0000C31D0000}"/>
    <cellStyle name="Currency 6 4 2 2 3 2" xfId="18120" xr:uid="{00000000-0005-0000-0000-0000C41D0000}"/>
    <cellStyle name="Currency 6 4 2 2 4" xfId="13187" xr:uid="{00000000-0005-0000-0000-0000C51D0000}"/>
    <cellStyle name="Currency 6 4 2 3" xfId="3439" xr:uid="{00000000-0005-0000-0000-0000C61D0000}"/>
    <cellStyle name="Currency 6 4 2 3 2" xfId="8390" xr:uid="{00000000-0005-0000-0000-0000C71D0000}"/>
    <cellStyle name="Currency 6 4 2 3 2 2" xfId="19287" xr:uid="{00000000-0005-0000-0000-0000C81D0000}"/>
    <cellStyle name="Currency 6 4 2 3 3" xfId="14336" xr:uid="{00000000-0005-0000-0000-0000C91D0000}"/>
    <cellStyle name="Currency 6 4 2 4" xfId="6078" xr:uid="{00000000-0005-0000-0000-0000CA1D0000}"/>
    <cellStyle name="Currency 6 4 2 4 2" xfId="16975" xr:uid="{00000000-0005-0000-0000-0000CB1D0000}"/>
    <cellStyle name="Currency 6 4 2 5" xfId="12069" xr:uid="{00000000-0005-0000-0000-0000CC1D0000}"/>
    <cellStyle name="Currency 6 4 3" xfId="1768" xr:uid="{00000000-0005-0000-0000-0000CD1D0000}"/>
    <cellStyle name="Currency 6 4 3 2" xfId="4080" xr:uid="{00000000-0005-0000-0000-0000CE1D0000}"/>
    <cellStyle name="Currency 6 4 3 2 2" xfId="9031" xr:uid="{00000000-0005-0000-0000-0000CF1D0000}"/>
    <cellStyle name="Currency 6 4 3 2 2 2" xfId="19928" xr:uid="{00000000-0005-0000-0000-0000D01D0000}"/>
    <cellStyle name="Currency 6 4 3 2 3" xfId="14977" xr:uid="{00000000-0005-0000-0000-0000D11D0000}"/>
    <cellStyle name="Currency 6 4 3 3" xfId="6719" xr:uid="{00000000-0005-0000-0000-0000D21D0000}"/>
    <cellStyle name="Currency 6 4 3 3 2" xfId="17616" xr:uid="{00000000-0005-0000-0000-0000D31D0000}"/>
    <cellStyle name="Currency 6 4 3 4" xfId="12697" xr:uid="{00000000-0005-0000-0000-0000D41D0000}"/>
    <cellStyle name="Currency 6 4 4" xfId="2907" xr:uid="{00000000-0005-0000-0000-0000D51D0000}"/>
    <cellStyle name="Currency 6 4 4 2" xfId="7858" xr:uid="{00000000-0005-0000-0000-0000D61D0000}"/>
    <cellStyle name="Currency 6 4 4 2 2" xfId="18755" xr:uid="{00000000-0005-0000-0000-0000D71D0000}"/>
    <cellStyle name="Currency 6 4 4 3" xfId="13804" xr:uid="{00000000-0005-0000-0000-0000D81D0000}"/>
    <cellStyle name="Currency 6 4 5" xfId="5546" xr:uid="{00000000-0005-0000-0000-0000D91D0000}"/>
    <cellStyle name="Currency 6 4 5 2" xfId="16443" xr:uid="{00000000-0005-0000-0000-0000DA1D0000}"/>
    <cellStyle name="Currency 6 4 6" xfId="11548" xr:uid="{00000000-0005-0000-0000-0000DB1D0000}"/>
    <cellStyle name="Currency 6 5" xfId="850" xr:uid="{00000000-0005-0000-0000-0000DC1D0000}"/>
    <cellStyle name="Currency 6 5 2" xfId="2007" xr:uid="{00000000-0005-0000-0000-0000DD1D0000}"/>
    <cellStyle name="Currency 6 5 2 2" xfId="4319" xr:uid="{00000000-0005-0000-0000-0000DE1D0000}"/>
    <cellStyle name="Currency 6 5 2 2 2" xfId="9270" xr:uid="{00000000-0005-0000-0000-0000DF1D0000}"/>
    <cellStyle name="Currency 6 5 2 2 2 2" xfId="20167" xr:uid="{00000000-0005-0000-0000-0000E01D0000}"/>
    <cellStyle name="Currency 6 5 2 2 3" xfId="15216" xr:uid="{00000000-0005-0000-0000-0000E11D0000}"/>
    <cellStyle name="Currency 6 5 2 3" xfId="6958" xr:uid="{00000000-0005-0000-0000-0000E21D0000}"/>
    <cellStyle name="Currency 6 5 2 3 2" xfId="17855" xr:uid="{00000000-0005-0000-0000-0000E31D0000}"/>
    <cellStyle name="Currency 6 5 2 4" xfId="12929" xr:uid="{00000000-0005-0000-0000-0000E41D0000}"/>
    <cellStyle name="Currency 6 5 3" xfId="3174" xr:uid="{00000000-0005-0000-0000-0000E51D0000}"/>
    <cellStyle name="Currency 6 5 3 2" xfId="8125" xr:uid="{00000000-0005-0000-0000-0000E61D0000}"/>
    <cellStyle name="Currency 6 5 3 2 2" xfId="19022" xr:uid="{00000000-0005-0000-0000-0000E71D0000}"/>
    <cellStyle name="Currency 6 5 3 3" xfId="14071" xr:uid="{00000000-0005-0000-0000-0000E81D0000}"/>
    <cellStyle name="Currency 6 5 4" xfId="5813" xr:uid="{00000000-0005-0000-0000-0000E91D0000}"/>
    <cellStyle name="Currency 6 5 4 2" xfId="16710" xr:uid="{00000000-0005-0000-0000-0000EA1D0000}"/>
    <cellStyle name="Currency 6 5 5" xfId="11811" xr:uid="{00000000-0005-0000-0000-0000EB1D0000}"/>
    <cellStyle name="Currency 6 6" xfId="1535" xr:uid="{00000000-0005-0000-0000-0000EC1D0000}"/>
    <cellStyle name="Currency 6 6 2" xfId="3847" xr:uid="{00000000-0005-0000-0000-0000ED1D0000}"/>
    <cellStyle name="Currency 6 6 2 2" xfId="8798" xr:uid="{00000000-0005-0000-0000-0000EE1D0000}"/>
    <cellStyle name="Currency 6 6 2 2 2" xfId="19695" xr:uid="{00000000-0005-0000-0000-0000EF1D0000}"/>
    <cellStyle name="Currency 6 6 2 3" xfId="14744" xr:uid="{00000000-0005-0000-0000-0000F01D0000}"/>
    <cellStyle name="Currency 6 6 3" xfId="6486" xr:uid="{00000000-0005-0000-0000-0000F11D0000}"/>
    <cellStyle name="Currency 6 6 3 2" xfId="17383" xr:uid="{00000000-0005-0000-0000-0000F21D0000}"/>
    <cellStyle name="Currency 6 6 4" xfId="12470" xr:uid="{00000000-0005-0000-0000-0000F31D0000}"/>
    <cellStyle name="Currency 6 7" xfId="2642" xr:uid="{00000000-0005-0000-0000-0000F41D0000}"/>
    <cellStyle name="Currency 6 7 2" xfId="7593" xr:uid="{00000000-0005-0000-0000-0000F51D0000}"/>
    <cellStyle name="Currency 6 7 2 2" xfId="18490" xr:uid="{00000000-0005-0000-0000-0000F61D0000}"/>
    <cellStyle name="Currency 6 7 3" xfId="13539" xr:uid="{00000000-0005-0000-0000-0000F71D0000}"/>
    <cellStyle name="Currency 6 8" xfId="5281" xr:uid="{00000000-0005-0000-0000-0000F81D0000}"/>
    <cellStyle name="Currency 6 8 2" xfId="16178" xr:uid="{00000000-0005-0000-0000-0000F91D0000}"/>
    <cellStyle name="Currency 6 9" xfId="11268" xr:uid="{00000000-0005-0000-0000-0000FA1D0000}"/>
    <cellStyle name="Currency 7" xfId="203" xr:uid="{00000000-0005-0000-0000-0000FB1D0000}"/>
    <cellStyle name="Currency 8" xfId="204" xr:uid="{00000000-0005-0000-0000-0000FC1D0000}"/>
    <cellStyle name="Currency 9" xfId="205" xr:uid="{00000000-0005-0000-0000-0000FD1D0000}"/>
    <cellStyle name="Currency 9 2" xfId="385" xr:uid="{00000000-0005-0000-0000-0000FE1D0000}"/>
    <cellStyle name="Currency 9 2 2" xfId="515" xr:uid="{00000000-0005-0000-0000-0000FF1D0000}"/>
    <cellStyle name="Currency 9 2 2 2" xfId="780" xr:uid="{00000000-0005-0000-0000-0000001E0000}"/>
    <cellStyle name="Currency 9 2 2 2 2" xfId="1312" xr:uid="{00000000-0005-0000-0000-0000011E0000}"/>
    <cellStyle name="Currency 9 2 2 2 2 2" xfId="2469" xr:uid="{00000000-0005-0000-0000-0000021E0000}"/>
    <cellStyle name="Currency 9 2 2 2 2 2 2" xfId="4781" xr:uid="{00000000-0005-0000-0000-0000031E0000}"/>
    <cellStyle name="Currency 9 2 2 2 2 2 2 2" xfId="9732" xr:uid="{00000000-0005-0000-0000-0000041E0000}"/>
    <cellStyle name="Currency 9 2 2 2 2 2 2 2 2" xfId="20629" xr:uid="{00000000-0005-0000-0000-0000051E0000}"/>
    <cellStyle name="Currency 9 2 2 2 2 2 2 3" xfId="15678" xr:uid="{00000000-0005-0000-0000-0000061E0000}"/>
    <cellStyle name="Currency 9 2 2 2 2 2 3" xfId="7420" xr:uid="{00000000-0005-0000-0000-0000071E0000}"/>
    <cellStyle name="Currency 9 2 2 2 2 2 3 2" xfId="18317" xr:uid="{00000000-0005-0000-0000-0000081E0000}"/>
    <cellStyle name="Currency 9 2 2 2 2 2 4" xfId="13380" xr:uid="{00000000-0005-0000-0000-0000091E0000}"/>
    <cellStyle name="Currency 9 2 2 2 2 3" xfId="3636" xr:uid="{00000000-0005-0000-0000-00000A1E0000}"/>
    <cellStyle name="Currency 9 2 2 2 2 3 2" xfId="8587" xr:uid="{00000000-0005-0000-0000-00000B1E0000}"/>
    <cellStyle name="Currency 9 2 2 2 2 3 2 2" xfId="19484" xr:uid="{00000000-0005-0000-0000-00000C1E0000}"/>
    <cellStyle name="Currency 9 2 2 2 2 3 3" xfId="14533" xr:uid="{00000000-0005-0000-0000-00000D1E0000}"/>
    <cellStyle name="Currency 9 2 2 2 2 4" xfId="6275" xr:uid="{00000000-0005-0000-0000-00000E1E0000}"/>
    <cellStyle name="Currency 9 2 2 2 2 4 2" xfId="17172" xr:uid="{00000000-0005-0000-0000-00000F1E0000}"/>
    <cellStyle name="Currency 9 2 2 2 2 5" xfId="12262" xr:uid="{00000000-0005-0000-0000-0000101E0000}"/>
    <cellStyle name="Currency 9 2 2 2 3" xfId="1938" xr:uid="{00000000-0005-0000-0000-0000111E0000}"/>
    <cellStyle name="Currency 9 2 2 2 3 2" xfId="4250" xr:uid="{00000000-0005-0000-0000-0000121E0000}"/>
    <cellStyle name="Currency 9 2 2 2 3 2 2" xfId="9201" xr:uid="{00000000-0005-0000-0000-0000131E0000}"/>
    <cellStyle name="Currency 9 2 2 2 3 2 2 2" xfId="20098" xr:uid="{00000000-0005-0000-0000-0000141E0000}"/>
    <cellStyle name="Currency 9 2 2 2 3 2 3" xfId="15147" xr:uid="{00000000-0005-0000-0000-0000151E0000}"/>
    <cellStyle name="Currency 9 2 2 2 3 3" xfId="6889" xr:uid="{00000000-0005-0000-0000-0000161E0000}"/>
    <cellStyle name="Currency 9 2 2 2 3 3 2" xfId="17786" xr:uid="{00000000-0005-0000-0000-0000171E0000}"/>
    <cellStyle name="Currency 9 2 2 2 3 4" xfId="12862" xr:uid="{00000000-0005-0000-0000-0000181E0000}"/>
    <cellStyle name="Currency 9 2 2 2 4" xfId="3104" xr:uid="{00000000-0005-0000-0000-0000191E0000}"/>
    <cellStyle name="Currency 9 2 2 2 4 2" xfId="8055" xr:uid="{00000000-0005-0000-0000-00001A1E0000}"/>
    <cellStyle name="Currency 9 2 2 2 4 2 2" xfId="18952" xr:uid="{00000000-0005-0000-0000-00001B1E0000}"/>
    <cellStyle name="Currency 9 2 2 2 4 3" xfId="14001" xr:uid="{00000000-0005-0000-0000-00001C1E0000}"/>
    <cellStyle name="Currency 9 2 2 2 5" xfId="5743" xr:uid="{00000000-0005-0000-0000-00001D1E0000}"/>
    <cellStyle name="Currency 9 2 2 2 5 2" xfId="16640" xr:uid="{00000000-0005-0000-0000-00001E1E0000}"/>
    <cellStyle name="Currency 9 2 2 2 6" xfId="11741" xr:uid="{00000000-0005-0000-0000-00001F1E0000}"/>
    <cellStyle name="Currency 9 2 2 3" xfId="1047" xr:uid="{00000000-0005-0000-0000-0000201E0000}"/>
    <cellStyle name="Currency 9 2 2 3 2" xfId="2204" xr:uid="{00000000-0005-0000-0000-0000211E0000}"/>
    <cellStyle name="Currency 9 2 2 3 2 2" xfId="4516" xr:uid="{00000000-0005-0000-0000-0000221E0000}"/>
    <cellStyle name="Currency 9 2 2 3 2 2 2" xfId="9467" xr:uid="{00000000-0005-0000-0000-0000231E0000}"/>
    <cellStyle name="Currency 9 2 2 3 2 2 2 2" xfId="20364" xr:uid="{00000000-0005-0000-0000-0000241E0000}"/>
    <cellStyle name="Currency 9 2 2 3 2 2 3" xfId="15413" xr:uid="{00000000-0005-0000-0000-0000251E0000}"/>
    <cellStyle name="Currency 9 2 2 3 2 3" xfId="7155" xr:uid="{00000000-0005-0000-0000-0000261E0000}"/>
    <cellStyle name="Currency 9 2 2 3 2 3 2" xfId="18052" xr:uid="{00000000-0005-0000-0000-0000271E0000}"/>
    <cellStyle name="Currency 9 2 2 3 2 4" xfId="13121" xr:uid="{00000000-0005-0000-0000-0000281E0000}"/>
    <cellStyle name="Currency 9 2 2 3 3" xfId="3371" xr:uid="{00000000-0005-0000-0000-0000291E0000}"/>
    <cellStyle name="Currency 9 2 2 3 3 2" xfId="8322" xr:uid="{00000000-0005-0000-0000-00002A1E0000}"/>
    <cellStyle name="Currency 9 2 2 3 3 2 2" xfId="19219" xr:uid="{00000000-0005-0000-0000-00002B1E0000}"/>
    <cellStyle name="Currency 9 2 2 3 3 3" xfId="14268" xr:uid="{00000000-0005-0000-0000-00002C1E0000}"/>
    <cellStyle name="Currency 9 2 2 3 4" xfId="6010" xr:uid="{00000000-0005-0000-0000-00002D1E0000}"/>
    <cellStyle name="Currency 9 2 2 3 4 2" xfId="16907" xr:uid="{00000000-0005-0000-0000-00002E1E0000}"/>
    <cellStyle name="Currency 9 2 2 3 5" xfId="12003" xr:uid="{00000000-0005-0000-0000-00002F1E0000}"/>
    <cellStyle name="Currency 9 2 2 4" xfId="1705" xr:uid="{00000000-0005-0000-0000-0000301E0000}"/>
    <cellStyle name="Currency 9 2 2 4 2" xfId="4017" xr:uid="{00000000-0005-0000-0000-0000311E0000}"/>
    <cellStyle name="Currency 9 2 2 4 2 2" xfId="8968" xr:uid="{00000000-0005-0000-0000-0000321E0000}"/>
    <cellStyle name="Currency 9 2 2 4 2 2 2" xfId="19865" xr:uid="{00000000-0005-0000-0000-0000331E0000}"/>
    <cellStyle name="Currency 9 2 2 4 2 3" xfId="14914" xr:uid="{00000000-0005-0000-0000-0000341E0000}"/>
    <cellStyle name="Currency 9 2 2 4 3" xfId="6656" xr:uid="{00000000-0005-0000-0000-0000351E0000}"/>
    <cellStyle name="Currency 9 2 2 4 3 2" xfId="17553" xr:uid="{00000000-0005-0000-0000-0000361E0000}"/>
    <cellStyle name="Currency 9 2 2 4 4" xfId="12636" xr:uid="{00000000-0005-0000-0000-0000371E0000}"/>
    <cellStyle name="Currency 9 2 2 5" xfId="2839" xr:uid="{00000000-0005-0000-0000-0000381E0000}"/>
    <cellStyle name="Currency 9 2 2 5 2" xfId="7790" xr:uid="{00000000-0005-0000-0000-0000391E0000}"/>
    <cellStyle name="Currency 9 2 2 5 2 2" xfId="18687" xr:uid="{00000000-0005-0000-0000-00003A1E0000}"/>
    <cellStyle name="Currency 9 2 2 5 3" xfId="13736" xr:uid="{00000000-0005-0000-0000-00003B1E0000}"/>
    <cellStyle name="Currency 9 2 2 6" xfId="5478" xr:uid="{00000000-0005-0000-0000-00003C1E0000}"/>
    <cellStyle name="Currency 9 2 2 6 2" xfId="16375" xr:uid="{00000000-0005-0000-0000-00003D1E0000}"/>
    <cellStyle name="Currency 9 2 2 7" xfId="11480" xr:uid="{00000000-0005-0000-0000-00003E1E0000}"/>
    <cellStyle name="Currency 9 2 3" xfId="651" xr:uid="{00000000-0005-0000-0000-00003F1E0000}"/>
    <cellStyle name="Currency 9 2 3 2" xfId="1183" xr:uid="{00000000-0005-0000-0000-0000401E0000}"/>
    <cellStyle name="Currency 9 2 3 2 2" xfId="2340" xr:uid="{00000000-0005-0000-0000-0000411E0000}"/>
    <cellStyle name="Currency 9 2 3 2 2 2" xfId="4652" xr:uid="{00000000-0005-0000-0000-0000421E0000}"/>
    <cellStyle name="Currency 9 2 3 2 2 2 2" xfId="9603" xr:uid="{00000000-0005-0000-0000-0000431E0000}"/>
    <cellStyle name="Currency 9 2 3 2 2 2 2 2" xfId="20500" xr:uid="{00000000-0005-0000-0000-0000441E0000}"/>
    <cellStyle name="Currency 9 2 3 2 2 2 3" xfId="15549" xr:uid="{00000000-0005-0000-0000-0000451E0000}"/>
    <cellStyle name="Currency 9 2 3 2 2 3" xfId="7291" xr:uid="{00000000-0005-0000-0000-0000461E0000}"/>
    <cellStyle name="Currency 9 2 3 2 2 3 2" xfId="18188" xr:uid="{00000000-0005-0000-0000-0000471E0000}"/>
    <cellStyle name="Currency 9 2 3 2 2 4" xfId="13252" xr:uid="{00000000-0005-0000-0000-0000481E0000}"/>
    <cellStyle name="Currency 9 2 3 2 3" xfId="3507" xr:uid="{00000000-0005-0000-0000-0000491E0000}"/>
    <cellStyle name="Currency 9 2 3 2 3 2" xfId="8458" xr:uid="{00000000-0005-0000-0000-00004A1E0000}"/>
    <cellStyle name="Currency 9 2 3 2 3 2 2" xfId="19355" xr:uid="{00000000-0005-0000-0000-00004B1E0000}"/>
    <cellStyle name="Currency 9 2 3 2 3 3" xfId="14404" xr:uid="{00000000-0005-0000-0000-00004C1E0000}"/>
    <cellStyle name="Currency 9 2 3 2 4" xfId="6146" xr:uid="{00000000-0005-0000-0000-00004D1E0000}"/>
    <cellStyle name="Currency 9 2 3 2 4 2" xfId="17043" xr:uid="{00000000-0005-0000-0000-00004E1E0000}"/>
    <cellStyle name="Currency 9 2 3 2 5" xfId="12134" xr:uid="{00000000-0005-0000-0000-00004F1E0000}"/>
    <cellStyle name="Currency 9 2 3 3" xfId="1824" xr:uid="{00000000-0005-0000-0000-0000501E0000}"/>
    <cellStyle name="Currency 9 2 3 3 2" xfId="4136" xr:uid="{00000000-0005-0000-0000-0000511E0000}"/>
    <cellStyle name="Currency 9 2 3 3 2 2" xfId="9087" xr:uid="{00000000-0005-0000-0000-0000521E0000}"/>
    <cellStyle name="Currency 9 2 3 3 2 2 2" xfId="19984" xr:uid="{00000000-0005-0000-0000-0000531E0000}"/>
    <cellStyle name="Currency 9 2 3 3 2 3" xfId="15033" xr:uid="{00000000-0005-0000-0000-0000541E0000}"/>
    <cellStyle name="Currency 9 2 3 3 3" xfId="6775" xr:uid="{00000000-0005-0000-0000-0000551E0000}"/>
    <cellStyle name="Currency 9 2 3 3 3 2" xfId="17672" xr:uid="{00000000-0005-0000-0000-0000561E0000}"/>
    <cellStyle name="Currency 9 2 3 3 4" xfId="12749" xr:uid="{00000000-0005-0000-0000-0000571E0000}"/>
    <cellStyle name="Currency 9 2 3 4" xfId="2975" xr:uid="{00000000-0005-0000-0000-0000581E0000}"/>
    <cellStyle name="Currency 9 2 3 4 2" xfId="7926" xr:uid="{00000000-0005-0000-0000-0000591E0000}"/>
    <cellStyle name="Currency 9 2 3 4 2 2" xfId="18823" xr:uid="{00000000-0005-0000-0000-00005A1E0000}"/>
    <cellStyle name="Currency 9 2 3 4 3" xfId="13872" xr:uid="{00000000-0005-0000-0000-00005B1E0000}"/>
    <cellStyle name="Currency 9 2 3 5" xfId="5614" xr:uid="{00000000-0005-0000-0000-00005C1E0000}"/>
    <cellStyle name="Currency 9 2 3 5 2" xfId="16511" xr:uid="{00000000-0005-0000-0000-00005D1E0000}"/>
    <cellStyle name="Currency 9 2 3 6" xfId="11613" xr:uid="{00000000-0005-0000-0000-00005E1E0000}"/>
    <cellStyle name="Currency 9 2 4" xfId="918" xr:uid="{00000000-0005-0000-0000-00005F1E0000}"/>
    <cellStyle name="Currency 9 2 4 2" xfId="2075" xr:uid="{00000000-0005-0000-0000-0000601E0000}"/>
    <cellStyle name="Currency 9 2 4 2 2" xfId="4387" xr:uid="{00000000-0005-0000-0000-0000611E0000}"/>
    <cellStyle name="Currency 9 2 4 2 2 2" xfId="9338" xr:uid="{00000000-0005-0000-0000-0000621E0000}"/>
    <cellStyle name="Currency 9 2 4 2 2 2 2" xfId="20235" xr:uid="{00000000-0005-0000-0000-0000631E0000}"/>
    <cellStyle name="Currency 9 2 4 2 2 3" xfId="15284" xr:uid="{00000000-0005-0000-0000-0000641E0000}"/>
    <cellStyle name="Currency 9 2 4 2 3" xfId="7026" xr:uid="{00000000-0005-0000-0000-0000651E0000}"/>
    <cellStyle name="Currency 9 2 4 2 3 2" xfId="17923" xr:uid="{00000000-0005-0000-0000-0000661E0000}"/>
    <cellStyle name="Currency 9 2 4 2 4" xfId="12993" xr:uid="{00000000-0005-0000-0000-0000671E0000}"/>
    <cellStyle name="Currency 9 2 4 3" xfId="3242" xr:uid="{00000000-0005-0000-0000-0000681E0000}"/>
    <cellStyle name="Currency 9 2 4 3 2" xfId="8193" xr:uid="{00000000-0005-0000-0000-0000691E0000}"/>
    <cellStyle name="Currency 9 2 4 3 2 2" xfId="19090" xr:uid="{00000000-0005-0000-0000-00006A1E0000}"/>
    <cellStyle name="Currency 9 2 4 3 3" xfId="14139" xr:uid="{00000000-0005-0000-0000-00006B1E0000}"/>
    <cellStyle name="Currency 9 2 4 4" xfId="5881" xr:uid="{00000000-0005-0000-0000-00006C1E0000}"/>
    <cellStyle name="Currency 9 2 4 4 2" xfId="16778" xr:uid="{00000000-0005-0000-0000-00006D1E0000}"/>
    <cellStyle name="Currency 9 2 4 5" xfId="11875" xr:uid="{00000000-0005-0000-0000-00006E1E0000}"/>
    <cellStyle name="Currency 9 2 5" xfId="1591" xr:uid="{00000000-0005-0000-0000-00006F1E0000}"/>
    <cellStyle name="Currency 9 2 5 2" xfId="3903" xr:uid="{00000000-0005-0000-0000-0000701E0000}"/>
    <cellStyle name="Currency 9 2 5 2 2" xfId="8854" xr:uid="{00000000-0005-0000-0000-0000711E0000}"/>
    <cellStyle name="Currency 9 2 5 2 2 2" xfId="19751" xr:uid="{00000000-0005-0000-0000-0000721E0000}"/>
    <cellStyle name="Currency 9 2 5 2 3" xfId="14800" xr:uid="{00000000-0005-0000-0000-0000731E0000}"/>
    <cellStyle name="Currency 9 2 5 3" xfId="6542" xr:uid="{00000000-0005-0000-0000-0000741E0000}"/>
    <cellStyle name="Currency 9 2 5 3 2" xfId="17439" xr:uid="{00000000-0005-0000-0000-0000751E0000}"/>
    <cellStyle name="Currency 9 2 5 4" xfId="12523" xr:uid="{00000000-0005-0000-0000-0000761E0000}"/>
    <cellStyle name="Currency 9 2 6" xfId="2710" xr:uid="{00000000-0005-0000-0000-0000771E0000}"/>
    <cellStyle name="Currency 9 2 6 2" xfId="7661" xr:uid="{00000000-0005-0000-0000-0000781E0000}"/>
    <cellStyle name="Currency 9 2 6 2 2" xfId="18558" xr:uid="{00000000-0005-0000-0000-0000791E0000}"/>
    <cellStyle name="Currency 9 2 6 3" xfId="13607" xr:uid="{00000000-0005-0000-0000-00007A1E0000}"/>
    <cellStyle name="Currency 9 2 7" xfId="5349" xr:uid="{00000000-0005-0000-0000-00007B1E0000}"/>
    <cellStyle name="Currency 9 2 7 2" xfId="16246" xr:uid="{00000000-0005-0000-0000-00007C1E0000}"/>
    <cellStyle name="Currency 9 2 8" xfId="11352" xr:uid="{00000000-0005-0000-0000-00007D1E0000}"/>
    <cellStyle name="Currency 9 3" xfId="454" xr:uid="{00000000-0005-0000-0000-00007E1E0000}"/>
    <cellStyle name="Currency 9 3 2" xfId="719" xr:uid="{00000000-0005-0000-0000-00007F1E0000}"/>
    <cellStyle name="Currency 9 3 2 2" xfId="1251" xr:uid="{00000000-0005-0000-0000-0000801E0000}"/>
    <cellStyle name="Currency 9 3 2 2 2" xfId="2408" xr:uid="{00000000-0005-0000-0000-0000811E0000}"/>
    <cellStyle name="Currency 9 3 2 2 2 2" xfId="4720" xr:uid="{00000000-0005-0000-0000-0000821E0000}"/>
    <cellStyle name="Currency 9 3 2 2 2 2 2" xfId="9671" xr:uid="{00000000-0005-0000-0000-0000831E0000}"/>
    <cellStyle name="Currency 9 3 2 2 2 2 2 2" xfId="20568" xr:uid="{00000000-0005-0000-0000-0000841E0000}"/>
    <cellStyle name="Currency 9 3 2 2 2 2 3" xfId="15617" xr:uid="{00000000-0005-0000-0000-0000851E0000}"/>
    <cellStyle name="Currency 9 3 2 2 2 3" xfId="7359" xr:uid="{00000000-0005-0000-0000-0000861E0000}"/>
    <cellStyle name="Currency 9 3 2 2 2 3 2" xfId="18256" xr:uid="{00000000-0005-0000-0000-0000871E0000}"/>
    <cellStyle name="Currency 9 3 2 2 2 4" xfId="13319" xr:uid="{00000000-0005-0000-0000-0000881E0000}"/>
    <cellStyle name="Currency 9 3 2 2 3" xfId="3575" xr:uid="{00000000-0005-0000-0000-0000891E0000}"/>
    <cellStyle name="Currency 9 3 2 2 3 2" xfId="8526" xr:uid="{00000000-0005-0000-0000-00008A1E0000}"/>
    <cellStyle name="Currency 9 3 2 2 3 2 2" xfId="19423" xr:uid="{00000000-0005-0000-0000-00008B1E0000}"/>
    <cellStyle name="Currency 9 3 2 2 3 3" xfId="14472" xr:uid="{00000000-0005-0000-0000-00008C1E0000}"/>
    <cellStyle name="Currency 9 3 2 2 4" xfId="6214" xr:uid="{00000000-0005-0000-0000-00008D1E0000}"/>
    <cellStyle name="Currency 9 3 2 2 4 2" xfId="17111" xr:uid="{00000000-0005-0000-0000-00008E1E0000}"/>
    <cellStyle name="Currency 9 3 2 2 5" xfId="12201" xr:uid="{00000000-0005-0000-0000-00008F1E0000}"/>
    <cellStyle name="Currency 9 3 2 3" xfId="1887" xr:uid="{00000000-0005-0000-0000-0000901E0000}"/>
    <cellStyle name="Currency 9 3 2 3 2" xfId="4199" xr:uid="{00000000-0005-0000-0000-0000911E0000}"/>
    <cellStyle name="Currency 9 3 2 3 2 2" xfId="9150" xr:uid="{00000000-0005-0000-0000-0000921E0000}"/>
    <cellStyle name="Currency 9 3 2 3 2 2 2" xfId="20047" xr:uid="{00000000-0005-0000-0000-0000931E0000}"/>
    <cellStyle name="Currency 9 3 2 3 2 3" xfId="15096" xr:uid="{00000000-0005-0000-0000-0000941E0000}"/>
    <cellStyle name="Currency 9 3 2 3 3" xfId="6838" xr:uid="{00000000-0005-0000-0000-0000951E0000}"/>
    <cellStyle name="Currency 9 3 2 3 3 2" xfId="17735" xr:uid="{00000000-0005-0000-0000-0000961E0000}"/>
    <cellStyle name="Currency 9 3 2 3 4" xfId="12811" xr:uid="{00000000-0005-0000-0000-0000971E0000}"/>
    <cellStyle name="Currency 9 3 2 4" xfId="3043" xr:uid="{00000000-0005-0000-0000-0000981E0000}"/>
    <cellStyle name="Currency 9 3 2 4 2" xfId="7994" xr:uid="{00000000-0005-0000-0000-0000991E0000}"/>
    <cellStyle name="Currency 9 3 2 4 2 2" xfId="18891" xr:uid="{00000000-0005-0000-0000-00009A1E0000}"/>
    <cellStyle name="Currency 9 3 2 4 3" xfId="13940" xr:uid="{00000000-0005-0000-0000-00009B1E0000}"/>
    <cellStyle name="Currency 9 3 2 5" xfId="5682" xr:uid="{00000000-0005-0000-0000-00009C1E0000}"/>
    <cellStyle name="Currency 9 3 2 5 2" xfId="16579" xr:uid="{00000000-0005-0000-0000-00009D1E0000}"/>
    <cellStyle name="Currency 9 3 2 6" xfId="11680" xr:uid="{00000000-0005-0000-0000-00009E1E0000}"/>
    <cellStyle name="Currency 9 3 3" xfId="986" xr:uid="{00000000-0005-0000-0000-00009F1E0000}"/>
    <cellStyle name="Currency 9 3 3 2" xfId="2143" xr:uid="{00000000-0005-0000-0000-0000A01E0000}"/>
    <cellStyle name="Currency 9 3 3 2 2" xfId="4455" xr:uid="{00000000-0005-0000-0000-0000A11E0000}"/>
    <cellStyle name="Currency 9 3 3 2 2 2" xfId="9406" xr:uid="{00000000-0005-0000-0000-0000A21E0000}"/>
    <cellStyle name="Currency 9 3 3 2 2 2 2" xfId="20303" xr:uid="{00000000-0005-0000-0000-0000A31E0000}"/>
    <cellStyle name="Currency 9 3 3 2 2 3" xfId="15352" xr:uid="{00000000-0005-0000-0000-0000A41E0000}"/>
    <cellStyle name="Currency 9 3 3 2 3" xfId="7094" xr:uid="{00000000-0005-0000-0000-0000A51E0000}"/>
    <cellStyle name="Currency 9 3 3 2 3 2" xfId="17991" xr:uid="{00000000-0005-0000-0000-0000A61E0000}"/>
    <cellStyle name="Currency 9 3 3 2 4" xfId="13060" xr:uid="{00000000-0005-0000-0000-0000A71E0000}"/>
    <cellStyle name="Currency 9 3 3 3" xfId="3310" xr:uid="{00000000-0005-0000-0000-0000A81E0000}"/>
    <cellStyle name="Currency 9 3 3 3 2" xfId="8261" xr:uid="{00000000-0005-0000-0000-0000A91E0000}"/>
    <cellStyle name="Currency 9 3 3 3 2 2" xfId="19158" xr:uid="{00000000-0005-0000-0000-0000AA1E0000}"/>
    <cellStyle name="Currency 9 3 3 3 3" xfId="14207" xr:uid="{00000000-0005-0000-0000-0000AB1E0000}"/>
    <cellStyle name="Currency 9 3 3 4" xfId="5949" xr:uid="{00000000-0005-0000-0000-0000AC1E0000}"/>
    <cellStyle name="Currency 9 3 3 4 2" xfId="16846" xr:uid="{00000000-0005-0000-0000-0000AD1E0000}"/>
    <cellStyle name="Currency 9 3 3 5" xfId="11942" xr:uid="{00000000-0005-0000-0000-0000AE1E0000}"/>
    <cellStyle name="Currency 9 3 4" xfId="1654" xr:uid="{00000000-0005-0000-0000-0000AF1E0000}"/>
    <cellStyle name="Currency 9 3 4 2" xfId="3966" xr:uid="{00000000-0005-0000-0000-0000B01E0000}"/>
    <cellStyle name="Currency 9 3 4 2 2" xfId="8917" xr:uid="{00000000-0005-0000-0000-0000B11E0000}"/>
    <cellStyle name="Currency 9 3 4 2 2 2" xfId="19814" xr:uid="{00000000-0005-0000-0000-0000B21E0000}"/>
    <cellStyle name="Currency 9 3 4 2 3" xfId="14863" xr:uid="{00000000-0005-0000-0000-0000B31E0000}"/>
    <cellStyle name="Currency 9 3 4 3" xfId="6605" xr:uid="{00000000-0005-0000-0000-0000B41E0000}"/>
    <cellStyle name="Currency 9 3 4 3 2" xfId="17502" xr:uid="{00000000-0005-0000-0000-0000B51E0000}"/>
    <cellStyle name="Currency 9 3 4 4" xfId="12585" xr:uid="{00000000-0005-0000-0000-0000B61E0000}"/>
    <cellStyle name="Currency 9 3 5" xfId="2778" xr:uid="{00000000-0005-0000-0000-0000B71E0000}"/>
    <cellStyle name="Currency 9 3 5 2" xfId="7729" xr:uid="{00000000-0005-0000-0000-0000B81E0000}"/>
    <cellStyle name="Currency 9 3 5 2 2" xfId="18626" xr:uid="{00000000-0005-0000-0000-0000B91E0000}"/>
    <cellStyle name="Currency 9 3 5 3" xfId="13675" xr:uid="{00000000-0005-0000-0000-0000BA1E0000}"/>
    <cellStyle name="Currency 9 3 6" xfId="5417" xr:uid="{00000000-0005-0000-0000-0000BB1E0000}"/>
    <cellStyle name="Currency 9 3 6 2" xfId="16314" xr:uid="{00000000-0005-0000-0000-0000BC1E0000}"/>
    <cellStyle name="Currency 9 3 7" xfId="11419" xr:uid="{00000000-0005-0000-0000-0000BD1E0000}"/>
    <cellStyle name="Currency 9 4" xfId="584" xr:uid="{00000000-0005-0000-0000-0000BE1E0000}"/>
    <cellStyle name="Currency 9 4 2" xfId="1116" xr:uid="{00000000-0005-0000-0000-0000BF1E0000}"/>
    <cellStyle name="Currency 9 4 2 2" xfId="2273" xr:uid="{00000000-0005-0000-0000-0000C01E0000}"/>
    <cellStyle name="Currency 9 4 2 2 2" xfId="4585" xr:uid="{00000000-0005-0000-0000-0000C11E0000}"/>
    <cellStyle name="Currency 9 4 2 2 2 2" xfId="9536" xr:uid="{00000000-0005-0000-0000-0000C21E0000}"/>
    <cellStyle name="Currency 9 4 2 2 2 2 2" xfId="20433" xr:uid="{00000000-0005-0000-0000-0000C31E0000}"/>
    <cellStyle name="Currency 9 4 2 2 2 3" xfId="15482" xr:uid="{00000000-0005-0000-0000-0000C41E0000}"/>
    <cellStyle name="Currency 9 4 2 2 3" xfId="7224" xr:uid="{00000000-0005-0000-0000-0000C51E0000}"/>
    <cellStyle name="Currency 9 4 2 2 3 2" xfId="18121" xr:uid="{00000000-0005-0000-0000-0000C61E0000}"/>
    <cellStyle name="Currency 9 4 2 2 4" xfId="13188" xr:uid="{00000000-0005-0000-0000-0000C71E0000}"/>
    <cellStyle name="Currency 9 4 2 3" xfId="3440" xr:uid="{00000000-0005-0000-0000-0000C81E0000}"/>
    <cellStyle name="Currency 9 4 2 3 2" xfId="8391" xr:uid="{00000000-0005-0000-0000-0000C91E0000}"/>
    <cellStyle name="Currency 9 4 2 3 2 2" xfId="19288" xr:uid="{00000000-0005-0000-0000-0000CA1E0000}"/>
    <cellStyle name="Currency 9 4 2 3 3" xfId="14337" xr:uid="{00000000-0005-0000-0000-0000CB1E0000}"/>
    <cellStyle name="Currency 9 4 2 4" xfId="6079" xr:uid="{00000000-0005-0000-0000-0000CC1E0000}"/>
    <cellStyle name="Currency 9 4 2 4 2" xfId="16976" xr:uid="{00000000-0005-0000-0000-0000CD1E0000}"/>
    <cellStyle name="Currency 9 4 2 5" xfId="12070" xr:uid="{00000000-0005-0000-0000-0000CE1E0000}"/>
    <cellStyle name="Currency 9 4 3" xfId="1769" xr:uid="{00000000-0005-0000-0000-0000CF1E0000}"/>
    <cellStyle name="Currency 9 4 3 2" xfId="4081" xr:uid="{00000000-0005-0000-0000-0000D01E0000}"/>
    <cellStyle name="Currency 9 4 3 2 2" xfId="9032" xr:uid="{00000000-0005-0000-0000-0000D11E0000}"/>
    <cellStyle name="Currency 9 4 3 2 2 2" xfId="19929" xr:uid="{00000000-0005-0000-0000-0000D21E0000}"/>
    <cellStyle name="Currency 9 4 3 2 3" xfId="14978" xr:uid="{00000000-0005-0000-0000-0000D31E0000}"/>
    <cellStyle name="Currency 9 4 3 3" xfId="6720" xr:uid="{00000000-0005-0000-0000-0000D41E0000}"/>
    <cellStyle name="Currency 9 4 3 3 2" xfId="17617" xr:uid="{00000000-0005-0000-0000-0000D51E0000}"/>
    <cellStyle name="Currency 9 4 3 4" xfId="12698" xr:uid="{00000000-0005-0000-0000-0000D61E0000}"/>
    <cellStyle name="Currency 9 4 4" xfId="2908" xr:uid="{00000000-0005-0000-0000-0000D71E0000}"/>
    <cellStyle name="Currency 9 4 4 2" xfId="7859" xr:uid="{00000000-0005-0000-0000-0000D81E0000}"/>
    <cellStyle name="Currency 9 4 4 2 2" xfId="18756" xr:uid="{00000000-0005-0000-0000-0000D91E0000}"/>
    <cellStyle name="Currency 9 4 4 3" xfId="13805" xr:uid="{00000000-0005-0000-0000-0000DA1E0000}"/>
    <cellStyle name="Currency 9 4 5" xfId="5547" xr:uid="{00000000-0005-0000-0000-0000DB1E0000}"/>
    <cellStyle name="Currency 9 4 5 2" xfId="16444" xr:uid="{00000000-0005-0000-0000-0000DC1E0000}"/>
    <cellStyle name="Currency 9 4 6" xfId="11549" xr:uid="{00000000-0005-0000-0000-0000DD1E0000}"/>
    <cellStyle name="Currency 9 5" xfId="851" xr:uid="{00000000-0005-0000-0000-0000DE1E0000}"/>
    <cellStyle name="Currency 9 5 2" xfId="2008" xr:uid="{00000000-0005-0000-0000-0000DF1E0000}"/>
    <cellStyle name="Currency 9 5 2 2" xfId="4320" xr:uid="{00000000-0005-0000-0000-0000E01E0000}"/>
    <cellStyle name="Currency 9 5 2 2 2" xfId="9271" xr:uid="{00000000-0005-0000-0000-0000E11E0000}"/>
    <cellStyle name="Currency 9 5 2 2 2 2" xfId="20168" xr:uid="{00000000-0005-0000-0000-0000E21E0000}"/>
    <cellStyle name="Currency 9 5 2 2 3" xfId="15217" xr:uid="{00000000-0005-0000-0000-0000E31E0000}"/>
    <cellStyle name="Currency 9 5 2 3" xfId="6959" xr:uid="{00000000-0005-0000-0000-0000E41E0000}"/>
    <cellStyle name="Currency 9 5 2 3 2" xfId="17856" xr:uid="{00000000-0005-0000-0000-0000E51E0000}"/>
    <cellStyle name="Currency 9 5 2 4" xfId="12930" xr:uid="{00000000-0005-0000-0000-0000E61E0000}"/>
    <cellStyle name="Currency 9 5 3" xfId="3175" xr:uid="{00000000-0005-0000-0000-0000E71E0000}"/>
    <cellStyle name="Currency 9 5 3 2" xfId="8126" xr:uid="{00000000-0005-0000-0000-0000E81E0000}"/>
    <cellStyle name="Currency 9 5 3 2 2" xfId="19023" xr:uid="{00000000-0005-0000-0000-0000E91E0000}"/>
    <cellStyle name="Currency 9 5 3 3" xfId="14072" xr:uid="{00000000-0005-0000-0000-0000EA1E0000}"/>
    <cellStyle name="Currency 9 5 4" xfId="5814" xr:uid="{00000000-0005-0000-0000-0000EB1E0000}"/>
    <cellStyle name="Currency 9 5 4 2" xfId="16711" xr:uid="{00000000-0005-0000-0000-0000EC1E0000}"/>
    <cellStyle name="Currency 9 5 5" xfId="11812" xr:uid="{00000000-0005-0000-0000-0000ED1E0000}"/>
    <cellStyle name="Currency 9 6" xfId="1536" xr:uid="{00000000-0005-0000-0000-0000EE1E0000}"/>
    <cellStyle name="Currency 9 6 2" xfId="3848" xr:uid="{00000000-0005-0000-0000-0000EF1E0000}"/>
    <cellStyle name="Currency 9 6 2 2" xfId="8799" xr:uid="{00000000-0005-0000-0000-0000F01E0000}"/>
    <cellStyle name="Currency 9 6 2 2 2" xfId="19696" xr:uid="{00000000-0005-0000-0000-0000F11E0000}"/>
    <cellStyle name="Currency 9 6 2 3" xfId="14745" xr:uid="{00000000-0005-0000-0000-0000F21E0000}"/>
    <cellStyle name="Currency 9 6 3" xfId="6487" xr:uid="{00000000-0005-0000-0000-0000F31E0000}"/>
    <cellStyle name="Currency 9 6 3 2" xfId="17384" xr:uid="{00000000-0005-0000-0000-0000F41E0000}"/>
    <cellStyle name="Currency 9 6 4" xfId="12471" xr:uid="{00000000-0005-0000-0000-0000F51E0000}"/>
    <cellStyle name="Currency 9 7" xfId="2643" xr:uid="{00000000-0005-0000-0000-0000F61E0000}"/>
    <cellStyle name="Currency 9 7 2" xfId="7594" xr:uid="{00000000-0005-0000-0000-0000F71E0000}"/>
    <cellStyle name="Currency 9 7 2 2" xfId="18491" xr:uid="{00000000-0005-0000-0000-0000F81E0000}"/>
    <cellStyle name="Currency 9 7 3" xfId="13540" xr:uid="{00000000-0005-0000-0000-0000F91E0000}"/>
    <cellStyle name="Currency 9 8" xfId="5282" xr:uid="{00000000-0005-0000-0000-0000FA1E0000}"/>
    <cellStyle name="Currency 9 8 2" xfId="16179" xr:uid="{00000000-0005-0000-0000-0000FB1E0000}"/>
    <cellStyle name="Currency 9 9" xfId="11269" xr:uid="{00000000-0005-0000-0000-0000FC1E0000}"/>
    <cellStyle name="Explanatory Text 2" xfId="206" xr:uid="{00000000-0005-0000-0000-0000FD1E0000}"/>
    <cellStyle name="Explanatory Text 3" xfId="207" xr:uid="{00000000-0005-0000-0000-0000FE1E0000}"/>
    <cellStyle name="Explanatory Text 4" xfId="208" xr:uid="{00000000-0005-0000-0000-0000FF1E0000}"/>
    <cellStyle name="Explanatory Text 5" xfId="209" xr:uid="{00000000-0005-0000-0000-0000001F0000}"/>
    <cellStyle name="Fixed1 - Style1" xfId="210" xr:uid="{00000000-0005-0000-0000-0000011F0000}"/>
    <cellStyle name="Good 2" xfId="211" xr:uid="{00000000-0005-0000-0000-0000021F0000}"/>
    <cellStyle name="Good 3" xfId="212" xr:uid="{00000000-0005-0000-0000-0000031F0000}"/>
    <cellStyle name="Good 4" xfId="213" xr:uid="{00000000-0005-0000-0000-0000041F0000}"/>
    <cellStyle name="Good 5" xfId="214" xr:uid="{00000000-0005-0000-0000-0000051F0000}"/>
    <cellStyle name="Heading 1" xfId="11198" builtinId="16"/>
    <cellStyle name="Heading 1 2" xfId="215" xr:uid="{00000000-0005-0000-0000-0000071F0000}"/>
    <cellStyle name="Heading 1 3" xfId="216" xr:uid="{00000000-0005-0000-0000-0000081F0000}"/>
    <cellStyle name="Heading 1 4" xfId="217" xr:uid="{00000000-0005-0000-0000-0000091F0000}"/>
    <cellStyle name="Heading 1 5" xfId="218" xr:uid="{00000000-0005-0000-0000-00000A1F0000}"/>
    <cellStyle name="Heading 1 6" xfId="1509" xr:uid="{00000000-0005-0000-0000-00000B1F0000}"/>
    <cellStyle name="Heading 2 2" xfId="219" xr:uid="{00000000-0005-0000-0000-00000C1F0000}"/>
    <cellStyle name="Heading 2 3" xfId="220" xr:uid="{00000000-0005-0000-0000-00000D1F0000}"/>
    <cellStyle name="Heading 2 4" xfId="221" xr:uid="{00000000-0005-0000-0000-00000E1F0000}"/>
    <cellStyle name="Heading 2 5" xfId="222" xr:uid="{00000000-0005-0000-0000-00000F1F0000}"/>
    <cellStyle name="Heading 2 6" xfId="1508" xr:uid="{00000000-0005-0000-0000-0000101F0000}"/>
    <cellStyle name="Heading 3 2" xfId="223" xr:uid="{00000000-0005-0000-0000-0000111F0000}"/>
    <cellStyle name="Heading 3 2 2" xfId="11278" xr:uid="{00000000-0005-0000-0000-0000121F0000}"/>
    <cellStyle name="Heading 3 2 3" xfId="11267" xr:uid="{00000000-0005-0000-0000-0000131F0000}"/>
    <cellStyle name="Heading 3 3" xfId="224" xr:uid="{00000000-0005-0000-0000-0000141F0000}"/>
    <cellStyle name="Heading 3 3 2" xfId="11279" xr:uid="{00000000-0005-0000-0000-0000151F0000}"/>
    <cellStyle name="Heading 3 3 3" xfId="11266" xr:uid="{00000000-0005-0000-0000-0000161F0000}"/>
    <cellStyle name="Heading 3 4" xfId="225" xr:uid="{00000000-0005-0000-0000-0000171F0000}"/>
    <cellStyle name="Heading 3 4 2" xfId="11280" xr:uid="{00000000-0005-0000-0000-0000181F0000}"/>
    <cellStyle name="Heading 3 4 3" xfId="11265" xr:uid="{00000000-0005-0000-0000-0000191F0000}"/>
    <cellStyle name="Heading 3 5" xfId="226" xr:uid="{00000000-0005-0000-0000-00001A1F0000}"/>
    <cellStyle name="Heading 3 5 2" xfId="11281" xr:uid="{00000000-0005-0000-0000-00001B1F0000}"/>
    <cellStyle name="Heading 3 5 3" xfId="12446" xr:uid="{00000000-0005-0000-0000-00001C1F0000}"/>
    <cellStyle name="Heading 4 2" xfId="227" xr:uid="{00000000-0005-0000-0000-00001D1F0000}"/>
    <cellStyle name="Heading 4 3" xfId="228" xr:uid="{00000000-0005-0000-0000-00001E1F0000}"/>
    <cellStyle name="Heading 4 4" xfId="229" xr:uid="{00000000-0005-0000-0000-00001F1F0000}"/>
    <cellStyle name="Heading 4 5" xfId="230" xr:uid="{00000000-0005-0000-0000-0000201F0000}"/>
    <cellStyle name="Heading 4 6" xfId="1507" xr:uid="{00000000-0005-0000-0000-0000211F0000}"/>
    <cellStyle name="Heading 4 6 2" xfId="2608" xr:uid="{00000000-0005-0000-0000-0000221F0000}"/>
    <cellStyle name="Heading 4 6 2 2" xfId="4920" xr:uid="{00000000-0005-0000-0000-0000231F0000}"/>
    <cellStyle name="Heading 4 6 2 2 2" xfId="9871" xr:uid="{00000000-0005-0000-0000-0000241F0000}"/>
    <cellStyle name="Heading 4 6 2 2 2 2" xfId="20768" xr:uid="{00000000-0005-0000-0000-0000251F0000}"/>
    <cellStyle name="Heading 4 6 2 2 2 3" xfId="24900" xr:uid="{00000000-0005-0000-0000-0000261F0000}"/>
    <cellStyle name="Heading 4 6 2 2 2 4" xfId="26417" xr:uid="{00000000-0005-0000-0000-0000271F0000}"/>
    <cellStyle name="Heading 4 6 2 2 3" xfId="10868" xr:uid="{00000000-0005-0000-0000-0000281F0000}"/>
    <cellStyle name="Heading 4 6 2 2 3 2" xfId="21765" xr:uid="{00000000-0005-0000-0000-0000291F0000}"/>
    <cellStyle name="Heading 4 6 2 2 3 3" xfId="25895" xr:uid="{00000000-0005-0000-0000-00002A1F0000}"/>
    <cellStyle name="Heading 4 6 2 2 3 4" xfId="27412" xr:uid="{00000000-0005-0000-0000-00002B1F0000}"/>
    <cellStyle name="Heading 4 6 2 2 4" xfId="15817" xr:uid="{00000000-0005-0000-0000-00002C1F0000}"/>
    <cellStyle name="Heading 4 6 2 2 5" xfId="23211" xr:uid="{00000000-0005-0000-0000-00002D1F0000}"/>
    <cellStyle name="Heading 4 6 2 2 6" xfId="24015" xr:uid="{00000000-0005-0000-0000-00002E1F0000}"/>
    <cellStyle name="Heading 4 6 2 3" xfId="5248" xr:uid="{00000000-0005-0000-0000-00002F1F0000}"/>
    <cellStyle name="Heading 4 6 2 3 2" xfId="10199" xr:uid="{00000000-0005-0000-0000-0000301F0000}"/>
    <cellStyle name="Heading 4 6 2 3 2 2" xfId="21096" xr:uid="{00000000-0005-0000-0000-0000311F0000}"/>
    <cellStyle name="Heading 4 6 2 3 2 3" xfId="25226" xr:uid="{00000000-0005-0000-0000-0000321F0000}"/>
    <cellStyle name="Heading 4 6 2 3 2 4" xfId="26743" xr:uid="{00000000-0005-0000-0000-0000331F0000}"/>
    <cellStyle name="Heading 4 6 2 3 3" xfId="11194" xr:uid="{00000000-0005-0000-0000-0000341F0000}"/>
    <cellStyle name="Heading 4 6 2 3 3 2" xfId="22091" xr:uid="{00000000-0005-0000-0000-0000351F0000}"/>
    <cellStyle name="Heading 4 6 2 3 3 3" xfId="26221" xr:uid="{00000000-0005-0000-0000-0000361F0000}"/>
    <cellStyle name="Heading 4 6 2 3 3 4" xfId="27738" xr:uid="{00000000-0005-0000-0000-0000371F0000}"/>
    <cellStyle name="Heading 4 6 2 3 4" xfId="16145" xr:uid="{00000000-0005-0000-0000-0000381F0000}"/>
    <cellStyle name="Heading 4 6 2 3 5" xfId="23537" xr:uid="{00000000-0005-0000-0000-0000391F0000}"/>
    <cellStyle name="Heading 4 6 2 3 6" xfId="23050" xr:uid="{00000000-0005-0000-0000-00003A1F0000}"/>
    <cellStyle name="Heading 4 6 2 4" xfId="7559" xr:uid="{00000000-0005-0000-0000-00003B1F0000}"/>
    <cellStyle name="Heading 4 6 2 4 2" xfId="18456" xr:uid="{00000000-0005-0000-0000-00003C1F0000}"/>
    <cellStyle name="Heading 4 6 2 4 3" xfId="24219" xr:uid="{00000000-0005-0000-0000-00003D1F0000}"/>
    <cellStyle name="Heading 4 6 2 4 4" xfId="24135" xr:uid="{00000000-0005-0000-0000-00003E1F0000}"/>
    <cellStyle name="Heading 4 6 2 5" xfId="10526" xr:uid="{00000000-0005-0000-0000-00003F1F0000}"/>
    <cellStyle name="Heading 4 6 2 5 2" xfId="21423" xr:uid="{00000000-0005-0000-0000-0000401F0000}"/>
    <cellStyle name="Heading 4 6 2 5 3" xfId="25553" xr:uid="{00000000-0005-0000-0000-0000411F0000}"/>
    <cellStyle name="Heading 4 6 2 5 4" xfId="27070" xr:uid="{00000000-0005-0000-0000-0000421F0000}"/>
    <cellStyle name="Heading 4 6 2 6" xfId="13505" xr:uid="{00000000-0005-0000-0000-0000431F0000}"/>
    <cellStyle name="Heading 4 6 2 7" xfId="22518" xr:uid="{00000000-0005-0000-0000-0000441F0000}"/>
    <cellStyle name="Heading 4 6 2 8" xfId="23811" xr:uid="{00000000-0005-0000-0000-0000451F0000}"/>
    <cellStyle name="Heading 4 6 3" xfId="3824" xr:uid="{00000000-0005-0000-0000-0000461F0000}"/>
    <cellStyle name="Heading 4 6 3 2" xfId="8775" xr:uid="{00000000-0005-0000-0000-0000471F0000}"/>
    <cellStyle name="Heading 4 6 3 2 2" xfId="19672" xr:uid="{00000000-0005-0000-0000-0000481F0000}"/>
    <cellStyle name="Heading 4 6 3 2 3" xfId="24612" xr:uid="{00000000-0005-0000-0000-0000491F0000}"/>
    <cellStyle name="Heading 4 6 3 2 4" xfId="26306" xr:uid="{00000000-0005-0000-0000-00004A1F0000}"/>
    <cellStyle name="Heading 4 6 3 3" xfId="10757" xr:uid="{00000000-0005-0000-0000-00004B1F0000}"/>
    <cellStyle name="Heading 4 6 3 3 2" xfId="21654" xr:uid="{00000000-0005-0000-0000-00004C1F0000}"/>
    <cellStyle name="Heading 4 6 3 3 3" xfId="25784" xr:uid="{00000000-0005-0000-0000-00004D1F0000}"/>
    <cellStyle name="Heading 4 6 3 3 4" xfId="27301" xr:uid="{00000000-0005-0000-0000-00004E1F0000}"/>
    <cellStyle name="Heading 4 6 3 4" xfId="14721" xr:uid="{00000000-0005-0000-0000-00004F1F0000}"/>
    <cellStyle name="Heading 4 6 3 5" xfId="22925" xr:uid="{00000000-0005-0000-0000-0000501F0000}"/>
    <cellStyle name="Heading 4 6 3 6" xfId="24666" xr:uid="{00000000-0005-0000-0000-0000511F0000}"/>
    <cellStyle name="Heading 4 6 4" xfId="5137" xr:uid="{00000000-0005-0000-0000-0000521F0000}"/>
    <cellStyle name="Heading 4 6 4 2" xfId="10088" xr:uid="{00000000-0005-0000-0000-0000531F0000}"/>
    <cellStyle name="Heading 4 6 4 2 2" xfId="20985" xr:uid="{00000000-0005-0000-0000-0000541F0000}"/>
    <cellStyle name="Heading 4 6 4 2 3" xfId="25115" xr:uid="{00000000-0005-0000-0000-0000551F0000}"/>
    <cellStyle name="Heading 4 6 4 2 4" xfId="26632" xr:uid="{00000000-0005-0000-0000-0000561F0000}"/>
    <cellStyle name="Heading 4 6 4 3" xfId="11083" xr:uid="{00000000-0005-0000-0000-0000571F0000}"/>
    <cellStyle name="Heading 4 6 4 3 2" xfId="21980" xr:uid="{00000000-0005-0000-0000-0000581F0000}"/>
    <cellStyle name="Heading 4 6 4 3 3" xfId="26110" xr:uid="{00000000-0005-0000-0000-0000591F0000}"/>
    <cellStyle name="Heading 4 6 4 3 4" xfId="27627" xr:uid="{00000000-0005-0000-0000-00005A1F0000}"/>
    <cellStyle name="Heading 4 6 4 4" xfId="16034" xr:uid="{00000000-0005-0000-0000-00005B1F0000}"/>
    <cellStyle name="Heading 4 6 4 5" xfId="23426" xr:uid="{00000000-0005-0000-0000-00005C1F0000}"/>
    <cellStyle name="Heading 4 6 4 6" xfId="22510" xr:uid="{00000000-0005-0000-0000-00005D1F0000}"/>
    <cellStyle name="Heading 4 6 5" xfId="6463" xr:uid="{00000000-0005-0000-0000-00005E1F0000}"/>
    <cellStyle name="Heading 4 6 5 2" xfId="17360" xr:uid="{00000000-0005-0000-0000-00005F1F0000}"/>
    <cellStyle name="Heading 4 6 5 3" xfId="23937" xr:uid="{00000000-0005-0000-0000-0000601F0000}"/>
    <cellStyle name="Heading 4 6 5 4" xfId="24641" xr:uid="{00000000-0005-0000-0000-0000611F0000}"/>
    <cellStyle name="Heading 4 6 6" xfId="10415" xr:uid="{00000000-0005-0000-0000-0000621F0000}"/>
    <cellStyle name="Heading 4 6 6 2" xfId="21312" xr:uid="{00000000-0005-0000-0000-0000631F0000}"/>
    <cellStyle name="Heading 4 6 6 3" xfId="25442" xr:uid="{00000000-0005-0000-0000-0000641F0000}"/>
    <cellStyle name="Heading 4 6 6 4" xfId="26959" xr:uid="{00000000-0005-0000-0000-0000651F0000}"/>
    <cellStyle name="Heading 4 6 7" xfId="12442" xr:uid="{00000000-0005-0000-0000-0000661F0000}"/>
    <cellStyle name="Heading 4 6 8" xfId="22292" xr:uid="{00000000-0005-0000-0000-0000671F0000}"/>
    <cellStyle name="Heading 4 6 9" xfId="23999" xr:uid="{00000000-0005-0000-0000-0000681F0000}"/>
    <cellStyle name="Heading 4 7" xfId="1513" xr:uid="{00000000-0005-0000-0000-0000691F0000}"/>
    <cellStyle name="Heading 4 7 2" xfId="2610" xr:uid="{00000000-0005-0000-0000-00006A1F0000}"/>
    <cellStyle name="Heading 4 7 2 2" xfId="4922" xr:uid="{00000000-0005-0000-0000-00006B1F0000}"/>
    <cellStyle name="Heading 4 7 2 2 2" xfId="9873" xr:uid="{00000000-0005-0000-0000-00006C1F0000}"/>
    <cellStyle name="Heading 4 7 2 2 2 2" xfId="20770" xr:uid="{00000000-0005-0000-0000-00006D1F0000}"/>
    <cellStyle name="Heading 4 7 2 2 2 3" xfId="24901" xr:uid="{00000000-0005-0000-0000-00006E1F0000}"/>
    <cellStyle name="Heading 4 7 2 2 2 4" xfId="26418" xr:uid="{00000000-0005-0000-0000-00006F1F0000}"/>
    <cellStyle name="Heading 4 7 2 2 3" xfId="10869" xr:uid="{00000000-0005-0000-0000-0000701F0000}"/>
    <cellStyle name="Heading 4 7 2 2 3 2" xfId="21766" xr:uid="{00000000-0005-0000-0000-0000711F0000}"/>
    <cellStyle name="Heading 4 7 2 2 3 3" xfId="25896" xr:uid="{00000000-0005-0000-0000-0000721F0000}"/>
    <cellStyle name="Heading 4 7 2 2 3 4" xfId="27413" xr:uid="{00000000-0005-0000-0000-0000731F0000}"/>
    <cellStyle name="Heading 4 7 2 2 4" xfId="15819" xr:uid="{00000000-0005-0000-0000-0000741F0000}"/>
    <cellStyle name="Heading 4 7 2 2 5" xfId="23212" xr:uid="{00000000-0005-0000-0000-0000751F0000}"/>
    <cellStyle name="Heading 4 7 2 2 6" xfId="23007" xr:uid="{00000000-0005-0000-0000-0000761F0000}"/>
    <cellStyle name="Heading 4 7 2 3" xfId="5249" xr:uid="{00000000-0005-0000-0000-0000771F0000}"/>
    <cellStyle name="Heading 4 7 2 3 2" xfId="10200" xr:uid="{00000000-0005-0000-0000-0000781F0000}"/>
    <cellStyle name="Heading 4 7 2 3 2 2" xfId="21097" xr:uid="{00000000-0005-0000-0000-0000791F0000}"/>
    <cellStyle name="Heading 4 7 2 3 2 3" xfId="25227" xr:uid="{00000000-0005-0000-0000-00007A1F0000}"/>
    <cellStyle name="Heading 4 7 2 3 2 4" xfId="26744" xr:uid="{00000000-0005-0000-0000-00007B1F0000}"/>
    <cellStyle name="Heading 4 7 2 3 3" xfId="11195" xr:uid="{00000000-0005-0000-0000-00007C1F0000}"/>
    <cellStyle name="Heading 4 7 2 3 3 2" xfId="22092" xr:uid="{00000000-0005-0000-0000-00007D1F0000}"/>
    <cellStyle name="Heading 4 7 2 3 3 3" xfId="26222" xr:uid="{00000000-0005-0000-0000-00007E1F0000}"/>
    <cellStyle name="Heading 4 7 2 3 3 4" xfId="27739" xr:uid="{00000000-0005-0000-0000-00007F1F0000}"/>
    <cellStyle name="Heading 4 7 2 3 4" xfId="16146" xr:uid="{00000000-0005-0000-0000-0000801F0000}"/>
    <cellStyle name="Heading 4 7 2 3 5" xfId="23538" xr:uid="{00000000-0005-0000-0000-0000811F0000}"/>
    <cellStyle name="Heading 4 7 2 3 6" xfId="22398" xr:uid="{00000000-0005-0000-0000-0000821F0000}"/>
    <cellStyle name="Heading 4 7 2 4" xfId="7561" xr:uid="{00000000-0005-0000-0000-0000831F0000}"/>
    <cellStyle name="Heading 4 7 2 4 2" xfId="18458" xr:uid="{00000000-0005-0000-0000-0000841F0000}"/>
    <cellStyle name="Heading 4 7 2 4 3" xfId="24220" xr:uid="{00000000-0005-0000-0000-0000851F0000}"/>
    <cellStyle name="Heading 4 7 2 4 4" xfId="23122" xr:uid="{00000000-0005-0000-0000-0000861F0000}"/>
    <cellStyle name="Heading 4 7 2 5" xfId="10527" xr:uid="{00000000-0005-0000-0000-0000871F0000}"/>
    <cellStyle name="Heading 4 7 2 5 2" xfId="21424" xr:uid="{00000000-0005-0000-0000-0000881F0000}"/>
    <cellStyle name="Heading 4 7 2 5 3" xfId="25554" xr:uid="{00000000-0005-0000-0000-0000891F0000}"/>
    <cellStyle name="Heading 4 7 2 5 4" xfId="27071" xr:uid="{00000000-0005-0000-0000-00008A1F0000}"/>
    <cellStyle name="Heading 4 7 2 6" xfId="13507" xr:uid="{00000000-0005-0000-0000-00008B1F0000}"/>
    <cellStyle name="Heading 4 7 2 7" xfId="22519" xr:uid="{00000000-0005-0000-0000-00008C1F0000}"/>
    <cellStyle name="Heading 4 7 2 8" xfId="22796" xr:uid="{00000000-0005-0000-0000-00008D1F0000}"/>
    <cellStyle name="Heading 4 7 3" xfId="3826" xr:uid="{00000000-0005-0000-0000-00008E1F0000}"/>
    <cellStyle name="Heading 4 7 3 2" xfId="8777" xr:uid="{00000000-0005-0000-0000-00008F1F0000}"/>
    <cellStyle name="Heading 4 7 3 2 2" xfId="19674" xr:uid="{00000000-0005-0000-0000-0000901F0000}"/>
    <cellStyle name="Heading 4 7 3 2 3" xfId="24613" xr:uid="{00000000-0005-0000-0000-0000911F0000}"/>
    <cellStyle name="Heading 4 7 3 2 4" xfId="26307" xr:uid="{00000000-0005-0000-0000-0000921F0000}"/>
    <cellStyle name="Heading 4 7 3 3" xfId="10758" xr:uid="{00000000-0005-0000-0000-0000931F0000}"/>
    <cellStyle name="Heading 4 7 3 3 2" xfId="21655" xr:uid="{00000000-0005-0000-0000-0000941F0000}"/>
    <cellStyle name="Heading 4 7 3 3 3" xfId="25785" xr:uid="{00000000-0005-0000-0000-0000951F0000}"/>
    <cellStyle name="Heading 4 7 3 3 4" xfId="27302" xr:uid="{00000000-0005-0000-0000-0000961F0000}"/>
    <cellStyle name="Heading 4 7 3 4" xfId="14723" xr:uid="{00000000-0005-0000-0000-0000971F0000}"/>
    <cellStyle name="Heading 4 7 3 5" xfId="22926" xr:uid="{00000000-0005-0000-0000-0000981F0000}"/>
    <cellStyle name="Heading 4 7 3 6" xfId="22348" xr:uid="{00000000-0005-0000-0000-0000991F0000}"/>
    <cellStyle name="Heading 4 7 4" xfId="5138" xr:uid="{00000000-0005-0000-0000-00009A1F0000}"/>
    <cellStyle name="Heading 4 7 4 2" xfId="10089" xr:uid="{00000000-0005-0000-0000-00009B1F0000}"/>
    <cellStyle name="Heading 4 7 4 2 2" xfId="20986" xr:uid="{00000000-0005-0000-0000-00009C1F0000}"/>
    <cellStyle name="Heading 4 7 4 2 3" xfId="25116" xr:uid="{00000000-0005-0000-0000-00009D1F0000}"/>
    <cellStyle name="Heading 4 7 4 2 4" xfId="26633" xr:uid="{00000000-0005-0000-0000-00009E1F0000}"/>
    <cellStyle name="Heading 4 7 4 3" xfId="11084" xr:uid="{00000000-0005-0000-0000-00009F1F0000}"/>
    <cellStyle name="Heading 4 7 4 3 2" xfId="21981" xr:uid="{00000000-0005-0000-0000-0000A01F0000}"/>
    <cellStyle name="Heading 4 7 4 3 3" xfId="26111" xr:uid="{00000000-0005-0000-0000-0000A11F0000}"/>
    <cellStyle name="Heading 4 7 4 3 4" xfId="27628" xr:uid="{00000000-0005-0000-0000-0000A21F0000}"/>
    <cellStyle name="Heading 4 7 4 4" xfId="16035" xr:uid="{00000000-0005-0000-0000-0000A31F0000}"/>
    <cellStyle name="Heading 4 7 4 5" xfId="23427" xr:uid="{00000000-0005-0000-0000-0000A41F0000}"/>
    <cellStyle name="Heading 4 7 4 6" xfId="22280" xr:uid="{00000000-0005-0000-0000-0000A51F0000}"/>
    <cellStyle name="Heading 4 7 5" xfId="6465" xr:uid="{00000000-0005-0000-0000-0000A61F0000}"/>
    <cellStyle name="Heading 4 7 5 2" xfId="17362" xr:uid="{00000000-0005-0000-0000-0000A71F0000}"/>
    <cellStyle name="Heading 4 7 5 3" xfId="23938" xr:uid="{00000000-0005-0000-0000-0000A81F0000}"/>
    <cellStyle name="Heading 4 7 5 4" xfId="22323" xr:uid="{00000000-0005-0000-0000-0000A91F0000}"/>
    <cellStyle name="Heading 4 7 6" xfId="10416" xr:uid="{00000000-0005-0000-0000-0000AA1F0000}"/>
    <cellStyle name="Heading 4 7 6 2" xfId="21313" xr:uid="{00000000-0005-0000-0000-0000AB1F0000}"/>
    <cellStyle name="Heading 4 7 6 3" xfId="25443" xr:uid="{00000000-0005-0000-0000-0000AC1F0000}"/>
    <cellStyle name="Heading 4 7 6 4" xfId="26960" xr:uid="{00000000-0005-0000-0000-0000AD1F0000}"/>
    <cellStyle name="Heading 4 7 7" xfId="12448" xr:uid="{00000000-0005-0000-0000-0000AE1F0000}"/>
    <cellStyle name="Heading 4 7 8" xfId="22294" xr:uid="{00000000-0005-0000-0000-0000AF1F0000}"/>
    <cellStyle name="Heading 4 7 9" xfId="22799" xr:uid="{00000000-0005-0000-0000-0000B01F0000}"/>
    <cellStyle name="Heading 4 8" xfId="1516" xr:uid="{00000000-0005-0000-0000-0000B11F0000}"/>
    <cellStyle name="Heading 4 8 2" xfId="2612" xr:uid="{00000000-0005-0000-0000-0000B21F0000}"/>
    <cellStyle name="Heading 4 8 2 2" xfId="4924" xr:uid="{00000000-0005-0000-0000-0000B31F0000}"/>
    <cellStyle name="Heading 4 8 2 2 2" xfId="9875" xr:uid="{00000000-0005-0000-0000-0000B41F0000}"/>
    <cellStyle name="Heading 4 8 2 2 2 2" xfId="20772" xr:uid="{00000000-0005-0000-0000-0000B51F0000}"/>
    <cellStyle name="Heading 4 8 2 2 2 3" xfId="24902" xr:uid="{00000000-0005-0000-0000-0000B61F0000}"/>
    <cellStyle name="Heading 4 8 2 2 2 4" xfId="26419" xr:uid="{00000000-0005-0000-0000-0000B71F0000}"/>
    <cellStyle name="Heading 4 8 2 2 3" xfId="10870" xr:uid="{00000000-0005-0000-0000-0000B81F0000}"/>
    <cellStyle name="Heading 4 8 2 2 3 2" xfId="21767" xr:uid="{00000000-0005-0000-0000-0000B91F0000}"/>
    <cellStyle name="Heading 4 8 2 2 3 3" xfId="25897" xr:uid="{00000000-0005-0000-0000-0000BA1F0000}"/>
    <cellStyle name="Heading 4 8 2 2 3 4" xfId="27414" xr:uid="{00000000-0005-0000-0000-0000BB1F0000}"/>
    <cellStyle name="Heading 4 8 2 2 4" xfId="15821" xr:uid="{00000000-0005-0000-0000-0000BC1F0000}"/>
    <cellStyle name="Heading 4 8 2 2 5" xfId="23213" xr:uid="{00000000-0005-0000-0000-0000BD1F0000}"/>
    <cellStyle name="Heading 4 8 2 2 6" xfId="23842" xr:uid="{00000000-0005-0000-0000-0000BE1F0000}"/>
    <cellStyle name="Heading 4 8 2 3" xfId="5250" xr:uid="{00000000-0005-0000-0000-0000BF1F0000}"/>
    <cellStyle name="Heading 4 8 2 3 2" xfId="10201" xr:uid="{00000000-0005-0000-0000-0000C01F0000}"/>
    <cellStyle name="Heading 4 8 2 3 2 2" xfId="21098" xr:uid="{00000000-0005-0000-0000-0000C11F0000}"/>
    <cellStyle name="Heading 4 8 2 3 2 3" xfId="25228" xr:uid="{00000000-0005-0000-0000-0000C21F0000}"/>
    <cellStyle name="Heading 4 8 2 3 2 4" xfId="26745" xr:uid="{00000000-0005-0000-0000-0000C31F0000}"/>
    <cellStyle name="Heading 4 8 2 3 3" xfId="11196" xr:uid="{00000000-0005-0000-0000-0000C41F0000}"/>
    <cellStyle name="Heading 4 8 2 3 3 2" xfId="22093" xr:uid="{00000000-0005-0000-0000-0000C51F0000}"/>
    <cellStyle name="Heading 4 8 2 3 3 3" xfId="26223" xr:uid="{00000000-0005-0000-0000-0000C61F0000}"/>
    <cellStyle name="Heading 4 8 2 3 3 4" xfId="27740" xr:uid="{00000000-0005-0000-0000-0000C71F0000}"/>
    <cellStyle name="Heading 4 8 2 3 4" xfId="16147" xr:uid="{00000000-0005-0000-0000-0000C81F0000}"/>
    <cellStyle name="Heading 4 8 2 3 5" xfId="23539" xr:uid="{00000000-0005-0000-0000-0000C91F0000}"/>
    <cellStyle name="Heading 4 8 2 3 6" xfId="22186" xr:uid="{00000000-0005-0000-0000-0000CA1F0000}"/>
    <cellStyle name="Heading 4 8 2 4" xfId="7563" xr:uid="{00000000-0005-0000-0000-0000CB1F0000}"/>
    <cellStyle name="Heading 4 8 2 4 2" xfId="18460" xr:uid="{00000000-0005-0000-0000-0000CC1F0000}"/>
    <cellStyle name="Heading 4 8 2 4 3" xfId="24221" xr:uid="{00000000-0005-0000-0000-0000CD1F0000}"/>
    <cellStyle name="Heading 4 8 2 4 4" xfId="22225" xr:uid="{00000000-0005-0000-0000-0000CE1F0000}"/>
    <cellStyle name="Heading 4 8 2 5" xfId="10528" xr:uid="{00000000-0005-0000-0000-0000CF1F0000}"/>
    <cellStyle name="Heading 4 8 2 5 2" xfId="21425" xr:uid="{00000000-0005-0000-0000-0000D01F0000}"/>
    <cellStyle name="Heading 4 8 2 5 3" xfId="25555" xr:uid="{00000000-0005-0000-0000-0000D11F0000}"/>
    <cellStyle name="Heading 4 8 2 5 4" xfId="27072" xr:uid="{00000000-0005-0000-0000-0000D21F0000}"/>
    <cellStyle name="Heading 4 8 2 6" xfId="13509" xr:uid="{00000000-0005-0000-0000-0000D31F0000}"/>
    <cellStyle name="Heading 4 8 2 7" xfId="22520" xr:uid="{00000000-0005-0000-0000-0000D41F0000}"/>
    <cellStyle name="Heading 4 8 2 8" xfId="24810" xr:uid="{00000000-0005-0000-0000-0000D51F0000}"/>
    <cellStyle name="Heading 4 8 3" xfId="3828" xr:uid="{00000000-0005-0000-0000-0000D61F0000}"/>
    <cellStyle name="Heading 4 8 3 2" xfId="8779" xr:uid="{00000000-0005-0000-0000-0000D71F0000}"/>
    <cellStyle name="Heading 4 8 3 2 2" xfId="19676" xr:uid="{00000000-0005-0000-0000-0000D81F0000}"/>
    <cellStyle name="Heading 4 8 3 2 3" xfId="24614" xr:uid="{00000000-0005-0000-0000-0000D91F0000}"/>
    <cellStyle name="Heading 4 8 3 2 4" xfId="26308" xr:uid="{00000000-0005-0000-0000-0000DA1F0000}"/>
    <cellStyle name="Heading 4 8 3 3" xfId="10759" xr:uid="{00000000-0005-0000-0000-0000DB1F0000}"/>
    <cellStyle name="Heading 4 8 3 3 2" xfId="21656" xr:uid="{00000000-0005-0000-0000-0000DC1F0000}"/>
    <cellStyle name="Heading 4 8 3 3 3" xfId="25786" xr:uid="{00000000-0005-0000-0000-0000DD1F0000}"/>
    <cellStyle name="Heading 4 8 3 3 4" xfId="27303" xr:uid="{00000000-0005-0000-0000-0000DE1F0000}"/>
    <cellStyle name="Heading 4 8 3 4" xfId="14725" xr:uid="{00000000-0005-0000-0000-0000DF1F0000}"/>
    <cellStyle name="Heading 4 8 3 5" xfId="22927" xr:uid="{00000000-0005-0000-0000-0000E01F0000}"/>
    <cellStyle name="Heading 4 8 3 6" xfId="24469" xr:uid="{00000000-0005-0000-0000-0000E11F0000}"/>
    <cellStyle name="Heading 4 8 4" xfId="5139" xr:uid="{00000000-0005-0000-0000-0000E21F0000}"/>
    <cellStyle name="Heading 4 8 4 2" xfId="10090" xr:uid="{00000000-0005-0000-0000-0000E31F0000}"/>
    <cellStyle name="Heading 4 8 4 2 2" xfId="20987" xr:uid="{00000000-0005-0000-0000-0000E41F0000}"/>
    <cellStyle name="Heading 4 8 4 2 3" xfId="25117" xr:uid="{00000000-0005-0000-0000-0000E51F0000}"/>
    <cellStyle name="Heading 4 8 4 2 4" xfId="26634" xr:uid="{00000000-0005-0000-0000-0000E61F0000}"/>
    <cellStyle name="Heading 4 8 4 3" xfId="11085" xr:uid="{00000000-0005-0000-0000-0000E71F0000}"/>
    <cellStyle name="Heading 4 8 4 3 2" xfId="21982" xr:uid="{00000000-0005-0000-0000-0000E81F0000}"/>
    <cellStyle name="Heading 4 8 4 3 3" xfId="26112" xr:uid="{00000000-0005-0000-0000-0000E91F0000}"/>
    <cellStyle name="Heading 4 8 4 3 4" xfId="27629" xr:uid="{00000000-0005-0000-0000-0000EA1F0000}"/>
    <cellStyle name="Heading 4 8 4 4" xfId="16036" xr:uid="{00000000-0005-0000-0000-0000EB1F0000}"/>
    <cellStyle name="Heading 4 8 4 5" xfId="23428" xr:uid="{00000000-0005-0000-0000-0000EC1F0000}"/>
    <cellStyle name="Heading 4 8 4 6" xfId="23925" xr:uid="{00000000-0005-0000-0000-0000ED1F0000}"/>
    <cellStyle name="Heading 4 8 5" xfId="6467" xr:uid="{00000000-0005-0000-0000-0000EE1F0000}"/>
    <cellStyle name="Heading 4 8 5 2" xfId="17364" xr:uid="{00000000-0005-0000-0000-0000EF1F0000}"/>
    <cellStyle name="Heading 4 8 5 3" xfId="23939" xr:uid="{00000000-0005-0000-0000-0000F01F0000}"/>
    <cellStyle name="Heading 4 8 5 4" xfId="24424" xr:uid="{00000000-0005-0000-0000-0000F11F0000}"/>
    <cellStyle name="Heading 4 8 6" xfId="10417" xr:uid="{00000000-0005-0000-0000-0000F21F0000}"/>
    <cellStyle name="Heading 4 8 6 2" xfId="21314" xr:uid="{00000000-0005-0000-0000-0000F31F0000}"/>
    <cellStyle name="Heading 4 8 6 3" xfId="25444" xr:uid="{00000000-0005-0000-0000-0000F41F0000}"/>
    <cellStyle name="Heading 4 8 6 4" xfId="26961" xr:uid="{00000000-0005-0000-0000-0000F51F0000}"/>
    <cellStyle name="Heading 4 8 7" xfId="12451" xr:uid="{00000000-0005-0000-0000-0000F61F0000}"/>
    <cellStyle name="Heading 4 8 8" xfId="22295" xr:uid="{00000000-0005-0000-0000-0000F71F0000}"/>
    <cellStyle name="Heading 4 8 9" xfId="23126" xr:uid="{00000000-0005-0000-0000-0000F81F0000}"/>
    <cellStyle name="Hyperlink" xfId="1429" builtinId="8"/>
    <cellStyle name="Hyperlink 2" xfId="1452" xr:uid="{00000000-0005-0000-0000-0000FA1F0000}"/>
    <cellStyle name="Input 2" xfId="231" xr:uid="{00000000-0005-0000-0000-0000FB1F0000}"/>
    <cellStyle name="Input 2 10" xfId="22595" xr:uid="{00000000-0005-0000-0000-0000FC1F0000}"/>
    <cellStyle name="Input 2 2" xfId="434" xr:uid="{00000000-0005-0000-0000-0000FD1F0000}"/>
    <cellStyle name="Input 2 2 10" xfId="22205" xr:uid="{00000000-0005-0000-0000-0000FE1F0000}"/>
    <cellStyle name="Input 2 2 2" xfId="699" xr:uid="{00000000-0005-0000-0000-0000FF1F0000}"/>
    <cellStyle name="Input 2 2 2 2" xfId="1231" xr:uid="{00000000-0005-0000-0000-000000200000}"/>
    <cellStyle name="Input 2 2 2 2 2" xfId="2388" xr:uid="{00000000-0005-0000-0000-000001200000}"/>
    <cellStyle name="Input 2 2 2 2 2 2" xfId="4700" xr:uid="{00000000-0005-0000-0000-000002200000}"/>
    <cellStyle name="Input 2 2 2 2 2 2 2" xfId="9651" xr:uid="{00000000-0005-0000-0000-000003200000}"/>
    <cellStyle name="Input 2 2 2 2 2 2 2 2" xfId="20548" xr:uid="{00000000-0005-0000-0000-000004200000}"/>
    <cellStyle name="Input 2 2 2 2 2 2 2 3" xfId="24819" xr:uid="{00000000-0005-0000-0000-000005200000}"/>
    <cellStyle name="Input 2 2 2 2 2 2 2 4" xfId="26388" xr:uid="{00000000-0005-0000-0000-000006200000}"/>
    <cellStyle name="Input 2 2 2 2 2 2 3" xfId="10839" xr:uid="{00000000-0005-0000-0000-000007200000}"/>
    <cellStyle name="Input 2 2 2 2 2 2 3 2" xfId="21736" xr:uid="{00000000-0005-0000-0000-000008200000}"/>
    <cellStyle name="Input 2 2 2 2 2 2 3 3" xfId="25866" xr:uid="{00000000-0005-0000-0000-000009200000}"/>
    <cellStyle name="Input 2 2 2 2 2 2 3 4" xfId="27383" xr:uid="{00000000-0005-0000-0000-00000A200000}"/>
    <cellStyle name="Input 2 2 2 2 2 2 4" xfId="15597" xr:uid="{00000000-0005-0000-0000-00000B200000}"/>
    <cellStyle name="Input 2 2 2 2 2 2 5" xfId="23132" xr:uid="{00000000-0005-0000-0000-00000C200000}"/>
    <cellStyle name="Input 2 2 2 2 2 2 6" xfId="22955" xr:uid="{00000000-0005-0000-0000-00000D200000}"/>
    <cellStyle name="Input 2 2 2 2 2 3" xfId="5219" xr:uid="{00000000-0005-0000-0000-00000E200000}"/>
    <cellStyle name="Input 2 2 2 2 2 3 2" xfId="10170" xr:uid="{00000000-0005-0000-0000-00000F200000}"/>
    <cellStyle name="Input 2 2 2 2 2 3 2 2" xfId="21067" xr:uid="{00000000-0005-0000-0000-000010200000}"/>
    <cellStyle name="Input 2 2 2 2 2 3 2 3" xfId="25197" xr:uid="{00000000-0005-0000-0000-000011200000}"/>
    <cellStyle name="Input 2 2 2 2 2 3 2 4" xfId="26714" xr:uid="{00000000-0005-0000-0000-000012200000}"/>
    <cellStyle name="Input 2 2 2 2 2 3 3" xfId="11165" xr:uid="{00000000-0005-0000-0000-000013200000}"/>
    <cellStyle name="Input 2 2 2 2 2 3 3 2" xfId="22062" xr:uid="{00000000-0005-0000-0000-000014200000}"/>
    <cellStyle name="Input 2 2 2 2 2 3 3 3" xfId="26192" xr:uid="{00000000-0005-0000-0000-000015200000}"/>
    <cellStyle name="Input 2 2 2 2 2 3 3 4" xfId="27709" xr:uid="{00000000-0005-0000-0000-000016200000}"/>
    <cellStyle name="Input 2 2 2 2 2 3 4" xfId="16116" xr:uid="{00000000-0005-0000-0000-000017200000}"/>
    <cellStyle name="Input 2 2 2 2 2 3 5" xfId="23508" xr:uid="{00000000-0005-0000-0000-000018200000}"/>
    <cellStyle name="Input 2 2 2 2 2 3 6" xfId="22289" xr:uid="{00000000-0005-0000-0000-000019200000}"/>
    <cellStyle name="Input 2 2 2 2 2 4" xfId="7339" xr:uid="{00000000-0005-0000-0000-00001A200000}"/>
    <cellStyle name="Input 2 2 2 2 2 4 2" xfId="18236" xr:uid="{00000000-0005-0000-0000-00001B200000}"/>
    <cellStyle name="Input 2 2 2 2 2 4 3" xfId="24146" xr:uid="{00000000-0005-0000-0000-00001C200000}"/>
    <cellStyle name="Input 2 2 2 2 2 4 4" xfId="22692" xr:uid="{00000000-0005-0000-0000-00001D200000}"/>
    <cellStyle name="Input 2 2 2 2 2 5" xfId="10497" xr:uid="{00000000-0005-0000-0000-00001E200000}"/>
    <cellStyle name="Input 2 2 2 2 2 5 2" xfId="21394" xr:uid="{00000000-0005-0000-0000-00001F200000}"/>
    <cellStyle name="Input 2 2 2 2 2 5 3" xfId="25524" xr:uid="{00000000-0005-0000-0000-000020200000}"/>
    <cellStyle name="Input 2 2 2 2 2 5 4" xfId="27041" xr:uid="{00000000-0005-0000-0000-000021200000}"/>
    <cellStyle name="Input 2 2 2 2 2 6" xfId="13299" xr:uid="{00000000-0005-0000-0000-000022200000}"/>
    <cellStyle name="Input 2 2 2 2 2 7" xfId="22119" xr:uid="{00000000-0005-0000-0000-000023200000}"/>
    <cellStyle name="Input 2 2 2 2 3" xfId="3555" xr:uid="{00000000-0005-0000-0000-000024200000}"/>
    <cellStyle name="Input 2 2 2 2 3 2" xfId="8506" xr:uid="{00000000-0005-0000-0000-000025200000}"/>
    <cellStyle name="Input 2 2 2 2 3 2 2" xfId="19403" xr:uid="{00000000-0005-0000-0000-000026200000}"/>
    <cellStyle name="Input 2 2 2 2 3 2 3" xfId="24495" xr:uid="{00000000-0005-0000-0000-000027200000}"/>
    <cellStyle name="Input 2 2 2 2 3 2 4" xfId="26228" xr:uid="{00000000-0005-0000-0000-000028200000}"/>
    <cellStyle name="Input 2 2 2 2 3 3" xfId="10679" xr:uid="{00000000-0005-0000-0000-000029200000}"/>
    <cellStyle name="Input 2 2 2 2 3 3 2" xfId="21576" xr:uid="{00000000-0005-0000-0000-00002A200000}"/>
    <cellStyle name="Input 2 2 2 2 3 3 3" xfId="25706" xr:uid="{00000000-0005-0000-0000-00002B200000}"/>
    <cellStyle name="Input 2 2 2 2 3 3 4" xfId="27223" xr:uid="{00000000-0005-0000-0000-00002C200000}"/>
    <cellStyle name="Input 2 2 2 2 3 4" xfId="14452" xr:uid="{00000000-0005-0000-0000-00002D200000}"/>
    <cellStyle name="Input 2 2 2 2 3 5" xfId="22806" xr:uid="{00000000-0005-0000-0000-00002E200000}"/>
    <cellStyle name="Input 2 2 2 2 3 6" xfId="24393" xr:uid="{00000000-0005-0000-0000-00002F200000}"/>
    <cellStyle name="Input 2 2 2 2 4" xfId="5060" xr:uid="{00000000-0005-0000-0000-000030200000}"/>
    <cellStyle name="Input 2 2 2 2 4 2" xfId="10011" xr:uid="{00000000-0005-0000-0000-000031200000}"/>
    <cellStyle name="Input 2 2 2 2 4 2 2" xfId="20908" xr:uid="{00000000-0005-0000-0000-000032200000}"/>
    <cellStyle name="Input 2 2 2 2 4 2 3" xfId="25038" xr:uid="{00000000-0005-0000-0000-000033200000}"/>
    <cellStyle name="Input 2 2 2 2 4 2 4" xfId="26555" xr:uid="{00000000-0005-0000-0000-000034200000}"/>
    <cellStyle name="Input 2 2 2 2 4 3" xfId="11006" xr:uid="{00000000-0005-0000-0000-000035200000}"/>
    <cellStyle name="Input 2 2 2 2 4 3 2" xfId="21903" xr:uid="{00000000-0005-0000-0000-000036200000}"/>
    <cellStyle name="Input 2 2 2 2 4 3 3" xfId="26033" xr:uid="{00000000-0005-0000-0000-000037200000}"/>
    <cellStyle name="Input 2 2 2 2 4 3 4" xfId="27550" xr:uid="{00000000-0005-0000-0000-000038200000}"/>
    <cellStyle name="Input 2 2 2 2 4 4" xfId="15957" xr:uid="{00000000-0005-0000-0000-000039200000}"/>
    <cellStyle name="Input 2 2 2 2 4 5" xfId="23349" xr:uid="{00000000-0005-0000-0000-00003A200000}"/>
    <cellStyle name="Input 2 2 2 2 4 6" xfId="22116" xr:uid="{00000000-0005-0000-0000-00003B200000}"/>
    <cellStyle name="Input 2 2 2 2 5" xfId="6194" xr:uid="{00000000-0005-0000-0000-00003C200000}"/>
    <cellStyle name="Input 2 2 2 2 5 2" xfId="17091" xr:uid="{00000000-0005-0000-0000-00003D200000}"/>
    <cellStyle name="Input 2 2 2 2 5 3" xfId="23820" xr:uid="{00000000-0005-0000-0000-00003E200000}"/>
    <cellStyle name="Input 2 2 2 2 5 4" xfId="23975" xr:uid="{00000000-0005-0000-0000-00003F200000}"/>
    <cellStyle name="Input 2 2 2 2 6" xfId="10338" xr:uid="{00000000-0005-0000-0000-000040200000}"/>
    <cellStyle name="Input 2 2 2 2 6 2" xfId="21235" xr:uid="{00000000-0005-0000-0000-000041200000}"/>
    <cellStyle name="Input 2 2 2 2 6 3" xfId="25365" xr:uid="{00000000-0005-0000-0000-000042200000}"/>
    <cellStyle name="Input 2 2 2 2 6 4" xfId="26882" xr:uid="{00000000-0005-0000-0000-000043200000}"/>
    <cellStyle name="Input 2 2 2 2 7" xfId="12181" xr:uid="{00000000-0005-0000-0000-000044200000}"/>
    <cellStyle name="Input 2 2 2 2 8" xfId="22458" xr:uid="{00000000-0005-0000-0000-000045200000}"/>
    <cellStyle name="Input 2 2 2 3" xfId="1401" xr:uid="{00000000-0005-0000-0000-000046200000}"/>
    <cellStyle name="Input 2 2 2 3 2" xfId="3725" xr:uid="{00000000-0005-0000-0000-000047200000}"/>
    <cellStyle name="Input 2 2 2 3 2 2" xfId="8676" xr:uid="{00000000-0005-0000-0000-000048200000}"/>
    <cellStyle name="Input 2 2 2 3 2 2 2" xfId="19573" xr:uid="{00000000-0005-0000-0000-000049200000}"/>
    <cellStyle name="Input 2 2 2 3 2 2 3" xfId="24570" xr:uid="{00000000-0005-0000-0000-00004A200000}"/>
    <cellStyle name="Input 2 2 2 3 2 2 4" xfId="26288" xr:uid="{00000000-0005-0000-0000-00004B200000}"/>
    <cellStyle name="Input 2 2 2 3 2 3" xfId="10739" xr:uid="{00000000-0005-0000-0000-00004C200000}"/>
    <cellStyle name="Input 2 2 2 3 2 3 2" xfId="21636" xr:uid="{00000000-0005-0000-0000-00004D200000}"/>
    <cellStyle name="Input 2 2 2 3 2 3 3" xfId="25766" xr:uid="{00000000-0005-0000-0000-00004E200000}"/>
    <cellStyle name="Input 2 2 2 3 2 3 4" xfId="27283" xr:uid="{00000000-0005-0000-0000-00004F200000}"/>
    <cellStyle name="Input 2 2 2 3 2 4" xfId="14622" xr:uid="{00000000-0005-0000-0000-000050200000}"/>
    <cellStyle name="Input 2 2 2 3 2 5" xfId="22882" xr:uid="{00000000-0005-0000-0000-000051200000}"/>
    <cellStyle name="Input 2 2 2 3 2 6" xfId="24686" xr:uid="{00000000-0005-0000-0000-000052200000}"/>
    <cellStyle name="Input 2 2 2 3 3" xfId="5120" xr:uid="{00000000-0005-0000-0000-000053200000}"/>
    <cellStyle name="Input 2 2 2 3 3 2" xfId="10071" xr:uid="{00000000-0005-0000-0000-000054200000}"/>
    <cellStyle name="Input 2 2 2 3 3 2 2" xfId="20968" xr:uid="{00000000-0005-0000-0000-000055200000}"/>
    <cellStyle name="Input 2 2 2 3 3 2 3" xfId="25098" xr:uid="{00000000-0005-0000-0000-000056200000}"/>
    <cellStyle name="Input 2 2 2 3 3 2 4" xfId="26615" xr:uid="{00000000-0005-0000-0000-000057200000}"/>
    <cellStyle name="Input 2 2 2 3 3 3" xfId="11066" xr:uid="{00000000-0005-0000-0000-000058200000}"/>
    <cellStyle name="Input 2 2 2 3 3 3 2" xfId="21963" xr:uid="{00000000-0005-0000-0000-000059200000}"/>
    <cellStyle name="Input 2 2 2 3 3 3 3" xfId="26093" xr:uid="{00000000-0005-0000-0000-00005A200000}"/>
    <cellStyle name="Input 2 2 2 3 3 3 4" xfId="27610" xr:uid="{00000000-0005-0000-0000-00005B200000}"/>
    <cellStyle name="Input 2 2 2 3 3 4" xfId="16017" xr:uid="{00000000-0005-0000-0000-00005C200000}"/>
    <cellStyle name="Input 2 2 2 3 3 5" xfId="23409" xr:uid="{00000000-0005-0000-0000-00005D200000}"/>
    <cellStyle name="Input 2 2 2 3 3 6" xfId="24523" xr:uid="{00000000-0005-0000-0000-00005E200000}"/>
    <cellStyle name="Input 2 2 2 3 4" xfId="6364" xr:uid="{00000000-0005-0000-0000-00005F200000}"/>
    <cellStyle name="Input 2 2 2 3 4 2" xfId="17261" xr:uid="{00000000-0005-0000-0000-000060200000}"/>
    <cellStyle name="Input 2 2 2 3 4 3" xfId="23895" xr:uid="{00000000-0005-0000-0000-000061200000}"/>
    <cellStyle name="Input 2 2 2 3 4 4" xfId="24264" xr:uid="{00000000-0005-0000-0000-000062200000}"/>
    <cellStyle name="Input 2 2 2 3 5" xfId="10398" xr:uid="{00000000-0005-0000-0000-000063200000}"/>
    <cellStyle name="Input 2 2 2 3 5 2" xfId="21295" xr:uid="{00000000-0005-0000-0000-000064200000}"/>
    <cellStyle name="Input 2 2 2 3 5 3" xfId="25425" xr:uid="{00000000-0005-0000-0000-000065200000}"/>
    <cellStyle name="Input 2 2 2 3 5 4" xfId="26942" xr:uid="{00000000-0005-0000-0000-000066200000}"/>
    <cellStyle name="Input 2 2 2 3 6" xfId="12341" xr:uid="{00000000-0005-0000-0000-000067200000}"/>
    <cellStyle name="Input 2 2 2 3 7" xfId="24658" xr:uid="{00000000-0005-0000-0000-000068200000}"/>
    <cellStyle name="Input 2 2 2 4" xfId="3023" xr:uid="{00000000-0005-0000-0000-000069200000}"/>
    <cellStyle name="Input 2 2 2 4 2" xfId="7974" xr:uid="{00000000-0005-0000-0000-00006A200000}"/>
    <cellStyle name="Input 2 2 2 4 2 2" xfId="18871" xr:uid="{00000000-0005-0000-0000-00006B200000}"/>
    <cellStyle name="Input 2 2 2 4 2 3" xfId="24340" xr:uid="{00000000-0005-0000-0000-00006C200000}"/>
    <cellStyle name="Input 2 2 2 4 2 4" xfId="22371" xr:uid="{00000000-0005-0000-0000-00006D200000}"/>
    <cellStyle name="Input 2 2 2 4 3" xfId="10599" xr:uid="{00000000-0005-0000-0000-00006E200000}"/>
    <cellStyle name="Input 2 2 2 4 3 2" xfId="21496" xr:uid="{00000000-0005-0000-0000-00006F200000}"/>
    <cellStyle name="Input 2 2 2 4 3 3" xfId="25626" xr:uid="{00000000-0005-0000-0000-000070200000}"/>
    <cellStyle name="Input 2 2 2 4 3 4" xfId="27143" xr:uid="{00000000-0005-0000-0000-000071200000}"/>
    <cellStyle name="Input 2 2 2 4 4" xfId="13920" xr:uid="{00000000-0005-0000-0000-000072200000}"/>
    <cellStyle name="Input 2 2 2 4 5" xfId="22644" xr:uid="{00000000-0005-0000-0000-000073200000}"/>
    <cellStyle name="Input 2 2 2 4 6" xfId="23844" xr:uid="{00000000-0005-0000-0000-000074200000}"/>
    <cellStyle name="Input 2 2 2 5" xfId="4980" xr:uid="{00000000-0005-0000-0000-000075200000}"/>
    <cellStyle name="Input 2 2 2 5 2" xfId="9931" xr:uid="{00000000-0005-0000-0000-000076200000}"/>
    <cellStyle name="Input 2 2 2 5 2 2" xfId="20828" xr:uid="{00000000-0005-0000-0000-000077200000}"/>
    <cellStyle name="Input 2 2 2 5 2 3" xfId="24958" xr:uid="{00000000-0005-0000-0000-000078200000}"/>
    <cellStyle name="Input 2 2 2 5 2 4" xfId="26475" xr:uid="{00000000-0005-0000-0000-000079200000}"/>
    <cellStyle name="Input 2 2 2 5 3" xfId="10926" xr:uid="{00000000-0005-0000-0000-00007A200000}"/>
    <cellStyle name="Input 2 2 2 5 3 2" xfId="21823" xr:uid="{00000000-0005-0000-0000-00007B200000}"/>
    <cellStyle name="Input 2 2 2 5 3 3" xfId="25953" xr:uid="{00000000-0005-0000-0000-00007C200000}"/>
    <cellStyle name="Input 2 2 2 5 3 4" xfId="27470" xr:uid="{00000000-0005-0000-0000-00007D200000}"/>
    <cellStyle name="Input 2 2 2 5 4" xfId="15877" xr:uid="{00000000-0005-0000-0000-00007E200000}"/>
    <cellStyle name="Input 2 2 2 5 5" xfId="23269" xr:uid="{00000000-0005-0000-0000-00007F200000}"/>
    <cellStyle name="Input 2 2 2 5 6" xfId="22193" xr:uid="{00000000-0005-0000-0000-000080200000}"/>
    <cellStyle name="Input 2 2 2 6" xfId="5662" xr:uid="{00000000-0005-0000-0000-000081200000}"/>
    <cellStyle name="Input 2 2 2 6 2" xfId="16559" xr:uid="{00000000-0005-0000-0000-000082200000}"/>
    <cellStyle name="Input 2 2 2 6 3" xfId="23662" xr:uid="{00000000-0005-0000-0000-000083200000}"/>
    <cellStyle name="Input 2 2 2 6 4" xfId="22293" xr:uid="{00000000-0005-0000-0000-000084200000}"/>
    <cellStyle name="Input 2 2 2 7" xfId="10258" xr:uid="{00000000-0005-0000-0000-000085200000}"/>
    <cellStyle name="Input 2 2 2 7 2" xfId="21155" xr:uid="{00000000-0005-0000-0000-000086200000}"/>
    <cellStyle name="Input 2 2 2 7 3" xfId="25285" xr:uid="{00000000-0005-0000-0000-000087200000}"/>
    <cellStyle name="Input 2 2 2 7 4" xfId="26802" xr:uid="{00000000-0005-0000-0000-000088200000}"/>
    <cellStyle name="Input 2 2 2 8" xfId="11660" xr:uid="{00000000-0005-0000-0000-000089200000}"/>
    <cellStyle name="Input 2 2 2 9" xfId="22152" xr:uid="{00000000-0005-0000-0000-00008A200000}"/>
    <cellStyle name="Input 2 2 3" xfId="966" xr:uid="{00000000-0005-0000-0000-00008B200000}"/>
    <cellStyle name="Input 2 2 3 2" xfId="2123" xr:uid="{00000000-0005-0000-0000-00008C200000}"/>
    <cellStyle name="Input 2 2 3 2 2" xfId="4435" xr:uid="{00000000-0005-0000-0000-00008D200000}"/>
    <cellStyle name="Input 2 2 3 2 2 2" xfId="9386" xr:uid="{00000000-0005-0000-0000-00008E200000}"/>
    <cellStyle name="Input 2 2 3 2 2 2 2" xfId="20283" xr:uid="{00000000-0005-0000-0000-00008F200000}"/>
    <cellStyle name="Input 2 2 3 2 2 2 3" xfId="24747" xr:uid="{00000000-0005-0000-0000-000090200000}"/>
    <cellStyle name="Input 2 2 3 2 2 2 4" xfId="26348" xr:uid="{00000000-0005-0000-0000-000091200000}"/>
    <cellStyle name="Input 2 2 3 2 2 3" xfId="10799" xr:uid="{00000000-0005-0000-0000-000092200000}"/>
    <cellStyle name="Input 2 2 3 2 2 3 2" xfId="21696" xr:uid="{00000000-0005-0000-0000-000093200000}"/>
    <cellStyle name="Input 2 2 3 2 2 3 3" xfId="25826" xr:uid="{00000000-0005-0000-0000-000094200000}"/>
    <cellStyle name="Input 2 2 3 2 2 3 4" xfId="27343" xr:uid="{00000000-0005-0000-0000-000095200000}"/>
    <cellStyle name="Input 2 2 3 2 2 4" xfId="15332" xr:uid="{00000000-0005-0000-0000-000096200000}"/>
    <cellStyle name="Input 2 2 3 2 2 5" xfId="23057" xr:uid="{00000000-0005-0000-0000-000097200000}"/>
    <cellStyle name="Input 2 2 3 2 2 6" xfId="22748" xr:uid="{00000000-0005-0000-0000-000098200000}"/>
    <cellStyle name="Input 2 2 3 2 3" xfId="5179" xr:uid="{00000000-0005-0000-0000-000099200000}"/>
    <cellStyle name="Input 2 2 3 2 3 2" xfId="10130" xr:uid="{00000000-0005-0000-0000-00009A200000}"/>
    <cellStyle name="Input 2 2 3 2 3 2 2" xfId="21027" xr:uid="{00000000-0005-0000-0000-00009B200000}"/>
    <cellStyle name="Input 2 2 3 2 3 2 3" xfId="25157" xr:uid="{00000000-0005-0000-0000-00009C200000}"/>
    <cellStyle name="Input 2 2 3 2 3 2 4" xfId="26674" xr:uid="{00000000-0005-0000-0000-00009D200000}"/>
    <cellStyle name="Input 2 2 3 2 3 3" xfId="11125" xr:uid="{00000000-0005-0000-0000-00009E200000}"/>
    <cellStyle name="Input 2 2 3 2 3 3 2" xfId="22022" xr:uid="{00000000-0005-0000-0000-00009F200000}"/>
    <cellStyle name="Input 2 2 3 2 3 3 3" xfId="26152" xr:uid="{00000000-0005-0000-0000-0000A0200000}"/>
    <cellStyle name="Input 2 2 3 2 3 3 4" xfId="27669" xr:uid="{00000000-0005-0000-0000-0000A1200000}"/>
    <cellStyle name="Input 2 2 3 2 3 4" xfId="16076" xr:uid="{00000000-0005-0000-0000-0000A2200000}"/>
    <cellStyle name="Input 2 2 3 2 3 5" xfId="23468" xr:uid="{00000000-0005-0000-0000-0000A3200000}"/>
    <cellStyle name="Input 2 2 3 2 3 6" xfId="24298" xr:uid="{00000000-0005-0000-0000-0000A4200000}"/>
    <cellStyle name="Input 2 2 3 2 4" xfId="7074" xr:uid="{00000000-0005-0000-0000-0000A5200000}"/>
    <cellStyle name="Input 2 2 3 2 4 2" xfId="17971" xr:uid="{00000000-0005-0000-0000-0000A6200000}"/>
    <cellStyle name="Input 2 2 3 2 4 3" xfId="24069" xr:uid="{00000000-0005-0000-0000-0000A7200000}"/>
    <cellStyle name="Input 2 2 3 2 4 4" xfId="23551" xr:uid="{00000000-0005-0000-0000-0000A8200000}"/>
    <cellStyle name="Input 2 2 3 2 5" xfId="10457" xr:uid="{00000000-0005-0000-0000-0000A9200000}"/>
    <cellStyle name="Input 2 2 3 2 5 2" xfId="21354" xr:uid="{00000000-0005-0000-0000-0000AA200000}"/>
    <cellStyle name="Input 2 2 3 2 5 3" xfId="25484" xr:uid="{00000000-0005-0000-0000-0000AB200000}"/>
    <cellStyle name="Input 2 2 3 2 5 4" xfId="27001" xr:uid="{00000000-0005-0000-0000-0000AC200000}"/>
    <cellStyle name="Input 2 2 3 2 6" xfId="13040" xr:uid="{00000000-0005-0000-0000-0000AD200000}"/>
    <cellStyle name="Input 2 2 3 2 7" xfId="22833" xr:uid="{00000000-0005-0000-0000-0000AE200000}"/>
    <cellStyle name="Input 2 2 3 3" xfId="3290" xr:uid="{00000000-0005-0000-0000-0000AF200000}"/>
    <cellStyle name="Input 2 2 3 3 2" xfId="8241" xr:uid="{00000000-0005-0000-0000-0000B0200000}"/>
    <cellStyle name="Input 2 2 3 3 2 2" xfId="19138" xr:uid="{00000000-0005-0000-0000-0000B1200000}"/>
    <cellStyle name="Input 2 2 3 3 2 3" xfId="24418" xr:uid="{00000000-0005-0000-0000-0000B2200000}"/>
    <cellStyle name="Input 2 2 3 3 2 4" xfId="22245" xr:uid="{00000000-0005-0000-0000-0000B3200000}"/>
    <cellStyle name="Input 2 2 3 3 3" xfId="10639" xr:uid="{00000000-0005-0000-0000-0000B4200000}"/>
    <cellStyle name="Input 2 2 3 3 3 2" xfId="21536" xr:uid="{00000000-0005-0000-0000-0000B5200000}"/>
    <cellStyle name="Input 2 2 3 3 3 3" xfId="25666" xr:uid="{00000000-0005-0000-0000-0000B6200000}"/>
    <cellStyle name="Input 2 2 3 3 3 4" xfId="27183" xr:uid="{00000000-0005-0000-0000-0000B7200000}"/>
    <cellStyle name="Input 2 2 3 3 4" xfId="14187" xr:uid="{00000000-0005-0000-0000-0000B8200000}"/>
    <cellStyle name="Input 2 2 3 3 5" xfId="22727" xr:uid="{00000000-0005-0000-0000-0000B9200000}"/>
    <cellStyle name="Input 2 2 3 3 6" xfId="11229" xr:uid="{00000000-0005-0000-0000-0000BA200000}"/>
    <cellStyle name="Input 2 2 3 4" xfId="5020" xr:uid="{00000000-0005-0000-0000-0000BB200000}"/>
    <cellStyle name="Input 2 2 3 4 2" xfId="9971" xr:uid="{00000000-0005-0000-0000-0000BC200000}"/>
    <cellStyle name="Input 2 2 3 4 2 2" xfId="20868" xr:uid="{00000000-0005-0000-0000-0000BD200000}"/>
    <cellStyle name="Input 2 2 3 4 2 3" xfId="24998" xr:uid="{00000000-0005-0000-0000-0000BE200000}"/>
    <cellStyle name="Input 2 2 3 4 2 4" xfId="26515" xr:uid="{00000000-0005-0000-0000-0000BF200000}"/>
    <cellStyle name="Input 2 2 3 4 3" xfId="10966" xr:uid="{00000000-0005-0000-0000-0000C0200000}"/>
    <cellStyle name="Input 2 2 3 4 3 2" xfId="21863" xr:uid="{00000000-0005-0000-0000-0000C1200000}"/>
    <cellStyle name="Input 2 2 3 4 3 3" xfId="25993" xr:uid="{00000000-0005-0000-0000-0000C2200000}"/>
    <cellStyle name="Input 2 2 3 4 3 4" xfId="27510" xr:uid="{00000000-0005-0000-0000-0000C3200000}"/>
    <cellStyle name="Input 2 2 3 4 4" xfId="15917" xr:uid="{00000000-0005-0000-0000-0000C4200000}"/>
    <cellStyle name="Input 2 2 3 4 5" xfId="23309" xr:uid="{00000000-0005-0000-0000-0000C5200000}"/>
    <cellStyle name="Input 2 2 3 4 6" xfId="23810" xr:uid="{00000000-0005-0000-0000-0000C6200000}"/>
    <cellStyle name="Input 2 2 3 5" xfId="5929" xr:uid="{00000000-0005-0000-0000-0000C7200000}"/>
    <cellStyle name="Input 2 2 3 5 2" xfId="16826" xr:uid="{00000000-0005-0000-0000-0000C8200000}"/>
    <cellStyle name="Input 2 2 3 5 3" xfId="23740" xr:uid="{00000000-0005-0000-0000-0000C9200000}"/>
    <cellStyle name="Input 2 2 3 5 4" xfId="22756" xr:uid="{00000000-0005-0000-0000-0000CA200000}"/>
    <cellStyle name="Input 2 2 3 6" xfId="10298" xr:uid="{00000000-0005-0000-0000-0000CB200000}"/>
    <cellStyle name="Input 2 2 3 6 2" xfId="21195" xr:uid="{00000000-0005-0000-0000-0000CC200000}"/>
    <cellStyle name="Input 2 2 3 6 3" xfId="25325" xr:uid="{00000000-0005-0000-0000-0000CD200000}"/>
    <cellStyle name="Input 2 2 3 6 4" xfId="26842" xr:uid="{00000000-0005-0000-0000-0000CE200000}"/>
    <cellStyle name="Input 2 2 3 7" xfId="11922" xr:uid="{00000000-0005-0000-0000-0000CF200000}"/>
    <cellStyle name="Input 2 2 3 8" xfId="22181" xr:uid="{00000000-0005-0000-0000-0000D0200000}"/>
    <cellStyle name="Input 2 2 4" xfId="1361" xr:uid="{00000000-0005-0000-0000-0000D1200000}"/>
    <cellStyle name="Input 2 2 4 2" xfId="3685" xr:uid="{00000000-0005-0000-0000-0000D2200000}"/>
    <cellStyle name="Input 2 2 4 2 2" xfId="8636" xr:uid="{00000000-0005-0000-0000-0000D3200000}"/>
    <cellStyle name="Input 2 2 4 2 2 2" xfId="19533" xr:uid="{00000000-0005-0000-0000-0000D4200000}"/>
    <cellStyle name="Input 2 2 4 2 2 3" xfId="24530" xr:uid="{00000000-0005-0000-0000-0000D5200000}"/>
    <cellStyle name="Input 2 2 4 2 2 4" xfId="26248" xr:uid="{00000000-0005-0000-0000-0000D6200000}"/>
    <cellStyle name="Input 2 2 4 2 3" xfId="10699" xr:uid="{00000000-0005-0000-0000-0000D7200000}"/>
    <cellStyle name="Input 2 2 4 2 3 2" xfId="21596" xr:uid="{00000000-0005-0000-0000-0000D8200000}"/>
    <cellStyle name="Input 2 2 4 2 3 3" xfId="25726" xr:uid="{00000000-0005-0000-0000-0000D9200000}"/>
    <cellStyle name="Input 2 2 4 2 3 4" xfId="27243" xr:uid="{00000000-0005-0000-0000-0000DA200000}"/>
    <cellStyle name="Input 2 2 4 2 4" xfId="14582" xr:uid="{00000000-0005-0000-0000-0000DB200000}"/>
    <cellStyle name="Input 2 2 4 2 5" xfId="22842" xr:uid="{00000000-0005-0000-0000-0000DC200000}"/>
    <cellStyle name="Input 2 2 4 2 6" xfId="24042" xr:uid="{00000000-0005-0000-0000-0000DD200000}"/>
    <cellStyle name="Input 2 2 4 3" xfId="5080" xr:uid="{00000000-0005-0000-0000-0000DE200000}"/>
    <cellStyle name="Input 2 2 4 3 2" xfId="10031" xr:uid="{00000000-0005-0000-0000-0000DF200000}"/>
    <cellStyle name="Input 2 2 4 3 2 2" xfId="20928" xr:uid="{00000000-0005-0000-0000-0000E0200000}"/>
    <cellStyle name="Input 2 2 4 3 2 3" xfId="25058" xr:uid="{00000000-0005-0000-0000-0000E1200000}"/>
    <cellStyle name="Input 2 2 4 3 2 4" xfId="26575" xr:uid="{00000000-0005-0000-0000-0000E2200000}"/>
    <cellStyle name="Input 2 2 4 3 3" xfId="11026" xr:uid="{00000000-0005-0000-0000-0000E3200000}"/>
    <cellStyle name="Input 2 2 4 3 3 2" xfId="21923" xr:uid="{00000000-0005-0000-0000-0000E4200000}"/>
    <cellStyle name="Input 2 2 4 3 3 3" xfId="26053" xr:uid="{00000000-0005-0000-0000-0000E5200000}"/>
    <cellStyle name="Input 2 2 4 3 3 4" xfId="27570" xr:uid="{00000000-0005-0000-0000-0000E6200000}"/>
    <cellStyle name="Input 2 2 4 3 4" xfId="15977" xr:uid="{00000000-0005-0000-0000-0000E7200000}"/>
    <cellStyle name="Input 2 2 4 3 5" xfId="23369" xr:uid="{00000000-0005-0000-0000-0000E8200000}"/>
    <cellStyle name="Input 2 2 4 3 6" xfId="22188" xr:uid="{00000000-0005-0000-0000-0000E9200000}"/>
    <cellStyle name="Input 2 2 4 4" xfId="6324" xr:uid="{00000000-0005-0000-0000-0000EA200000}"/>
    <cellStyle name="Input 2 2 4 4 2" xfId="17221" xr:uid="{00000000-0005-0000-0000-0000EB200000}"/>
    <cellStyle name="Input 2 2 4 4 3" xfId="23855" xr:uid="{00000000-0005-0000-0000-0000EC200000}"/>
    <cellStyle name="Input 2 2 4 4 4" xfId="24597" xr:uid="{00000000-0005-0000-0000-0000ED200000}"/>
    <cellStyle name="Input 2 2 4 5" xfId="10358" xr:uid="{00000000-0005-0000-0000-0000EE200000}"/>
    <cellStyle name="Input 2 2 4 5 2" xfId="21255" xr:uid="{00000000-0005-0000-0000-0000EF200000}"/>
    <cellStyle name="Input 2 2 4 5 3" xfId="25385" xr:uid="{00000000-0005-0000-0000-0000F0200000}"/>
    <cellStyle name="Input 2 2 4 5 4" xfId="26902" xr:uid="{00000000-0005-0000-0000-0000F1200000}"/>
    <cellStyle name="Input 2 2 4 6" xfId="12309" xr:uid="{00000000-0005-0000-0000-0000F2200000}"/>
    <cellStyle name="Input 2 2 4 7" xfId="23194" xr:uid="{00000000-0005-0000-0000-0000F3200000}"/>
    <cellStyle name="Input 2 2 5" xfId="2758" xr:uid="{00000000-0005-0000-0000-0000F4200000}"/>
    <cellStyle name="Input 2 2 5 2" xfId="7709" xr:uid="{00000000-0005-0000-0000-0000F5200000}"/>
    <cellStyle name="Input 2 2 5 2 2" xfId="18606" xr:uid="{00000000-0005-0000-0000-0000F6200000}"/>
    <cellStyle name="Input 2 2 5 2 3" xfId="24272" xr:uid="{00000000-0005-0000-0000-0000F7200000}"/>
    <cellStyle name="Input 2 2 5 2 4" xfId="23078" xr:uid="{00000000-0005-0000-0000-0000F8200000}"/>
    <cellStyle name="Input 2 2 5 3" xfId="10559" xr:uid="{00000000-0005-0000-0000-0000F9200000}"/>
    <cellStyle name="Input 2 2 5 3 2" xfId="21456" xr:uid="{00000000-0005-0000-0000-0000FA200000}"/>
    <cellStyle name="Input 2 2 5 3 3" xfId="25586" xr:uid="{00000000-0005-0000-0000-0000FB200000}"/>
    <cellStyle name="Input 2 2 5 3 4" xfId="27103" xr:uid="{00000000-0005-0000-0000-0000FC200000}"/>
    <cellStyle name="Input 2 2 5 4" xfId="13655" xr:uid="{00000000-0005-0000-0000-0000FD200000}"/>
    <cellStyle name="Input 2 2 5 5" xfId="22572" xr:uid="{00000000-0005-0000-0000-0000FE200000}"/>
    <cellStyle name="Input 2 2 5 6" xfId="22414" xr:uid="{00000000-0005-0000-0000-0000FF200000}"/>
    <cellStyle name="Input 2 2 6" xfId="4940" xr:uid="{00000000-0005-0000-0000-000000210000}"/>
    <cellStyle name="Input 2 2 6 2" xfId="9891" xr:uid="{00000000-0005-0000-0000-000001210000}"/>
    <cellStyle name="Input 2 2 6 2 2" xfId="20788" xr:uid="{00000000-0005-0000-0000-000002210000}"/>
    <cellStyle name="Input 2 2 6 2 3" xfId="24918" xr:uid="{00000000-0005-0000-0000-000003210000}"/>
    <cellStyle name="Input 2 2 6 2 4" xfId="26435" xr:uid="{00000000-0005-0000-0000-000004210000}"/>
    <cellStyle name="Input 2 2 6 3" xfId="10886" xr:uid="{00000000-0005-0000-0000-000005210000}"/>
    <cellStyle name="Input 2 2 6 3 2" xfId="21783" xr:uid="{00000000-0005-0000-0000-000006210000}"/>
    <cellStyle name="Input 2 2 6 3 3" xfId="25913" xr:uid="{00000000-0005-0000-0000-000007210000}"/>
    <cellStyle name="Input 2 2 6 3 4" xfId="27430" xr:uid="{00000000-0005-0000-0000-000008210000}"/>
    <cellStyle name="Input 2 2 6 4" xfId="15837" xr:uid="{00000000-0005-0000-0000-000009210000}"/>
    <cellStyle name="Input 2 2 6 5" xfId="23229" xr:uid="{00000000-0005-0000-0000-00000A210000}"/>
    <cellStyle name="Input 2 2 6 6" xfId="22930" xr:uid="{00000000-0005-0000-0000-00000B210000}"/>
    <cellStyle name="Input 2 2 7" xfId="5397" xr:uid="{00000000-0005-0000-0000-00000C210000}"/>
    <cellStyle name="Input 2 2 7 2" xfId="16294" xr:uid="{00000000-0005-0000-0000-00000D210000}"/>
    <cellStyle name="Input 2 2 7 3" xfId="23591" xr:uid="{00000000-0005-0000-0000-00000E210000}"/>
    <cellStyle name="Input 2 2 7 4" xfId="11272" xr:uid="{00000000-0005-0000-0000-00000F210000}"/>
    <cellStyle name="Input 2 2 8" xfId="10218" xr:uid="{00000000-0005-0000-0000-000010210000}"/>
    <cellStyle name="Input 2 2 8 2" xfId="21115" xr:uid="{00000000-0005-0000-0000-000011210000}"/>
    <cellStyle name="Input 2 2 8 3" xfId="25245" xr:uid="{00000000-0005-0000-0000-000012210000}"/>
    <cellStyle name="Input 2 2 8 4" xfId="26762" xr:uid="{00000000-0005-0000-0000-000013210000}"/>
    <cellStyle name="Input 2 2 9" xfId="11399" xr:uid="{00000000-0005-0000-0000-000014210000}"/>
    <cellStyle name="Input 2 3" xfId="585" xr:uid="{00000000-0005-0000-0000-000015210000}"/>
    <cellStyle name="Input 2 3 2" xfId="1117" xr:uid="{00000000-0005-0000-0000-000016210000}"/>
    <cellStyle name="Input 2 3 2 2" xfId="2274" xr:uid="{00000000-0005-0000-0000-000017210000}"/>
    <cellStyle name="Input 2 3 2 2 2" xfId="4586" xr:uid="{00000000-0005-0000-0000-000018210000}"/>
    <cellStyle name="Input 2 3 2 2 2 2" xfId="9537" xr:uid="{00000000-0005-0000-0000-000019210000}"/>
    <cellStyle name="Input 2 3 2 2 2 2 2" xfId="20434" xr:uid="{00000000-0005-0000-0000-00001A210000}"/>
    <cellStyle name="Input 2 3 2 2 2 2 3" xfId="24788" xr:uid="{00000000-0005-0000-0000-00001B210000}"/>
    <cellStyle name="Input 2 3 2 2 2 2 4" xfId="26369" xr:uid="{00000000-0005-0000-0000-00001C210000}"/>
    <cellStyle name="Input 2 3 2 2 2 3" xfId="10820" xr:uid="{00000000-0005-0000-0000-00001D210000}"/>
    <cellStyle name="Input 2 3 2 2 2 3 2" xfId="21717" xr:uid="{00000000-0005-0000-0000-00001E210000}"/>
    <cellStyle name="Input 2 3 2 2 2 3 3" xfId="25847" xr:uid="{00000000-0005-0000-0000-00001F210000}"/>
    <cellStyle name="Input 2 3 2 2 2 3 4" xfId="27364" xr:uid="{00000000-0005-0000-0000-000020210000}"/>
    <cellStyle name="Input 2 3 2 2 2 4" xfId="15483" xr:uid="{00000000-0005-0000-0000-000021210000}"/>
    <cellStyle name="Input 2 3 2 2 2 5" xfId="23099" xr:uid="{00000000-0005-0000-0000-000022210000}"/>
    <cellStyle name="Input 2 3 2 2 2 6" xfId="24175" xr:uid="{00000000-0005-0000-0000-000023210000}"/>
    <cellStyle name="Input 2 3 2 2 3" xfId="5200" xr:uid="{00000000-0005-0000-0000-000024210000}"/>
    <cellStyle name="Input 2 3 2 2 3 2" xfId="10151" xr:uid="{00000000-0005-0000-0000-000025210000}"/>
    <cellStyle name="Input 2 3 2 2 3 2 2" xfId="21048" xr:uid="{00000000-0005-0000-0000-000026210000}"/>
    <cellStyle name="Input 2 3 2 2 3 2 3" xfId="25178" xr:uid="{00000000-0005-0000-0000-000027210000}"/>
    <cellStyle name="Input 2 3 2 2 3 2 4" xfId="26695" xr:uid="{00000000-0005-0000-0000-000028210000}"/>
    <cellStyle name="Input 2 3 2 2 3 3" xfId="11146" xr:uid="{00000000-0005-0000-0000-000029210000}"/>
    <cellStyle name="Input 2 3 2 2 3 3 2" xfId="22043" xr:uid="{00000000-0005-0000-0000-00002A210000}"/>
    <cellStyle name="Input 2 3 2 2 3 3 3" xfId="26173" xr:uid="{00000000-0005-0000-0000-00002B210000}"/>
    <cellStyle name="Input 2 3 2 2 3 3 4" xfId="27690" xr:uid="{00000000-0005-0000-0000-00002C210000}"/>
    <cellStyle name="Input 2 3 2 2 3 4" xfId="16097" xr:uid="{00000000-0005-0000-0000-00002D210000}"/>
    <cellStyle name="Input 2 3 2 2 3 5" xfId="23489" xr:uid="{00000000-0005-0000-0000-00002E210000}"/>
    <cellStyle name="Input 2 3 2 2 3 6" xfId="23847" xr:uid="{00000000-0005-0000-0000-00002F210000}"/>
    <cellStyle name="Input 2 3 2 2 4" xfId="7225" xr:uid="{00000000-0005-0000-0000-000030210000}"/>
    <cellStyle name="Input 2 3 2 2 4 2" xfId="18122" xr:uid="{00000000-0005-0000-0000-000031210000}"/>
    <cellStyle name="Input 2 3 2 2 4 3" xfId="24112" xr:uid="{00000000-0005-0000-0000-000032210000}"/>
    <cellStyle name="Input 2 3 2 2 4 4" xfId="24461" xr:uid="{00000000-0005-0000-0000-000033210000}"/>
    <cellStyle name="Input 2 3 2 2 5" xfId="10478" xr:uid="{00000000-0005-0000-0000-000034210000}"/>
    <cellStyle name="Input 2 3 2 2 5 2" xfId="21375" xr:uid="{00000000-0005-0000-0000-000035210000}"/>
    <cellStyle name="Input 2 3 2 2 5 3" xfId="25505" xr:uid="{00000000-0005-0000-0000-000036210000}"/>
    <cellStyle name="Input 2 3 2 2 5 4" xfId="27022" xr:uid="{00000000-0005-0000-0000-000037210000}"/>
    <cellStyle name="Input 2 3 2 2 6" xfId="13189" xr:uid="{00000000-0005-0000-0000-000038210000}"/>
    <cellStyle name="Input 2 3 2 2 7" xfId="24724" xr:uid="{00000000-0005-0000-0000-000039210000}"/>
    <cellStyle name="Input 2 3 2 3" xfId="3441" xr:uid="{00000000-0005-0000-0000-00003A210000}"/>
    <cellStyle name="Input 2 3 2 3 2" xfId="8392" xr:uid="{00000000-0005-0000-0000-00003B210000}"/>
    <cellStyle name="Input 2 3 2 3 2 2" xfId="19289" xr:uid="{00000000-0005-0000-0000-00003C210000}"/>
    <cellStyle name="Input 2 3 2 3 2 3" xfId="24463" xr:uid="{00000000-0005-0000-0000-00003D210000}"/>
    <cellStyle name="Input 2 3 2 3 2 4" xfId="11317" xr:uid="{00000000-0005-0000-0000-00003E210000}"/>
    <cellStyle name="Input 2 3 2 3 3" xfId="10660" xr:uid="{00000000-0005-0000-0000-00003F210000}"/>
    <cellStyle name="Input 2 3 2 3 3 2" xfId="21557" xr:uid="{00000000-0005-0000-0000-000040210000}"/>
    <cellStyle name="Input 2 3 2 3 3 3" xfId="25687" xr:uid="{00000000-0005-0000-0000-000041210000}"/>
    <cellStyle name="Input 2 3 2 3 3 4" xfId="27204" xr:uid="{00000000-0005-0000-0000-000042210000}"/>
    <cellStyle name="Input 2 3 2 3 4" xfId="14338" xr:uid="{00000000-0005-0000-0000-000043210000}"/>
    <cellStyle name="Input 2 3 2 3 5" xfId="22773" xr:uid="{00000000-0005-0000-0000-000044210000}"/>
    <cellStyle name="Input 2 3 2 3 6" xfId="23793" xr:uid="{00000000-0005-0000-0000-000045210000}"/>
    <cellStyle name="Input 2 3 2 4" xfId="5041" xr:uid="{00000000-0005-0000-0000-000046210000}"/>
    <cellStyle name="Input 2 3 2 4 2" xfId="9992" xr:uid="{00000000-0005-0000-0000-000047210000}"/>
    <cellStyle name="Input 2 3 2 4 2 2" xfId="20889" xr:uid="{00000000-0005-0000-0000-000048210000}"/>
    <cellStyle name="Input 2 3 2 4 2 3" xfId="25019" xr:uid="{00000000-0005-0000-0000-000049210000}"/>
    <cellStyle name="Input 2 3 2 4 2 4" xfId="26536" xr:uid="{00000000-0005-0000-0000-00004A210000}"/>
    <cellStyle name="Input 2 3 2 4 3" xfId="10987" xr:uid="{00000000-0005-0000-0000-00004B210000}"/>
    <cellStyle name="Input 2 3 2 4 3 2" xfId="21884" xr:uid="{00000000-0005-0000-0000-00004C210000}"/>
    <cellStyle name="Input 2 3 2 4 3 3" xfId="26014" xr:uid="{00000000-0005-0000-0000-00004D210000}"/>
    <cellStyle name="Input 2 3 2 4 3 4" xfId="27531" xr:uid="{00000000-0005-0000-0000-00004E210000}"/>
    <cellStyle name="Input 2 3 2 4 4" xfId="15938" xr:uid="{00000000-0005-0000-0000-00004F210000}"/>
    <cellStyle name="Input 2 3 2 4 5" xfId="23330" xr:uid="{00000000-0005-0000-0000-000050210000}"/>
    <cellStyle name="Input 2 3 2 4 6" xfId="23080" xr:uid="{00000000-0005-0000-0000-000051210000}"/>
    <cellStyle name="Input 2 3 2 5" xfId="6080" xr:uid="{00000000-0005-0000-0000-000052210000}"/>
    <cellStyle name="Input 2 3 2 5 2" xfId="16977" xr:uid="{00000000-0005-0000-0000-000053210000}"/>
    <cellStyle name="Input 2 3 2 5 3" xfId="23786" xr:uid="{00000000-0005-0000-0000-000054210000}"/>
    <cellStyle name="Input 2 3 2 5 4" xfId="11283" xr:uid="{00000000-0005-0000-0000-000055210000}"/>
    <cellStyle name="Input 2 3 2 6" xfId="10319" xr:uid="{00000000-0005-0000-0000-000056210000}"/>
    <cellStyle name="Input 2 3 2 6 2" xfId="21216" xr:uid="{00000000-0005-0000-0000-000057210000}"/>
    <cellStyle name="Input 2 3 2 6 3" xfId="25346" xr:uid="{00000000-0005-0000-0000-000058210000}"/>
    <cellStyle name="Input 2 3 2 6 4" xfId="26863" xr:uid="{00000000-0005-0000-0000-000059210000}"/>
    <cellStyle name="Input 2 3 2 7" xfId="12071" xr:uid="{00000000-0005-0000-0000-00005A210000}"/>
    <cellStyle name="Input 2 3 2 8" xfId="24602" xr:uid="{00000000-0005-0000-0000-00005B210000}"/>
    <cellStyle name="Input 2 3 3" xfId="1382" xr:uid="{00000000-0005-0000-0000-00005C210000}"/>
    <cellStyle name="Input 2 3 3 2" xfId="3706" xr:uid="{00000000-0005-0000-0000-00005D210000}"/>
    <cellStyle name="Input 2 3 3 2 2" xfId="8657" xr:uid="{00000000-0005-0000-0000-00005E210000}"/>
    <cellStyle name="Input 2 3 3 2 2 2" xfId="19554" xr:uid="{00000000-0005-0000-0000-00005F210000}"/>
    <cellStyle name="Input 2 3 3 2 2 3" xfId="24551" xr:uid="{00000000-0005-0000-0000-000060210000}"/>
    <cellStyle name="Input 2 3 3 2 2 4" xfId="26269" xr:uid="{00000000-0005-0000-0000-000061210000}"/>
    <cellStyle name="Input 2 3 3 2 3" xfId="10720" xr:uid="{00000000-0005-0000-0000-000062210000}"/>
    <cellStyle name="Input 2 3 3 2 3 2" xfId="21617" xr:uid="{00000000-0005-0000-0000-000063210000}"/>
    <cellStyle name="Input 2 3 3 2 3 3" xfId="25747" xr:uid="{00000000-0005-0000-0000-000064210000}"/>
    <cellStyle name="Input 2 3 3 2 3 4" xfId="27264" xr:uid="{00000000-0005-0000-0000-000065210000}"/>
    <cellStyle name="Input 2 3 3 2 4" xfId="14603" xr:uid="{00000000-0005-0000-0000-000066210000}"/>
    <cellStyle name="Input 2 3 3 2 5" xfId="22863" xr:uid="{00000000-0005-0000-0000-000067210000}"/>
    <cellStyle name="Input 2 3 3 2 6" xfId="23609" xr:uid="{00000000-0005-0000-0000-000068210000}"/>
    <cellStyle name="Input 2 3 3 3" xfId="5101" xr:uid="{00000000-0005-0000-0000-000069210000}"/>
    <cellStyle name="Input 2 3 3 3 2" xfId="10052" xr:uid="{00000000-0005-0000-0000-00006A210000}"/>
    <cellStyle name="Input 2 3 3 3 2 2" xfId="20949" xr:uid="{00000000-0005-0000-0000-00006B210000}"/>
    <cellStyle name="Input 2 3 3 3 2 3" xfId="25079" xr:uid="{00000000-0005-0000-0000-00006C210000}"/>
    <cellStyle name="Input 2 3 3 3 2 4" xfId="26596" xr:uid="{00000000-0005-0000-0000-00006D210000}"/>
    <cellStyle name="Input 2 3 3 3 3" xfId="11047" xr:uid="{00000000-0005-0000-0000-00006E210000}"/>
    <cellStyle name="Input 2 3 3 3 3 2" xfId="21944" xr:uid="{00000000-0005-0000-0000-00006F210000}"/>
    <cellStyle name="Input 2 3 3 3 3 3" xfId="26074" xr:uid="{00000000-0005-0000-0000-000070210000}"/>
    <cellStyle name="Input 2 3 3 3 3 4" xfId="27591" xr:uid="{00000000-0005-0000-0000-000071210000}"/>
    <cellStyle name="Input 2 3 3 3 4" xfId="15998" xr:uid="{00000000-0005-0000-0000-000072210000}"/>
    <cellStyle name="Input 2 3 3 3 5" xfId="23390" xr:uid="{00000000-0005-0000-0000-000073210000}"/>
    <cellStyle name="Input 2 3 3 3 6" xfId="24655" xr:uid="{00000000-0005-0000-0000-000074210000}"/>
    <cellStyle name="Input 2 3 3 4" xfId="6345" xr:uid="{00000000-0005-0000-0000-000075210000}"/>
    <cellStyle name="Input 2 3 3 4 2" xfId="17242" xr:uid="{00000000-0005-0000-0000-000076210000}"/>
    <cellStyle name="Input 2 3 3 4 3" xfId="23876" xr:uid="{00000000-0005-0000-0000-000077210000}"/>
    <cellStyle name="Input 2 3 3 4 4" xfId="22499" xr:uid="{00000000-0005-0000-0000-000078210000}"/>
    <cellStyle name="Input 2 3 3 5" xfId="10379" xr:uid="{00000000-0005-0000-0000-000079210000}"/>
    <cellStyle name="Input 2 3 3 5 2" xfId="21276" xr:uid="{00000000-0005-0000-0000-00007A210000}"/>
    <cellStyle name="Input 2 3 3 5 3" xfId="25406" xr:uid="{00000000-0005-0000-0000-00007B210000}"/>
    <cellStyle name="Input 2 3 3 5 4" xfId="26923" xr:uid="{00000000-0005-0000-0000-00007C210000}"/>
    <cellStyle name="Input 2 3 3 6" xfId="12328" xr:uid="{00000000-0005-0000-0000-00007D210000}"/>
    <cellStyle name="Input 2 3 3 7" xfId="22899" xr:uid="{00000000-0005-0000-0000-00007E210000}"/>
    <cellStyle name="Input 2 3 4" xfId="2909" xr:uid="{00000000-0005-0000-0000-00007F210000}"/>
    <cellStyle name="Input 2 3 4 2" xfId="7860" xr:uid="{00000000-0005-0000-0000-000080210000}"/>
    <cellStyle name="Input 2 3 4 2 2" xfId="18757" xr:uid="{00000000-0005-0000-0000-000081210000}"/>
    <cellStyle name="Input 2 3 4 2 3" xfId="24310" xr:uid="{00000000-0005-0000-0000-000082210000}"/>
    <cellStyle name="Input 2 3 4 2 4" xfId="24230" xr:uid="{00000000-0005-0000-0000-000083210000}"/>
    <cellStyle name="Input 2 3 4 3" xfId="10580" xr:uid="{00000000-0005-0000-0000-000084210000}"/>
    <cellStyle name="Input 2 3 4 3 2" xfId="21477" xr:uid="{00000000-0005-0000-0000-000085210000}"/>
    <cellStyle name="Input 2 3 4 3 3" xfId="25607" xr:uid="{00000000-0005-0000-0000-000086210000}"/>
    <cellStyle name="Input 2 3 4 3 4" xfId="27124" xr:uid="{00000000-0005-0000-0000-000087210000}"/>
    <cellStyle name="Input 2 3 4 4" xfId="13806" xr:uid="{00000000-0005-0000-0000-000088210000}"/>
    <cellStyle name="Input 2 3 4 5" xfId="22615" xr:uid="{00000000-0005-0000-0000-000089210000}"/>
    <cellStyle name="Input 2 3 4 6" xfId="22545" xr:uid="{00000000-0005-0000-0000-00008A210000}"/>
    <cellStyle name="Input 2 3 5" xfId="4961" xr:uid="{00000000-0005-0000-0000-00008B210000}"/>
    <cellStyle name="Input 2 3 5 2" xfId="9912" xr:uid="{00000000-0005-0000-0000-00008C210000}"/>
    <cellStyle name="Input 2 3 5 2 2" xfId="20809" xr:uid="{00000000-0005-0000-0000-00008D210000}"/>
    <cellStyle name="Input 2 3 5 2 3" xfId="24939" xr:uid="{00000000-0005-0000-0000-00008E210000}"/>
    <cellStyle name="Input 2 3 5 2 4" xfId="26456" xr:uid="{00000000-0005-0000-0000-00008F210000}"/>
    <cellStyle name="Input 2 3 5 3" xfId="10907" xr:uid="{00000000-0005-0000-0000-000090210000}"/>
    <cellStyle name="Input 2 3 5 3 2" xfId="21804" xr:uid="{00000000-0005-0000-0000-000091210000}"/>
    <cellStyle name="Input 2 3 5 3 3" xfId="25934" xr:uid="{00000000-0005-0000-0000-000092210000}"/>
    <cellStyle name="Input 2 3 5 3 4" xfId="27451" xr:uid="{00000000-0005-0000-0000-000093210000}"/>
    <cellStyle name="Input 2 3 5 4" xfId="15858" xr:uid="{00000000-0005-0000-0000-000094210000}"/>
    <cellStyle name="Input 2 3 5 5" xfId="23250" xr:uid="{00000000-0005-0000-0000-000095210000}"/>
    <cellStyle name="Input 2 3 5 6" xfId="24793" xr:uid="{00000000-0005-0000-0000-000096210000}"/>
    <cellStyle name="Input 2 3 6" xfId="5548" xr:uid="{00000000-0005-0000-0000-000097210000}"/>
    <cellStyle name="Input 2 3 6 2" xfId="16445" xr:uid="{00000000-0005-0000-0000-000098210000}"/>
    <cellStyle name="Input 2 3 6 3" xfId="23631" xr:uid="{00000000-0005-0000-0000-000099210000}"/>
    <cellStyle name="Input 2 3 6 4" xfId="22613" xr:uid="{00000000-0005-0000-0000-00009A210000}"/>
    <cellStyle name="Input 2 3 7" xfId="10239" xr:uid="{00000000-0005-0000-0000-00009B210000}"/>
    <cellStyle name="Input 2 3 7 2" xfId="21136" xr:uid="{00000000-0005-0000-0000-00009C210000}"/>
    <cellStyle name="Input 2 3 7 3" xfId="25266" xr:uid="{00000000-0005-0000-0000-00009D210000}"/>
    <cellStyle name="Input 2 3 7 4" xfId="26783" xr:uid="{00000000-0005-0000-0000-00009E210000}"/>
    <cellStyle name="Input 2 3 8" xfId="11550" xr:uid="{00000000-0005-0000-0000-00009F210000}"/>
    <cellStyle name="Input 2 3 9" xfId="22396" xr:uid="{00000000-0005-0000-0000-0000A0210000}"/>
    <cellStyle name="Input 2 4" xfId="852" xr:uid="{00000000-0005-0000-0000-0000A1210000}"/>
    <cellStyle name="Input 2 4 2" xfId="2009" xr:uid="{00000000-0005-0000-0000-0000A2210000}"/>
    <cellStyle name="Input 2 4 2 2" xfId="4321" xr:uid="{00000000-0005-0000-0000-0000A3210000}"/>
    <cellStyle name="Input 2 4 2 2 2" xfId="9272" xr:uid="{00000000-0005-0000-0000-0000A4210000}"/>
    <cellStyle name="Input 2 4 2 2 2 2" xfId="20169" xr:uid="{00000000-0005-0000-0000-0000A5210000}"/>
    <cellStyle name="Input 2 4 2 2 2 3" xfId="24715" xr:uid="{00000000-0005-0000-0000-0000A6210000}"/>
    <cellStyle name="Input 2 4 2 2 2 4" xfId="26329" xr:uid="{00000000-0005-0000-0000-0000A7210000}"/>
    <cellStyle name="Input 2 4 2 2 3" xfId="10780" xr:uid="{00000000-0005-0000-0000-0000A8210000}"/>
    <cellStyle name="Input 2 4 2 2 3 2" xfId="21677" xr:uid="{00000000-0005-0000-0000-0000A9210000}"/>
    <cellStyle name="Input 2 4 2 2 3 3" xfId="25807" xr:uid="{00000000-0005-0000-0000-0000AA210000}"/>
    <cellStyle name="Input 2 4 2 2 3 4" xfId="27324" xr:uid="{00000000-0005-0000-0000-0000AB210000}"/>
    <cellStyle name="Input 2 4 2 2 4" xfId="15218" xr:uid="{00000000-0005-0000-0000-0000AC210000}"/>
    <cellStyle name="Input 2 4 2 2 5" xfId="23025" xr:uid="{00000000-0005-0000-0000-0000AD210000}"/>
    <cellStyle name="Input 2 4 2 2 6" xfId="11232" xr:uid="{00000000-0005-0000-0000-0000AE210000}"/>
    <cellStyle name="Input 2 4 2 3" xfId="5160" xr:uid="{00000000-0005-0000-0000-0000AF210000}"/>
    <cellStyle name="Input 2 4 2 3 2" xfId="10111" xr:uid="{00000000-0005-0000-0000-0000B0210000}"/>
    <cellStyle name="Input 2 4 2 3 2 2" xfId="21008" xr:uid="{00000000-0005-0000-0000-0000B1210000}"/>
    <cellStyle name="Input 2 4 2 3 2 3" xfId="25138" xr:uid="{00000000-0005-0000-0000-0000B2210000}"/>
    <cellStyle name="Input 2 4 2 3 2 4" xfId="26655" xr:uid="{00000000-0005-0000-0000-0000B3210000}"/>
    <cellStyle name="Input 2 4 2 3 3" xfId="11106" xr:uid="{00000000-0005-0000-0000-0000B4210000}"/>
    <cellStyle name="Input 2 4 2 3 3 2" xfId="22003" xr:uid="{00000000-0005-0000-0000-0000B5210000}"/>
    <cellStyle name="Input 2 4 2 3 3 3" xfId="26133" xr:uid="{00000000-0005-0000-0000-0000B6210000}"/>
    <cellStyle name="Input 2 4 2 3 3 4" xfId="27650" xr:uid="{00000000-0005-0000-0000-0000B7210000}"/>
    <cellStyle name="Input 2 4 2 3 4" xfId="16057" xr:uid="{00000000-0005-0000-0000-0000B8210000}"/>
    <cellStyle name="Input 2 4 2 3 5" xfId="23449" xr:uid="{00000000-0005-0000-0000-0000B9210000}"/>
    <cellStyle name="Input 2 4 2 3 6" xfId="22399" xr:uid="{00000000-0005-0000-0000-0000BA210000}"/>
    <cellStyle name="Input 2 4 2 4" xfId="6960" xr:uid="{00000000-0005-0000-0000-0000BB210000}"/>
    <cellStyle name="Input 2 4 2 4 2" xfId="17857" xr:uid="{00000000-0005-0000-0000-0000BC210000}"/>
    <cellStyle name="Input 2 4 2 4 3" xfId="24037" xr:uid="{00000000-0005-0000-0000-0000BD210000}"/>
    <cellStyle name="Input 2 4 2 4 4" xfId="22172" xr:uid="{00000000-0005-0000-0000-0000BE210000}"/>
    <cellStyle name="Input 2 4 2 5" xfId="10438" xr:uid="{00000000-0005-0000-0000-0000BF210000}"/>
    <cellStyle name="Input 2 4 2 5 2" xfId="21335" xr:uid="{00000000-0005-0000-0000-0000C0210000}"/>
    <cellStyle name="Input 2 4 2 5 3" xfId="25465" xr:uid="{00000000-0005-0000-0000-0000C1210000}"/>
    <cellStyle name="Input 2 4 2 5 4" xfId="26982" xr:uid="{00000000-0005-0000-0000-0000C2210000}"/>
    <cellStyle name="Input 2 4 2 6" xfId="12931" xr:uid="{00000000-0005-0000-0000-0000C3210000}"/>
    <cellStyle name="Input 2 4 2 7" xfId="24622" xr:uid="{00000000-0005-0000-0000-0000C4210000}"/>
    <cellStyle name="Input 2 4 3" xfId="3176" xr:uid="{00000000-0005-0000-0000-0000C5210000}"/>
    <cellStyle name="Input 2 4 3 2" xfId="8127" xr:uid="{00000000-0005-0000-0000-0000C6210000}"/>
    <cellStyle name="Input 2 4 3 2 2" xfId="19024" xr:uid="{00000000-0005-0000-0000-0000C7210000}"/>
    <cellStyle name="Input 2 4 3 2 3" xfId="24387" xr:uid="{00000000-0005-0000-0000-0000C8210000}"/>
    <cellStyle name="Input 2 4 3 2 4" xfId="22689" xr:uid="{00000000-0005-0000-0000-0000C9210000}"/>
    <cellStyle name="Input 2 4 3 3" xfId="10620" xr:uid="{00000000-0005-0000-0000-0000CA210000}"/>
    <cellStyle name="Input 2 4 3 3 2" xfId="21517" xr:uid="{00000000-0005-0000-0000-0000CB210000}"/>
    <cellStyle name="Input 2 4 3 3 3" xfId="25647" xr:uid="{00000000-0005-0000-0000-0000CC210000}"/>
    <cellStyle name="Input 2 4 3 3 4" xfId="27164" xr:uid="{00000000-0005-0000-0000-0000CD210000}"/>
    <cellStyle name="Input 2 4 3 4" xfId="14073" xr:uid="{00000000-0005-0000-0000-0000CE210000}"/>
    <cellStyle name="Input 2 4 3 5" xfId="22695" xr:uid="{00000000-0005-0000-0000-0000CF210000}"/>
    <cellStyle name="Input 2 4 3 6" xfId="22387" xr:uid="{00000000-0005-0000-0000-0000D0210000}"/>
    <cellStyle name="Input 2 4 4" xfId="5001" xr:uid="{00000000-0005-0000-0000-0000D1210000}"/>
    <cellStyle name="Input 2 4 4 2" xfId="9952" xr:uid="{00000000-0005-0000-0000-0000D2210000}"/>
    <cellStyle name="Input 2 4 4 2 2" xfId="20849" xr:uid="{00000000-0005-0000-0000-0000D3210000}"/>
    <cellStyle name="Input 2 4 4 2 3" xfId="24979" xr:uid="{00000000-0005-0000-0000-0000D4210000}"/>
    <cellStyle name="Input 2 4 4 2 4" xfId="26496" xr:uid="{00000000-0005-0000-0000-0000D5210000}"/>
    <cellStyle name="Input 2 4 4 3" xfId="10947" xr:uid="{00000000-0005-0000-0000-0000D6210000}"/>
    <cellStyle name="Input 2 4 4 3 2" xfId="21844" xr:uid="{00000000-0005-0000-0000-0000D7210000}"/>
    <cellStyle name="Input 2 4 4 3 3" xfId="25974" xr:uid="{00000000-0005-0000-0000-0000D8210000}"/>
    <cellStyle name="Input 2 4 4 3 4" xfId="27491" xr:uid="{00000000-0005-0000-0000-0000D9210000}"/>
    <cellStyle name="Input 2 4 4 4" xfId="15898" xr:uid="{00000000-0005-0000-0000-0000DA210000}"/>
    <cellStyle name="Input 2 4 4 5" xfId="23290" xr:uid="{00000000-0005-0000-0000-0000DB210000}"/>
    <cellStyle name="Input 2 4 4 6" xfId="23956" xr:uid="{00000000-0005-0000-0000-0000DC210000}"/>
    <cellStyle name="Input 2 4 5" xfId="5815" xr:uid="{00000000-0005-0000-0000-0000DD210000}"/>
    <cellStyle name="Input 2 4 5 2" xfId="16712" xr:uid="{00000000-0005-0000-0000-0000DE210000}"/>
    <cellStyle name="Input 2 4 5 3" xfId="23707" xr:uid="{00000000-0005-0000-0000-0000DF210000}"/>
    <cellStyle name="Input 2 4 5 4" xfId="22461" xr:uid="{00000000-0005-0000-0000-0000E0210000}"/>
    <cellStyle name="Input 2 4 6" xfId="10279" xr:uid="{00000000-0005-0000-0000-0000E1210000}"/>
    <cellStyle name="Input 2 4 6 2" xfId="21176" xr:uid="{00000000-0005-0000-0000-0000E2210000}"/>
    <cellStyle name="Input 2 4 6 3" xfId="25306" xr:uid="{00000000-0005-0000-0000-0000E3210000}"/>
    <cellStyle name="Input 2 4 6 4" xfId="26823" xr:uid="{00000000-0005-0000-0000-0000E4210000}"/>
    <cellStyle name="Input 2 4 7" xfId="11813" xr:uid="{00000000-0005-0000-0000-0000E5210000}"/>
    <cellStyle name="Input 2 4 8" xfId="24126" xr:uid="{00000000-0005-0000-0000-0000E6210000}"/>
    <cellStyle name="Input 2 5" xfId="2644" xr:uid="{00000000-0005-0000-0000-0000E7210000}"/>
    <cellStyle name="Input 2 5 2" xfId="7595" xr:uid="{00000000-0005-0000-0000-0000E8210000}"/>
    <cellStyle name="Input 2 5 2 2" xfId="18492" xr:uid="{00000000-0005-0000-0000-0000E9210000}"/>
    <cellStyle name="Input 2 5 2 3" xfId="24236" xr:uid="{00000000-0005-0000-0000-0000EA210000}"/>
    <cellStyle name="Input 2 5 2 4" xfId="22155" xr:uid="{00000000-0005-0000-0000-0000EB210000}"/>
    <cellStyle name="Input 2 5 3" xfId="10540" xr:uid="{00000000-0005-0000-0000-0000EC210000}"/>
    <cellStyle name="Input 2 5 3 2" xfId="21437" xr:uid="{00000000-0005-0000-0000-0000ED210000}"/>
    <cellStyle name="Input 2 5 3 3" xfId="25567" xr:uid="{00000000-0005-0000-0000-0000EE210000}"/>
    <cellStyle name="Input 2 5 3 4" xfId="27084" xr:uid="{00000000-0005-0000-0000-0000EF210000}"/>
    <cellStyle name="Input 2 5 4" xfId="13541" xr:uid="{00000000-0005-0000-0000-0000F0210000}"/>
    <cellStyle name="Input 2 5 5" xfId="22537" xr:uid="{00000000-0005-0000-0000-0000F1210000}"/>
    <cellStyle name="Input 2 5 6" xfId="23167" xr:uid="{00000000-0005-0000-0000-0000F2210000}"/>
    <cellStyle name="Input 2 6" xfId="2619" xr:uid="{00000000-0005-0000-0000-0000F3210000}"/>
    <cellStyle name="Input 2 6 2" xfId="7570" xr:uid="{00000000-0005-0000-0000-0000F4210000}"/>
    <cellStyle name="Input 2 6 2 2" xfId="18467" xr:uid="{00000000-0005-0000-0000-0000F5210000}"/>
    <cellStyle name="Input 2 6 2 3" xfId="24225" xr:uid="{00000000-0005-0000-0000-0000F6210000}"/>
    <cellStyle name="Input 2 6 2 4" xfId="22962" xr:uid="{00000000-0005-0000-0000-0000F7210000}"/>
    <cellStyle name="Input 2 6 3" xfId="10532" xr:uid="{00000000-0005-0000-0000-0000F8210000}"/>
    <cellStyle name="Input 2 6 3 2" xfId="21429" xr:uid="{00000000-0005-0000-0000-0000F9210000}"/>
    <cellStyle name="Input 2 6 3 3" xfId="25559" xr:uid="{00000000-0005-0000-0000-0000FA210000}"/>
    <cellStyle name="Input 2 6 3 4" xfId="27076" xr:uid="{00000000-0005-0000-0000-0000FB210000}"/>
    <cellStyle name="Input 2 6 4" xfId="13516" xr:uid="{00000000-0005-0000-0000-0000FC210000}"/>
    <cellStyle name="Input 2 6 5" xfId="22524" xr:uid="{00000000-0005-0000-0000-0000FD210000}"/>
    <cellStyle name="Input 2 6 6" xfId="22599" xr:uid="{00000000-0005-0000-0000-0000FE210000}"/>
    <cellStyle name="Input 2 7" xfId="5283" xr:uid="{00000000-0005-0000-0000-0000FF210000}"/>
    <cellStyle name="Input 2 7 2" xfId="16180" xr:uid="{00000000-0005-0000-0000-000000220000}"/>
    <cellStyle name="Input 2 7 3" xfId="23556" xr:uid="{00000000-0005-0000-0000-000001220000}"/>
    <cellStyle name="Input 2 7 4" xfId="24370" xr:uid="{00000000-0005-0000-0000-000002220000}"/>
    <cellStyle name="Input 2 8" xfId="5258" xr:uid="{00000000-0005-0000-0000-000003220000}"/>
    <cellStyle name="Input 2 8 2" xfId="16155" xr:uid="{00000000-0005-0000-0000-000004220000}"/>
    <cellStyle name="Input 2 8 3" xfId="23545" xr:uid="{00000000-0005-0000-0000-000005220000}"/>
    <cellStyle name="Input 2 8 4" xfId="23814" xr:uid="{00000000-0005-0000-0000-000006220000}"/>
    <cellStyle name="Input 2 9" xfId="11285" xr:uid="{00000000-0005-0000-0000-000007220000}"/>
    <cellStyle name="Input 3" xfId="232" xr:uid="{00000000-0005-0000-0000-000008220000}"/>
    <cellStyle name="Input 3 10" xfId="23973" xr:uid="{00000000-0005-0000-0000-000009220000}"/>
    <cellStyle name="Input 3 2" xfId="467" xr:uid="{00000000-0005-0000-0000-00000A220000}"/>
    <cellStyle name="Input 3 2 10" xfId="23926" xr:uid="{00000000-0005-0000-0000-00000B220000}"/>
    <cellStyle name="Input 3 2 2" xfId="732" xr:uid="{00000000-0005-0000-0000-00000C220000}"/>
    <cellStyle name="Input 3 2 2 2" xfId="1264" xr:uid="{00000000-0005-0000-0000-00000D220000}"/>
    <cellStyle name="Input 3 2 2 2 2" xfId="2421" xr:uid="{00000000-0005-0000-0000-00000E220000}"/>
    <cellStyle name="Input 3 2 2 2 2 2" xfId="4733" xr:uid="{00000000-0005-0000-0000-00000F220000}"/>
    <cellStyle name="Input 3 2 2 2 2 2 2" xfId="9684" xr:uid="{00000000-0005-0000-0000-000010220000}"/>
    <cellStyle name="Input 3 2 2 2 2 2 2 2" xfId="20581" xr:uid="{00000000-0005-0000-0000-000011220000}"/>
    <cellStyle name="Input 3 2 2 2 2 2 2 3" xfId="24837" xr:uid="{00000000-0005-0000-0000-000012220000}"/>
    <cellStyle name="Input 3 2 2 2 2 2 2 4" xfId="26401" xr:uid="{00000000-0005-0000-0000-000013220000}"/>
    <cellStyle name="Input 3 2 2 2 2 2 3" xfId="10852" xr:uid="{00000000-0005-0000-0000-000014220000}"/>
    <cellStyle name="Input 3 2 2 2 2 2 3 2" xfId="21749" xr:uid="{00000000-0005-0000-0000-000015220000}"/>
    <cellStyle name="Input 3 2 2 2 2 2 3 3" xfId="25879" xr:uid="{00000000-0005-0000-0000-000016220000}"/>
    <cellStyle name="Input 3 2 2 2 2 2 3 4" xfId="27396" xr:uid="{00000000-0005-0000-0000-000017220000}"/>
    <cellStyle name="Input 3 2 2 2 2 2 4" xfId="15630" xr:uid="{00000000-0005-0000-0000-000018220000}"/>
    <cellStyle name="Input 3 2 2 2 2 2 5" xfId="23150" xr:uid="{00000000-0005-0000-0000-000019220000}"/>
    <cellStyle name="Input 3 2 2 2 2 2 6" xfId="22311" xr:uid="{00000000-0005-0000-0000-00001A220000}"/>
    <cellStyle name="Input 3 2 2 2 2 3" xfId="5232" xr:uid="{00000000-0005-0000-0000-00001B220000}"/>
    <cellStyle name="Input 3 2 2 2 2 3 2" xfId="10183" xr:uid="{00000000-0005-0000-0000-00001C220000}"/>
    <cellStyle name="Input 3 2 2 2 2 3 2 2" xfId="21080" xr:uid="{00000000-0005-0000-0000-00001D220000}"/>
    <cellStyle name="Input 3 2 2 2 2 3 2 3" xfId="25210" xr:uid="{00000000-0005-0000-0000-00001E220000}"/>
    <cellStyle name="Input 3 2 2 2 2 3 2 4" xfId="26727" xr:uid="{00000000-0005-0000-0000-00001F220000}"/>
    <cellStyle name="Input 3 2 2 2 2 3 3" xfId="11178" xr:uid="{00000000-0005-0000-0000-000020220000}"/>
    <cellStyle name="Input 3 2 2 2 2 3 3 2" xfId="22075" xr:uid="{00000000-0005-0000-0000-000021220000}"/>
    <cellStyle name="Input 3 2 2 2 2 3 3 3" xfId="26205" xr:uid="{00000000-0005-0000-0000-000022220000}"/>
    <cellStyle name="Input 3 2 2 2 2 3 3 4" xfId="27722" xr:uid="{00000000-0005-0000-0000-000023220000}"/>
    <cellStyle name="Input 3 2 2 2 2 3 4" xfId="16129" xr:uid="{00000000-0005-0000-0000-000024220000}"/>
    <cellStyle name="Input 3 2 2 2 2 3 5" xfId="23521" xr:uid="{00000000-0005-0000-0000-000025220000}"/>
    <cellStyle name="Input 3 2 2 2 2 3 6" xfId="24633" xr:uid="{00000000-0005-0000-0000-000026220000}"/>
    <cellStyle name="Input 3 2 2 2 2 4" xfId="7372" xr:uid="{00000000-0005-0000-0000-000027220000}"/>
    <cellStyle name="Input 3 2 2 2 2 4 2" xfId="18269" xr:uid="{00000000-0005-0000-0000-000028220000}"/>
    <cellStyle name="Input 3 2 2 2 2 4 3" xfId="24161" xr:uid="{00000000-0005-0000-0000-000029220000}"/>
    <cellStyle name="Input 3 2 2 2 2 4 4" xfId="24751" xr:uid="{00000000-0005-0000-0000-00002A220000}"/>
    <cellStyle name="Input 3 2 2 2 2 5" xfId="10510" xr:uid="{00000000-0005-0000-0000-00002B220000}"/>
    <cellStyle name="Input 3 2 2 2 2 5 2" xfId="21407" xr:uid="{00000000-0005-0000-0000-00002C220000}"/>
    <cellStyle name="Input 3 2 2 2 2 5 3" xfId="25537" xr:uid="{00000000-0005-0000-0000-00002D220000}"/>
    <cellStyle name="Input 3 2 2 2 2 5 4" xfId="27054" xr:uid="{00000000-0005-0000-0000-00002E220000}"/>
    <cellStyle name="Input 3 2 2 2 2 6" xfId="13332" xr:uid="{00000000-0005-0000-0000-00002F220000}"/>
    <cellStyle name="Input 3 2 2 2 2 7" xfId="22134" xr:uid="{00000000-0005-0000-0000-000030220000}"/>
    <cellStyle name="Input 3 2 2 2 3" xfId="3588" xr:uid="{00000000-0005-0000-0000-000031220000}"/>
    <cellStyle name="Input 3 2 2 2 3 2" xfId="8539" xr:uid="{00000000-0005-0000-0000-000032220000}"/>
    <cellStyle name="Input 3 2 2 2 3 2 2" xfId="19436" xr:uid="{00000000-0005-0000-0000-000033220000}"/>
    <cellStyle name="Input 3 2 2 2 3 2 3" xfId="24512" xr:uid="{00000000-0005-0000-0000-000034220000}"/>
    <cellStyle name="Input 3 2 2 2 3 2 4" xfId="26241" xr:uid="{00000000-0005-0000-0000-000035220000}"/>
    <cellStyle name="Input 3 2 2 2 3 3" xfId="10692" xr:uid="{00000000-0005-0000-0000-000036220000}"/>
    <cellStyle name="Input 3 2 2 2 3 3 2" xfId="21589" xr:uid="{00000000-0005-0000-0000-000037220000}"/>
    <cellStyle name="Input 3 2 2 2 3 3 3" xfId="25719" xr:uid="{00000000-0005-0000-0000-000038220000}"/>
    <cellStyle name="Input 3 2 2 2 3 3 4" xfId="27236" xr:uid="{00000000-0005-0000-0000-000039220000}"/>
    <cellStyle name="Input 3 2 2 2 3 4" xfId="14485" xr:uid="{00000000-0005-0000-0000-00003A220000}"/>
    <cellStyle name="Input 3 2 2 2 3 5" xfId="22822" xr:uid="{00000000-0005-0000-0000-00003B220000}"/>
    <cellStyle name="Input 3 2 2 2 3 6" xfId="24087" xr:uid="{00000000-0005-0000-0000-00003C220000}"/>
    <cellStyle name="Input 3 2 2 2 4" xfId="5073" xr:uid="{00000000-0005-0000-0000-00003D220000}"/>
    <cellStyle name="Input 3 2 2 2 4 2" xfId="10024" xr:uid="{00000000-0005-0000-0000-00003E220000}"/>
    <cellStyle name="Input 3 2 2 2 4 2 2" xfId="20921" xr:uid="{00000000-0005-0000-0000-00003F220000}"/>
    <cellStyle name="Input 3 2 2 2 4 2 3" xfId="25051" xr:uid="{00000000-0005-0000-0000-000040220000}"/>
    <cellStyle name="Input 3 2 2 2 4 2 4" xfId="26568" xr:uid="{00000000-0005-0000-0000-000041220000}"/>
    <cellStyle name="Input 3 2 2 2 4 3" xfId="11019" xr:uid="{00000000-0005-0000-0000-000042220000}"/>
    <cellStyle name="Input 3 2 2 2 4 3 2" xfId="21916" xr:uid="{00000000-0005-0000-0000-000043220000}"/>
    <cellStyle name="Input 3 2 2 2 4 3 3" xfId="26046" xr:uid="{00000000-0005-0000-0000-000044220000}"/>
    <cellStyle name="Input 3 2 2 2 4 3 4" xfId="27563" xr:uid="{00000000-0005-0000-0000-000045220000}"/>
    <cellStyle name="Input 3 2 2 2 4 4" xfId="15970" xr:uid="{00000000-0005-0000-0000-000046220000}"/>
    <cellStyle name="Input 3 2 2 2 4 5" xfId="23362" xr:uid="{00000000-0005-0000-0000-000047220000}"/>
    <cellStyle name="Input 3 2 2 2 4 6" xfId="23736" xr:uid="{00000000-0005-0000-0000-000048220000}"/>
    <cellStyle name="Input 3 2 2 2 5" xfId="6227" xr:uid="{00000000-0005-0000-0000-000049220000}"/>
    <cellStyle name="Input 3 2 2 2 5 2" xfId="17124" xr:uid="{00000000-0005-0000-0000-00004A220000}"/>
    <cellStyle name="Input 3 2 2 2 5 3" xfId="23837" xr:uid="{00000000-0005-0000-0000-00004B220000}"/>
    <cellStyle name="Input 3 2 2 2 5 4" xfId="22922" xr:uid="{00000000-0005-0000-0000-00004C220000}"/>
    <cellStyle name="Input 3 2 2 2 6" xfId="10351" xr:uid="{00000000-0005-0000-0000-00004D220000}"/>
    <cellStyle name="Input 3 2 2 2 6 2" xfId="21248" xr:uid="{00000000-0005-0000-0000-00004E220000}"/>
    <cellStyle name="Input 3 2 2 2 6 3" xfId="25378" xr:uid="{00000000-0005-0000-0000-00004F220000}"/>
    <cellStyle name="Input 3 2 2 2 6 4" xfId="26895" xr:uid="{00000000-0005-0000-0000-000050220000}"/>
    <cellStyle name="Input 3 2 2 2 7" xfId="12214" xr:uid="{00000000-0005-0000-0000-000051220000}"/>
    <cellStyle name="Input 3 2 2 2 8" xfId="22228" xr:uid="{00000000-0005-0000-0000-000052220000}"/>
    <cellStyle name="Input 3 2 2 3" xfId="1414" xr:uid="{00000000-0005-0000-0000-000053220000}"/>
    <cellStyle name="Input 3 2 2 3 2" xfId="3738" xr:uid="{00000000-0005-0000-0000-000054220000}"/>
    <cellStyle name="Input 3 2 2 3 2 2" xfId="8689" xr:uid="{00000000-0005-0000-0000-000055220000}"/>
    <cellStyle name="Input 3 2 2 3 2 2 2" xfId="19586" xr:uid="{00000000-0005-0000-0000-000056220000}"/>
    <cellStyle name="Input 3 2 2 3 2 2 3" xfId="24583" xr:uid="{00000000-0005-0000-0000-000057220000}"/>
    <cellStyle name="Input 3 2 2 3 2 2 4" xfId="26301" xr:uid="{00000000-0005-0000-0000-000058220000}"/>
    <cellStyle name="Input 3 2 2 3 2 3" xfId="10752" xr:uid="{00000000-0005-0000-0000-000059220000}"/>
    <cellStyle name="Input 3 2 2 3 2 3 2" xfId="21649" xr:uid="{00000000-0005-0000-0000-00005A220000}"/>
    <cellStyle name="Input 3 2 2 3 2 3 3" xfId="25779" xr:uid="{00000000-0005-0000-0000-00005B220000}"/>
    <cellStyle name="Input 3 2 2 3 2 3 4" xfId="27296" xr:uid="{00000000-0005-0000-0000-00005C220000}"/>
    <cellStyle name="Input 3 2 2 3 2 4" xfId="14635" xr:uid="{00000000-0005-0000-0000-00005D220000}"/>
    <cellStyle name="Input 3 2 2 3 2 5" xfId="22895" xr:uid="{00000000-0005-0000-0000-00005E220000}"/>
    <cellStyle name="Input 3 2 2 3 2 6" xfId="23582" xr:uid="{00000000-0005-0000-0000-00005F220000}"/>
    <cellStyle name="Input 3 2 2 3 3" xfId="5133" xr:uid="{00000000-0005-0000-0000-000060220000}"/>
    <cellStyle name="Input 3 2 2 3 3 2" xfId="10084" xr:uid="{00000000-0005-0000-0000-000061220000}"/>
    <cellStyle name="Input 3 2 2 3 3 2 2" xfId="20981" xr:uid="{00000000-0005-0000-0000-000062220000}"/>
    <cellStyle name="Input 3 2 2 3 3 2 3" xfId="25111" xr:uid="{00000000-0005-0000-0000-000063220000}"/>
    <cellStyle name="Input 3 2 2 3 3 2 4" xfId="26628" xr:uid="{00000000-0005-0000-0000-000064220000}"/>
    <cellStyle name="Input 3 2 2 3 3 3" xfId="11079" xr:uid="{00000000-0005-0000-0000-000065220000}"/>
    <cellStyle name="Input 3 2 2 3 3 3 2" xfId="21976" xr:uid="{00000000-0005-0000-0000-000066220000}"/>
    <cellStyle name="Input 3 2 2 3 3 3 3" xfId="26106" xr:uid="{00000000-0005-0000-0000-000067220000}"/>
    <cellStyle name="Input 3 2 2 3 3 3 4" xfId="27623" xr:uid="{00000000-0005-0000-0000-000068220000}"/>
    <cellStyle name="Input 3 2 2 3 3 4" xfId="16030" xr:uid="{00000000-0005-0000-0000-000069220000}"/>
    <cellStyle name="Input 3 2 2 3 3 5" xfId="23422" xr:uid="{00000000-0005-0000-0000-00006A220000}"/>
    <cellStyle name="Input 3 2 2 3 3 6" xfId="22917" xr:uid="{00000000-0005-0000-0000-00006B220000}"/>
    <cellStyle name="Input 3 2 2 3 4" xfId="6377" xr:uid="{00000000-0005-0000-0000-00006C220000}"/>
    <cellStyle name="Input 3 2 2 3 4 2" xfId="17274" xr:uid="{00000000-0005-0000-0000-00006D220000}"/>
    <cellStyle name="Input 3 2 2 3 4 3" xfId="23908" xr:uid="{00000000-0005-0000-0000-00006E220000}"/>
    <cellStyle name="Input 3 2 2 3 4 4" xfId="22185" xr:uid="{00000000-0005-0000-0000-00006F220000}"/>
    <cellStyle name="Input 3 2 2 3 5" xfId="10411" xr:uid="{00000000-0005-0000-0000-000070220000}"/>
    <cellStyle name="Input 3 2 2 3 5 2" xfId="21308" xr:uid="{00000000-0005-0000-0000-000071220000}"/>
    <cellStyle name="Input 3 2 2 3 5 3" xfId="25438" xr:uid="{00000000-0005-0000-0000-000072220000}"/>
    <cellStyle name="Input 3 2 2 3 5 4" xfId="26955" xr:uid="{00000000-0005-0000-0000-000073220000}"/>
    <cellStyle name="Input 3 2 2 3 6" xfId="12354" xr:uid="{00000000-0005-0000-0000-000074220000}"/>
    <cellStyle name="Input 3 2 2 3 7" xfId="22683" xr:uid="{00000000-0005-0000-0000-000075220000}"/>
    <cellStyle name="Input 3 2 2 4" xfId="3056" xr:uid="{00000000-0005-0000-0000-000076220000}"/>
    <cellStyle name="Input 3 2 2 4 2" xfId="8007" xr:uid="{00000000-0005-0000-0000-000077220000}"/>
    <cellStyle name="Input 3 2 2 4 2 2" xfId="18904" xr:uid="{00000000-0005-0000-0000-000078220000}"/>
    <cellStyle name="Input 3 2 2 4 2 3" xfId="24356" xr:uid="{00000000-0005-0000-0000-000079220000}"/>
    <cellStyle name="Input 3 2 2 4 2 4" xfId="22975" xr:uid="{00000000-0005-0000-0000-00007A220000}"/>
    <cellStyle name="Input 3 2 2 4 3" xfId="10612" xr:uid="{00000000-0005-0000-0000-00007B220000}"/>
    <cellStyle name="Input 3 2 2 4 3 2" xfId="21509" xr:uid="{00000000-0005-0000-0000-00007C220000}"/>
    <cellStyle name="Input 3 2 2 4 3 3" xfId="25639" xr:uid="{00000000-0005-0000-0000-00007D220000}"/>
    <cellStyle name="Input 3 2 2 4 3 4" xfId="27156" xr:uid="{00000000-0005-0000-0000-00007E220000}"/>
    <cellStyle name="Input 3 2 2 4 4" xfId="13953" xr:uid="{00000000-0005-0000-0000-00007F220000}"/>
    <cellStyle name="Input 3 2 2 4 5" xfId="22660" xr:uid="{00000000-0005-0000-0000-000080220000}"/>
    <cellStyle name="Input 3 2 2 4 6" xfId="22351" xr:uid="{00000000-0005-0000-0000-000081220000}"/>
    <cellStyle name="Input 3 2 2 5" xfId="4993" xr:uid="{00000000-0005-0000-0000-000082220000}"/>
    <cellStyle name="Input 3 2 2 5 2" xfId="9944" xr:uid="{00000000-0005-0000-0000-000083220000}"/>
    <cellStyle name="Input 3 2 2 5 2 2" xfId="20841" xr:uid="{00000000-0005-0000-0000-000084220000}"/>
    <cellStyle name="Input 3 2 2 5 2 3" xfId="24971" xr:uid="{00000000-0005-0000-0000-000085220000}"/>
    <cellStyle name="Input 3 2 2 5 2 4" xfId="26488" xr:uid="{00000000-0005-0000-0000-000086220000}"/>
    <cellStyle name="Input 3 2 2 5 3" xfId="10939" xr:uid="{00000000-0005-0000-0000-000087220000}"/>
    <cellStyle name="Input 3 2 2 5 3 2" xfId="21836" xr:uid="{00000000-0005-0000-0000-000088220000}"/>
    <cellStyle name="Input 3 2 2 5 3 3" xfId="25966" xr:uid="{00000000-0005-0000-0000-000089220000}"/>
    <cellStyle name="Input 3 2 2 5 3 4" xfId="27483" xr:uid="{00000000-0005-0000-0000-00008A220000}"/>
    <cellStyle name="Input 3 2 2 5 4" xfId="15890" xr:uid="{00000000-0005-0000-0000-00008B220000}"/>
    <cellStyle name="Input 3 2 2 5 5" xfId="23282" xr:uid="{00000000-0005-0000-0000-00008C220000}"/>
    <cellStyle name="Input 3 2 2 5 6" xfId="23143" xr:uid="{00000000-0005-0000-0000-00008D220000}"/>
    <cellStyle name="Input 3 2 2 6" xfId="5695" xr:uid="{00000000-0005-0000-0000-00008E220000}"/>
    <cellStyle name="Input 3 2 2 6 2" xfId="16592" xr:uid="{00000000-0005-0000-0000-00008F220000}"/>
    <cellStyle name="Input 3 2 2 6 3" xfId="23680" xr:uid="{00000000-0005-0000-0000-000090220000}"/>
    <cellStyle name="Input 3 2 2 6 4" xfId="24200" xr:uid="{00000000-0005-0000-0000-000091220000}"/>
    <cellStyle name="Input 3 2 2 7" xfId="10271" xr:uid="{00000000-0005-0000-0000-000092220000}"/>
    <cellStyle name="Input 3 2 2 7 2" xfId="21168" xr:uid="{00000000-0005-0000-0000-000093220000}"/>
    <cellStyle name="Input 3 2 2 7 3" xfId="25298" xr:uid="{00000000-0005-0000-0000-000094220000}"/>
    <cellStyle name="Input 3 2 2 7 4" xfId="26815" xr:uid="{00000000-0005-0000-0000-000095220000}"/>
    <cellStyle name="Input 3 2 2 8" xfId="11693" xr:uid="{00000000-0005-0000-0000-000096220000}"/>
    <cellStyle name="Input 3 2 2 9" xfId="23617" xr:uid="{00000000-0005-0000-0000-000097220000}"/>
    <cellStyle name="Input 3 2 3" xfId="999" xr:uid="{00000000-0005-0000-0000-000098220000}"/>
    <cellStyle name="Input 3 2 3 2" xfId="2156" xr:uid="{00000000-0005-0000-0000-000099220000}"/>
    <cellStyle name="Input 3 2 3 2 2" xfId="4468" xr:uid="{00000000-0005-0000-0000-00009A220000}"/>
    <cellStyle name="Input 3 2 3 2 2 2" xfId="9419" xr:uid="{00000000-0005-0000-0000-00009B220000}"/>
    <cellStyle name="Input 3 2 3 2 2 2 2" xfId="20316" xr:uid="{00000000-0005-0000-0000-00009C220000}"/>
    <cellStyle name="Input 3 2 3 2 2 2 3" xfId="24762" xr:uid="{00000000-0005-0000-0000-00009D220000}"/>
    <cellStyle name="Input 3 2 3 2 2 2 4" xfId="26361" xr:uid="{00000000-0005-0000-0000-00009E220000}"/>
    <cellStyle name="Input 3 2 3 2 2 3" xfId="10812" xr:uid="{00000000-0005-0000-0000-00009F220000}"/>
    <cellStyle name="Input 3 2 3 2 2 3 2" xfId="21709" xr:uid="{00000000-0005-0000-0000-0000A0220000}"/>
    <cellStyle name="Input 3 2 3 2 2 3 3" xfId="25839" xr:uid="{00000000-0005-0000-0000-0000A1220000}"/>
    <cellStyle name="Input 3 2 3 2 2 3 4" xfId="27356" xr:uid="{00000000-0005-0000-0000-0000A2220000}"/>
    <cellStyle name="Input 3 2 3 2 2 4" xfId="15365" xr:uid="{00000000-0005-0000-0000-0000A3220000}"/>
    <cellStyle name="Input 3 2 3 2 2 5" xfId="23073" xr:uid="{00000000-0005-0000-0000-0000A4220000}"/>
    <cellStyle name="Input 3 2 3 2 2 6" xfId="24242" xr:uid="{00000000-0005-0000-0000-0000A5220000}"/>
    <cellStyle name="Input 3 2 3 2 3" xfId="5192" xr:uid="{00000000-0005-0000-0000-0000A6220000}"/>
    <cellStyle name="Input 3 2 3 2 3 2" xfId="10143" xr:uid="{00000000-0005-0000-0000-0000A7220000}"/>
    <cellStyle name="Input 3 2 3 2 3 2 2" xfId="21040" xr:uid="{00000000-0005-0000-0000-0000A8220000}"/>
    <cellStyle name="Input 3 2 3 2 3 2 3" xfId="25170" xr:uid="{00000000-0005-0000-0000-0000A9220000}"/>
    <cellStyle name="Input 3 2 3 2 3 2 4" xfId="26687" xr:uid="{00000000-0005-0000-0000-0000AA220000}"/>
    <cellStyle name="Input 3 2 3 2 3 3" xfId="11138" xr:uid="{00000000-0005-0000-0000-0000AB220000}"/>
    <cellStyle name="Input 3 2 3 2 3 3 2" xfId="22035" xr:uid="{00000000-0005-0000-0000-0000AC220000}"/>
    <cellStyle name="Input 3 2 3 2 3 3 3" xfId="26165" xr:uid="{00000000-0005-0000-0000-0000AD220000}"/>
    <cellStyle name="Input 3 2 3 2 3 3 4" xfId="27682" xr:uid="{00000000-0005-0000-0000-0000AE220000}"/>
    <cellStyle name="Input 3 2 3 2 3 4" xfId="16089" xr:uid="{00000000-0005-0000-0000-0000AF220000}"/>
    <cellStyle name="Input 3 2 3 2 3 5" xfId="23481" xr:uid="{00000000-0005-0000-0000-0000B0220000}"/>
    <cellStyle name="Input 3 2 3 2 3 6" xfId="22206" xr:uid="{00000000-0005-0000-0000-0000B1220000}"/>
    <cellStyle name="Input 3 2 3 2 4" xfId="7107" xr:uid="{00000000-0005-0000-0000-0000B2220000}"/>
    <cellStyle name="Input 3 2 3 2 4 2" xfId="18004" xr:uid="{00000000-0005-0000-0000-0000B3220000}"/>
    <cellStyle name="Input 3 2 3 2 4 3" xfId="24085" xr:uid="{00000000-0005-0000-0000-0000B4220000}"/>
    <cellStyle name="Input 3 2 3 2 4 4" xfId="22578" xr:uid="{00000000-0005-0000-0000-0000B5220000}"/>
    <cellStyle name="Input 3 2 3 2 5" xfId="10470" xr:uid="{00000000-0005-0000-0000-0000B6220000}"/>
    <cellStyle name="Input 3 2 3 2 5 2" xfId="21367" xr:uid="{00000000-0005-0000-0000-0000B7220000}"/>
    <cellStyle name="Input 3 2 3 2 5 3" xfId="25497" xr:uid="{00000000-0005-0000-0000-0000B8220000}"/>
    <cellStyle name="Input 3 2 3 2 5 4" xfId="27014" xr:uid="{00000000-0005-0000-0000-0000B9220000}"/>
    <cellStyle name="Input 3 2 3 2 6" xfId="13073" xr:uid="{00000000-0005-0000-0000-0000BA220000}"/>
    <cellStyle name="Input 3 2 3 2 7" xfId="23796" xr:uid="{00000000-0005-0000-0000-0000BB220000}"/>
    <cellStyle name="Input 3 2 3 3" xfId="3323" xr:uid="{00000000-0005-0000-0000-0000BC220000}"/>
    <cellStyle name="Input 3 2 3 3 2" xfId="8274" xr:uid="{00000000-0005-0000-0000-0000BD220000}"/>
    <cellStyle name="Input 3 2 3 3 2 2" xfId="19171" xr:uid="{00000000-0005-0000-0000-0000BE220000}"/>
    <cellStyle name="Input 3 2 3 3 2 3" xfId="24436" xr:uid="{00000000-0005-0000-0000-0000BF220000}"/>
    <cellStyle name="Input 3 2 3 3 2 4" xfId="22144" xr:uid="{00000000-0005-0000-0000-0000C0220000}"/>
    <cellStyle name="Input 3 2 3 3 3" xfId="10652" xr:uid="{00000000-0005-0000-0000-0000C1220000}"/>
    <cellStyle name="Input 3 2 3 3 3 2" xfId="21549" xr:uid="{00000000-0005-0000-0000-0000C2220000}"/>
    <cellStyle name="Input 3 2 3 3 3 3" xfId="25679" xr:uid="{00000000-0005-0000-0000-0000C3220000}"/>
    <cellStyle name="Input 3 2 3 3 3 4" xfId="27196" xr:uid="{00000000-0005-0000-0000-0000C4220000}"/>
    <cellStyle name="Input 3 2 3 3 4" xfId="14220" xr:uid="{00000000-0005-0000-0000-0000C5220000}"/>
    <cellStyle name="Input 3 2 3 3 5" xfId="22743" xr:uid="{00000000-0005-0000-0000-0000C6220000}"/>
    <cellStyle name="Input 3 2 3 3 6" xfId="24292" xr:uid="{00000000-0005-0000-0000-0000C7220000}"/>
    <cellStyle name="Input 3 2 3 4" xfId="5033" xr:uid="{00000000-0005-0000-0000-0000C8220000}"/>
    <cellStyle name="Input 3 2 3 4 2" xfId="9984" xr:uid="{00000000-0005-0000-0000-0000C9220000}"/>
    <cellStyle name="Input 3 2 3 4 2 2" xfId="20881" xr:uid="{00000000-0005-0000-0000-0000CA220000}"/>
    <cellStyle name="Input 3 2 3 4 2 3" xfId="25011" xr:uid="{00000000-0005-0000-0000-0000CB220000}"/>
    <cellStyle name="Input 3 2 3 4 2 4" xfId="26528" xr:uid="{00000000-0005-0000-0000-0000CC220000}"/>
    <cellStyle name="Input 3 2 3 4 3" xfId="10979" xr:uid="{00000000-0005-0000-0000-0000CD220000}"/>
    <cellStyle name="Input 3 2 3 4 3 2" xfId="21876" xr:uid="{00000000-0005-0000-0000-0000CE220000}"/>
    <cellStyle name="Input 3 2 3 4 3 3" xfId="26006" xr:uid="{00000000-0005-0000-0000-0000CF220000}"/>
    <cellStyle name="Input 3 2 3 4 3 4" xfId="27523" xr:uid="{00000000-0005-0000-0000-0000D0220000}"/>
    <cellStyle name="Input 3 2 3 4 4" xfId="15930" xr:uid="{00000000-0005-0000-0000-0000D1220000}"/>
    <cellStyle name="Input 3 2 3 4 5" xfId="23322" xr:uid="{00000000-0005-0000-0000-0000D2220000}"/>
    <cellStyle name="Input 3 2 3 4 6" xfId="24650" xr:uid="{00000000-0005-0000-0000-0000D3220000}"/>
    <cellStyle name="Input 3 2 3 5" xfId="5962" xr:uid="{00000000-0005-0000-0000-0000D4220000}"/>
    <cellStyle name="Input 3 2 3 5 2" xfId="16859" xr:uid="{00000000-0005-0000-0000-0000D5220000}"/>
    <cellStyle name="Input 3 2 3 5 3" xfId="23759" xr:uid="{00000000-0005-0000-0000-0000D6220000}"/>
    <cellStyle name="Input 3 2 3 5 4" xfId="22694" xr:uid="{00000000-0005-0000-0000-0000D7220000}"/>
    <cellStyle name="Input 3 2 3 6" xfId="10311" xr:uid="{00000000-0005-0000-0000-0000D8220000}"/>
    <cellStyle name="Input 3 2 3 6 2" xfId="21208" xr:uid="{00000000-0005-0000-0000-0000D9220000}"/>
    <cellStyle name="Input 3 2 3 6 3" xfId="25338" xr:uid="{00000000-0005-0000-0000-0000DA220000}"/>
    <cellStyle name="Input 3 2 3 6 4" xfId="26855" xr:uid="{00000000-0005-0000-0000-0000DB220000}"/>
    <cellStyle name="Input 3 2 3 7" xfId="11955" xr:uid="{00000000-0005-0000-0000-0000DC220000}"/>
    <cellStyle name="Input 3 2 3 8" xfId="22276" xr:uid="{00000000-0005-0000-0000-0000DD220000}"/>
    <cellStyle name="Input 3 2 4" xfId="1374" xr:uid="{00000000-0005-0000-0000-0000DE220000}"/>
    <cellStyle name="Input 3 2 4 2" xfId="3698" xr:uid="{00000000-0005-0000-0000-0000DF220000}"/>
    <cellStyle name="Input 3 2 4 2 2" xfId="8649" xr:uid="{00000000-0005-0000-0000-0000E0220000}"/>
    <cellStyle name="Input 3 2 4 2 2 2" xfId="19546" xr:uid="{00000000-0005-0000-0000-0000E1220000}"/>
    <cellStyle name="Input 3 2 4 2 2 3" xfId="24543" xr:uid="{00000000-0005-0000-0000-0000E2220000}"/>
    <cellStyle name="Input 3 2 4 2 2 4" xfId="26261" xr:uid="{00000000-0005-0000-0000-0000E3220000}"/>
    <cellStyle name="Input 3 2 4 2 3" xfId="10712" xr:uid="{00000000-0005-0000-0000-0000E4220000}"/>
    <cellStyle name="Input 3 2 4 2 3 2" xfId="21609" xr:uid="{00000000-0005-0000-0000-0000E5220000}"/>
    <cellStyle name="Input 3 2 4 2 3 3" xfId="25739" xr:uid="{00000000-0005-0000-0000-0000E6220000}"/>
    <cellStyle name="Input 3 2 4 2 3 4" xfId="27256" xr:uid="{00000000-0005-0000-0000-0000E7220000}"/>
    <cellStyle name="Input 3 2 4 2 4" xfId="14595" xr:uid="{00000000-0005-0000-0000-0000E8220000}"/>
    <cellStyle name="Input 3 2 4 2 5" xfId="22855" xr:uid="{00000000-0005-0000-0000-0000E9220000}"/>
    <cellStyle name="Input 3 2 4 2 6" xfId="24470" xr:uid="{00000000-0005-0000-0000-0000EA220000}"/>
    <cellStyle name="Input 3 2 4 3" xfId="5093" xr:uid="{00000000-0005-0000-0000-0000EB220000}"/>
    <cellStyle name="Input 3 2 4 3 2" xfId="10044" xr:uid="{00000000-0005-0000-0000-0000EC220000}"/>
    <cellStyle name="Input 3 2 4 3 2 2" xfId="20941" xr:uid="{00000000-0005-0000-0000-0000ED220000}"/>
    <cellStyle name="Input 3 2 4 3 2 3" xfId="25071" xr:uid="{00000000-0005-0000-0000-0000EE220000}"/>
    <cellStyle name="Input 3 2 4 3 2 4" xfId="26588" xr:uid="{00000000-0005-0000-0000-0000EF220000}"/>
    <cellStyle name="Input 3 2 4 3 3" xfId="11039" xr:uid="{00000000-0005-0000-0000-0000F0220000}"/>
    <cellStyle name="Input 3 2 4 3 3 2" xfId="21936" xr:uid="{00000000-0005-0000-0000-0000F1220000}"/>
    <cellStyle name="Input 3 2 4 3 3 3" xfId="26066" xr:uid="{00000000-0005-0000-0000-0000F2220000}"/>
    <cellStyle name="Input 3 2 4 3 3 4" xfId="27583" xr:uid="{00000000-0005-0000-0000-0000F3220000}"/>
    <cellStyle name="Input 3 2 4 3 4" xfId="15990" xr:uid="{00000000-0005-0000-0000-0000F4220000}"/>
    <cellStyle name="Input 3 2 4 3 5" xfId="23382" xr:uid="{00000000-0005-0000-0000-0000F5220000}"/>
    <cellStyle name="Input 3 2 4 3 6" xfId="23128" xr:uid="{00000000-0005-0000-0000-0000F6220000}"/>
    <cellStyle name="Input 3 2 4 4" xfId="6337" xr:uid="{00000000-0005-0000-0000-0000F7220000}"/>
    <cellStyle name="Input 3 2 4 4 2" xfId="17234" xr:uid="{00000000-0005-0000-0000-0000F8220000}"/>
    <cellStyle name="Input 3 2 4 4 3" xfId="23868" xr:uid="{00000000-0005-0000-0000-0000F9220000}"/>
    <cellStyle name="Input 3 2 4 4 4" xfId="22501" xr:uid="{00000000-0005-0000-0000-0000FA220000}"/>
    <cellStyle name="Input 3 2 4 5" xfId="10371" xr:uid="{00000000-0005-0000-0000-0000FB220000}"/>
    <cellStyle name="Input 3 2 4 5 2" xfId="21268" xr:uid="{00000000-0005-0000-0000-0000FC220000}"/>
    <cellStyle name="Input 3 2 4 5 3" xfId="25398" xr:uid="{00000000-0005-0000-0000-0000FD220000}"/>
    <cellStyle name="Input 3 2 4 5 4" xfId="26915" xr:uid="{00000000-0005-0000-0000-0000FE220000}"/>
    <cellStyle name="Input 3 2 4 6" xfId="12322" xr:uid="{00000000-0005-0000-0000-0000FF220000}"/>
    <cellStyle name="Input 3 2 4 7" xfId="22903" xr:uid="{00000000-0005-0000-0000-000000230000}"/>
    <cellStyle name="Input 3 2 5" xfId="2791" xr:uid="{00000000-0005-0000-0000-000001230000}"/>
    <cellStyle name="Input 3 2 5 2" xfId="7742" xr:uid="{00000000-0005-0000-0000-000002230000}"/>
    <cellStyle name="Input 3 2 5 2 2" xfId="18639" xr:uid="{00000000-0005-0000-0000-000003230000}"/>
    <cellStyle name="Input 3 2 5 2 3" xfId="24289" xr:uid="{00000000-0005-0000-0000-000004230000}"/>
    <cellStyle name="Input 3 2 5 2 4" xfId="24713" xr:uid="{00000000-0005-0000-0000-000005230000}"/>
    <cellStyle name="Input 3 2 5 3" xfId="10572" xr:uid="{00000000-0005-0000-0000-000006230000}"/>
    <cellStyle name="Input 3 2 5 3 2" xfId="21469" xr:uid="{00000000-0005-0000-0000-000007230000}"/>
    <cellStyle name="Input 3 2 5 3 3" xfId="25599" xr:uid="{00000000-0005-0000-0000-000008230000}"/>
    <cellStyle name="Input 3 2 5 3 4" xfId="27116" xr:uid="{00000000-0005-0000-0000-000009230000}"/>
    <cellStyle name="Input 3 2 5 4" xfId="13688" xr:uid="{00000000-0005-0000-0000-00000A230000}"/>
    <cellStyle name="Input 3 2 5 5" xfId="22590" xr:uid="{00000000-0005-0000-0000-00000B230000}"/>
    <cellStyle name="Input 3 2 5 6" xfId="23032" xr:uid="{00000000-0005-0000-0000-00000C230000}"/>
    <cellStyle name="Input 3 2 6" xfId="4953" xr:uid="{00000000-0005-0000-0000-00000D230000}"/>
    <cellStyle name="Input 3 2 6 2" xfId="9904" xr:uid="{00000000-0005-0000-0000-00000E230000}"/>
    <cellStyle name="Input 3 2 6 2 2" xfId="20801" xr:uid="{00000000-0005-0000-0000-00000F230000}"/>
    <cellStyle name="Input 3 2 6 2 3" xfId="24931" xr:uid="{00000000-0005-0000-0000-000010230000}"/>
    <cellStyle name="Input 3 2 6 2 4" xfId="26448" xr:uid="{00000000-0005-0000-0000-000011230000}"/>
    <cellStyle name="Input 3 2 6 3" xfId="10899" xr:uid="{00000000-0005-0000-0000-000012230000}"/>
    <cellStyle name="Input 3 2 6 3 2" xfId="21796" xr:uid="{00000000-0005-0000-0000-000013230000}"/>
    <cellStyle name="Input 3 2 6 3 3" xfId="25926" xr:uid="{00000000-0005-0000-0000-000014230000}"/>
    <cellStyle name="Input 3 2 6 3 4" xfId="27443" xr:uid="{00000000-0005-0000-0000-000015230000}"/>
    <cellStyle name="Input 3 2 6 4" xfId="15850" xr:uid="{00000000-0005-0000-0000-000016230000}"/>
    <cellStyle name="Input 3 2 6 5" xfId="23242" xr:uid="{00000000-0005-0000-0000-000017230000}"/>
    <cellStyle name="Input 3 2 6 6" xfId="23988" xr:uid="{00000000-0005-0000-0000-000018230000}"/>
    <cellStyle name="Input 3 2 7" xfId="5430" xr:uid="{00000000-0005-0000-0000-000019230000}"/>
    <cellStyle name="Input 3 2 7 2" xfId="16327" xr:uid="{00000000-0005-0000-0000-00001A230000}"/>
    <cellStyle name="Input 3 2 7 3" xfId="23608" xr:uid="{00000000-0005-0000-0000-00001B230000}"/>
    <cellStyle name="Input 3 2 7 4" xfId="22213" xr:uid="{00000000-0005-0000-0000-00001C230000}"/>
    <cellStyle name="Input 3 2 8" xfId="10231" xr:uid="{00000000-0005-0000-0000-00001D230000}"/>
    <cellStyle name="Input 3 2 8 2" xfId="21128" xr:uid="{00000000-0005-0000-0000-00001E230000}"/>
    <cellStyle name="Input 3 2 8 3" xfId="25258" xr:uid="{00000000-0005-0000-0000-00001F230000}"/>
    <cellStyle name="Input 3 2 8 4" xfId="26775" xr:uid="{00000000-0005-0000-0000-000020230000}"/>
    <cellStyle name="Input 3 2 9" xfId="11432" xr:uid="{00000000-0005-0000-0000-000021230000}"/>
    <cellStyle name="Input 3 3" xfId="586" xr:uid="{00000000-0005-0000-0000-000022230000}"/>
    <cellStyle name="Input 3 3 2" xfId="1118" xr:uid="{00000000-0005-0000-0000-000023230000}"/>
    <cellStyle name="Input 3 3 2 2" xfId="2275" xr:uid="{00000000-0005-0000-0000-000024230000}"/>
    <cellStyle name="Input 3 3 2 2 2" xfId="4587" xr:uid="{00000000-0005-0000-0000-000025230000}"/>
    <cellStyle name="Input 3 3 2 2 2 2" xfId="9538" xr:uid="{00000000-0005-0000-0000-000026230000}"/>
    <cellStyle name="Input 3 3 2 2 2 2 2" xfId="20435" xr:uid="{00000000-0005-0000-0000-000027230000}"/>
    <cellStyle name="Input 3 3 2 2 2 2 3" xfId="24789" xr:uid="{00000000-0005-0000-0000-000028230000}"/>
    <cellStyle name="Input 3 3 2 2 2 2 4" xfId="26370" xr:uid="{00000000-0005-0000-0000-000029230000}"/>
    <cellStyle name="Input 3 3 2 2 2 3" xfId="10821" xr:uid="{00000000-0005-0000-0000-00002A230000}"/>
    <cellStyle name="Input 3 3 2 2 2 3 2" xfId="21718" xr:uid="{00000000-0005-0000-0000-00002B230000}"/>
    <cellStyle name="Input 3 3 2 2 2 3 3" xfId="25848" xr:uid="{00000000-0005-0000-0000-00002C230000}"/>
    <cellStyle name="Input 3 3 2 2 2 3 4" xfId="27365" xr:uid="{00000000-0005-0000-0000-00002D230000}"/>
    <cellStyle name="Input 3 3 2 2 2 4" xfId="15484" xr:uid="{00000000-0005-0000-0000-00002E230000}"/>
    <cellStyle name="Input 3 3 2 2 2 5" xfId="23100" xr:uid="{00000000-0005-0000-0000-00002F230000}"/>
    <cellStyle name="Input 3 3 2 2 2 6" xfId="24851" xr:uid="{00000000-0005-0000-0000-000030230000}"/>
    <cellStyle name="Input 3 3 2 2 3" xfId="5201" xr:uid="{00000000-0005-0000-0000-000031230000}"/>
    <cellStyle name="Input 3 3 2 2 3 2" xfId="10152" xr:uid="{00000000-0005-0000-0000-000032230000}"/>
    <cellStyle name="Input 3 3 2 2 3 2 2" xfId="21049" xr:uid="{00000000-0005-0000-0000-000033230000}"/>
    <cellStyle name="Input 3 3 2 2 3 2 3" xfId="25179" xr:uid="{00000000-0005-0000-0000-000034230000}"/>
    <cellStyle name="Input 3 3 2 2 3 2 4" xfId="26696" xr:uid="{00000000-0005-0000-0000-000035230000}"/>
    <cellStyle name="Input 3 3 2 2 3 3" xfId="11147" xr:uid="{00000000-0005-0000-0000-000036230000}"/>
    <cellStyle name="Input 3 3 2 2 3 3 2" xfId="22044" xr:uid="{00000000-0005-0000-0000-000037230000}"/>
    <cellStyle name="Input 3 3 2 2 3 3 3" xfId="26174" xr:uid="{00000000-0005-0000-0000-000038230000}"/>
    <cellStyle name="Input 3 3 2 2 3 3 4" xfId="27691" xr:uid="{00000000-0005-0000-0000-000039230000}"/>
    <cellStyle name="Input 3 3 2 2 3 4" xfId="16098" xr:uid="{00000000-0005-0000-0000-00003A230000}"/>
    <cellStyle name="Input 3 3 2 2 3 5" xfId="23490" xr:uid="{00000000-0005-0000-0000-00003B230000}"/>
    <cellStyle name="Input 3 3 2 2 3 6" xfId="24522" xr:uid="{00000000-0005-0000-0000-00003C230000}"/>
    <cellStyle name="Input 3 3 2 2 4" xfId="7226" xr:uid="{00000000-0005-0000-0000-00003D230000}"/>
    <cellStyle name="Input 3 3 2 2 4 2" xfId="18123" xr:uid="{00000000-0005-0000-0000-00003E230000}"/>
    <cellStyle name="Input 3 3 2 2 4 3" xfId="24113" xr:uid="{00000000-0005-0000-0000-00003F230000}"/>
    <cellStyle name="Input 3 3 2 2 4 4" xfId="22770" xr:uid="{00000000-0005-0000-0000-000040230000}"/>
    <cellStyle name="Input 3 3 2 2 5" xfId="10479" xr:uid="{00000000-0005-0000-0000-000041230000}"/>
    <cellStyle name="Input 3 3 2 2 5 2" xfId="21376" xr:uid="{00000000-0005-0000-0000-000042230000}"/>
    <cellStyle name="Input 3 3 2 2 5 3" xfId="25506" xr:uid="{00000000-0005-0000-0000-000043230000}"/>
    <cellStyle name="Input 3 3 2 2 5 4" xfId="27023" xr:uid="{00000000-0005-0000-0000-000044230000}"/>
    <cellStyle name="Input 3 3 2 2 6" xfId="13190" xr:uid="{00000000-0005-0000-0000-000045230000}"/>
    <cellStyle name="Input 3 3 2 2 7" xfId="23033" xr:uid="{00000000-0005-0000-0000-000046230000}"/>
    <cellStyle name="Input 3 3 2 3" xfId="3442" xr:uid="{00000000-0005-0000-0000-000047230000}"/>
    <cellStyle name="Input 3 3 2 3 2" xfId="8393" xr:uid="{00000000-0005-0000-0000-000048230000}"/>
    <cellStyle name="Input 3 3 2 3 2 2" xfId="19290" xr:uid="{00000000-0005-0000-0000-000049230000}"/>
    <cellStyle name="Input 3 3 2 3 2 3" xfId="24464" xr:uid="{00000000-0005-0000-0000-00004A230000}"/>
    <cellStyle name="Input 3 3 2 3 2 4" xfId="11523" xr:uid="{00000000-0005-0000-0000-00004B230000}"/>
    <cellStyle name="Input 3 3 2 3 3" xfId="10661" xr:uid="{00000000-0005-0000-0000-00004C230000}"/>
    <cellStyle name="Input 3 3 2 3 3 2" xfId="21558" xr:uid="{00000000-0005-0000-0000-00004D230000}"/>
    <cellStyle name="Input 3 3 2 3 3 3" xfId="25688" xr:uid="{00000000-0005-0000-0000-00004E230000}"/>
    <cellStyle name="Input 3 3 2 3 3 4" xfId="27205" xr:uid="{00000000-0005-0000-0000-00004F230000}"/>
    <cellStyle name="Input 3 3 2 3 4" xfId="14339" xr:uid="{00000000-0005-0000-0000-000050230000}"/>
    <cellStyle name="Input 3 3 2 3 5" xfId="22774" xr:uid="{00000000-0005-0000-0000-000051230000}"/>
    <cellStyle name="Input 3 3 2 3 6" xfId="24471" xr:uid="{00000000-0005-0000-0000-000052230000}"/>
    <cellStyle name="Input 3 3 2 4" xfId="5042" xr:uid="{00000000-0005-0000-0000-000053230000}"/>
    <cellStyle name="Input 3 3 2 4 2" xfId="9993" xr:uid="{00000000-0005-0000-0000-000054230000}"/>
    <cellStyle name="Input 3 3 2 4 2 2" xfId="20890" xr:uid="{00000000-0005-0000-0000-000055230000}"/>
    <cellStyle name="Input 3 3 2 4 2 3" xfId="25020" xr:uid="{00000000-0005-0000-0000-000056230000}"/>
    <cellStyle name="Input 3 3 2 4 2 4" xfId="26537" xr:uid="{00000000-0005-0000-0000-000057230000}"/>
    <cellStyle name="Input 3 3 2 4 3" xfId="10988" xr:uid="{00000000-0005-0000-0000-000058230000}"/>
    <cellStyle name="Input 3 3 2 4 3 2" xfId="21885" xr:uid="{00000000-0005-0000-0000-000059230000}"/>
    <cellStyle name="Input 3 3 2 4 3 3" xfId="26015" xr:uid="{00000000-0005-0000-0000-00005A230000}"/>
    <cellStyle name="Input 3 3 2 4 3 4" xfId="27532" xr:uid="{00000000-0005-0000-0000-00005B230000}"/>
    <cellStyle name="Input 3 3 2 4 4" xfId="15939" xr:uid="{00000000-0005-0000-0000-00005C230000}"/>
    <cellStyle name="Input 3 3 2 4 5" xfId="23331" xr:uid="{00000000-0005-0000-0000-00005D230000}"/>
    <cellStyle name="Input 3 3 2 4 6" xfId="22412" xr:uid="{00000000-0005-0000-0000-00005E230000}"/>
    <cellStyle name="Input 3 3 2 5" xfId="6081" xr:uid="{00000000-0005-0000-0000-00005F230000}"/>
    <cellStyle name="Input 3 3 2 5 2" xfId="16978" xr:uid="{00000000-0005-0000-0000-000060230000}"/>
    <cellStyle name="Input 3 3 2 5 3" xfId="23787" xr:uid="{00000000-0005-0000-0000-000061230000}"/>
    <cellStyle name="Input 3 3 2 5 4" xfId="22096" xr:uid="{00000000-0005-0000-0000-000062230000}"/>
    <cellStyle name="Input 3 3 2 6" xfId="10320" xr:uid="{00000000-0005-0000-0000-000063230000}"/>
    <cellStyle name="Input 3 3 2 6 2" xfId="21217" xr:uid="{00000000-0005-0000-0000-000064230000}"/>
    <cellStyle name="Input 3 3 2 6 3" xfId="25347" xr:uid="{00000000-0005-0000-0000-000065230000}"/>
    <cellStyle name="Input 3 3 2 6 4" xfId="26864" xr:uid="{00000000-0005-0000-0000-000066230000}"/>
    <cellStyle name="Input 3 3 2 7" xfId="12072" xr:uid="{00000000-0005-0000-0000-000067230000}"/>
    <cellStyle name="Input 3 3 2 8" xfId="22916" xr:uid="{00000000-0005-0000-0000-000068230000}"/>
    <cellStyle name="Input 3 3 3" xfId="1383" xr:uid="{00000000-0005-0000-0000-000069230000}"/>
    <cellStyle name="Input 3 3 3 2" xfId="3707" xr:uid="{00000000-0005-0000-0000-00006A230000}"/>
    <cellStyle name="Input 3 3 3 2 2" xfId="8658" xr:uid="{00000000-0005-0000-0000-00006B230000}"/>
    <cellStyle name="Input 3 3 3 2 2 2" xfId="19555" xr:uid="{00000000-0005-0000-0000-00006C230000}"/>
    <cellStyle name="Input 3 3 3 2 2 3" xfId="24552" xr:uid="{00000000-0005-0000-0000-00006D230000}"/>
    <cellStyle name="Input 3 3 3 2 2 4" xfId="26270" xr:uid="{00000000-0005-0000-0000-00006E230000}"/>
    <cellStyle name="Input 3 3 3 2 3" xfId="10721" xr:uid="{00000000-0005-0000-0000-00006F230000}"/>
    <cellStyle name="Input 3 3 3 2 3 2" xfId="21618" xr:uid="{00000000-0005-0000-0000-000070230000}"/>
    <cellStyle name="Input 3 3 3 2 3 3" xfId="25748" xr:uid="{00000000-0005-0000-0000-000071230000}"/>
    <cellStyle name="Input 3 3 3 2 3 4" xfId="27265" xr:uid="{00000000-0005-0000-0000-000072230000}"/>
    <cellStyle name="Input 3 3 3 2 4" xfId="14604" xr:uid="{00000000-0005-0000-0000-000073230000}"/>
    <cellStyle name="Input 3 3 3 2 5" xfId="22864" xr:uid="{00000000-0005-0000-0000-000074230000}"/>
    <cellStyle name="Input 3 3 3 2 6" xfId="24290" xr:uid="{00000000-0005-0000-0000-000075230000}"/>
    <cellStyle name="Input 3 3 3 3" xfId="5102" xr:uid="{00000000-0005-0000-0000-000076230000}"/>
    <cellStyle name="Input 3 3 3 3 2" xfId="10053" xr:uid="{00000000-0005-0000-0000-000077230000}"/>
    <cellStyle name="Input 3 3 3 3 2 2" xfId="20950" xr:uid="{00000000-0005-0000-0000-000078230000}"/>
    <cellStyle name="Input 3 3 3 3 2 3" xfId="25080" xr:uid="{00000000-0005-0000-0000-000079230000}"/>
    <cellStyle name="Input 3 3 3 3 2 4" xfId="26597" xr:uid="{00000000-0005-0000-0000-00007A230000}"/>
    <cellStyle name="Input 3 3 3 3 3" xfId="11048" xr:uid="{00000000-0005-0000-0000-00007B230000}"/>
    <cellStyle name="Input 3 3 3 3 3 2" xfId="21945" xr:uid="{00000000-0005-0000-0000-00007C230000}"/>
    <cellStyle name="Input 3 3 3 3 3 3" xfId="26075" xr:uid="{00000000-0005-0000-0000-00007D230000}"/>
    <cellStyle name="Input 3 3 3 3 3 4" xfId="27592" xr:uid="{00000000-0005-0000-0000-00007E230000}"/>
    <cellStyle name="Input 3 3 3 3 4" xfId="15999" xr:uid="{00000000-0005-0000-0000-00007F230000}"/>
    <cellStyle name="Input 3 3 3 3 5" xfId="23391" xr:uid="{00000000-0005-0000-0000-000080230000}"/>
    <cellStyle name="Input 3 3 3 3 6" xfId="22970" xr:uid="{00000000-0005-0000-0000-000081230000}"/>
    <cellStyle name="Input 3 3 3 4" xfId="6346" xr:uid="{00000000-0005-0000-0000-000082230000}"/>
    <cellStyle name="Input 3 3 3 4 2" xfId="17243" xr:uid="{00000000-0005-0000-0000-000083230000}"/>
    <cellStyle name="Input 3 3 3 4 3" xfId="23877" xr:uid="{00000000-0005-0000-0000-000084230000}"/>
    <cellStyle name="Input 3 3 3 4 4" xfId="22270" xr:uid="{00000000-0005-0000-0000-000085230000}"/>
    <cellStyle name="Input 3 3 3 5" xfId="10380" xr:uid="{00000000-0005-0000-0000-000086230000}"/>
    <cellStyle name="Input 3 3 3 5 2" xfId="21277" xr:uid="{00000000-0005-0000-0000-000087230000}"/>
    <cellStyle name="Input 3 3 3 5 3" xfId="25407" xr:uid="{00000000-0005-0000-0000-000088230000}"/>
    <cellStyle name="Input 3 3 3 5 4" xfId="26924" xr:uid="{00000000-0005-0000-0000-000089230000}"/>
    <cellStyle name="Input 3 3 3 6" xfId="12329" xr:uid="{00000000-0005-0000-0000-00008A230000}"/>
    <cellStyle name="Input 3 3 3 7" xfId="24197" xr:uid="{00000000-0005-0000-0000-00008B230000}"/>
    <cellStyle name="Input 3 3 4" xfId="2910" xr:uid="{00000000-0005-0000-0000-00008C230000}"/>
    <cellStyle name="Input 3 3 4 2" xfId="7861" xr:uid="{00000000-0005-0000-0000-00008D230000}"/>
    <cellStyle name="Input 3 3 4 2 2" xfId="18758" xr:uid="{00000000-0005-0000-0000-00008E230000}"/>
    <cellStyle name="Input 3 3 4 2 3" xfId="24311" xr:uid="{00000000-0005-0000-0000-00008F230000}"/>
    <cellStyle name="Input 3 3 4 2 4" xfId="22529" xr:uid="{00000000-0005-0000-0000-000090230000}"/>
    <cellStyle name="Input 3 3 4 3" xfId="10581" xr:uid="{00000000-0005-0000-0000-000091230000}"/>
    <cellStyle name="Input 3 3 4 3 2" xfId="21478" xr:uid="{00000000-0005-0000-0000-000092230000}"/>
    <cellStyle name="Input 3 3 4 3 3" xfId="25608" xr:uid="{00000000-0005-0000-0000-000093230000}"/>
    <cellStyle name="Input 3 3 4 3 4" xfId="27125" xr:uid="{00000000-0005-0000-0000-000094230000}"/>
    <cellStyle name="Input 3 3 4 4" xfId="13807" xr:uid="{00000000-0005-0000-0000-000095230000}"/>
    <cellStyle name="Input 3 3 4 5" xfId="22616" xr:uid="{00000000-0005-0000-0000-000096230000}"/>
    <cellStyle name="Input 3 3 4 6" xfId="23948" xr:uid="{00000000-0005-0000-0000-000097230000}"/>
    <cellStyle name="Input 3 3 5" xfId="4962" xr:uid="{00000000-0005-0000-0000-000098230000}"/>
    <cellStyle name="Input 3 3 5 2" xfId="9913" xr:uid="{00000000-0005-0000-0000-000099230000}"/>
    <cellStyle name="Input 3 3 5 2 2" xfId="20810" xr:uid="{00000000-0005-0000-0000-00009A230000}"/>
    <cellStyle name="Input 3 3 5 2 3" xfId="24940" xr:uid="{00000000-0005-0000-0000-00009B230000}"/>
    <cellStyle name="Input 3 3 5 2 4" xfId="26457" xr:uid="{00000000-0005-0000-0000-00009C230000}"/>
    <cellStyle name="Input 3 3 5 3" xfId="10908" xr:uid="{00000000-0005-0000-0000-00009D230000}"/>
    <cellStyle name="Input 3 3 5 3 2" xfId="21805" xr:uid="{00000000-0005-0000-0000-00009E230000}"/>
    <cellStyle name="Input 3 3 5 3 3" xfId="25935" xr:uid="{00000000-0005-0000-0000-00009F230000}"/>
    <cellStyle name="Input 3 3 5 3 4" xfId="27452" xr:uid="{00000000-0005-0000-0000-0000A0230000}"/>
    <cellStyle name="Input 3 3 5 4" xfId="15859" xr:uid="{00000000-0005-0000-0000-0000A1230000}"/>
    <cellStyle name="Input 3 3 5 5" xfId="23251" xr:uid="{00000000-0005-0000-0000-0000A2230000}"/>
    <cellStyle name="Input 3 3 5 6" xfId="23104" xr:uid="{00000000-0005-0000-0000-0000A3230000}"/>
    <cellStyle name="Input 3 3 6" xfId="5549" xr:uid="{00000000-0005-0000-0000-0000A4230000}"/>
    <cellStyle name="Input 3 3 6 2" xfId="16446" xr:uid="{00000000-0005-0000-0000-0000A5230000}"/>
    <cellStyle name="Input 3 3 6 3" xfId="23632" xr:uid="{00000000-0005-0000-0000-0000A6230000}"/>
    <cellStyle name="Input 3 3 6 4" xfId="23986" xr:uid="{00000000-0005-0000-0000-0000A7230000}"/>
    <cellStyle name="Input 3 3 7" xfId="10240" xr:uid="{00000000-0005-0000-0000-0000A8230000}"/>
    <cellStyle name="Input 3 3 7 2" xfId="21137" xr:uid="{00000000-0005-0000-0000-0000A9230000}"/>
    <cellStyle name="Input 3 3 7 3" xfId="25267" xr:uid="{00000000-0005-0000-0000-0000AA230000}"/>
    <cellStyle name="Input 3 3 7 4" xfId="26784" xr:uid="{00000000-0005-0000-0000-0000AB230000}"/>
    <cellStyle name="Input 3 3 8" xfId="11551" xr:uid="{00000000-0005-0000-0000-0000AC230000}"/>
    <cellStyle name="Input 3 3 9" xfId="22184" xr:uid="{00000000-0005-0000-0000-0000AD230000}"/>
    <cellStyle name="Input 3 4" xfId="853" xr:uid="{00000000-0005-0000-0000-0000AE230000}"/>
    <cellStyle name="Input 3 4 2" xfId="2010" xr:uid="{00000000-0005-0000-0000-0000AF230000}"/>
    <cellStyle name="Input 3 4 2 2" xfId="4322" xr:uid="{00000000-0005-0000-0000-0000B0230000}"/>
    <cellStyle name="Input 3 4 2 2 2" xfId="9273" xr:uid="{00000000-0005-0000-0000-0000B1230000}"/>
    <cellStyle name="Input 3 4 2 2 2 2" xfId="20170" xr:uid="{00000000-0005-0000-0000-0000B2230000}"/>
    <cellStyle name="Input 3 4 2 2 2 3" xfId="24716" xr:uid="{00000000-0005-0000-0000-0000B3230000}"/>
    <cellStyle name="Input 3 4 2 2 2 4" xfId="26330" xr:uid="{00000000-0005-0000-0000-0000B4230000}"/>
    <cellStyle name="Input 3 4 2 2 3" xfId="10781" xr:uid="{00000000-0005-0000-0000-0000B5230000}"/>
    <cellStyle name="Input 3 4 2 2 3 2" xfId="21678" xr:uid="{00000000-0005-0000-0000-0000B6230000}"/>
    <cellStyle name="Input 3 4 2 2 3 3" xfId="25808" xr:uid="{00000000-0005-0000-0000-0000B7230000}"/>
    <cellStyle name="Input 3 4 2 2 3 4" xfId="27325" xr:uid="{00000000-0005-0000-0000-0000B8230000}"/>
    <cellStyle name="Input 3 4 2 2 4" xfId="15219" xr:uid="{00000000-0005-0000-0000-0000B9230000}"/>
    <cellStyle name="Input 3 4 2 2 5" xfId="23026" xr:uid="{00000000-0005-0000-0000-0000BA230000}"/>
    <cellStyle name="Input 3 4 2 2 6" xfId="11233" xr:uid="{00000000-0005-0000-0000-0000BB230000}"/>
    <cellStyle name="Input 3 4 2 3" xfId="5161" xr:uid="{00000000-0005-0000-0000-0000BC230000}"/>
    <cellStyle name="Input 3 4 2 3 2" xfId="10112" xr:uid="{00000000-0005-0000-0000-0000BD230000}"/>
    <cellStyle name="Input 3 4 2 3 2 2" xfId="21009" xr:uid="{00000000-0005-0000-0000-0000BE230000}"/>
    <cellStyle name="Input 3 4 2 3 2 3" xfId="25139" xr:uid="{00000000-0005-0000-0000-0000BF230000}"/>
    <cellStyle name="Input 3 4 2 3 2 4" xfId="26656" xr:uid="{00000000-0005-0000-0000-0000C0230000}"/>
    <cellStyle name="Input 3 4 2 3 3" xfId="11107" xr:uid="{00000000-0005-0000-0000-0000C1230000}"/>
    <cellStyle name="Input 3 4 2 3 3 2" xfId="22004" xr:uid="{00000000-0005-0000-0000-0000C2230000}"/>
    <cellStyle name="Input 3 4 2 3 3 3" xfId="26134" xr:uid="{00000000-0005-0000-0000-0000C3230000}"/>
    <cellStyle name="Input 3 4 2 3 3 4" xfId="27651" xr:uid="{00000000-0005-0000-0000-0000C4230000}"/>
    <cellStyle name="Input 3 4 2 3 4" xfId="16058" xr:uid="{00000000-0005-0000-0000-0000C5230000}"/>
    <cellStyle name="Input 3 4 2 3 5" xfId="23450" xr:uid="{00000000-0005-0000-0000-0000C6230000}"/>
    <cellStyle name="Input 3 4 2 3 6" xfId="22187" xr:uid="{00000000-0005-0000-0000-0000C7230000}"/>
    <cellStyle name="Input 3 4 2 4" xfId="6961" xr:uid="{00000000-0005-0000-0000-0000C8230000}"/>
    <cellStyle name="Input 3 4 2 4 2" xfId="17858" xr:uid="{00000000-0005-0000-0000-0000C9230000}"/>
    <cellStyle name="Input 3 4 2 4 3" xfId="24038" xr:uid="{00000000-0005-0000-0000-0000CA230000}"/>
    <cellStyle name="Input 3 4 2 4 4" xfId="23629" xr:uid="{00000000-0005-0000-0000-0000CB230000}"/>
    <cellStyle name="Input 3 4 2 5" xfId="10439" xr:uid="{00000000-0005-0000-0000-0000CC230000}"/>
    <cellStyle name="Input 3 4 2 5 2" xfId="21336" xr:uid="{00000000-0005-0000-0000-0000CD230000}"/>
    <cellStyle name="Input 3 4 2 5 3" xfId="25466" xr:uid="{00000000-0005-0000-0000-0000CE230000}"/>
    <cellStyle name="Input 3 4 2 5 4" xfId="26983" xr:uid="{00000000-0005-0000-0000-0000CF230000}"/>
    <cellStyle name="Input 3 4 2 6" xfId="12932" xr:uid="{00000000-0005-0000-0000-0000D0230000}"/>
    <cellStyle name="Input 3 4 2 7" xfId="22935" xr:uid="{00000000-0005-0000-0000-0000D1230000}"/>
    <cellStyle name="Input 3 4 3" xfId="3177" xr:uid="{00000000-0005-0000-0000-0000D2230000}"/>
    <cellStyle name="Input 3 4 3 2" xfId="8128" xr:uid="{00000000-0005-0000-0000-0000D3230000}"/>
    <cellStyle name="Input 3 4 3 2 2" xfId="19025" xr:uid="{00000000-0005-0000-0000-0000D4230000}"/>
    <cellStyle name="Input 3 4 3 2 3" xfId="24388" xr:uid="{00000000-0005-0000-0000-0000D5230000}"/>
    <cellStyle name="Input 3 4 3 2 4" xfId="24033" xr:uid="{00000000-0005-0000-0000-0000D6230000}"/>
    <cellStyle name="Input 3 4 3 3" xfId="10621" xr:uid="{00000000-0005-0000-0000-0000D7230000}"/>
    <cellStyle name="Input 3 4 3 3 2" xfId="21518" xr:uid="{00000000-0005-0000-0000-0000D8230000}"/>
    <cellStyle name="Input 3 4 3 3 3" xfId="25648" xr:uid="{00000000-0005-0000-0000-0000D9230000}"/>
    <cellStyle name="Input 3 4 3 3 4" xfId="27165" xr:uid="{00000000-0005-0000-0000-0000DA230000}"/>
    <cellStyle name="Input 3 4 3 4" xfId="14074" xr:uid="{00000000-0005-0000-0000-0000DB230000}"/>
    <cellStyle name="Input 3 4 3 5" xfId="22696" xr:uid="{00000000-0005-0000-0000-0000DC230000}"/>
    <cellStyle name="Input 3 4 3 6" xfId="22178" xr:uid="{00000000-0005-0000-0000-0000DD230000}"/>
    <cellStyle name="Input 3 4 4" xfId="5002" xr:uid="{00000000-0005-0000-0000-0000DE230000}"/>
    <cellStyle name="Input 3 4 4 2" xfId="9953" xr:uid="{00000000-0005-0000-0000-0000DF230000}"/>
    <cellStyle name="Input 3 4 4 2 2" xfId="20850" xr:uid="{00000000-0005-0000-0000-0000E0230000}"/>
    <cellStyle name="Input 3 4 4 2 3" xfId="24980" xr:uid="{00000000-0005-0000-0000-0000E1230000}"/>
    <cellStyle name="Input 3 4 4 2 4" xfId="26497" xr:uid="{00000000-0005-0000-0000-0000E2230000}"/>
    <cellStyle name="Input 3 4 4 3" xfId="10948" xr:uid="{00000000-0005-0000-0000-0000E3230000}"/>
    <cellStyle name="Input 3 4 4 3 2" xfId="21845" xr:uid="{00000000-0005-0000-0000-0000E4230000}"/>
    <cellStyle name="Input 3 4 4 3 3" xfId="25975" xr:uid="{00000000-0005-0000-0000-0000E5230000}"/>
    <cellStyle name="Input 3 4 4 3 4" xfId="27492" xr:uid="{00000000-0005-0000-0000-0000E6230000}"/>
    <cellStyle name="Input 3 4 4 4" xfId="15899" xr:uid="{00000000-0005-0000-0000-0000E7230000}"/>
    <cellStyle name="Input 3 4 4 5" xfId="23291" xr:uid="{00000000-0005-0000-0000-0000E8230000}"/>
    <cellStyle name="Input 3 4 4 6" xfId="24629" xr:uid="{00000000-0005-0000-0000-0000E9230000}"/>
    <cellStyle name="Input 3 4 5" xfId="5816" xr:uid="{00000000-0005-0000-0000-0000EA230000}"/>
    <cellStyle name="Input 3 4 5 2" xfId="16713" xr:uid="{00000000-0005-0000-0000-0000EB230000}"/>
    <cellStyle name="Input 3 4 5 3" xfId="23708" xr:uid="{00000000-0005-0000-0000-0000EC230000}"/>
    <cellStyle name="Input 3 4 5 4" xfId="22244" xr:uid="{00000000-0005-0000-0000-0000ED230000}"/>
    <cellStyle name="Input 3 4 6" xfId="10280" xr:uid="{00000000-0005-0000-0000-0000EE230000}"/>
    <cellStyle name="Input 3 4 6 2" xfId="21177" xr:uid="{00000000-0005-0000-0000-0000EF230000}"/>
    <cellStyle name="Input 3 4 6 3" xfId="25307" xr:uid="{00000000-0005-0000-0000-0000F0230000}"/>
    <cellStyle name="Input 3 4 6 4" xfId="26824" xr:uid="{00000000-0005-0000-0000-0000F1230000}"/>
    <cellStyle name="Input 3 4 7" xfId="11814" xr:uid="{00000000-0005-0000-0000-0000F2230000}"/>
    <cellStyle name="Input 3 4 8" xfId="24800" xr:uid="{00000000-0005-0000-0000-0000F3230000}"/>
    <cellStyle name="Input 3 5" xfId="2645" xr:uid="{00000000-0005-0000-0000-0000F4230000}"/>
    <cellStyle name="Input 3 5 2" xfId="7596" xr:uid="{00000000-0005-0000-0000-0000F5230000}"/>
    <cellStyle name="Input 3 5 2 2" xfId="18493" xr:uid="{00000000-0005-0000-0000-0000F6230000}"/>
    <cellStyle name="Input 3 5 2 3" xfId="24237" xr:uid="{00000000-0005-0000-0000-0000F7230000}"/>
    <cellStyle name="Input 3 5 2 4" xfId="22110" xr:uid="{00000000-0005-0000-0000-0000F8230000}"/>
    <cellStyle name="Input 3 5 3" xfId="10541" xr:uid="{00000000-0005-0000-0000-0000F9230000}"/>
    <cellStyle name="Input 3 5 3 2" xfId="21438" xr:uid="{00000000-0005-0000-0000-0000FA230000}"/>
    <cellStyle name="Input 3 5 3 3" xfId="25568" xr:uid="{00000000-0005-0000-0000-0000FB230000}"/>
    <cellStyle name="Input 3 5 3 4" xfId="27085" xr:uid="{00000000-0005-0000-0000-0000FC230000}"/>
    <cellStyle name="Input 3 5 4" xfId="13542" xr:uid="{00000000-0005-0000-0000-0000FD230000}"/>
    <cellStyle name="Input 3 5 5" xfId="22538" xr:uid="{00000000-0005-0000-0000-0000FE230000}"/>
    <cellStyle name="Input 3 5 6" xfId="22470" xr:uid="{00000000-0005-0000-0000-0000FF230000}"/>
    <cellStyle name="Input 3 6" xfId="2618" xr:uid="{00000000-0005-0000-0000-000000240000}"/>
    <cellStyle name="Input 3 6 2" xfId="7569" xr:uid="{00000000-0005-0000-0000-000001240000}"/>
    <cellStyle name="Input 3 6 2 2" xfId="18466" xr:uid="{00000000-0005-0000-0000-000002240000}"/>
    <cellStyle name="Input 3 6 2 3" xfId="24224" xr:uid="{00000000-0005-0000-0000-000003240000}"/>
    <cellStyle name="Input 3 6 2 4" xfId="24648" xr:uid="{00000000-0005-0000-0000-000004240000}"/>
    <cellStyle name="Input 3 6 3" xfId="10531" xr:uid="{00000000-0005-0000-0000-000005240000}"/>
    <cellStyle name="Input 3 6 3 2" xfId="21428" xr:uid="{00000000-0005-0000-0000-000006240000}"/>
    <cellStyle name="Input 3 6 3 3" xfId="25558" xr:uid="{00000000-0005-0000-0000-000007240000}"/>
    <cellStyle name="Input 3 6 3 4" xfId="27075" xr:uid="{00000000-0005-0000-0000-000008240000}"/>
    <cellStyle name="Input 3 6 4" xfId="13515" xr:uid="{00000000-0005-0000-0000-000009240000}"/>
    <cellStyle name="Input 3 6 5" xfId="22523" xr:uid="{00000000-0005-0000-0000-00000A240000}"/>
    <cellStyle name="Input 3 6 6" xfId="24297" xr:uid="{00000000-0005-0000-0000-00000B240000}"/>
    <cellStyle name="Input 3 7" xfId="5284" xr:uid="{00000000-0005-0000-0000-00000C240000}"/>
    <cellStyle name="Input 3 7 2" xfId="16181" xr:uid="{00000000-0005-0000-0000-00000D240000}"/>
    <cellStyle name="Input 3 7 3" xfId="23557" xr:uid="{00000000-0005-0000-0000-00000E240000}"/>
    <cellStyle name="Input 3 7 4" xfId="22677" xr:uid="{00000000-0005-0000-0000-00000F240000}"/>
    <cellStyle name="Input 3 8" xfId="5257" xr:uid="{00000000-0005-0000-0000-000010240000}"/>
    <cellStyle name="Input 3 8 2" xfId="16154" xr:uid="{00000000-0005-0000-0000-000011240000}"/>
    <cellStyle name="Input 3 8 3" xfId="23544" xr:uid="{00000000-0005-0000-0000-000012240000}"/>
    <cellStyle name="Input 3 8 4" xfId="22360" xr:uid="{00000000-0005-0000-0000-000013240000}"/>
    <cellStyle name="Input 3 9" xfId="11286" xr:uid="{00000000-0005-0000-0000-000014240000}"/>
    <cellStyle name="Input 4" xfId="233" xr:uid="{00000000-0005-0000-0000-000015240000}"/>
    <cellStyle name="Input 4 10" xfId="24647" xr:uid="{00000000-0005-0000-0000-000016240000}"/>
    <cellStyle name="Input 4 2" xfId="433" xr:uid="{00000000-0005-0000-0000-000017240000}"/>
    <cellStyle name="Input 4 2 10" xfId="22416" xr:uid="{00000000-0005-0000-0000-000018240000}"/>
    <cellStyle name="Input 4 2 2" xfId="698" xr:uid="{00000000-0005-0000-0000-000019240000}"/>
    <cellStyle name="Input 4 2 2 2" xfId="1230" xr:uid="{00000000-0005-0000-0000-00001A240000}"/>
    <cellStyle name="Input 4 2 2 2 2" xfId="2387" xr:uid="{00000000-0005-0000-0000-00001B240000}"/>
    <cellStyle name="Input 4 2 2 2 2 2" xfId="4699" xr:uid="{00000000-0005-0000-0000-00001C240000}"/>
    <cellStyle name="Input 4 2 2 2 2 2 2" xfId="9650" xr:uid="{00000000-0005-0000-0000-00001D240000}"/>
    <cellStyle name="Input 4 2 2 2 2 2 2 2" xfId="20547" xr:uid="{00000000-0005-0000-0000-00001E240000}"/>
    <cellStyle name="Input 4 2 2 2 2 2 2 3" xfId="24818" xr:uid="{00000000-0005-0000-0000-00001F240000}"/>
    <cellStyle name="Input 4 2 2 2 2 2 2 4" xfId="26387" xr:uid="{00000000-0005-0000-0000-000020240000}"/>
    <cellStyle name="Input 4 2 2 2 2 2 3" xfId="10838" xr:uid="{00000000-0005-0000-0000-000021240000}"/>
    <cellStyle name="Input 4 2 2 2 2 2 3 2" xfId="21735" xr:uid="{00000000-0005-0000-0000-000022240000}"/>
    <cellStyle name="Input 4 2 2 2 2 2 3 3" xfId="25865" xr:uid="{00000000-0005-0000-0000-000023240000}"/>
    <cellStyle name="Input 4 2 2 2 2 2 3 4" xfId="27382" xr:uid="{00000000-0005-0000-0000-000024240000}"/>
    <cellStyle name="Input 4 2 2 2 2 2 4" xfId="15596" xr:uid="{00000000-0005-0000-0000-000025240000}"/>
    <cellStyle name="Input 4 2 2 2 2 2 5" xfId="23131" xr:uid="{00000000-0005-0000-0000-000026240000}"/>
    <cellStyle name="Input 4 2 2 2 2 2 6" xfId="24643" xr:uid="{00000000-0005-0000-0000-000027240000}"/>
    <cellStyle name="Input 4 2 2 2 2 3" xfId="5218" xr:uid="{00000000-0005-0000-0000-000028240000}"/>
    <cellStyle name="Input 4 2 2 2 2 3 2" xfId="10169" xr:uid="{00000000-0005-0000-0000-000029240000}"/>
    <cellStyle name="Input 4 2 2 2 2 3 2 2" xfId="21066" xr:uid="{00000000-0005-0000-0000-00002A240000}"/>
    <cellStyle name="Input 4 2 2 2 2 3 2 3" xfId="25196" xr:uid="{00000000-0005-0000-0000-00002B240000}"/>
    <cellStyle name="Input 4 2 2 2 2 3 2 4" xfId="26713" xr:uid="{00000000-0005-0000-0000-00002C240000}"/>
    <cellStyle name="Input 4 2 2 2 2 3 3" xfId="11164" xr:uid="{00000000-0005-0000-0000-00002D240000}"/>
    <cellStyle name="Input 4 2 2 2 2 3 3 2" xfId="22061" xr:uid="{00000000-0005-0000-0000-00002E240000}"/>
    <cellStyle name="Input 4 2 2 2 2 3 3 3" xfId="26191" xr:uid="{00000000-0005-0000-0000-00002F240000}"/>
    <cellStyle name="Input 4 2 2 2 2 3 3 4" xfId="27708" xr:uid="{00000000-0005-0000-0000-000030240000}"/>
    <cellStyle name="Input 4 2 2 2 2 3 4" xfId="16115" xr:uid="{00000000-0005-0000-0000-000031240000}"/>
    <cellStyle name="Input 4 2 2 2 2 3 5" xfId="23507" xr:uid="{00000000-0005-0000-0000-000032240000}"/>
    <cellStyle name="Input 4 2 2 2 2 3 6" xfId="22515" xr:uid="{00000000-0005-0000-0000-000033240000}"/>
    <cellStyle name="Input 4 2 2 2 2 4" xfId="7338" xr:uid="{00000000-0005-0000-0000-000034240000}"/>
    <cellStyle name="Input 4 2 2 2 2 4 2" xfId="18235" xr:uid="{00000000-0005-0000-0000-000035240000}"/>
    <cellStyle name="Input 4 2 2 2 2 4 3" xfId="24145" xr:uid="{00000000-0005-0000-0000-000036240000}"/>
    <cellStyle name="Input 4 2 2 2 2 4 4" xfId="24384" xr:uid="{00000000-0005-0000-0000-000037240000}"/>
    <cellStyle name="Input 4 2 2 2 2 5" xfId="10496" xr:uid="{00000000-0005-0000-0000-000038240000}"/>
    <cellStyle name="Input 4 2 2 2 2 5 2" xfId="21393" xr:uid="{00000000-0005-0000-0000-000039240000}"/>
    <cellStyle name="Input 4 2 2 2 2 5 3" xfId="25523" xr:uid="{00000000-0005-0000-0000-00003A240000}"/>
    <cellStyle name="Input 4 2 2 2 2 5 4" xfId="27040" xr:uid="{00000000-0005-0000-0000-00003B240000}"/>
    <cellStyle name="Input 4 2 2 2 2 6" xfId="13298" xr:uid="{00000000-0005-0000-0000-00003C240000}"/>
    <cellStyle name="Input 4 2 2 2 2 7" xfId="22165" xr:uid="{00000000-0005-0000-0000-00003D240000}"/>
    <cellStyle name="Input 4 2 2 2 3" xfId="3554" xr:uid="{00000000-0005-0000-0000-00003E240000}"/>
    <cellStyle name="Input 4 2 2 2 3 2" xfId="8505" xr:uid="{00000000-0005-0000-0000-00003F240000}"/>
    <cellStyle name="Input 4 2 2 2 3 2 2" xfId="19402" xr:uid="{00000000-0005-0000-0000-000040240000}"/>
    <cellStyle name="Input 4 2 2 2 3 2 3" xfId="24494" xr:uid="{00000000-0005-0000-0000-000041240000}"/>
    <cellStyle name="Input 4 2 2 2 3 2 4" xfId="26227" xr:uid="{00000000-0005-0000-0000-000042240000}"/>
    <cellStyle name="Input 4 2 2 2 3 3" xfId="10678" xr:uid="{00000000-0005-0000-0000-000043240000}"/>
    <cellStyle name="Input 4 2 2 2 3 3 2" xfId="21575" xr:uid="{00000000-0005-0000-0000-000044240000}"/>
    <cellStyle name="Input 4 2 2 2 3 3 3" xfId="25705" xr:uid="{00000000-0005-0000-0000-000045240000}"/>
    <cellStyle name="Input 4 2 2 2 3 3 4" xfId="27222" xr:uid="{00000000-0005-0000-0000-000046240000}"/>
    <cellStyle name="Input 4 2 2 2 3 4" xfId="14451" xr:uid="{00000000-0005-0000-0000-000047240000}"/>
    <cellStyle name="Input 4 2 2 2 3 5" xfId="22805" xr:uid="{00000000-0005-0000-0000-000048240000}"/>
    <cellStyle name="Input 4 2 2 2 3 6" xfId="23713" xr:uid="{00000000-0005-0000-0000-000049240000}"/>
    <cellStyle name="Input 4 2 2 2 4" xfId="5059" xr:uid="{00000000-0005-0000-0000-00004A240000}"/>
    <cellStyle name="Input 4 2 2 2 4 2" xfId="10010" xr:uid="{00000000-0005-0000-0000-00004B240000}"/>
    <cellStyle name="Input 4 2 2 2 4 2 2" xfId="20907" xr:uid="{00000000-0005-0000-0000-00004C240000}"/>
    <cellStyle name="Input 4 2 2 2 4 2 3" xfId="25037" xr:uid="{00000000-0005-0000-0000-00004D240000}"/>
    <cellStyle name="Input 4 2 2 2 4 2 4" xfId="26554" xr:uid="{00000000-0005-0000-0000-00004E240000}"/>
    <cellStyle name="Input 4 2 2 2 4 3" xfId="11005" xr:uid="{00000000-0005-0000-0000-00004F240000}"/>
    <cellStyle name="Input 4 2 2 2 4 3 2" xfId="21902" xr:uid="{00000000-0005-0000-0000-000050240000}"/>
    <cellStyle name="Input 4 2 2 2 4 3 3" xfId="26032" xr:uid="{00000000-0005-0000-0000-000051240000}"/>
    <cellStyle name="Input 4 2 2 2 4 3 4" xfId="27549" xr:uid="{00000000-0005-0000-0000-000052240000}"/>
    <cellStyle name="Input 4 2 2 2 4 4" xfId="15956" xr:uid="{00000000-0005-0000-0000-000053240000}"/>
    <cellStyle name="Input 4 2 2 2 4 5" xfId="23348" xr:uid="{00000000-0005-0000-0000-000054240000}"/>
    <cellStyle name="Input 4 2 2 2 4 6" xfId="22160" xr:uid="{00000000-0005-0000-0000-000055240000}"/>
    <cellStyle name="Input 4 2 2 2 5" xfId="6193" xr:uid="{00000000-0005-0000-0000-000056240000}"/>
    <cellStyle name="Input 4 2 2 2 5 2" xfId="17090" xr:uid="{00000000-0005-0000-0000-000057240000}"/>
    <cellStyle name="Input 4 2 2 2 5 3" xfId="23819" xr:uid="{00000000-0005-0000-0000-000058240000}"/>
    <cellStyle name="Input 4 2 2 2 5 4" xfId="22597" xr:uid="{00000000-0005-0000-0000-000059240000}"/>
    <cellStyle name="Input 4 2 2 2 6" xfId="10337" xr:uid="{00000000-0005-0000-0000-00005A240000}"/>
    <cellStyle name="Input 4 2 2 2 6 2" xfId="21234" xr:uid="{00000000-0005-0000-0000-00005B240000}"/>
    <cellStyle name="Input 4 2 2 2 6 3" xfId="25364" xr:uid="{00000000-0005-0000-0000-00005C240000}"/>
    <cellStyle name="Input 4 2 2 2 6 4" xfId="26881" xr:uid="{00000000-0005-0000-0000-00005D240000}"/>
    <cellStyle name="Input 4 2 2 2 7" xfId="12180" xr:uid="{00000000-0005-0000-0000-00005E240000}"/>
    <cellStyle name="Input 4 2 2 2 8" xfId="23154" xr:uid="{00000000-0005-0000-0000-00005F240000}"/>
    <cellStyle name="Input 4 2 2 3" xfId="1400" xr:uid="{00000000-0005-0000-0000-000060240000}"/>
    <cellStyle name="Input 4 2 2 3 2" xfId="3724" xr:uid="{00000000-0005-0000-0000-000061240000}"/>
    <cellStyle name="Input 4 2 2 3 2 2" xfId="8675" xr:uid="{00000000-0005-0000-0000-000062240000}"/>
    <cellStyle name="Input 4 2 2 3 2 2 2" xfId="19572" xr:uid="{00000000-0005-0000-0000-000063240000}"/>
    <cellStyle name="Input 4 2 2 3 2 2 3" xfId="24569" xr:uid="{00000000-0005-0000-0000-000064240000}"/>
    <cellStyle name="Input 4 2 2 3 2 2 4" xfId="26287" xr:uid="{00000000-0005-0000-0000-000065240000}"/>
    <cellStyle name="Input 4 2 2 3 2 3" xfId="10738" xr:uid="{00000000-0005-0000-0000-000066240000}"/>
    <cellStyle name="Input 4 2 2 3 2 3 2" xfId="21635" xr:uid="{00000000-0005-0000-0000-000067240000}"/>
    <cellStyle name="Input 4 2 2 3 2 3 3" xfId="25765" xr:uid="{00000000-0005-0000-0000-000068240000}"/>
    <cellStyle name="Input 4 2 2 3 2 3 4" xfId="27282" xr:uid="{00000000-0005-0000-0000-000069240000}"/>
    <cellStyle name="Input 4 2 2 3 2 4" xfId="14621" xr:uid="{00000000-0005-0000-0000-00006A240000}"/>
    <cellStyle name="Input 4 2 2 3 2 5" xfId="22881" xr:uid="{00000000-0005-0000-0000-00006B240000}"/>
    <cellStyle name="Input 4 2 2 3 2 6" xfId="24008" xr:uid="{00000000-0005-0000-0000-00006C240000}"/>
    <cellStyle name="Input 4 2 2 3 3" xfId="5119" xr:uid="{00000000-0005-0000-0000-00006D240000}"/>
    <cellStyle name="Input 4 2 2 3 3 2" xfId="10070" xr:uid="{00000000-0005-0000-0000-00006E240000}"/>
    <cellStyle name="Input 4 2 2 3 3 2 2" xfId="20967" xr:uid="{00000000-0005-0000-0000-00006F240000}"/>
    <cellStyle name="Input 4 2 2 3 3 2 3" xfId="25097" xr:uid="{00000000-0005-0000-0000-000070240000}"/>
    <cellStyle name="Input 4 2 2 3 3 2 4" xfId="26614" xr:uid="{00000000-0005-0000-0000-000071240000}"/>
    <cellStyle name="Input 4 2 2 3 3 3" xfId="11065" xr:uid="{00000000-0005-0000-0000-000072240000}"/>
    <cellStyle name="Input 4 2 2 3 3 3 2" xfId="21962" xr:uid="{00000000-0005-0000-0000-000073240000}"/>
    <cellStyle name="Input 4 2 2 3 3 3 3" xfId="26092" xr:uid="{00000000-0005-0000-0000-000074240000}"/>
    <cellStyle name="Input 4 2 2 3 3 3 4" xfId="27609" xr:uid="{00000000-0005-0000-0000-000075240000}"/>
    <cellStyle name="Input 4 2 2 3 3 4" xfId="16016" xr:uid="{00000000-0005-0000-0000-000076240000}"/>
    <cellStyle name="Input 4 2 2 3 3 5" xfId="23408" xr:uid="{00000000-0005-0000-0000-000077240000}"/>
    <cellStyle name="Input 4 2 2 3 3 6" xfId="23848" xr:uid="{00000000-0005-0000-0000-000078240000}"/>
    <cellStyle name="Input 4 2 2 3 4" xfId="6363" xr:uid="{00000000-0005-0000-0000-000079240000}"/>
    <cellStyle name="Input 4 2 2 3 4 2" xfId="17260" xr:uid="{00000000-0005-0000-0000-00007A240000}"/>
    <cellStyle name="Input 4 2 2 3 4 3" xfId="23894" xr:uid="{00000000-0005-0000-0000-00007B240000}"/>
    <cellStyle name="Input 4 2 2 3 4 4" xfId="23584" xr:uid="{00000000-0005-0000-0000-00007C240000}"/>
    <cellStyle name="Input 4 2 2 3 5" xfId="10397" xr:uid="{00000000-0005-0000-0000-00007D240000}"/>
    <cellStyle name="Input 4 2 2 3 5 2" xfId="21294" xr:uid="{00000000-0005-0000-0000-00007E240000}"/>
    <cellStyle name="Input 4 2 2 3 5 3" xfId="25424" xr:uid="{00000000-0005-0000-0000-00007F240000}"/>
    <cellStyle name="Input 4 2 2 3 5 4" xfId="26941" xr:uid="{00000000-0005-0000-0000-000080240000}"/>
    <cellStyle name="Input 4 2 2 3 6" xfId="12340" xr:uid="{00000000-0005-0000-0000-000081240000}"/>
    <cellStyle name="Input 4 2 2 3 7" xfId="23982" xr:uid="{00000000-0005-0000-0000-000082240000}"/>
    <cellStyle name="Input 4 2 2 4" xfId="3022" xr:uid="{00000000-0005-0000-0000-000083240000}"/>
    <cellStyle name="Input 4 2 2 4 2" xfId="7973" xr:uid="{00000000-0005-0000-0000-000084240000}"/>
    <cellStyle name="Input 4 2 2 4 2 2" xfId="18870" xr:uid="{00000000-0005-0000-0000-000085240000}"/>
    <cellStyle name="Input 4 2 2 4 2 3" xfId="24339" xr:uid="{00000000-0005-0000-0000-000086240000}"/>
    <cellStyle name="Input 4 2 2 4 2 4" xfId="23005" xr:uid="{00000000-0005-0000-0000-000087240000}"/>
    <cellStyle name="Input 4 2 2 4 3" xfId="10598" xr:uid="{00000000-0005-0000-0000-000088240000}"/>
    <cellStyle name="Input 4 2 2 4 3 2" xfId="21495" xr:uid="{00000000-0005-0000-0000-000089240000}"/>
    <cellStyle name="Input 4 2 2 4 3 3" xfId="25625" xr:uid="{00000000-0005-0000-0000-00008A240000}"/>
    <cellStyle name="Input 4 2 2 4 3 4" xfId="27142" xr:uid="{00000000-0005-0000-0000-00008B240000}"/>
    <cellStyle name="Input 4 2 2 4 4" xfId="13919" xr:uid="{00000000-0005-0000-0000-00008C240000}"/>
    <cellStyle name="Input 4 2 2 4 5" xfId="22643" xr:uid="{00000000-0005-0000-0000-00008D240000}"/>
    <cellStyle name="Input 4 2 2 4 6" xfId="22373" xr:uid="{00000000-0005-0000-0000-00008E240000}"/>
    <cellStyle name="Input 4 2 2 5" xfId="4979" xr:uid="{00000000-0005-0000-0000-00008F240000}"/>
    <cellStyle name="Input 4 2 2 5 2" xfId="9930" xr:uid="{00000000-0005-0000-0000-000090240000}"/>
    <cellStyle name="Input 4 2 2 5 2 2" xfId="20827" xr:uid="{00000000-0005-0000-0000-000091240000}"/>
    <cellStyle name="Input 4 2 2 5 2 3" xfId="24957" xr:uid="{00000000-0005-0000-0000-000092240000}"/>
    <cellStyle name="Input 4 2 2 5 2 4" xfId="26474" xr:uid="{00000000-0005-0000-0000-000093240000}"/>
    <cellStyle name="Input 4 2 2 5 3" xfId="10925" xr:uid="{00000000-0005-0000-0000-000094240000}"/>
    <cellStyle name="Input 4 2 2 5 3 2" xfId="21822" xr:uid="{00000000-0005-0000-0000-000095240000}"/>
    <cellStyle name="Input 4 2 2 5 3 3" xfId="25952" xr:uid="{00000000-0005-0000-0000-000096240000}"/>
    <cellStyle name="Input 4 2 2 5 3 4" xfId="27469" xr:uid="{00000000-0005-0000-0000-000097240000}"/>
    <cellStyle name="Input 4 2 2 5 4" xfId="15876" xr:uid="{00000000-0005-0000-0000-000098240000}"/>
    <cellStyle name="Input 4 2 2 5 5" xfId="23268" xr:uid="{00000000-0005-0000-0000-000099240000}"/>
    <cellStyle name="Input 4 2 2 5 6" xfId="22407" xr:uid="{00000000-0005-0000-0000-00009A240000}"/>
    <cellStyle name="Input 4 2 2 6" xfId="5661" xr:uid="{00000000-0005-0000-0000-00009B240000}"/>
    <cellStyle name="Input 4 2 2 6 2" xfId="16558" xr:uid="{00000000-0005-0000-0000-00009C240000}"/>
    <cellStyle name="Input 4 2 2 6 3" xfId="23661" xr:uid="{00000000-0005-0000-0000-00009D240000}"/>
    <cellStyle name="Input 4 2 2 6 4" xfId="11282" xr:uid="{00000000-0005-0000-0000-00009E240000}"/>
    <cellStyle name="Input 4 2 2 7" xfId="10257" xr:uid="{00000000-0005-0000-0000-00009F240000}"/>
    <cellStyle name="Input 4 2 2 7 2" xfId="21154" xr:uid="{00000000-0005-0000-0000-0000A0240000}"/>
    <cellStyle name="Input 4 2 2 7 3" xfId="25284" xr:uid="{00000000-0005-0000-0000-0000A1240000}"/>
    <cellStyle name="Input 4 2 2 7 4" xfId="26801" xr:uid="{00000000-0005-0000-0000-0000A2240000}"/>
    <cellStyle name="Input 4 2 2 8" xfId="11659" xr:uid="{00000000-0005-0000-0000-0000A3240000}"/>
    <cellStyle name="Input 4 2 2 9" xfId="22243" xr:uid="{00000000-0005-0000-0000-0000A4240000}"/>
    <cellStyle name="Input 4 2 3" xfId="965" xr:uid="{00000000-0005-0000-0000-0000A5240000}"/>
    <cellStyle name="Input 4 2 3 2" xfId="2122" xr:uid="{00000000-0005-0000-0000-0000A6240000}"/>
    <cellStyle name="Input 4 2 3 2 2" xfId="4434" xr:uid="{00000000-0005-0000-0000-0000A7240000}"/>
    <cellStyle name="Input 4 2 3 2 2 2" xfId="9385" xr:uid="{00000000-0005-0000-0000-0000A8240000}"/>
    <cellStyle name="Input 4 2 3 2 2 2 2" xfId="20282" xr:uid="{00000000-0005-0000-0000-0000A9240000}"/>
    <cellStyle name="Input 4 2 3 2 2 2 3" xfId="24746" xr:uid="{00000000-0005-0000-0000-0000AA240000}"/>
    <cellStyle name="Input 4 2 3 2 2 2 4" xfId="26347" xr:uid="{00000000-0005-0000-0000-0000AB240000}"/>
    <cellStyle name="Input 4 2 3 2 2 3" xfId="10798" xr:uid="{00000000-0005-0000-0000-0000AC240000}"/>
    <cellStyle name="Input 4 2 3 2 2 3 2" xfId="21695" xr:uid="{00000000-0005-0000-0000-0000AD240000}"/>
    <cellStyle name="Input 4 2 3 2 2 3 3" xfId="25825" xr:uid="{00000000-0005-0000-0000-0000AE240000}"/>
    <cellStyle name="Input 4 2 3 2 2 3 4" xfId="27342" xr:uid="{00000000-0005-0000-0000-0000AF240000}"/>
    <cellStyle name="Input 4 2 3 2 2 4" xfId="15331" xr:uid="{00000000-0005-0000-0000-0000B0240000}"/>
    <cellStyle name="Input 4 2 3 2 2 5" xfId="23056" xr:uid="{00000000-0005-0000-0000-0000B1240000}"/>
    <cellStyle name="Input 4 2 3 2 2 6" xfId="24442" xr:uid="{00000000-0005-0000-0000-0000B2240000}"/>
    <cellStyle name="Input 4 2 3 2 3" xfId="5178" xr:uid="{00000000-0005-0000-0000-0000B3240000}"/>
    <cellStyle name="Input 4 2 3 2 3 2" xfId="10129" xr:uid="{00000000-0005-0000-0000-0000B4240000}"/>
    <cellStyle name="Input 4 2 3 2 3 2 2" xfId="21026" xr:uid="{00000000-0005-0000-0000-0000B5240000}"/>
    <cellStyle name="Input 4 2 3 2 3 2 3" xfId="25156" xr:uid="{00000000-0005-0000-0000-0000B6240000}"/>
    <cellStyle name="Input 4 2 3 2 3 2 4" xfId="26673" xr:uid="{00000000-0005-0000-0000-0000B7240000}"/>
    <cellStyle name="Input 4 2 3 2 3 3" xfId="11124" xr:uid="{00000000-0005-0000-0000-0000B8240000}"/>
    <cellStyle name="Input 4 2 3 2 3 3 2" xfId="22021" xr:uid="{00000000-0005-0000-0000-0000B9240000}"/>
    <cellStyle name="Input 4 2 3 2 3 3 3" xfId="26151" xr:uid="{00000000-0005-0000-0000-0000BA240000}"/>
    <cellStyle name="Input 4 2 3 2 3 3 4" xfId="27668" xr:uid="{00000000-0005-0000-0000-0000BB240000}"/>
    <cellStyle name="Input 4 2 3 2 3 4" xfId="16075" xr:uid="{00000000-0005-0000-0000-0000BC240000}"/>
    <cellStyle name="Input 4 2 3 2 3 5" xfId="23467" xr:uid="{00000000-0005-0000-0000-0000BD240000}"/>
    <cellStyle name="Input 4 2 3 2 3 6" xfId="23618" xr:uid="{00000000-0005-0000-0000-0000BE240000}"/>
    <cellStyle name="Input 4 2 3 2 4" xfId="7073" xr:uid="{00000000-0005-0000-0000-0000BF240000}"/>
    <cellStyle name="Input 4 2 3 2 4 2" xfId="17970" xr:uid="{00000000-0005-0000-0000-0000C0240000}"/>
    <cellStyle name="Input 4 2 3 2 4 3" xfId="24068" xr:uid="{00000000-0005-0000-0000-0000C1240000}"/>
    <cellStyle name="Input 4 2 3 2 4 4" xfId="11290" xr:uid="{00000000-0005-0000-0000-0000C2240000}"/>
    <cellStyle name="Input 4 2 3 2 5" xfId="10456" xr:uid="{00000000-0005-0000-0000-0000C3240000}"/>
    <cellStyle name="Input 4 2 3 2 5 2" xfId="21353" xr:uid="{00000000-0005-0000-0000-0000C4240000}"/>
    <cellStyle name="Input 4 2 3 2 5 3" xfId="25483" xr:uid="{00000000-0005-0000-0000-0000C5240000}"/>
    <cellStyle name="Input 4 2 3 2 5 4" xfId="27000" xr:uid="{00000000-0005-0000-0000-0000C6240000}"/>
    <cellStyle name="Input 4 2 3 2 6" xfId="13039" xr:uid="{00000000-0005-0000-0000-0000C7240000}"/>
    <cellStyle name="Input 4 2 3 2 7" xfId="24521" xr:uid="{00000000-0005-0000-0000-0000C8240000}"/>
    <cellStyle name="Input 4 2 3 3" xfId="3289" xr:uid="{00000000-0005-0000-0000-0000C9240000}"/>
    <cellStyle name="Input 4 2 3 3 2" xfId="8240" xr:uid="{00000000-0005-0000-0000-0000CA240000}"/>
    <cellStyle name="Input 4 2 3 3 2 2" xfId="19137" xr:uid="{00000000-0005-0000-0000-0000CB240000}"/>
    <cellStyle name="Input 4 2 3 3 2 3" xfId="24417" xr:uid="{00000000-0005-0000-0000-0000CC240000}"/>
    <cellStyle name="Input 4 2 3 3 2 4" xfId="22462" xr:uid="{00000000-0005-0000-0000-0000CD240000}"/>
    <cellStyle name="Input 4 2 3 3 3" xfId="10638" xr:uid="{00000000-0005-0000-0000-0000CE240000}"/>
    <cellStyle name="Input 4 2 3 3 3 2" xfId="21535" xr:uid="{00000000-0005-0000-0000-0000CF240000}"/>
    <cellStyle name="Input 4 2 3 3 3 3" xfId="25665" xr:uid="{00000000-0005-0000-0000-0000D0240000}"/>
    <cellStyle name="Input 4 2 3 3 3 4" xfId="27182" xr:uid="{00000000-0005-0000-0000-0000D1240000}"/>
    <cellStyle name="Input 4 2 3 3 4" xfId="14186" xr:uid="{00000000-0005-0000-0000-0000D2240000}"/>
    <cellStyle name="Input 4 2 3 3 5" xfId="22726" xr:uid="{00000000-0005-0000-0000-0000D3240000}"/>
    <cellStyle name="Input 4 2 3 3 6" xfId="11206" xr:uid="{00000000-0005-0000-0000-0000D4240000}"/>
    <cellStyle name="Input 4 2 3 4" xfId="5019" xr:uid="{00000000-0005-0000-0000-0000D5240000}"/>
    <cellStyle name="Input 4 2 3 4 2" xfId="9970" xr:uid="{00000000-0005-0000-0000-0000D6240000}"/>
    <cellStyle name="Input 4 2 3 4 2 2" xfId="20867" xr:uid="{00000000-0005-0000-0000-0000D7240000}"/>
    <cellStyle name="Input 4 2 3 4 2 3" xfId="24997" xr:uid="{00000000-0005-0000-0000-0000D8240000}"/>
    <cellStyle name="Input 4 2 3 4 2 4" xfId="26514" xr:uid="{00000000-0005-0000-0000-0000D9240000}"/>
    <cellStyle name="Input 4 2 3 4 3" xfId="10965" xr:uid="{00000000-0005-0000-0000-0000DA240000}"/>
    <cellStyle name="Input 4 2 3 4 3 2" xfId="21862" xr:uid="{00000000-0005-0000-0000-0000DB240000}"/>
    <cellStyle name="Input 4 2 3 4 3 3" xfId="25992" xr:uid="{00000000-0005-0000-0000-0000DC240000}"/>
    <cellStyle name="Input 4 2 3 4 3 4" xfId="27509" xr:uid="{00000000-0005-0000-0000-0000DD240000}"/>
    <cellStyle name="Input 4 2 3 4 4" xfId="15916" xr:uid="{00000000-0005-0000-0000-0000DE240000}"/>
    <cellStyle name="Input 4 2 3 4 5" xfId="23308" xr:uid="{00000000-0005-0000-0000-0000DF240000}"/>
    <cellStyle name="Input 4 2 3 4 6" xfId="22358" xr:uid="{00000000-0005-0000-0000-0000E0240000}"/>
    <cellStyle name="Input 4 2 3 5" xfId="5928" xr:uid="{00000000-0005-0000-0000-0000E1240000}"/>
    <cellStyle name="Input 4 2 3 5 2" xfId="16825" xr:uid="{00000000-0005-0000-0000-0000E2240000}"/>
    <cellStyle name="Input 4 2 3 5 3" xfId="23739" xr:uid="{00000000-0005-0000-0000-0000E3240000}"/>
    <cellStyle name="Input 4 2 3 5 4" xfId="24448" xr:uid="{00000000-0005-0000-0000-0000E4240000}"/>
    <cellStyle name="Input 4 2 3 6" xfId="10297" xr:uid="{00000000-0005-0000-0000-0000E5240000}"/>
    <cellStyle name="Input 4 2 3 6 2" xfId="21194" xr:uid="{00000000-0005-0000-0000-0000E6240000}"/>
    <cellStyle name="Input 4 2 3 6 3" xfId="25324" xr:uid="{00000000-0005-0000-0000-0000E7240000}"/>
    <cellStyle name="Input 4 2 3 6 4" xfId="26841" xr:uid="{00000000-0005-0000-0000-0000E8240000}"/>
    <cellStyle name="Input 4 2 3 7" xfId="11921" xr:uid="{00000000-0005-0000-0000-0000E9240000}"/>
    <cellStyle name="Input 4 2 3 8" xfId="11219" xr:uid="{00000000-0005-0000-0000-0000EA240000}"/>
    <cellStyle name="Input 4 2 4" xfId="1360" xr:uid="{00000000-0005-0000-0000-0000EB240000}"/>
    <cellStyle name="Input 4 2 4 2" xfId="3684" xr:uid="{00000000-0005-0000-0000-0000EC240000}"/>
    <cellStyle name="Input 4 2 4 2 2" xfId="8635" xr:uid="{00000000-0005-0000-0000-0000ED240000}"/>
    <cellStyle name="Input 4 2 4 2 2 2" xfId="19532" xr:uid="{00000000-0005-0000-0000-0000EE240000}"/>
    <cellStyle name="Input 4 2 4 2 2 3" xfId="24529" xr:uid="{00000000-0005-0000-0000-0000EF240000}"/>
    <cellStyle name="Input 4 2 4 2 2 4" xfId="26247" xr:uid="{00000000-0005-0000-0000-0000F0240000}"/>
    <cellStyle name="Input 4 2 4 2 3" xfId="10698" xr:uid="{00000000-0005-0000-0000-0000F1240000}"/>
    <cellStyle name="Input 4 2 4 2 3 2" xfId="21595" xr:uid="{00000000-0005-0000-0000-0000F2240000}"/>
    <cellStyle name="Input 4 2 4 2 3 3" xfId="25725" xr:uid="{00000000-0005-0000-0000-0000F3240000}"/>
    <cellStyle name="Input 4 2 4 2 3 4" xfId="27242" xr:uid="{00000000-0005-0000-0000-0000F4240000}"/>
    <cellStyle name="Input 4 2 4 2 4" xfId="14581" xr:uid="{00000000-0005-0000-0000-0000F5240000}"/>
    <cellStyle name="Input 4 2 4 2 5" xfId="22841" xr:uid="{00000000-0005-0000-0000-0000F6240000}"/>
    <cellStyle name="Input 4 2 4 2 6" xfId="22700" xr:uid="{00000000-0005-0000-0000-0000F7240000}"/>
    <cellStyle name="Input 4 2 4 3" xfId="5079" xr:uid="{00000000-0005-0000-0000-0000F8240000}"/>
    <cellStyle name="Input 4 2 4 3 2" xfId="10030" xr:uid="{00000000-0005-0000-0000-0000F9240000}"/>
    <cellStyle name="Input 4 2 4 3 2 2" xfId="20927" xr:uid="{00000000-0005-0000-0000-0000FA240000}"/>
    <cellStyle name="Input 4 2 4 3 2 3" xfId="25057" xr:uid="{00000000-0005-0000-0000-0000FB240000}"/>
    <cellStyle name="Input 4 2 4 3 2 4" xfId="26574" xr:uid="{00000000-0005-0000-0000-0000FC240000}"/>
    <cellStyle name="Input 4 2 4 3 3" xfId="11025" xr:uid="{00000000-0005-0000-0000-0000FD240000}"/>
    <cellStyle name="Input 4 2 4 3 3 2" xfId="21922" xr:uid="{00000000-0005-0000-0000-0000FE240000}"/>
    <cellStyle name="Input 4 2 4 3 3 3" xfId="26052" xr:uid="{00000000-0005-0000-0000-0000FF240000}"/>
    <cellStyle name="Input 4 2 4 3 3 4" xfId="27569" xr:uid="{00000000-0005-0000-0000-000000250000}"/>
    <cellStyle name="Input 4 2 4 3 4" xfId="15976" xr:uid="{00000000-0005-0000-0000-000001250000}"/>
    <cellStyle name="Input 4 2 4 3 5" xfId="23368" xr:uid="{00000000-0005-0000-0000-000002250000}"/>
    <cellStyle name="Input 4 2 4 3 6" xfId="22400" xr:uid="{00000000-0005-0000-0000-000003250000}"/>
    <cellStyle name="Input 4 2 4 4" xfId="6323" xr:uid="{00000000-0005-0000-0000-000004250000}"/>
    <cellStyle name="Input 4 2 4 4 2" xfId="17220" xr:uid="{00000000-0005-0000-0000-000005250000}"/>
    <cellStyle name="Input 4 2 4 4 3" xfId="23854" xr:uid="{00000000-0005-0000-0000-000006250000}"/>
    <cellStyle name="Input 4 2 4 4 4" xfId="23923" xr:uid="{00000000-0005-0000-0000-000007250000}"/>
    <cellStyle name="Input 4 2 4 5" xfId="10357" xr:uid="{00000000-0005-0000-0000-000008250000}"/>
    <cellStyle name="Input 4 2 4 5 2" xfId="21254" xr:uid="{00000000-0005-0000-0000-000009250000}"/>
    <cellStyle name="Input 4 2 4 5 3" xfId="25384" xr:uid="{00000000-0005-0000-0000-00000A250000}"/>
    <cellStyle name="Input 4 2 4 5 4" xfId="26901" xr:uid="{00000000-0005-0000-0000-00000B250000}"/>
    <cellStyle name="Input 4 2 4 6" xfId="12308" xr:uid="{00000000-0005-0000-0000-00000C250000}"/>
    <cellStyle name="Input 4 2 4 7" xfId="24880" xr:uid="{00000000-0005-0000-0000-00000D250000}"/>
    <cellStyle name="Input 4 2 5" xfId="2757" xr:uid="{00000000-0005-0000-0000-00000E250000}"/>
    <cellStyle name="Input 4 2 5 2" xfId="7708" xr:uid="{00000000-0005-0000-0000-00000F250000}"/>
    <cellStyle name="Input 4 2 5 2 2" xfId="18605" xr:uid="{00000000-0005-0000-0000-000010250000}"/>
    <cellStyle name="Input 4 2 5 2 3" xfId="24271" xr:uid="{00000000-0005-0000-0000-000011250000}"/>
    <cellStyle name="Input 4 2 5 2 4" xfId="24767" xr:uid="{00000000-0005-0000-0000-000012250000}"/>
    <cellStyle name="Input 4 2 5 3" xfId="10558" xr:uid="{00000000-0005-0000-0000-000013250000}"/>
    <cellStyle name="Input 4 2 5 3 2" xfId="21455" xr:uid="{00000000-0005-0000-0000-000014250000}"/>
    <cellStyle name="Input 4 2 5 3 3" xfId="25585" xr:uid="{00000000-0005-0000-0000-000015250000}"/>
    <cellStyle name="Input 4 2 5 3 4" xfId="27102" xr:uid="{00000000-0005-0000-0000-000016250000}"/>
    <cellStyle name="Input 4 2 5 4" xfId="13654" xr:uid="{00000000-0005-0000-0000-000017250000}"/>
    <cellStyle name="Input 4 2 5 5" xfId="22571" xr:uid="{00000000-0005-0000-0000-000018250000}"/>
    <cellStyle name="Input 4 2 5 6" xfId="23082" xr:uid="{00000000-0005-0000-0000-000019250000}"/>
    <cellStyle name="Input 4 2 6" xfId="4939" xr:uid="{00000000-0005-0000-0000-00001A250000}"/>
    <cellStyle name="Input 4 2 6 2" xfId="9890" xr:uid="{00000000-0005-0000-0000-00001B250000}"/>
    <cellStyle name="Input 4 2 6 2 2" xfId="20787" xr:uid="{00000000-0005-0000-0000-00001C250000}"/>
    <cellStyle name="Input 4 2 6 2 3" xfId="24917" xr:uid="{00000000-0005-0000-0000-00001D250000}"/>
    <cellStyle name="Input 4 2 6 2 4" xfId="26434" xr:uid="{00000000-0005-0000-0000-00001E250000}"/>
    <cellStyle name="Input 4 2 6 3" xfId="10885" xr:uid="{00000000-0005-0000-0000-00001F250000}"/>
    <cellStyle name="Input 4 2 6 3 2" xfId="21782" xr:uid="{00000000-0005-0000-0000-000020250000}"/>
    <cellStyle name="Input 4 2 6 3 3" xfId="25912" xr:uid="{00000000-0005-0000-0000-000021250000}"/>
    <cellStyle name="Input 4 2 6 3 4" xfId="27429" xr:uid="{00000000-0005-0000-0000-000022250000}"/>
    <cellStyle name="Input 4 2 6 4" xfId="15836" xr:uid="{00000000-0005-0000-0000-000023250000}"/>
    <cellStyle name="Input 4 2 6 5" xfId="23228" xr:uid="{00000000-0005-0000-0000-000024250000}"/>
    <cellStyle name="Input 4 2 6 6" xfId="24618" xr:uid="{00000000-0005-0000-0000-000025250000}"/>
    <cellStyle name="Input 4 2 7" xfId="5396" xr:uid="{00000000-0005-0000-0000-000026250000}"/>
    <cellStyle name="Input 4 2 7 2" xfId="16293" xr:uid="{00000000-0005-0000-0000-000027250000}"/>
    <cellStyle name="Input 4 2 7 3" xfId="23590" xr:uid="{00000000-0005-0000-0000-000028250000}"/>
    <cellStyle name="Input 4 2 7 4" xfId="11271" xr:uid="{00000000-0005-0000-0000-000029250000}"/>
    <cellStyle name="Input 4 2 8" xfId="10217" xr:uid="{00000000-0005-0000-0000-00002A250000}"/>
    <cellStyle name="Input 4 2 8 2" xfId="21114" xr:uid="{00000000-0005-0000-0000-00002B250000}"/>
    <cellStyle name="Input 4 2 8 3" xfId="25244" xr:uid="{00000000-0005-0000-0000-00002C250000}"/>
    <cellStyle name="Input 4 2 8 4" xfId="26761" xr:uid="{00000000-0005-0000-0000-00002D250000}"/>
    <cellStyle name="Input 4 2 9" xfId="11398" xr:uid="{00000000-0005-0000-0000-00002E250000}"/>
    <cellStyle name="Input 4 3" xfId="587" xr:uid="{00000000-0005-0000-0000-00002F250000}"/>
    <cellStyle name="Input 4 3 2" xfId="1119" xr:uid="{00000000-0005-0000-0000-000030250000}"/>
    <cellStyle name="Input 4 3 2 2" xfId="2276" xr:uid="{00000000-0005-0000-0000-000031250000}"/>
    <cellStyle name="Input 4 3 2 2 2" xfId="4588" xr:uid="{00000000-0005-0000-0000-000032250000}"/>
    <cellStyle name="Input 4 3 2 2 2 2" xfId="9539" xr:uid="{00000000-0005-0000-0000-000033250000}"/>
    <cellStyle name="Input 4 3 2 2 2 2 2" xfId="20436" xr:uid="{00000000-0005-0000-0000-000034250000}"/>
    <cellStyle name="Input 4 3 2 2 2 2 3" xfId="24790" xr:uid="{00000000-0005-0000-0000-000035250000}"/>
    <cellStyle name="Input 4 3 2 2 2 2 4" xfId="26371" xr:uid="{00000000-0005-0000-0000-000036250000}"/>
    <cellStyle name="Input 4 3 2 2 2 3" xfId="10822" xr:uid="{00000000-0005-0000-0000-000037250000}"/>
    <cellStyle name="Input 4 3 2 2 2 3 2" xfId="21719" xr:uid="{00000000-0005-0000-0000-000038250000}"/>
    <cellStyle name="Input 4 3 2 2 2 3 3" xfId="25849" xr:uid="{00000000-0005-0000-0000-000039250000}"/>
    <cellStyle name="Input 4 3 2 2 2 3 4" xfId="27366" xr:uid="{00000000-0005-0000-0000-00003A250000}"/>
    <cellStyle name="Input 4 3 2 2 2 4" xfId="15485" xr:uid="{00000000-0005-0000-0000-00003B250000}"/>
    <cellStyle name="Input 4 3 2 2 2 5" xfId="23101" xr:uid="{00000000-0005-0000-0000-00003C250000}"/>
    <cellStyle name="Input 4 3 2 2 2 6" xfId="23164" xr:uid="{00000000-0005-0000-0000-00003D250000}"/>
    <cellStyle name="Input 4 3 2 2 3" xfId="5202" xr:uid="{00000000-0005-0000-0000-00003E250000}"/>
    <cellStyle name="Input 4 3 2 2 3 2" xfId="10153" xr:uid="{00000000-0005-0000-0000-00003F250000}"/>
    <cellStyle name="Input 4 3 2 2 3 2 2" xfId="21050" xr:uid="{00000000-0005-0000-0000-000040250000}"/>
    <cellStyle name="Input 4 3 2 2 3 2 3" xfId="25180" xr:uid="{00000000-0005-0000-0000-000041250000}"/>
    <cellStyle name="Input 4 3 2 2 3 2 4" xfId="26697" xr:uid="{00000000-0005-0000-0000-000042250000}"/>
    <cellStyle name="Input 4 3 2 2 3 3" xfId="11148" xr:uid="{00000000-0005-0000-0000-000043250000}"/>
    <cellStyle name="Input 4 3 2 2 3 3 2" xfId="22045" xr:uid="{00000000-0005-0000-0000-000044250000}"/>
    <cellStyle name="Input 4 3 2 2 3 3 3" xfId="26175" xr:uid="{00000000-0005-0000-0000-000045250000}"/>
    <cellStyle name="Input 4 3 2 2 3 3 4" xfId="27692" xr:uid="{00000000-0005-0000-0000-000046250000}"/>
    <cellStyle name="Input 4 3 2 2 3 4" xfId="16099" xr:uid="{00000000-0005-0000-0000-000047250000}"/>
    <cellStyle name="Input 4 3 2 2 3 5" xfId="23491" xr:uid="{00000000-0005-0000-0000-000048250000}"/>
    <cellStyle name="Input 4 3 2 2 3 6" xfId="22834" xr:uid="{00000000-0005-0000-0000-000049250000}"/>
    <cellStyle name="Input 4 3 2 2 4" xfId="7227" xr:uid="{00000000-0005-0000-0000-00004A250000}"/>
    <cellStyle name="Input 4 3 2 2 4 2" xfId="18124" xr:uid="{00000000-0005-0000-0000-00004B250000}"/>
    <cellStyle name="Input 4 3 2 2 4 3" xfId="24114" xr:uid="{00000000-0005-0000-0000-00004C250000}"/>
    <cellStyle name="Input 4 3 2 2 4 4" xfId="24110" xr:uid="{00000000-0005-0000-0000-00004D250000}"/>
    <cellStyle name="Input 4 3 2 2 5" xfId="10480" xr:uid="{00000000-0005-0000-0000-00004E250000}"/>
    <cellStyle name="Input 4 3 2 2 5 2" xfId="21377" xr:uid="{00000000-0005-0000-0000-00004F250000}"/>
    <cellStyle name="Input 4 3 2 2 5 3" xfId="25507" xr:uid="{00000000-0005-0000-0000-000050250000}"/>
    <cellStyle name="Input 4 3 2 2 5 4" xfId="27024" xr:uid="{00000000-0005-0000-0000-000051250000}"/>
    <cellStyle name="Input 4 3 2 2 6" xfId="13191" xr:uid="{00000000-0005-0000-0000-000052250000}"/>
    <cellStyle name="Input 4 3 2 2 7" xfId="22388" xr:uid="{00000000-0005-0000-0000-000053250000}"/>
    <cellStyle name="Input 4 3 2 3" xfId="3443" xr:uid="{00000000-0005-0000-0000-000054250000}"/>
    <cellStyle name="Input 4 3 2 3 2" xfId="8394" xr:uid="{00000000-0005-0000-0000-000055250000}"/>
    <cellStyle name="Input 4 3 2 3 2 2" xfId="19291" xr:uid="{00000000-0005-0000-0000-000056250000}"/>
    <cellStyle name="Input 4 3 2 3 2 3" xfId="24465" xr:uid="{00000000-0005-0000-0000-000057250000}"/>
    <cellStyle name="Input 4 3 2 3 2 4" xfId="11784" xr:uid="{00000000-0005-0000-0000-000058250000}"/>
    <cellStyle name="Input 4 3 2 3 3" xfId="10662" xr:uid="{00000000-0005-0000-0000-000059250000}"/>
    <cellStyle name="Input 4 3 2 3 3 2" xfId="21559" xr:uid="{00000000-0005-0000-0000-00005A250000}"/>
    <cellStyle name="Input 4 3 2 3 3 3" xfId="25689" xr:uid="{00000000-0005-0000-0000-00005B250000}"/>
    <cellStyle name="Input 4 3 2 3 3 4" xfId="27206" xr:uid="{00000000-0005-0000-0000-00005C250000}"/>
    <cellStyle name="Input 4 3 2 3 4" xfId="14340" xr:uid="{00000000-0005-0000-0000-00005D250000}"/>
    <cellStyle name="Input 4 3 2 3 5" xfId="22775" xr:uid="{00000000-0005-0000-0000-00005E250000}"/>
    <cellStyle name="Input 4 3 2 3 6" xfId="22780" xr:uid="{00000000-0005-0000-0000-00005F250000}"/>
    <cellStyle name="Input 4 3 2 4" xfId="5043" xr:uid="{00000000-0005-0000-0000-000060250000}"/>
    <cellStyle name="Input 4 3 2 4 2" xfId="9994" xr:uid="{00000000-0005-0000-0000-000061250000}"/>
    <cellStyle name="Input 4 3 2 4 2 2" xfId="20891" xr:uid="{00000000-0005-0000-0000-000062250000}"/>
    <cellStyle name="Input 4 3 2 4 2 3" xfId="25021" xr:uid="{00000000-0005-0000-0000-000063250000}"/>
    <cellStyle name="Input 4 3 2 4 2 4" xfId="26538" xr:uid="{00000000-0005-0000-0000-000064250000}"/>
    <cellStyle name="Input 4 3 2 4 3" xfId="10989" xr:uid="{00000000-0005-0000-0000-000065250000}"/>
    <cellStyle name="Input 4 3 2 4 3 2" xfId="21886" xr:uid="{00000000-0005-0000-0000-000066250000}"/>
    <cellStyle name="Input 4 3 2 4 3 3" xfId="26016" xr:uid="{00000000-0005-0000-0000-000067250000}"/>
    <cellStyle name="Input 4 3 2 4 3 4" xfId="27533" xr:uid="{00000000-0005-0000-0000-000068250000}"/>
    <cellStyle name="Input 4 3 2 4 4" xfId="15940" xr:uid="{00000000-0005-0000-0000-000069250000}"/>
    <cellStyle name="Input 4 3 2 4 5" xfId="23332" xr:uid="{00000000-0005-0000-0000-00006A250000}"/>
    <cellStyle name="Input 4 3 2 4 6" xfId="22201" xr:uid="{00000000-0005-0000-0000-00006B250000}"/>
    <cellStyle name="Input 4 3 2 5" xfId="6082" xr:uid="{00000000-0005-0000-0000-00006C250000}"/>
    <cellStyle name="Input 4 3 2 5 2" xfId="16979" xr:uid="{00000000-0005-0000-0000-00006D250000}"/>
    <cellStyle name="Input 4 3 2 5 3" xfId="23788" xr:uid="{00000000-0005-0000-0000-00006E250000}"/>
    <cellStyle name="Input 4 3 2 5 4" xfId="11284" xr:uid="{00000000-0005-0000-0000-00006F250000}"/>
    <cellStyle name="Input 4 3 2 6" xfId="10321" xr:uid="{00000000-0005-0000-0000-000070250000}"/>
    <cellStyle name="Input 4 3 2 6 2" xfId="21218" xr:uid="{00000000-0005-0000-0000-000071250000}"/>
    <cellStyle name="Input 4 3 2 6 3" xfId="25348" xr:uid="{00000000-0005-0000-0000-000072250000}"/>
    <cellStyle name="Input 4 3 2 6 4" xfId="26865" xr:uid="{00000000-0005-0000-0000-000073250000}"/>
    <cellStyle name="Input 4 3 2 7" xfId="12073" xr:uid="{00000000-0005-0000-0000-000074250000}"/>
    <cellStyle name="Input 4 3 2 8" xfId="24214" xr:uid="{00000000-0005-0000-0000-000075250000}"/>
    <cellStyle name="Input 4 3 3" xfId="1384" xr:uid="{00000000-0005-0000-0000-000076250000}"/>
    <cellStyle name="Input 4 3 3 2" xfId="3708" xr:uid="{00000000-0005-0000-0000-000077250000}"/>
    <cellStyle name="Input 4 3 3 2 2" xfId="8659" xr:uid="{00000000-0005-0000-0000-000078250000}"/>
    <cellStyle name="Input 4 3 3 2 2 2" xfId="19556" xr:uid="{00000000-0005-0000-0000-000079250000}"/>
    <cellStyle name="Input 4 3 3 2 2 3" xfId="24553" xr:uid="{00000000-0005-0000-0000-00007A250000}"/>
    <cellStyle name="Input 4 3 3 2 2 4" xfId="26271" xr:uid="{00000000-0005-0000-0000-00007B250000}"/>
    <cellStyle name="Input 4 3 3 2 3" xfId="10722" xr:uid="{00000000-0005-0000-0000-00007C250000}"/>
    <cellStyle name="Input 4 3 3 2 3 2" xfId="21619" xr:uid="{00000000-0005-0000-0000-00007D250000}"/>
    <cellStyle name="Input 4 3 3 2 3 3" xfId="25749" xr:uid="{00000000-0005-0000-0000-00007E250000}"/>
    <cellStyle name="Input 4 3 3 2 3 4" xfId="27266" xr:uid="{00000000-0005-0000-0000-00007F250000}"/>
    <cellStyle name="Input 4 3 3 2 4" xfId="14605" xr:uid="{00000000-0005-0000-0000-000080250000}"/>
    <cellStyle name="Input 4 3 3 2 5" xfId="22865" xr:uid="{00000000-0005-0000-0000-000081250000}"/>
    <cellStyle name="Input 4 3 3 2 6" xfId="22591" xr:uid="{00000000-0005-0000-0000-000082250000}"/>
    <cellStyle name="Input 4 3 3 3" xfId="5103" xr:uid="{00000000-0005-0000-0000-000083250000}"/>
    <cellStyle name="Input 4 3 3 3 2" xfId="10054" xr:uid="{00000000-0005-0000-0000-000084250000}"/>
    <cellStyle name="Input 4 3 3 3 2 2" xfId="20951" xr:uid="{00000000-0005-0000-0000-000085250000}"/>
    <cellStyle name="Input 4 3 3 3 2 3" xfId="25081" xr:uid="{00000000-0005-0000-0000-000086250000}"/>
    <cellStyle name="Input 4 3 3 3 2 4" xfId="26598" xr:uid="{00000000-0005-0000-0000-000087250000}"/>
    <cellStyle name="Input 4 3 3 3 3" xfId="11049" xr:uid="{00000000-0005-0000-0000-000088250000}"/>
    <cellStyle name="Input 4 3 3 3 3 2" xfId="21946" xr:uid="{00000000-0005-0000-0000-000089250000}"/>
    <cellStyle name="Input 4 3 3 3 3 3" xfId="26076" xr:uid="{00000000-0005-0000-0000-00008A250000}"/>
    <cellStyle name="Input 4 3 3 3 3 4" xfId="27593" xr:uid="{00000000-0005-0000-0000-00008B250000}"/>
    <cellStyle name="Input 4 3 3 3 4" xfId="16000" xr:uid="{00000000-0005-0000-0000-00008C250000}"/>
    <cellStyle name="Input 4 3 3 3 5" xfId="23392" xr:uid="{00000000-0005-0000-0000-00008D250000}"/>
    <cellStyle name="Input 4 3 3 3 6" xfId="22339" xr:uid="{00000000-0005-0000-0000-00008E250000}"/>
    <cellStyle name="Input 4 3 3 4" xfId="6347" xr:uid="{00000000-0005-0000-0000-00008F250000}"/>
    <cellStyle name="Input 4 3 3 4 2" xfId="17244" xr:uid="{00000000-0005-0000-0000-000090250000}"/>
    <cellStyle name="Input 4 3 3 4 3" xfId="23878" xr:uid="{00000000-0005-0000-0000-000091250000}"/>
    <cellStyle name="Input 4 3 3 4 4" xfId="23917" xr:uid="{00000000-0005-0000-0000-000092250000}"/>
    <cellStyle name="Input 4 3 3 5" xfId="10381" xr:uid="{00000000-0005-0000-0000-000093250000}"/>
    <cellStyle name="Input 4 3 3 5 2" xfId="21278" xr:uid="{00000000-0005-0000-0000-000094250000}"/>
    <cellStyle name="Input 4 3 3 5 3" xfId="25408" xr:uid="{00000000-0005-0000-0000-000095250000}"/>
    <cellStyle name="Input 4 3 3 5 4" xfId="26925" xr:uid="{00000000-0005-0000-0000-000096250000}"/>
    <cellStyle name="Input 4 3 3 6" xfId="12330" xr:uid="{00000000-0005-0000-0000-000097250000}"/>
    <cellStyle name="Input 4 3 3 7" xfId="24875" xr:uid="{00000000-0005-0000-0000-000098250000}"/>
    <cellStyle name="Input 4 3 4" xfId="2911" xr:uid="{00000000-0005-0000-0000-000099250000}"/>
    <cellStyle name="Input 4 3 4 2" xfId="7862" xr:uid="{00000000-0005-0000-0000-00009A250000}"/>
    <cellStyle name="Input 4 3 4 2 2" xfId="18759" xr:uid="{00000000-0005-0000-0000-00009B250000}"/>
    <cellStyle name="Input 4 3 4 2 3" xfId="24312" xr:uid="{00000000-0005-0000-0000-00009C250000}"/>
    <cellStyle name="Input 4 3 4 2 4" xfId="23940" xr:uid="{00000000-0005-0000-0000-00009D250000}"/>
    <cellStyle name="Input 4 3 4 3" xfId="10582" xr:uid="{00000000-0005-0000-0000-00009E250000}"/>
    <cellStyle name="Input 4 3 4 3 2" xfId="21479" xr:uid="{00000000-0005-0000-0000-00009F250000}"/>
    <cellStyle name="Input 4 3 4 3 3" xfId="25609" xr:uid="{00000000-0005-0000-0000-0000A0250000}"/>
    <cellStyle name="Input 4 3 4 3 4" xfId="27126" xr:uid="{00000000-0005-0000-0000-0000A1250000}"/>
    <cellStyle name="Input 4 3 4 4" xfId="13808" xr:uid="{00000000-0005-0000-0000-0000A2250000}"/>
    <cellStyle name="Input 4 3 4 5" xfId="22617" xr:uid="{00000000-0005-0000-0000-0000A3250000}"/>
    <cellStyle name="Input 4 3 4 6" xfId="24621" xr:uid="{00000000-0005-0000-0000-0000A4250000}"/>
    <cellStyle name="Input 4 3 5" xfId="4963" xr:uid="{00000000-0005-0000-0000-0000A5250000}"/>
    <cellStyle name="Input 4 3 5 2" xfId="9914" xr:uid="{00000000-0005-0000-0000-0000A6250000}"/>
    <cellStyle name="Input 4 3 5 2 2" xfId="20811" xr:uid="{00000000-0005-0000-0000-0000A7250000}"/>
    <cellStyle name="Input 4 3 5 2 3" xfId="24941" xr:uid="{00000000-0005-0000-0000-0000A8250000}"/>
    <cellStyle name="Input 4 3 5 2 4" xfId="26458" xr:uid="{00000000-0005-0000-0000-0000A9250000}"/>
    <cellStyle name="Input 4 3 5 3" xfId="10909" xr:uid="{00000000-0005-0000-0000-0000AA250000}"/>
    <cellStyle name="Input 4 3 5 3 2" xfId="21806" xr:uid="{00000000-0005-0000-0000-0000AB250000}"/>
    <cellStyle name="Input 4 3 5 3 3" xfId="25936" xr:uid="{00000000-0005-0000-0000-0000AC250000}"/>
    <cellStyle name="Input 4 3 5 3 4" xfId="27453" xr:uid="{00000000-0005-0000-0000-0000AD250000}"/>
    <cellStyle name="Input 4 3 5 4" xfId="15860" xr:uid="{00000000-0005-0000-0000-0000AE250000}"/>
    <cellStyle name="Input 4 3 5 5" xfId="23252" xr:uid="{00000000-0005-0000-0000-0000AF250000}"/>
    <cellStyle name="Input 4 3 5 6" xfId="22430" xr:uid="{00000000-0005-0000-0000-0000B0250000}"/>
    <cellStyle name="Input 4 3 6" xfId="5550" xr:uid="{00000000-0005-0000-0000-0000B1250000}"/>
    <cellStyle name="Input 4 3 6 2" xfId="16447" xr:uid="{00000000-0005-0000-0000-0000B2250000}"/>
    <cellStyle name="Input 4 3 6 3" xfId="23633" xr:uid="{00000000-0005-0000-0000-0000B3250000}"/>
    <cellStyle name="Input 4 3 6 4" xfId="24662" xr:uid="{00000000-0005-0000-0000-0000B4250000}"/>
    <cellStyle name="Input 4 3 7" xfId="10241" xr:uid="{00000000-0005-0000-0000-0000B5250000}"/>
    <cellStyle name="Input 4 3 7 2" xfId="21138" xr:uid="{00000000-0005-0000-0000-0000B6250000}"/>
    <cellStyle name="Input 4 3 7 3" xfId="25268" xr:uid="{00000000-0005-0000-0000-0000B7250000}"/>
    <cellStyle name="Input 4 3 7 4" xfId="26785" xr:uid="{00000000-0005-0000-0000-0000B8250000}"/>
    <cellStyle name="Input 4 3 8" xfId="11552" xr:uid="{00000000-0005-0000-0000-0000B9250000}"/>
    <cellStyle name="Input 4 3 9" xfId="23654" xr:uid="{00000000-0005-0000-0000-0000BA250000}"/>
    <cellStyle name="Input 4 4" xfId="854" xr:uid="{00000000-0005-0000-0000-0000BB250000}"/>
    <cellStyle name="Input 4 4 2" xfId="2011" xr:uid="{00000000-0005-0000-0000-0000BC250000}"/>
    <cellStyle name="Input 4 4 2 2" xfId="4323" xr:uid="{00000000-0005-0000-0000-0000BD250000}"/>
    <cellStyle name="Input 4 4 2 2 2" xfId="9274" xr:uid="{00000000-0005-0000-0000-0000BE250000}"/>
    <cellStyle name="Input 4 4 2 2 2 2" xfId="20171" xr:uid="{00000000-0005-0000-0000-0000BF250000}"/>
    <cellStyle name="Input 4 4 2 2 2 3" xfId="24717" xr:uid="{00000000-0005-0000-0000-0000C0250000}"/>
    <cellStyle name="Input 4 4 2 2 2 4" xfId="26331" xr:uid="{00000000-0005-0000-0000-0000C1250000}"/>
    <cellStyle name="Input 4 4 2 2 3" xfId="10782" xr:uid="{00000000-0005-0000-0000-0000C2250000}"/>
    <cellStyle name="Input 4 4 2 2 3 2" xfId="21679" xr:uid="{00000000-0005-0000-0000-0000C3250000}"/>
    <cellStyle name="Input 4 4 2 2 3 3" xfId="25809" xr:uid="{00000000-0005-0000-0000-0000C4250000}"/>
    <cellStyle name="Input 4 4 2 2 3 4" xfId="27326" xr:uid="{00000000-0005-0000-0000-0000C5250000}"/>
    <cellStyle name="Input 4 4 2 2 4" xfId="15220" xr:uid="{00000000-0005-0000-0000-0000C6250000}"/>
    <cellStyle name="Input 4 4 2 2 5" xfId="23027" xr:uid="{00000000-0005-0000-0000-0000C7250000}"/>
    <cellStyle name="Input 4 4 2 2 6" xfId="11234" xr:uid="{00000000-0005-0000-0000-0000C8250000}"/>
    <cellStyle name="Input 4 4 2 3" xfId="5162" xr:uid="{00000000-0005-0000-0000-0000C9250000}"/>
    <cellStyle name="Input 4 4 2 3 2" xfId="10113" xr:uid="{00000000-0005-0000-0000-0000CA250000}"/>
    <cellStyle name="Input 4 4 2 3 2 2" xfId="21010" xr:uid="{00000000-0005-0000-0000-0000CB250000}"/>
    <cellStyle name="Input 4 4 2 3 2 3" xfId="25140" xr:uid="{00000000-0005-0000-0000-0000CC250000}"/>
    <cellStyle name="Input 4 4 2 3 2 4" xfId="26657" xr:uid="{00000000-0005-0000-0000-0000CD250000}"/>
    <cellStyle name="Input 4 4 2 3 3" xfId="11108" xr:uid="{00000000-0005-0000-0000-0000CE250000}"/>
    <cellStyle name="Input 4 4 2 3 3 2" xfId="22005" xr:uid="{00000000-0005-0000-0000-0000CF250000}"/>
    <cellStyle name="Input 4 4 2 3 3 3" xfId="26135" xr:uid="{00000000-0005-0000-0000-0000D0250000}"/>
    <cellStyle name="Input 4 4 2 3 3 4" xfId="27652" xr:uid="{00000000-0005-0000-0000-0000D1250000}"/>
    <cellStyle name="Input 4 4 2 3 4" xfId="16059" xr:uid="{00000000-0005-0000-0000-0000D2250000}"/>
    <cellStyle name="Input 4 4 2 3 5" xfId="23451" xr:uid="{00000000-0005-0000-0000-0000D3250000}"/>
    <cellStyle name="Input 4 4 2 3 6" xfId="23657" xr:uid="{00000000-0005-0000-0000-0000D4250000}"/>
    <cellStyle name="Input 4 4 2 4" xfId="6962" xr:uid="{00000000-0005-0000-0000-0000D5250000}"/>
    <cellStyle name="Input 4 4 2 4 2" xfId="17859" xr:uid="{00000000-0005-0000-0000-0000D6250000}"/>
    <cellStyle name="Input 4 4 2 4 3" xfId="24039" xr:uid="{00000000-0005-0000-0000-0000D7250000}"/>
    <cellStyle name="Input 4 4 2 4 4" xfId="24309" xr:uid="{00000000-0005-0000-0000-0000D8250000}"/>
    <cellStyle name="Input 4 4 2 5" xfId="10440" xr:uid="{00000000-0005-0000-0000-0000D9250000}"/>
    <cellStyle name="Input 4 4 2 5 2" xfId="21337" xr:uid="{00000000-0005-0000-0000-0000DA250000}"/>
    <cellStyle name="Input 4 4 2 5 3" xfId="25467" xr:uid="{00000000-0005-0000-0000-0000DB250000}"/>
    <cellStyle name="Input 4 4 2 5 4" xfId="26984" xr:uid="{00000000-0005-0000-0000-0000DC250000}"/>
    <cellStyle name="Input 4 4 2 6" xfId="12933" xr:uid="{00000000-0005-0000-0000-0000DD250000}"/>
    <cellStyle name="Input 4 4 2 7" xfId="22303" xr:uid="{00000000-0005-0000-0000-0000DE250000}"/>
    <cellStyle name="Input 4 4 3" xfId="3178" xr:uid="{00000000-0005-0000-0000-0000DF250000}"/>
    <cellStyle name="Input 4 4 3 2" xfId="8129" xr:uid="{00000000-0005-0000-0000-0000E0250000}"/>
    <cellStyle name="Input 4 4 3 2 2" xfId="19026" xr:uid="{00000000-0005-0000-0000-0000E1250000}"/>
    <cellStyle name="Input 4 4 3 2 3" xfId="24389" xr:uid="{00000000-0005-0000-0000-0000E2250000}"/>
    <cellStyle name="Input 4 4 3 2 4" xfId="24711" xr:uid="{00000000-0005-0000-0000-0000E3250000}"/>
    <cellStyle name="Input 4 4 3 3" xfId="10622" xr:uid="{00000000-0005-0000-0000-0000E4250000}"/>
    <cellStyle name="Input 4 4 3 3 2" xfId="21519" xr:uid="{00000000-0005-0000-0000-0000E5250000}"/>
    <cellStyle name="Input 4 4 3 3 3" xfId="25649" xr:uid="{00000000-0005-0000-0000-0000E6250000}"/>
    <cellStyle name="Input 4 4 3 3 4" xfId="27166" xr:uid="{00000000-0005-0000-0000-0000E7250000}"/>
    <cellStyle name="Input 4 4 3 4" xfId="14075" xr:uid="{00000000-0005-0000-0000-0000E8250000}"/>
    <cellStyle name="Input 4 4 3 5" xfId="22697" xr:uid="{00000000-0005-0000-0000-0000E9250000}"/>
    <cellStyle name="Input 4 4 3 6" xfId="23639" xr:uid="{00000000-0005-0000-0000-0000EA250000}"/>
    <cellStyle name="Input 4 4 4" xfId="5003" xr:uid="{00000000-0005-0000-0000-0000EB250000}"/>
    <cellStyle name="Input 4 4 4 2" xfId="9954" xr:uid="{00000000-0005-0000-0000-0000EC250000}"/>
    <cellStyle name="Input 4 4 4 2 2" xfId="20851" xr:uid="{00000000-0005-0000-0000-0000ED250000}"/>
    <cellStyle name="Input 4 4 4 2 3" xfId="24981" xr:uid="{00000000-0005-0000-0000-0000EE250000}"/>
    <cellStyle name="Input 4 4 4 2 4" xfId="26498" xr:uid="{00000000-0005-0000-0000-0000EF250000}"/>
    <cellStyle name="Input 4 4 4 3" xfId="10949" xr:uid="{00000000-0005-0000-0000-0000F0250000}"/>
    <cellStyle name="Input 4 4 4 3 2" xfId="21846" xr:uid="{00000000-0005-0000-0000-0000F1250000}"/>
    <cellStyle name="Input 4 4 4 3 3" xfId="25976" xr:uid="{00000000-0005-0000-0000-0000F2250000}"/>
    <cellStyle name="Input 4 4 4 3 4" xfId="27493" xr:uid="{00000000-0005-0000-0000-0000F3250000}"/>
    <cellStyle name="Input 4 4 4 4" xfId="15900" xr:uid="{00000000-0005-0000-0000-0000F4250000}"/>
    <cellStyle name="Input 4 4 4 5" xfId="23292" xr:uid="{00000000-0005-0000-0000-0000F5250000}"/>
    <cellStyle name="Input 4 4 4 6" xfId="22942" xr:uid="{00000000-0005-0000-0000-0000F6250000}"/>
    <cellStyle name="Input 4 4 5" xfId="5817" xr:uid="{00000000-0005-0000-0000-0000F7250000}"/>
    <cellStyle name="Input 4 4 5 2" xfId="16714" xr:uid="{00000000-0005-0000-0000-0000F8250000}"/>
    <cellStyle name="Input 4 4 5 3" xfId="23709" xr:uid="{00000000-0005-0000-0000-0000F9250000}"/>
    <cellStyle name="Input 4 4 5 4" xfId="22154" xr:uid="{00000000-0005-0000-0000-0000FA250000}"/>
    <cellStyle name="Input 4 4 6" xfId="10281" xr:uid="{00000000-0005-0000-0000-0000FB250000}"/>
    <cellStyle name="Input 4 4 6 2" xfId="21178" xr:uid="{00000000-0005-0000-0000-0000FC250000}"/>
    <cellStyle name="Input 4 4 6 3" xfId="25308" xr:uid="{00000000-0005-0000-0000-0000FD250000}"/>
    <cellStyle name="Input 4 4 6 4" xfId="26825" xr:uid="{00000000-0005-0000-0000-0000FE250000}"/>
    <cellStyle name="Input 4 4 7" xfId="11815" xr:uid="{00000000-0005-0000-0000-0000FF250000}"/>
    <cellStyle name="Input 4 4 8" xfId="23113" xr:uid="{00000000-0005-0000-0000-000000260000}"/>
    <cellStyle name="Input 4 5" xfId="2646" xr:uid="{00000000-0005-0000-0000-000001260000}"/>
    <cellStyle name="Input 4 5 2" xfId="7597" xr:uid="{00000000-0005-0000-0000-000002260000}"/>
    <cellStyle name="Input 4 5 2 2" xfId="18494" xr:uid="{00000000-0005-0000-0000-000003260000}"/>
    <cellStyle name="Input 4 5 2 3" xfId="24238" xr:uid="{00000000-0005-0000-0000-000004260000}"/>
    <cellStyle name="Input 4 5 2 4" xfId="11214" xr:uid="{00000000-0005-0000-0000-000005260000}"/>
    <cellStyle name="Input 4 5 3" xfId="10542" xr:uid="{00000000-0005-0000-0000-000006260000}"/>
    <cellStyle name="Input 4 5 3 2" xfId="21439" xr:uid="{00000000-0005-0000-0000-000007260000}"/>
    <cellStyle name="Input 4 5 3 3" xfId="25569" xr:uid="{00000000-0005-0000-0000-000008260000}"/>
    <cellStyle name="Input 4 5 3 4" xfId="27086" xr:uid="{00000000-0005-0000-0000-000009260000}"/>
    <cellStyle name="Input 4 5 4" xfId="13543" xr:uid="{00000000-0005-0000-0000-00000A260000}"/>
    <cellStyle name="Input 4 5 5" xfId="22539" xr:uid="{00000000-0005-0000-0000-00000B260000}"/>
    <cellStyle name="Input 4 5 6" xfId="22252" xr:uid="{00000000-0005-0000-0000-00000C260000}"/>
    <cellStyle name="Input 4 6" xfId="2617" xr:uid="{00000000-0005-0000-0000-00000D260000}"/>
    <cellStyle name="Input 4 6 2" xfId="7568" xr:uid="{00000000-0005-0000-0000-00000E260000}"/>
    <cellStyle name="Input 4 6 2 2" xfId="18465" xr:uid="{00000000-0005-0000-0000-00000F260000}"/>
    <cellStyle name="Input 4 6 2 3" xfId="24223" xr:uid="{00000000-0005-0000-0000-000010260000}"/>
    <cellStyle name="Input 4 6 2 4" xfId="23974" xr:uid="{00000000-0005-0000-0000-000011260000}"/>
    <cellStyle name="Input 4 6 3" xfId="10530" xr:uid="{00000000-0005-0000-0000-000012260000}"/>
    <cellStyle name="Input 4 6 3 2" xfId="21427" xr:uid="{00000000-0005-0000-0000-000013260000}"/>
    <cellStyle name="Input 4 6 3 3" xfId="25557" xr:uid="{00000000-0005-0000-0000-000014260000}"/>
    <cellStyle name="Input 4 6 3 4" xfId="27074" xr:uid="{00000000-0005-0000-0000-000015260000}"/>
    <cellStyle name="Input 4 6 4" xfId="13514" xr:uid="{00000000-0005-0000-0000-000016260000}"/>
    <cellStyle name="Input 4 6 5" xfId="22522" xr:uid="{00000000-0005-0000-0000-000017260000}"/>
    <cellStyle name="Input 4 6 6" xfId="23616" xr:uid="{00000000-0005-0000-0000-000018260000}"/>
    <cellStyle name="Input 4 7" xfId="5285" xr:uid="{00000000-0005-0000-0000-000019260000}"/>
    <cellStyle name="Input 4 7 2" xfId="16182" xr:uid="{00000000-0005-0000-0000-00001A260000}"/>
    <cellStyle name="Input 4 7 3" xfId="23558" xr:uid="{00000000-0005-0000-0000-00001B260000}"/>
    <cellStyle name="Input 4 7 4" xfId="24022" xr:uid="{00000000-0005-0000-0000-00001C260000}"/>
    <cellStyle name="Input 4 8" xfId="5256" xr:uid="{00000000-0005-0000-0000-00001D260000}"/>
    <cellStyle name="Input 4 8 2" xfId="16153" xr:uid="{00000000-0005-0000-0000-00001E260000}"/>
    <cellStyle name="Input 4 8 3" xfId="23543" xr:uid="{00000000-0005-0000-0000-00001F260000}"/>
    <cellStyle name="Input 4 8 4" xfId="22993" xr:uid="{00000000-0005-0000-0000-000020260000}"/>
    <cellStyle name="Input 4 9" xfId="11287" xr:uid="{00000000-0005-0000-0000-000021260000}"/>
    <cellStyle name="Input 5" xfId="234" xr:uid="{00000000-0005-0000-0000-000022260000}"/>
    <cellStyle name="Input 5 10" xfId="22961" xr:uid="{00000000-0005-0000-0000-000023260000}"/>
    <cellStyle name="Input 5 2" xfId="466" xr:uid="{00000000-0005-0000-0000-000024260000}"/>
    <cellStyle name="Input 5 2 10" xfId="22282" xr:uid="{00000000-0005-0000-0000-000025260000}"/>
    <cellStyle name="Input 5 2 2" xfId="731" xr:uid="{00000000-0005-0000-0000-000026260000}"/>
    <cellStyle name="Input 5 2 2 2" xfId="1263" xr:uid="{00000000-0005-0000-0000-000027260000}"/>
    <cellStyle name="Input 5 2 2 2 2" xfId="2420" xr:uid="{00000000-0005-0000-0000-000028260000}"/>
    <cellStyle name="Input 5 2 2 2 2 2" xfId="4732" xr:uid="{00000000-0005-0000-0000-000029260000}"/>
    <cellStyle name="Input 5 2 2 2 2 2 2" xfId="9683" xr:uid="{00000000-0005-0000-0000-00002A260000}"/>
    <cellStyle name="Input 5 2 2 2 2 2 2 2" xfId="20580" xr:uid="{00000000-0005-0000-0000-00002B260000}"/>
    <cellStyle name="Input 5 2 2 2 2 2 2 3" xfId="24836" xr:uid="{00000000-0005-0000-0000-00002C260000}"/>
    <cellStyle name="Input 5 2 2 2 2 2 2 4" xfId="26400" xr:uid="{00000000-0005-0000-0000-00002D260000}"/>
    <cellStyle name="Input 5 2 2 2 2 2 3" xfId="10851" xr:uid="{00000000-0005-0000-0000-00002E260000}"/>
    <cellStyle name="Input 5 2 2 2 2 2 3 2" xfId="21748" xr:uid="{00000000-0005-0000-0000-00002F260000}"/>
    <cellStyle name="Input 5 2 2 2 2 2 3 3" xfId="25878" xr:uid="{00000000-0005-0000-0000-000030260000}"/>
    <cellStyle name="Input 5 2 2 2 2 2 3 4" xfId="27395" xr:uid="{00000000-0005-0000-0000-000031260000}"/>
    <cellStyle name="Input 5 2 2 2 2 2 4" xfId="15629" xr:uid="{00000000-0005-0000-0000-000032260000}"/>
    <cellStyle name="Input 5 2 2 2 2 2 5" xfId="23149" xr:uid="{00000000-0005-0000-0000-000033260000}"/>
    <cellStyle name="Input 5 2 2 2 2 2 6" xfId="22943" xr:uid="{00000000-0005-0000-0000-000034260000}"/>
    <cellStyle name="Input 5 2 2 2 2 3" xfId="5231" xr:uid="{00000000-0005-0000-0000-000035260000}"/>
    <cellStyle name="Input 5 2 2 2 2 3 2" xfId="10182" xr:uid="{00000000-0005-0000-0000-000036260000}"/>
    <cellStyle name="Input 5 2 2 2 2 3 2 2" xfId="21079" xr:uid="{00000000-0005-0000-0000-000037260000}"/>
    <cellStyle name="Input 5 2 2 2 2 3 2 3" xfId="25209" xr:uid="{00000000-0005-0000-0000-000038260000}"/>
    <cellStyle name="Input 5 2 2 2 2 3 2 4" xfId="26726" xr:uid="{00000000-0005-0000-0000-000039260000}"/>
    <cellStyle name="Input 5 2 2 2 2 3 3" xfId="11177" xr:uid="{00000000-0005-0000-0000-00003A260000}"/>
    <cellStyle name="Input 5 2 2 2 2 3 3 2" xfId="22074" xr:uid="{00000000-0005-0000-0000-00003B260000}"/>
    <cellStyle name="Input 5 2 2 2 2 3 3 3" xfId="26204" xr:uid="{00000000-0005-0000-0000-00003C260000}"/>
    <cellStyle name="Input 5 2 2 2 2 3 3 4" xfId="27721" xr:uid="{00000000-0005-0000-0000-00003D260000}"/>
    <cellStyle name="Input 5 2 2 2 2 3 4" xfId="16128" xr:uid="{00000000-0005-0000-0000-00003E260000}"/>
    <cellStyle name="Input 5 2 2 2 2 3 5" xfId="23520" xr:uid="{00000000-0005-0000-0000-00003F260000}"/>
    <cellStyle name="Input 5 2 2 2 2 3 6" xfId="23961" xr:uid="{00000000-0005-0000-0000-000040260000}"/>
    <cellStyle name="Input 5 2 2 2 2 4" xfId="7371" xr:uid="{00000000-0005-0000-0000-000041260000}"/>
    <cellStyle name="Input 5 2 2 2 2 4 2" xfId="18268" xr:uid="{00000000-0005-0000-0000-000042260000}"/>
    <cellStyle name="Input 5 2 2 2 2 4 3" xfId="24160" xr:uid="{00000000-0005-0000-0000-000043260000}"/>
    <cellStyle name="Input 5 2 2 2 2 4 4" xfId="24074" xr:uid="{00000000-0005-0000-0000-000044260000}"/>
    <cellStyle name="Input 5 2 2 2 2 5" xfId="10509" xr:uid="{00000000-0005-0000-0000-000045260000}"/>
    <cellStyle name="Input 5 2 2 2 2 5 2" xfId="21406" xr:uid="{00000000-0005-0000-0000-000046260000}"/>
    <cellStyle name="Input 5 2 2 2 2 5 3" xfId="25536" xr:uid="{00000000-0005-0000-0000-000047260000}"/>
    <cellStyle name="Input 5 2 2 2 2 5 4" xfId="27053" xr:uid="{00000000-0005-0000-0000-000048260000}"/>
    <cellStyle name="Input 5 2 2 2 2 6" xfId="13331" xr:uid="{00000000-0005-0000-0000-000049260000}"/>
    <cellStyle name="Input 5 2 2 2 2 7" xfId="22221" xr:uid="{00000000-0005-0000-0000-00004A260000}"/>
    <cellStyle name="Input 5 2 2 2 3" xfId="3587" xr:uid="{00000000-0005-0000-0000-00004B260000}"/>
    <cellStyle name="Input 5 2 2 2 3 2" xfId="8538" xr:uid="{00000000-0005-0000-0000-00004C260000}"/>
    <cellStyle name="Input 5 2 2 2 3 2 2" xfId="19435" xr:uid="{00000000-0005-0000-0000-00004D260000}"/>
    <cellStyle name="Input 5 2 2 2 3 2 3" xfId="24511" xr:uid="{00000000-0005-0000-0000-00004E260000}"/>
    <cellStyle name="Input 5 2 2 2 3 2 4" xfId="26240" xr:uid="{00000000-0005-0000-0000-00004F260000}"/>
    <cellStyle name="Input 5 2 2 2 3 3" xfId="10691" xr:uid="{00000000-0005-0000-0000-000050260000}"/>
    <cellStyle name="Input 5 2 2 2 3 3 2" xfId="21588" xr:uid="{00000000-0005-0000-0000-000051260000}"/>
    <cellStyle name="Input 5 2 2 2 3 3 3" xfId="25718" xr:uid="{00000000-0005-0000-0000-000052260000}"/>
    <cellStyle name="Input 5 2 2 2 3 3 4" xfId="27235" xr:uid="{00000000-0005-0000-0000-000053260000}"/>
    <cellStyle name="Input 5 2 2 2 3 4" xfId="14484" xr:uid="{00000000-0005-0000-0000-000054260000}"/>
    <cellStyle name="Input 5 2 2 2 3 5" xfId="22821" xr:uid="{00000000-0005-0000-0000-000055260000}"/>
    <cellStyle name="Input 5 2 2 2 3 6" xfId="22745" xr:uid="{00000000-0005-0000-0000-000056260000}"/>
    <cellStyle name="Input 5 2 2 2 4" xfId="5072" xr:uid="{00000000-0005-0000-0000-000057260000}"/>
    <cellStyle name="Input 5 2 2 2 4 2" xfId="10023" xr:uid="{00000000-0005-0000-0000-000058260000}"/>
    <cellStyle name="Input 5 2 2 2 4 2 2" xfId="20920" xr:uid="{00000000-0005-0000-0000-000059260000}"/>
    <cellStyle name="Input 5 2 2 2 4 2 3" xfId="25050" xr:uid="{00000000-0005-0000-0000-00005A260000}"/>
    <cellStyle name="Input 5 2 2 2 4 2 4" xfId="26567" xr:uid="{00000000-0005-0000-0000-00005B260000}"/>
    <cellStyle name="Input 5 2 2 2 4 3" xfId="11018" xr:uid="{00000000-0005-0000-0000-00005C260000}"/>
    <cellStyle name="Input 5 2 2 2 4 3 2" xfId="21915" xr:uid="{00000000-0005-0000-0000-00005D260000}"/>
    <cellStyle name="Input 5 2 2 2 4 3 3" xfId="26045" xr:uid="{00000000-0005-0000-0000-00005E260000}"/>
    <cellStyle name="Input 5 2 2 2 4 3 4" xfId="27562" xr:uid="{00000000-0005-0000-0000-00005F260000}"/>
    <cellStyle name="Input 5 2 2 2 4 4" xfId="15969" xr:uid="{00000000-0005-0000-0000-000060260000}"/>
    <cellStyle name="Input 5 2 2 2 4 5" xfId="23361" xr:uid="{00000000-0005-0000-0000-000061260000}"/>
    <cellStyle name="Input 5 2 2 2 4 6" xfId="22317" xr:uid="{00000000-0005-0000-0000-000062260000}"/>
    <cellStyle name="Input 5 2 2 2 5" xfId="6226" xr:uid="{00000000-0005-0000-0000-000063260000}"/>
    <cellStyle name="Input 5 2 2 2 5 2" xfId="17123" xr:uid="{00000000-0005-0000-0000-000064260000}"/>
    <cellStyle name="Input 5 2 2 2 5 3" xfId="23836" xr:uid="{00000000-0005-0000-0000-000065260000}"/>
    <cellStyle name="Input 5 2 2 2 5 4" xfId="24609" xr:uid="{00000000-0005-0000-0000-000066260000}"/>
    <cellStyle name="Input 5 2 2 2 6" xfId="10350" xr:uid="{00000000-0005-0000-0000-000067260000}"/>
    <cellStyle name="Input 5 2 2 2 6 2" xfId="21247" xr:uid="{00000000-0005-0000-0000-000068260000}"/>
    <cellStyle name="Input 5 2 2 2 6 3" xfId="25377" xr:uid="{00000000-0005-0000-0000-000069260000}"/>
    <cellStyle name="Input 5 2 2 2 6 4" xfId="26894" xr:uid="{00000000-0005-0000-0000-00006A260000}"/>
    <cellStyle name="Input 5 2 2 2 7" xfId="12213" xr:uid="{00000000-0005-0000-0000-00006B260000}"/>
    <cellStyle name="Input 5 2 2 2 8" xfId="22442" xr:uid="{00000000-0005-0000-0000-00006C260000}"/>
    <cellStyle name="Input 5 2 2 3" xfId="1413" xr:uid="{00000000-0005-0000-0000-00006D260000}"/>
    <cellStyle name="Input 5 2 2 3 2" xfId="3737" xr:uid="{00000000-0005-0000-0000-00006E260000}"/>
    <cellStyle name="Input 5 2 2 3 2 2" xfId="8688" xr:uid="{00000000-0005-0000-0000-00006F260000}"/>
    <cellStyle name="Input 5 2 2 3 2 2 2" xfId="19585" xr:uid="{00000000-0005-0000-0000-000070260000}"/>
    <cellStyle name="Input 5 2 2 3 2 2 3" xfId="24582" xr:uid="{00000000-0005-0000-0000-000071260000}"/>
    <cellStyle name="Input 5 2 2 3 2 2 4" xfId="26300" xr:uid="{00000000-0005-0000-0000-000072260000}"/>
    <cellStyle name="Input 5 2 2 3 2 3" xfId="10751" xr:uid="{00000000-0005-0000-0000-000073260000}"/>
    <cellStyle name="Input 5 2 2 3 2 3 2" xfId="21648" xr:uid="{00000000-0005-0000-0000-000074260000}"/>
    <cellStyle name="Input 5 2 2 3 2 3 3" xfId="25778" xr:uid="{00000000-0005-0000-0000-000075260000}"/>
    <cellStyle name="Input 5 2 2 3 2 3 4" xfId="27295" xr:uid="{00000000-0005-0000-0000-000076260000}"/>
    <cellStyle name="Input 5 2 2 3 2 4" xfId="14634" xr:uid="{00000000-0005-0000-0000-000077260000}"/>
    <cellStyle name="Input 5 2 2 3 2 5" xfId="22894" xr:uid="{00000000-0005-0000-0000-000078260000}"/>
    <cellStyle name="Input 5 2 2 3 2 6" xfId="22104" xr:uid="{00000000-0005-0000-0000-000079260000}"/>
    <cellStyle name="Input 5 2 2 3 3" xfId="5132" xr:uid="{00000000-0005-0000-0000-00007A260000}"/>
    <cellStyle name="Input 5 2 2 3 3 2" xfId="10083" xr:uid="{00000000-0005-0000-0000-00007B260000}"/>
    <cellStyle name="Input 5 2 2 3 3 2 2" xfId="20980" xr:uid="{00000000-0005-0000-0000-00007C260000}"/>
    <cellStyle name="Input 5 2 2 3 3 2 3" xfId="25110" xr:uid="{00000000-0005-0000-0000-00007D260000}"/>
    <cellStyle name="Input 5 2 2 3 3 2 4" xfId="26627" xr:uid="{00000000-0005-0000-0000-00007E260000}"/>
    <cellStyle name="Input 5 2 2 3 3 3" xfId="11078" xr:uid="{00000000-0005-0000-0000-00007F260000}"/>
    <cellStyle name="Input 5 2 2 3 3 3 2" xfId="21975" xr:uid="{00000000-0005-0000-0000-000080260000}"/>
    <cellStyle name="Input 5 2 2 3 3 3 3" xfId="26105" xr:uid="{00000000-0005-0000-0000-000081260000}"/>
    <cellStyle name="Input 5 2 2 3 3 3 4" xfId="27622" xr:uid="{00000000-0005-0000-0000-000082260000}"/>
    <cellStyle name="Input 5 2 2 3 3 4" xfId="16029" xr:uid="{00000000-0005-0000-0000-000083260000}"/>
    <cellStyle name="Input 5 2 2 3 3 5" xfId="23421" xr:uid="{00000000-0005-0000-0000-000084260000}"/>
    <cellStyle name="Input 5 2 2 3 3 6" xfId="24603" xr:uid="{00000000-0005-0000-0000-000085260000}"/>
    <cellStyle name="Input 5 2 2 3 4" xfId="6376" xr:uid="{00000000-0005-0000-0000-000086260000}"/>
    <cellStyle name="Input 5 2 2 3 4 2" xfId="17273" xr:uid="{00000000-0005-0000-0000-000087260000}"/>
    <cellStyle name="Input 5 2 2 3 4 3" xfId="23907" xr:uid="{00000000-0005-0000-0000-000088260000}"/>
    <cellStyle name="Input 5 2 2 3 4 4" xfId="22397" xr:uid="{00000000-0005-0000-0000-000089260000}"/>
    <cellStyle name="Input 5 2 2 3 5" xfId="10410" xr:uid="{00000000-0005-0000-0000-00008A260000}"/>
    <cellStyle name="Input 5 2 2 3 5 2" xfId="21307" xr:uid="{00000000-0005-0000-0000-00008B260000}"/>
    <cellStyle name="Input 5 2 2 3 5 3" xfId="25437" xr:uid="{00000000-0005-0000-0000-00008C260000}"/>
    <cellStyle name="Input 5 2 2 3 5 4" xfId="26954" xr:uid="{00000000-0005-0000-0000-00008D260000}"/>
    <cellStyle name="Input 5 2 2 3 6" xfId="12353" xr:uid="{00000000-0005-0000-0000-00008E260000}"/>
    <cellStyle name="Input 5 2 2 3 7" xfId="24376" xr:uid="{00000000-0005-0000-0000-00008F260000}"/>
    <cellStyle name="Input 5 2 2 4" xfId="3055" xr:uid="{00000000-0005-0000-0000-000090260000}"/>
    <cellStyle name="Input 5 2 2 4 2" xfId="8006" xr:uid="{00000000-0005-0000-0000-000091260000}"/>
    <cellStyle name="Input 5 2 2 4 2 2" xfId="18903" xr:uid="{00000000-0005-0000-0000-000092260000}"/>
    <cellStyle name="Input 5 2 2 4 2 3" xfId="24355" xr:uid="{00000000-0005-0000-0000-000093260000}"/>
    <cellStyle name="Input 5 2 2 4 2 4" xfId="24660" xr:uid="{00000000-0005-0000-0000-000094260000}"/>
    <cellStyle name="Input 5 2 2 4 3" xfId="10611" xr:uid="{00000000-0005-0000-0000-000095260000}"/>
    <cellStyle name="Input 5 2 2 4 3 2" xfId="21508" xr:uid="{00000000-0005-0000-0000-000096260000}"/>
    <cellStyle name="Input 5 2 2 4 3 3" xfId="25638" xr:uid="{00000000-0005-0000-0000-000097260000}"/>
    <cellStyle name="Input 5 2 2 4 3 4" xfId="27155" xr:uid="{00000000-0005-0000-0000-000098260000}"/>
    <cellStyle name="Input 5 2 2 4 4" xfId="13952" xr:uid="{00000000-0005-0000-0000-000099260000}"/>
    <cellStyle name="Input 5 2 2 4 5" xfId="22659" xr:uid="{00000000-0005-0000-0000-00009A260000}"/>
    <cellStyle name="Input 5 2 2 4 6" xfId="22983" xr:uid="{00000000-0005-0000-0000-00009B260000}"/>
    <cellStyle name="Input 5 2 2 5" xfId="4992" xr:uid="{00000000-0005-0000-0000-00009C260000}"/>
    <cellStyle name="Input 5 2 2 5 2" xfId="9943" xr:uid="{00000000-0005-0000-0000-00009D260000}"/>
    <cellStyle name="Input 5 2 2 5 2 2" xfId="20840" xr:uid="{00000000-0005-0000-0000-00009E260000}"/>
    <cellStyle name="Input 5 2 2 5 2 3" xfId="24970" xr:uid="{00000000-0005-0000-0000-00009F260000}"/>
    <cellStyle name="Input 5 2 2 5 2 4" xfId="26487" xr:uid="{00000000-0005-0000-0000-0000A0260000}"/>
    <cellStyle name="Input 5 2 2 5 3" xfId="10938" xr:uid="{00000000-0005-0000-0000-0000A1260000}"/>
    <cellStyle name="Input 5 2 2 5 3 2" xfId="21835" xr:uid="{00000000-0005-0000-0000-0000A2260000}"/>
    <cellStyle name="Input 5 2 2 5 3 3" xfId="25965" xr:uid="{00000000-0005-0000-0000-0000A3260000}"/>
    <cellStyle name="Input 5 2 2 5 3 4" xfId="27482" xr:uid="{00000000-0005-0000-0000-0000A4260000}"/>
    <cellStyle name="Input 5 2 2 5 4" xfId="15889" xr:uid="{00000000-0005-0000-0000-0000A5260000}"/>
    <cellStyle name="Input 5 2 2 5 5" xfId="23281" xr:uid="{00000000-0005-0000-0000-0000A6260000}"/>
    <cellStyle name="Input 5 2 2 5 6" xfId="24830" xr:uid="{00000000-0005-0000-0000-0000A7260000}"/>
    <cellStyle name="Input 5 2 2 6" xfId="5694" xr:uid="{00000000-0005-0000-0000-0000A8260000}"/>
    <cellStyle name="Input 5 2 2 6 2" xfId="16591" xr:uid="{00000000-0005-0000-0000-0000A9260000}"/>
    <cellStyle name="Input 5 2 2 6 3" xfId="23679" xr:uid="{00000000-0005-0000-0000-0000AA260000}"/>
    <cellStyle name="Input 5 2 2 6 4" xfId="22902" xr:uid="{00000000-0005-0000-0000-0000AB260000}"/>
    <cellStyle name="Input 5 2 2 7" xfId="10270" xr:uid="{00000000-0005-0000-0000-0000AC260000}"/>
    <cellStyle name="Input 5 2 2 7 2" xfId="21167" xr:uid="{00000000-0005-0000-0000-0000AD260000}"/>
    <cellStyle name="Input 5 2 2 7 3" xfId="25297" xr:uid="{00000000-0005-0000-0000-0000AE260000}"/>
    <cellStyle name="Input 5 2 2 7 4" xfId="26814" xr:uid="{00000000-0005-0000-0000-0000AF260000}"/>
    <cellStyle name="Input 5 2 2 8" xfId="11692" xr:uid="{00000000-0005-0000-0000-0000B0260000}"/>
    <cellStyle name="Input 5 2 2 9" xfId="22140" xr:uid="{00000000-0005-0000-0000-0000B1260000}"/>
    <cellStyle name="Input 5 2 3" xfId="998" xr:uid="{00000000-0005-0000-0000-0000B2260000}"/>
    <cellStyle name="Input 5 2 3 2" xfId="2155" xr:uid="{00000000-0005-0000-0000-0000B3260000}"/>
    <cellStyle name="Input 5 2 3 2 2" xfId="4467" xr:uid="{00000000-0005-0000-0000-0000B4260000}"/>
    <cellStyle name="Input 5 2 3 2 2 2" xfId="9418" xr:uid="{00000000-0005-0000-0000-0000B5260000}"/>
    <cellStyle name="Input 5 2 3 2 2 2 2" xfId="20315" xr:uid="{00000000-0005-0000-0000-0000B6260000}"/>
    <cellStyle name="Input 5 2 3 2 2 2 3" xfId="24761" xr:uid="{00000000-0005-0000-0000-0000B7260000}"/>
    <cellStyle name="Input 5 2 3 2 2 2 4" xfId="26360" xr:uid="{00000000-0005-0000-0000-0000B8260000}"/>
    <cellStyle name="Input 5 2 3 2 2 3" xfId="10811" xr:uid="{00000000-0005-0000-0000-0000B9260000}"/>
    <cellStyle name="Input 5 2 3 2 2 3 2" xfId="21708" xr:uid="{00000000-0005-0000-0000-0000BA260000}"/>
    <cellStyle name="Input 5 2 3 2 2 3 3" xfId="25838" xr:uid="{00000000-0005-0000-0000-0000BB260000}"/>
    <cellStyle name="Input 5 2 3 2 2 3 4" xfId="27355" xr:uid="{00000000-0005-0000-0000-0000BC260000}"/>
    <cellStyle name="Input 5 2 3 2 2 4" xfId="15364" xr:uid="{00000000-0005-0000-0000-0000BD260000}"/>
    <cellStyle name="Input 5 2 3 2 2 5" xfId="23072" xr:uid="{00000000-0005-0000-0000-0000BE260000}"/>
    <cellStyle name="Input 5 2 3 2 2 6" xfId="23562" xr:uid="{00000000-0005-0000-0000-0000BF260000}"/>
    <cellStyle name="Input 5 2 3 2 3" xfId="5191" xr:uid="{00000000-0005-0000-0000-0000C0260000}"/>
    <cellStyle name="Input 5 2 3 2 3 2" xfId="10142" xr:uid="{00000000-0005-0000-0000-0000C1260000}"/>
    <cellStyle name="Input 5 2 3 2 3 2 2" xfId="21039" xr:uid="{00000000-0005-0000-0000-0000C2260000}"/>
    <cellStyle name="Input 5 2 3 2 3 2 3" xfId="25169" xr:uid="{00000000-0005-0000-0000-0000C3260000}"/>
    <cellStyle name="Input 5 2 3 2 3 2 4" xfId="26686" xr:uid="{00000000-0005-0000-0000-0000C4260000}"/>
    <cellStyle name="Input 5 2 3 2 3 3" xfId="11137" xr:uid="{00000000-0005-0000-0000-0000C5260000}"/>
    <cellStyle name="Input 5 2 3 2 3 3 2" xfId="22034" xr:uid="{00000000-0005-0000-0000-0000C6260000}"/>
    <cellStyle name="Input 5 2 3 2 3 3 3" xfId="26164" xr:uid="{00000000-0005-0000-0000-0000C7260000}"/>
    <cellStyle name="Input 5 2 3 2 3 3 4" xfId="27681" xr:uid="{00000000-0005-0000-0000-0000C8260000}"/>
    <cellStyle name="Input 5 2 3 2 3 4" xfId="16088" xr:uid="{00000000-0005-0000-0000-0000C9260000}"/>
    <cellStyle name="Input 5 2 3 2 3 5" xfId="23480" xr:uid="{00000000-0005-0000-0000-0000CA260000}"/>
    <cellStyle name="Input 5 2 3 2 3 6" xfId="22417" xr:uid="{00000000-0005-0000-0000-0000CB260000}"/>
    <cellStyle name="Input 5 2 3 2 4" xfId="7106" xr:uid="{00000000-0005-0000-0000-0000CC260000}"/>
    <cellStyle name="Input 5 2 3 2 4 2" xfId="18003" xr:uid="{00000000-0005-0000-0000-0000CD260000}"/>
    <cellStyle name="Input 5 2 3 2 4 3" xfId="24084" xr:uid="{00000000-0005-0000-0000-0000CE260000}"/>
    <cellStyle name="Input 5 2 3 2 4 4" xfId="24278" xr:uid="{00000000-0005-0000-0000-0000CF260000}"/>
    <cellStyle name="Input 5 2 3 2 5" xfId="10469" xr:uid="{00000000-0005-0000-0000-0000D0260000}"/>
    <cellStyle name="Input 5 2 3 2 5 2" xfId="21366" xr:uid="{00000000-0005-0000-0000-0000D1260000}"/>
    <cellStyle name="Input 5 2 3 2 5 3" xfId="25496" xr:uid="{00000000-0005-0000-0000-0000D2260000}"/>
    <cellStyle name="Input 5 2 3 2 5 4" xfId="27013" xr:uid="{00000000-0005-0000-0000-0000D3260000}"/>
    <cellStyle name="Input 5 2 3 2 6" xfId="13072" xr:uid="{00000000-0005-0000-0000-0000D4260000}"/>
    <cellStyle name="Input 5 2 3 2 7" xfId="22353" xr:uid="{00000000-0005-0000-0000-0000D5260000}"/>
    <cellStyle name="Input 5 2 3 3" xfId="3322" xr:uid="{00000000-0005-0000-0000-0000D6260000}"/>
    <cellStyle name="Input 5 2 3 3 2" xfId="8273" xr:uid="{00000000-0005-0000-0000-0000D7260000}"/>
    <cellStyle name="Input 5 2 3 3 2 2" xfId="19170" xr:uid="{00000000-0005-0000-0000-0000D8260000}"/>
    <cellStyle name="Input 5 2 3 3 2 3" xfId="24435" xr:uid="{00000000-0005-0000-0000-0000D9260000}"/>
    <cellStyle name="Input 5 2 3 3 2 4" xfId="22233" xr:uid="{00000000-0005-0000-0000-0000DA260000}"/>
    <cellStyle name="Input 5 2 3 3 3" xfId="10651" xr:uid="{00000000-0005-0000-0000-0000DB260000}"/>
    <cellStyle name="Input 5 2 3 3 3 2" xfId="21548" xr:uid="{00000000-0005-0000-0000-0000DC260000}"/>
    <cellStyle name="Input 5 2 3 3 3 3" xfId="25678" xr:uid="{00000000-0005-0000-0000-0000DD260000}"/>
    <cellStyle name="Input 5 2 3 3 3 4" xfId="27195" xr:uid="{00000000-0005-0000-0000-0000DE260000}"/>
    <cellStyle name="Input 5 2 3 3 4" xfId="14219" xr:uid="{00000000-0005-0000-0000-0000DF260000}"/>
    <cellStyle name="Input 5 2 3 3 5" xfId="22742" xr:uid="{00000000-0005-0000-0000-0000E0260000}"/>
    <cellStyle name="Input 5 2 3 3 6" xfId="23611" xr:uid="{00000000-0005-0000-0000-0000E1260000}"/>
    <cellStyle name="Input 5 2 3 4" xfId="5032" xr:uid="{00000000-0005-0000-0000-0000E2260000}"/>
    <cellStyle name="Input 5 2 3 4 2" xfId="9983" xr:uid="{00000000-0005-0000-0000-0000E3260000}"/>
    <cellStyle name="Input 5 2 3 4 2 2" xfId="20880" xr:uid="{00000000-0005-0000-0000-0000E4260000}"/>
    <cellStyle name="Input 5 2 3 4 2 3" xfId="25010" xr:uid="{00000000-0005-0000-0000-0000E5260000}"/>
    <cellStyle name="Input 5 2 3 4 2 4" xfId="26527" xr:uid="{00000000-0005-0000-0000-0000E6260000}"/>
    <cellStyle name="Input 5 2 3 4 3" xfId="10978" xr:uid="{00000000-0005-0000-0000-0000E7260000}"/>
    <cellStyle name="Input 5 2 3 4 3 2" xfId="21875" xr:uid="{00000000-0005-0000-0000-0000E8260000}"/>
    <cellStyle name="Input 5 2 3 4 3 3" xfId="26005" xr:uid="{00000000-0005-0000-0000-0000E9260000}"/>
    <cellStyle name="Input 5 2 3 4 3 4" xfId="27522" xr:uid="{00000000-0005-0000-0000-0000EA260000}"/>
    <cellStyle name="Input 5 2 3 4 4" xfId="15929" xr:uid="{00000000-0005-0000-0000-0000EB260000}"/>
    <cellStyle name="Input 5 2 3 4 5" xfId="23321" xr:uid="{00000000-0005-0000-0000-0000EC260000}"/>
    <cellStyle name="Input 5 2 3 4 6" xfId="23976" xr:uid="{00000000-0005-0000-0000-0000ED260000}"/>
    <cellStyle name="Input 5 2 3 5" xfId="5961" xr:uid="{00000000-0005-0000-0000-0000EE260000}"/>
    <cellStyle name="Input 5 2 3 5 2" xfId="16858" xr:uid="{00000000-0005-0000-0000-0000EF260000}"/>
    <cellStyle name="Input 5 2 3 5 3" xfId="23758" xr:uid="{00000000-0005-0000-0000-0000F0260000}"/>
    <cellStyle name="Input 5 2 3 5 4" xfId="24386" xr:uid="{00000000-0005-0000-0000-0000F1260000}"/>
    <cellStyle name="Input 5 2 3 6" xfId="10310" xr:uid="{00000000-0005-0000-0000-0000F2260000}"/>
    <cellStyle name="Input 5 2 3 6 2" xfId="21207" xr:uid="{00000000-0005-0000-0000-0000F3260000}"/>
    <cellStyle name="Input 5 2 3 6 3" xfId="25337" xr:uid="{00000000-0005-0000-0000-0000F4260000}"/>
    <cellStyle name="Input 5 2 3 6 4" xfId="26854" xr:uid="{00000000-0005-0000-0000-0000F5260000}"/>
    <cellStyle name="Input 5 2 3 7" xfId="11954" xr:uid="{00000000-0005-0000-0000-0000F6260000}"/>
    <cellStyle name="Input 5 2 3 8" xfId="11221" xr:uid="{00000000-0005-0000-0000-0000F7260000}"/>
    <cellStyle name="Input 5 2 4" xfId="1373" xr:uid="{00000000-0005-0000-0000-0000F8260000}"/>
    <cellStyle name="Input 5 2 4 2" xfId="3697" xr:uid="{00000000-0005-0000-0000-0000F9260000}"/>
    <cellStyle name="Input 5 2 4 2 2" xfId="8648" xr:uid="{00000000-0005-0000-0000-0000FA260000}"/>
    <cellStyle name="Input 5 2 4 2 2 2" xfId="19545" xr:uid="{00000000-0005-0000-0000-0000FB260000}"/>
    <cellStyle name="Input 5 2 4 2 2 3" xfId="24542" xr:uid="{00000000-0005-0000-0000-0000FC260000}"/>
    <cellStyle name="Input 5 2 4 2 2 4" xfId="26260" xr:uid="{00000000-0005-0000-0000-0000FD260000}"/>
    <cellStyle name="Input 5 2 4 2 3" xfId="10711" xr:uid="{00000000-0005-0000-0000-0000FE260000}"/>
    <cellStyle name="Input 5 2 4 2 3 2" xfId="21608" xr:uid="{00000000-0005-0000-0000-0000FF260000}"/>
    <cellStyle name="Input 5 2 4 2 3 3" xfId="25738" xr:uid="{00000000-0005-0000-0000-000000270000}"/>
    <cellStyle name="Input 5 2 4 2 3 4" xfId="27255" xr:uid="{00000000-0005-0000-0000-000001270000}"/>
    <cellStyle name="Input 5 2 4 2 4" xfId="14594" xr:uid="{00000000-0005-0000-0000-000002270000}"/>
    <cellStyle name="Input 5 2 4 2 5" xfId="22854" xr:uid="{00000000-0005-0000-0000-000003270000}"/>
    <cellStyle name="Input 5 2 4 2 6" xfId="23792" xr:uid="{00000000-0005-0000-0000-000004270000}"/>
    <cellStyle name="Input 5 2 4 3" xfId="5092" xr:uid="{00000000-0005-0000-0000-000005270000}"/>
    <cellStyle name="Input 5 2 4 3 2" xfId="10043" xr:uid="{00000000-0005-0000-0000-000006270000}"/>
    <cellStyle name="Input 5 2 4 3 2 2" xfId="20940" xr:uid="{00000000-0005-0000-0000-000007270000}"/>
    <cellStyle name="Input 5 2 4 3 2 3" xfId="25070" xr:uid="{00000000-0005-0000-0000-000008270000}"/>
    <cellStyle name="Input 5 2 4 3 2 4" xfId="26587" xr:uid="{00000000-0005-0000-0000-000009270000}"/>
    <cellStyle name="Input 5 2 4 3 3" xfId="11038" xr:uid="{00000000-0005-0000-0000-00000A270000}"/>
    <cellStyle name="Input 5 2 4 3 3 2" xfId="21935" xr:uid="{00000000-0005-0000-0000-00000B270000}"/>
    <cellStyle name="Input 5 2 4 3 3 3" xfId="26065" xr:uid="{00000000-0005-0000-0000-00000C270000}"/>
    <cellStyle name="Input 5 2 4 3 3 4" xfId="27582" xr:uid="{00000000-0005-0000-0000-00000D270000}"/>
    <cellStyle name="Input 5 2 4 3 4" xfId="15989" xr:uid="{00000000-0005-0000-0000-00000E270000}"/>
    <cellStyle name="Input 5 2 4 3 5" xfId="23381" xr:uid="{00000000-0005-0000-0000-00000F270000}"/>
    <cellStyle name="Input 5 2 4 3 6" xfId="24815" xr:uid="{00000000-0005-0000-0000-000010270000}"/>
    <cellStyle name="Input 5 2 4 4" xfId="6336" xr:uid="{00000000-0005-0000-0000-000011270000}"/>
    <cellStyle name="Input 5 2 4 4 2" xfId="17233" xr:uid="{00000000-0005-0000-0000-000012270000}"/>
    <cellStyle name="Input 5 2 4 4 3" xfId="23867" xr:uid="{00000000-0005-0000-0000-000013270000}"/>
    <cellStyle name="Input 5 2 4 4 4" xfId="23197" xr:uid="{00000000-0005-0000-0000-000014270000}"/>
    <cellStyle name="Input 5 2 4 5" xfId="10370" xr:uid="{00000000-0005-0000-0000-000015270000}"/>
    <cellStyle name="Input 5 2 4 5 2" xfId="21267" xr:uid="{00000000-0005-0000-0000-000016270000}"/>
    <cellStyle name="Input 5 2 4 5 3" xfId="25397" xr:uid="{00000000-0005-0000-0000-000017270000}"/>
    <cellStyle name="Input 5 2 4 5 4" xfId="26914" xr:uid="{00000000-0005-0000-0000-000018270000}"/>
    <cellStyle name="Input 5 2 4 6" xfId="12321" xr:uid="{00000000-0005-0000-0000-000019270000}"/>
    <cellStyle name="Input 5 2 4 7" xfId="24591" xr:uid="{00000000-0005-0000-0000-00001A270000}"/>
    <cellStyle name="Input 5 2 5" xfId="2790" xr:uid="{00000000-0005-0000-0000-00001B270000}"/>
    <cellStyle name="Input 5 2 5 2" xfId="7741" xr:uid="{00000000-0005-0000-0000-00001C270000}"/>
    <cellStyle name="Input 5 2 5 2 2" xfId="18638" xr:uid="{00000000-0005-0000-0000-00001D270000}"/>
    <cellStyle name="Input 5 2 5 2 3" xfId="24288" xr:uid="{00000000-0005-0000-0000-00001E270000}"/>
    <cellStyle name="Input 5 2 5 2 4" xfId="24035" xr:uid="{00000000-0005-0000-0000-00001F270000}"/>
    <cellStyle name="Input 5 2 5 3" xfId="10571" xr:uid="{00000000-0005-0000-0000-000020270000}"/>
    <cellStyle name="Input 5 2 5 3 2" xfId="21468" xr:uid="{00000000-0005-0000-0000-000021270000}"/>
    <cellStyle name="Input 5 2 5 3 3" xfId="25598" xr:uid="{00000000-0005-0000-0000-000022270000}"/>
    <cellStyle name="Input 5 2 5 3 4" xfId="27115" xr:uid="{00000000-0005-0000-0000-000023270000}"/>
    <cellStyle name="Input 5 2 5 4" xfId="13687" xr:uid="{00000000-0005-0000-0000-000024270000}"/>
    <cellStyle name="Input 5 2 5 5" xfId="22589" xr:uid="{00000000-0005-0000-0000-000025270000}"/>
    <cellStyle name="Input 5 2 5 6" xfId="24723" xr:uid="{00000000-0005-0000-0000-000026270000}"/>
    <cellStyle name="Input 5 2 6" xfId="4952" xr:uid="{00000000-0005-0000-0000-000027270000}"/>
    <cellStyle name="Input 5 2 6 2" xfId="9903" xr:uid="{00000000-0005-0000-0000-000028270000}"/>
    <cellStyle name="Input 5 2 6 2 2" xfId="20800" xr:uid="{00000000-0005-0000-0000-000029270000}"/>
    <cellStyle name="Input 5 2 6 2 3" xfId="24930" xr:uid="{00000000-0005-0000-0000-00002A270000}"/>
    <cellStyle name="Input 5 2 6 2 4" xfId="26447" xr:uid="{00000000-0005-0000-0000-00002B270000}"/>
    <cellStyle name="Input 5 2 6 3" xfId="10898" xr:uid="{00000000-0005-0000-0000-00002C270000}"/>
    <cellStyle name="Input 5 2 6 3 2" xfId="21795" xr:uid="{00000000-0005-0000-0000-00002D270000}"/>
    <cellStyle name="Input 5 2 6 3 3" xfId="25925" xr:uid="{00000000-0005-0000-0000-00002E270000}"/>
    <cellStyle name="Input 5 2 6 3 4" xfId="27442" xr:uid="{00000000-0005-0000-0000-00002F270000}"/>
    <cellStyle name="Input 5 2 6 4" xfId="15849" xr:uid="{00000000-0005-0000-0000-000030270000}"/>
    <cellStyle name="Input 5 2 6 5" xfId="23241" xr:uid="{00000000-0005-0000-0000-000031270000}"/>
    <cellStyle name="Input 5 2 6 6" xfId="22620" xr:uid="{00000000-0005-0000-0000-000032270000}"/>
    <cellStyle name="Input 5 2 7" xfId="5429" xr:uid="{00000000-0005-0000-0000-000033270000}"/>
    <cellStyle name="Input 5 2 7 2" xfId="16326" xr:uid="{00000000-0005-0000-0000-000034270000}"/>
    <cellStyle name="Input 5 2 7 3" xfId="23607" xr:uid="{00000000-0005-0000-0000-000035270000}"/>
    <cellStyle name="Input 5 2 7 4" xfId="22427" xr:uid="{00000000-0005-0000-0000-000036270000}"/>
    <cellStyle name="Input 5 2 8" xfId="10230" xr:uid="{00000000-0005-0000-0000-000037270000}"/>
    <cellStyle name="Input 5 2 8 2" xfId="21127" xr:uid="{00000000-0005-0000-0000-000038270000}"/>
    <cellStyle name="Input 5 2 8 3" xfId="25257" xr:uid="{00000000-0005-0000-0000-000039270000}"/>
    <cellStyle name="Input 5 2 8 4" xfId="26774" xr:uid="{00000000-0005-0000-0000-00003A270000}"/>
    <cellStyle name="Input 5 2 9" xfId="11431" xr:uid="{00000000-0005-0000-0000-00003B270000}"/>
    <cellStyle name="Input 5 3" xfId="588" xr:uid="{00000000-0005-0000-0000-00003C270000}"/>
    <cellStyle name="Input 5 3 2" xfId="1120" xr:uid="{00000000-0005-0000-0000-00003D270000}"/>
    <cellStyle name="Input 5 3 2 2" xfId="2277" xr:uid="{00000000-0005-0000-0000-00003E270000}"/>
    <cellStyle name="Input 5 3 2 2 2" xfId="4589" xr:uid="{00000000-0005-0000-0000-00003F270000}"/>
    <cellStyle name="Input 5 3 2 2 2 2" xfId="9540" xr:uid="{00000000-0005-0000-0000-000040270000}"/>
    <cellStyle name="Input 5 3 2 2 2 2 2" xfId="20437" xr:uid="{00000000-0005-0000-0000-000041270000}"/>
    <cellStyle name="Input 5 3 2 2 2 2 3" xfId="24791" xr:uid="{00000000-0005-0000-0000-000042270000}"/>
    <cellStyle name="Input 5 3 2 2 2 2 4" xfId="26372" xr:uid="{00000000-0005-0000-0000-000043270000}"/>
    <cellStyle name="Input 5 3 2 2 2 3" xfId="10823" xr:uid="{00000000-0005-0000-0000-000044270000}"/>
    <cellStyle name="Input 5 3 2 2 2 3 2" xfId="21720" xr:uid="{00000000-0005-0000-0000-000045270000}"/>
    <cellStyle name="Input 5 3 2 2 2 3 3" xfId="25850" xr:uid="{00000000-0005-0000-0000-000046270000}"/>
    <cellStyle name="Input 5 3 2 2 2 3 4" xfId="27367" xr:uid="{00000000-0005-0000-0000-000047270000}"/>
    <cellStyle name="Input 5 3 2 2 2 4" xfId="15486" xr:uid="{00000000-0005-0000-0000-000048270000}"/>
    <cellStyle name="Input 5 3 2 2 2 5" xfId="23102" xr:uid="{00000000-0005-0000-0000-000049270000}"/>
    <cellStyle name="Input 5 3 2 2 2 6" xfId="22467" xr:uid="{00000000-0005-0000-0000-00004A270000}"/>
    <cellStyle name="Input 5 3 2 2 3" xfId="5203" xr:uid="{00000000-0005-0000-0000-00004B270000}"/>
    <cellStyle name="Input 5 3 2 2 3 2" xfId="10154" xr:uid="{00000000-0005-0000-0000-00004C270000}"/>
    <cellStyle name="Input 5 3 2 2 3 2 2" xfId="21051" xr:uid="{00000000-0005-0000-0000-00004D270000}"/>
    <cellStyle name="Input 5 3 2 2 3 2 3" xfId="25181" xr:uid="{00000000-0005-0000-0000-00004E270000}"/>
    <cellStyle name="Input 5 3 2 2 3 2 4" xfId="26698" xr:uid="{00000000-0005-0000-0000-00004F270000}"/>
    <cellStyle name="Input 5 3 2 2 3 3" xfId="11149" xr:uid="{00000000-0005-0000-0000-000050270000}"/>
    <cellStyle name="Input 5 3 2 2 3 3 2" xfId="22046" xr:uid="{00000000-0005-0000-0000-000051270000}"/>
    <cellStyle name="Input 5 3 2 2 3 3 3" xfId="26176" xr:uid="{00000000-0005-0000-0000-000052270000}"/>
    <cellStyle name="Input 5 3 2 2 3 3 4" xfId="27693" xr:uid="{00000000-0005-0000-0000-000053270000}"/>
    <cellStyle name="Input 5 3 2 2 3 4" xfId="16100" xr:uid="{00000000-0005-0000-0000-000054270000}"/>
    <cellStyle name="Input 5 3 2 2 3 5" xfId="23492" xr:uid="{00000000-0005-0000-0000-000055270000}"/>
    <cellStyle name="Input 5 3 2 2 3 6" xfId="24180" xr:uid="{00000000-0005-0000-0000-000056270000}"/>
    <cellStyle name="Input 5 3 2 2 4" xfId="7228" xr:uid="{00000000-0005-0000-0000-000057270000}"/>
    <cellStyle name="Input 5 3 2 2 4 2" xfId="18125" xr:uid="{00000000-0005-0000-0000-000058270000}"/>
    <cellStyle name="Input 5 3 2 2 4 3" xfId="24115" xr:uid="{00000000-0005-0000-0000-000059270000}"/>
    <cellStyle name="Input 5 3 2 2 4 4" xfId="24785" xr:uid="{00000000-0005-0000-0000-00005A270000}"/>
    <cellStyle name="Input 5 3 2 2 5" xfId="10481" xr:uid="{00000000-0005-0000-0000-00005B270000}"/>
    <cellStyle name="Input 5 3 2 2 5 2" xfId="21378" xr:uid="{00000000-0005-0000-0000-00005C270000}"/>
    <cellStyle name="Input 5 3 2 2 5 3" xfId="25508" xr:uid="{00000000-0005-0000-0000-00005D270000}"/>
    <cellStyle name="Input 5 3 2 2 5 4" xfId="27025" xr:uid="{00000000-0005-0000-0000-00005E270000}"/>
    <cellStyle name="Input 5 3 2 2 6" xfId="13192" xr:uid="{00000000-0005-0000-0000-00005F270000}"/>
    <cellStyle name="Input 5 3 2 2 7" xfId="22179" xr:uid="{00000000-0005-0000-0000-000060270000}"/>
    <cellStyle name="Input 5 3 2 3" xfId="3444" xr:uid="{00000000-0005-0000-0000-000061270000}"/>
    <cellStyle name="Input 5 3 2 3 2" xfId="8395" xr:uid="{00000000-0005-0000-0000-000062270000}"/>
    <cellStyle name="Input 5 3 2 3 2 2" xfId="19292" xr:uid="{00000000-0005-0000-0000-000063270000}"/>
    <cellStyle name="Input 5 3 2 3 2 3" xfId="24466" xr:uid="{00000000-0005-0000-0000-000064270000}"/>
    <cellStyle name="Input 5 3 2 3 2 4" xfId="12305" xr:uid="{00000000-0005-0000-0000-000065270000}"/>
    <cellStyle name="Input 5 3 2 3 3" xfId="10663" xr:uid="{00000000-0005-0000-0000-000066270000}"/>
    <cellStyle name="Input 5 3 2 3 3 2" xfId="21560" xr:uid="{00000000-0005-0000-0000-000067270000}"/>
    <cellStyle name="Input 5 3 2 3 3 3" xfId="25690" xr:uid="{00000000-0005-0000-0000-000068270000}"/>
    <cellStyle name="Input 5 3 2 3 3 4" xfId="27207" xr:uid="{00000000-0005-0000-0000-000069270000}"/>
    <cellStyle name="Input 5 3 2 3 4" xfId="14341" xr:uid="{00000000-0005-0000-0000-00006A270000}"/>
    <cellStyle name="Input 5 3 2 3 5" xfId="22776" xr:uid="{00000000-0005-0000-0000-00006B270000}"/>
    <cellStyle name="Input 5 3 2 3 6" xfId="24119" xr:uid="{00000000-0005-0000-0000-00006C270000}"/>
    <cellStyle name="Input 5 3 2 4" xfId="5044" xr:uid="{00000000-0005-0000-0000-00006D270000}"/>
    <cellStyle name="Input 5 3 2 4 2" xfId="9995" xr:uid="{00000000-0005-0000-0000-00006E270000}"/>
    <cellStyle name="Input 5 3 2 4 2 2" xfId="20892" xr:uid="{00000000-0005-0000-0000-00006F270000}"/>
    <cellStyle name="Input 5 3 2 4 2 3" xfId="25022" xr:uid="{00000000-0005-0000-0000-000070270000}"/>
    <cellStyle name="Input 5 3 2 4 2 4" xfId="26539" xr:uid="{00000000-0005-0000-0000-000071270000}"/>
    <cellStyle name="Input 5 3 2 4 3" xfId="10990" xr:uid="{00000000-0005-0000-0000-000072270000}"/>
    <cellStyle name="Input 5 3 2 4 3 2" xfId="21887" xr:uid="{00000000-0005-0000-0000-000073270000}"/>
    <cellStyle name="Input 5 3 2 4 3 3" xfId="26017" xr:uid="{00000000-0005-0000-0000-000074270000}"/>
    <cellStyle name="Input 5 3 2 4 3 4" xfId="27534" xr:uid="{00000000-0005-0000-0000-000075270000}"/>
    <cellStyle name="Input 5 3 2 4 4" xfId="15941" xr:uid="{00000000-0005-0000-0000-000076270000}"/>
    <cellStyle name="Input 5 3 2 4 5" xfId="23333" xr:uid="{00000000-0005-0000-0000-000077270000}"/>
    <cellStyle name="Input 5 3 2 4 6" xfId="23688" xr:uid="{00000000-0005-0000-0000-000078270000}"/>
    <cellStyle name="Input 5 3 2 5" xfId="6083" xr:uid="{00000000-0005-0000-0000-000079270000}"/>
    <cellStyle name="Input 5 3 2 5 2" xfId="16980" xr:uid="{00000000-0005-0000-0000-00007A270000}"/>
    <cellStyle name="Input 5 3 2 5 3" xfId="23789" xr:uid="{00000000-0005-0000-0000-00007B270000}"/>
    <cellStyle name="Input 5 3 2 5 4" xfId="12367" xr:uid="{00000000-0005-0000-0000-00007C270000}"/>
    <cellStyle name="Input 5 3 2 6" xfId="10322" xr:uid="{00000000-0005-0000-0000-00007D270000}"/>
    <cellStyle name="Input 5 3 2 6 2" xfId="21219" xr:uid="{00000000-0005-0000-0000-00007E270000}"/>
    <cellStyle name="Input 5 3 2 6 3" xfId="25349" xr:uid="{00000000-0005-0000-0000-00007F270000}"/>
    <cellStyle name="Input 5 3 2 6 4" xfId="26866" xr:uid="{00000000-0005-0000-0000-000080270000}"/>
    <cellStyle name="Input 5 3 2 7" xfId="12074" xr:uid="{00000000-0005-0000-0000-000081270000}"/>
    <cellStyle name="Input 5 3 2 8" xfId="24892" xr:uid="{00000000-0005-0000-0000-000082270000}"/>
    <cellStyle name="Input 5 3 3" xfId="1385" xr:uid="{00000000-0005-0000-0000-000083270000}"/>
    <cellStyle name="Input 5 3 3 2" xfId="3709" xr:uid="{00000000-0005-0000-0000-000084270000}"/>
    <cellStyle name="Input 5 3 3 2 2" xfId="8660" xr:uid="{00000000-0005-0000-0000-000085270000}"/>
    <cellStyle name="Input 5 3 3 2 2 2" xfId="19557" xr:uid="{00000000-0005-0000-0000-000086270000}"/>
    <cellStyle name="Input 5 3 3 2 2 3" xfId="24554" xr:uid="{00000000-0005-0000-0000-000087270000}"/>
    <cellStyle name="Input 5 3 3 2 2 4" xfId="26272" xr:uid="{00000000-0005-0000-0000-000088270000}"/>
    <cellStyle name="Input 5 3 3 2 3" xfId="10723" xr:uid="{00000000-0005-0000-0000-000089270000}"/>
    <cellStyle name="Input 5 3 3 2 3 2" xfId="21620" xr:uid="{00000000-0005-0000-0000-00008A270000}"/>
    <cellStyle name="Input 5 3 3 2 3 3" xfId="25750" xr:uid="{00000000-0005-0000-0000-00008B270000}"/>
    <cellStyle name="Input 5 3 3 2 3 4" xfId="27267" xr:uid="{00000000-0005-0000-0000-00008C270000}"/>
    <cellStyle name="Input 5 3 3 2 4" xfId="14606" xr:uid="{00000000-0005-0000-0000-00008D270000}"/>
    <cellStyle name="Input 5 3 3 2 5" xfId="22866" xr:uid="{00000000-0005-0000-0000-00008E270000}"/>
    <cellStyle name="Input 5 3 3 2 6" xfId="23969" xr:uid="{00000000-0005-0000-0000-00008F270000}"/>
    <cellStyle name="Input 5 3 3 3" xfId="5104" xr:uid="{00000000-0005-0000-0000-000090270000}"/>
    <cellStyle name="Input 5 3 3 3 2" xfId="10055" xr:uid="{00000000-0005-0000-0000-000091270000}"/>
    <cellStyle name="Input 5 3 3 3 2 2" xfId="20952" xr:uid="{00000000-0005-0000-0000-000092270000}"/>
    <cellStyle name="Input 5 3 3 3 2 3" xfId="25082" xr:uid="{00000000-0005-0000-0000-000093270000}"/>
    <cellStyle name="Input 5 3 3 3 2 4" xfId="26599" xr:uid="{00000000-0005-0000-0000-000094270000}"/>
    <cellStyle name="Input 5 3 3 3 3" xfId="11050" xr:uid="{00000000-0005-0000-0000-000095270000}"/>
    <cellStyle name="Input 5 3 3 3 3 2" xfId="21947" xr:uid="{00000000-0005-0000-0000-000096270000}"/>
    <cellStyle name="Input 5 3 3 3 3 3" xfId="26077" xr:uid="{00000000-0005-0000-0000-000097270000}"/>
    <cellStyle name="Input 5 3 3 3 3 4" xfId="27594" xr:uid="{00000000-0005-0000-0000-000098270000}"/>
    <cellStyle name="Input 5 3 3 3 4" xfId="16001" xr:uid="{00000000-0005-0000-0000-000099270000}"/>
    <cellStyle name="Input 5 3 3 3 5" xfId="23393" xr:uid="{00000000-0005-0000-0000-00009A270000}"/>
    <cellStyle name="Input 5 3 3 3 6" xfId="23775" xr:uid="{00000000-0005-0000-0000-00009B270000}"/>
    <cellStyle name="Input 5 3 3 4" xfId="6348" xr:uid="{00000000-0005-0000-0000-00009C270000}"/>
    <cellStyle name="Input 5 3 3 4 2" xfId="17245" xr:uid="{00000000-0005-0000-0000-00009D270000}"/>
    <cellStyle name="Input 5 3 3 4 3" xfId="23879" xr:uid="{00000000-0005-0000-0000-00009E270000}"/>
    <cellStyle name="Input 5 3 3 4 4" xfId="24592" xr:uid="{00000000-0005-0000-0000-00009F270000}"/>
    <cellStyle name="Input 5 3 3 5" xfId="10382" xr:uid="{00000000-0005-0000-0000-0000A0270000}"/>
    <cellStyle name="Input 5 3 3 5 2" xfId="21279" xr:uid="{00000000-0005-0000-0000-0000A1270000}"/>
    <cellStyle name="Input 5 3 3 5 3" xfId="25409" xr:uid="{00000000-0005-0000-0000-0000A2270000}"/>
    <cellStyle name="Input 5 3 3 5 4" xfId="26926" xr:uid="{00000000-0005-0000-0000-0000A3270000}"/>
    <cellStyle name="Input 5 3 3 6" xfId="12331" xr:uid="{00000000-0005-0000-0000-0000A4270000}"/>
    <cellStyle name="Input 5 3 3 7" xfId="23189" xr:uid="{00000000-0005-0000-0000-0000A5270000}"/>
    <cellStyle name="Input 5 3 4" xfId="2912" xr:uid="{00000000-0005-0000-0000-0000A6270000}"/>
    <cellStyle name="Input 5 3 4 2" xfId="7863" xr:uid="{00000000-0005-0000-0000-0000A7270000}"/>
    <cellStyle name="Input 5 3 4 2 2" xfId="18760" xr:uid="{00000000-0005-0000-0000-0000A8270000}"/>
    <cellStyle name="Input 5 3 4 2 3" xfId="24313" xr:uid="{00000000-0005-0000-0000-0000A9270000}"/>
    <cellStyle name="Input 5 3 4 2 4" xfId="24615" xr:uid="{00000000-0005-0000-0000-0000AA270000}"/>
    <cellStyle name="Input 5 3 4 3" xfId="10583" xr:uid="{00000000-0005-0000-0000-0000AB270000}"/>
    <cellStyle name="Input 5 3 4 3 2" xfId="21480" xr:uid="{00000000-0005-0000-0000-0000AC270000}"/>
    <cellStyle name="Input 5 3 4 3 3" xfId="25610" xr:uid="{00000000-0005-0000-0000-0000AD270000}"/>
    <cellStyle name="Input 5 3 4 3 4" xfId="27127" xr:uid="{00000000-0005-0000-0000-0000AE270000}"/>
    <cellStyle name="Input 5 3 4 4" xfId="13809" xr:uid="{00000000-0005-0000-0000-0000AF270000}"/>
    <cellStyle name="Input 5 3 4 5" xfId="22618" xr:uid="{00000000-0005-0000-0000-0000B0270000}"/>
    <cellStyle name="Input 5 3 4 6" xfId="22934" xr:uid="{00000000-0005-0000-0000-0000B1270000}"/>
    <cellStyle name="Input 5 3 5" xfId="4964" xr:uid="{00000000-0005-0000-0000-0000B2270000}"/>
    <cellStyle name="Input 5 3 5 2" xfId="9915" xr:uid="{00000000-0005-0000-0000-0000B3270000}"/>
    <cellStyle name="Input 5 3 5 2 2" xfId="20812" xr:uid="{00000000-0005-0000-0000-0000B4270000}"/>
    <cellStyle name="Input 5 3 5 2 3" xfId="24942" xr:uid="{00000000-0005-0000-0000-0000B5270000}"/>
    <cellStyle name="Input 5 3 5 2 4" xfId="26459" xr:uid="{00000000-0005-0000-0000-0000B6270000}"/>
    <cellStyle name="Input 5 3 5 3" xfId="10910" xr:uid="{00000000-0005-0000-0000-0000B7270000}"/>
    <cellStyle name="Input 5 3 5 3 2" xfId="21807" xr:uid="{00000000-0005-0000-0000-0000B8270000}"/>
    <cellStyle name="Input 5 3 5 3 3" xfId="25937" xr:uid="{00000000-0005-0000-0000-0000B9270000}"/>
    <cellStyle name="Input 5 3 5 3 4" xfId="27454" xr:uid="{00000000-0005-0000-0000-0000BA270000}"/>
    <cellStyle name="Input 5 3 5 4" xfId="15861" xr:uid="{00000000-0005-0000-0000-0000BB270000}"/>
    <cellStyle name="Input 5 3 5 5" xfId="23253" xr:uid="{00000000-0005-0000-0000-0000BC270000}"/>
    <cellStyle name="Input 5 3 5 6" xfId="22216" xr:uid="{00000000-0005-0000-0000-0000BD270000}"/>
    <cellStyle name="Input 5 3 6" xfId="5551" xr:uid="{00000000-0005-0000-0000-0000BE270000}"/>
    <cellStyle name="Input 5 3 6 2" xfId="16448" xr:uid="{00000000-0005-0000-0000-0000BF270000}"/>
    <cellStyle name="Input 5 3 6 3" xfId="23634" xr:uid="{00000000-0005-0000-0000-0000C0270000}"/>
    <cellStyle name="Input 5 3 6 4" xfId="22977" xr:uid="{00000000-0005-0000-0000-0000C1270000}"/>
    <cellStyle name="Input 5 3 7" xfId="10242" xr:uid="{00000000-0005-0000-0000-0000C2270000}"/>
    <cellStyle name="Input 5 3 7 2" xfId="21139" xr:uid="{00000000-0005-0000-0000-0000C3270000}"/>
    <cellStyle name="Input 5 3 7 3" xfId="25269" xr:uid="{00000000-0005-0000-0000-0000C4270000}"/>
    <cellStyle name="Input 5 3 7 4" xfId="26786" xr:uid="{00000000-0005-0000-0000-0000C5270000}"/>
    <cellStyle name="Input 5 3 8" xfId="11553" xr:uid="{00000000-0005-0000-0000-0000C6270000}"/>
    <cellStyle name="Input 5 3 9" xfId="24333" xr:uid="{00000000-0005-0000-0000-0000C7270000}"/>
    <cellStyle name="Input 5 4" xfId="855" xr:uid="{00000000-0005-0000-0000-0000C8270000}"/>
    <cellStyle name="Input 5 4 2" xfId="2012" xr:uid="{00000000-0005-0000-0000-0000C9270000}"/>
    <cellStyle name="Input 5 4 2 2" xfId="4324" xr:uid="{00000000-0005-0000-0000-0000CA270000}"/>
    <cellStyle name="Input 5 4 2 2 2" xfId="9275" xr:uid="{00000000-0005-0000-0000-0000CB270000}"/>
    <cellStyle name="Input 5 4 2 2 2 2" xfId="20172" xr:uid="{00000000-0005-0000-0000-0000CC270000}"/>
    <cellStyle name="Input 5 4 2 2 2 3" xfId="24718" xr:uid="{00000000-0005-0000-0000-0000CD270000}"/>
    <cellStyle name="Input 5 4 2 2 2 4" xfId="26332" xr:uid="{00000000-0005-0000-0000-0000CE270000}"/>
    <cellStyle name="Input 5 4 2 2 3" xfId="10783" xr:uid="{00000000-0005-0000-0000-0000CF270000}"/>
    <cellStyle name="Input 5 4 2 2 3 2" xfId="21680" xr:uid="{00000000-0005-0000-0000-0000D0270000}"/>
    <cellStyle name="Input 5 4 2 2 3 3" xfId="25810" xr:uid="{00000000-0005-0000-0000-0000D1270000}"/>
    <cellStyle name="Input 5 4 2 2 3 4" xfId="27327" xr:uid="{00000000-0005-0000-0000-0000D2270000}"/>
    <cellStyle name="Input 5 4 2 2 4" xfId="15221" xr:uid="{00000000-0005-0000-0000-0000D3270000}"/>
    <cellStyle name="Input 5 4 2 2 5" xfId="23028" xr:uid="{00000000-0005-0000-0000-0000D4270000}"/>
    <cellStyle name="Input 5 4 2 2 6" xfId="23541" xr:uid="{00000000-0005-0000-0000-0000D5270000}"/>
    <cellStyle name="Input 5 4 2 3" xfId="5163" xr:uid="{00000000-0005-0000-0000-0000D6270000}"/>
    <cellStyle name="Input 5 4 2 3 2" xfId="10114" xr:uid="{00000000-0005-0000-0000-0000D7270000}"/>
    <cellStyle name="Input 5 4 2 3 2 2" xfId="21011" xr:uid="{00000000-0005-0000-0000-0000D8270000}"/>
    <cellStyle name="Input 5 4 2 3 2 3" xfId="25141" xr:uid="{00000000-0005-0000-0000-0000D9270000}"/>
    <cellStyle name="Input 5 4 2 3 2 4" xfId="26658" xr:uid="{00000000-0005-0000-0000-0000DA270000}"/>
    <cellStyle name="Input 5 4 2 3 3" xfId="11109" xr:uid="{00000000-0005-0000-0000-0000DB270000}"/>
    <cellStyle name="Input 5 4 2 3 3 2" xfId="22006" xr:uid="{00000000-0005-0000-0000-0000DC270000}"/>
    <cellStyle name="Input 5 4 2 3 3 3" xfId="26136" xr:uid="{00000000-0005-0000-0000-0000DD270000}"/>
    <cellStyle name="Input 5 4 2 3 3 4" xfId="27653" xr:uid="{00000000-0005-0000-0000-0000DE270000}"/>
    <cellStyle name="Input 5 4 2 3 4" xfId="16060" xr:uid="{00000000-0005-0000-0000-0000DF270000}"/>
    <cellStyle name="Input 5 4 2 3 5" xfId="23452" xr:uid="{00000000-0005-0000-0000-0000E0270000}"/>
    <cellStyle name="Input 5 4 2 3 6" xfId="24335" xr:uid="{00000000-0005-0000-0000-0000E1270000}"/>
    <cellStyle name="Input 5 4 2 4" xfId="6963" xr:uid="{00000000-0005-0000-0000-0000E2270000}"/>
    <cellStyle name="Input 5 4 2 4 2" xfId="17860" xr:uid="{00000000-0005-0000-0000-0000E3270000}"/>
    <cellStyle name="Input 5 4 2 4 3" xfId="24040" xr:uid="{00000000-0005-0000-0000-0000E4270000}"/>
    <cellStyle name="Input 5 4 2 4 4" xfId="22611" xr:uid="{00000000-0005-0000-0000-0000E5270000}"/>
    <cellStyle name="Input 5 4 2 5" xfId="10441" xr:uid="{00000000-0005-0000-0000-0000E6270000}"/>
    <cellStyle name="Input 5 4 2 5 2" xfId="21338" xr:uid="{00000000-0005-0000-0000-0000E7270000}"/>
    <cellStyle name="Input 5 4 2 5 3" xfId="25468" xr:uid="{00000000-0005-0000-0000-0000E8270000}"/>
    <cellStyle name="Input 5 4 2 5 4" xfId="26985" xr:uid="{00000000-0005-0000-0000-0000E9270000}"/>
    <cellStyle name="Input 5 4 2 6" xfId="12934" xr:uid="{00000000-0005-0000-0000-0000EA270000}"/>
    <cellStyle name="Input 5 4 2 7" xfId="23715" xr:uid="{00000000-0005-0000-0000-0000EB270000}"/>
    <cellStyle name="Input 5 4 3" xfId="3179" xr:uid="{00000000-0005-0000-0000-0000EC270000}"/>
    <cellStyle name="Input 5 4 3 2" xfId="8130" xr:uid="{00000000-0005-0000-0000-0000ED270000}"/>
    <cellStyle name="Input 5 4 3 2 2" xfId="19027" xr:uid="{00000000-0005-0000-0000-0000EE270000}"/>
    <cellStyle name="Input 5 4 3 2 3" xfId="24390" xr:uid="{00000000-0005-0000-0000-0000EF270000}"/>
    <cellStyle name="Input 5 4 3 2 4" xfId="23022" xr:uid="{00000000-0005-0000-0000-0000F0270000}"/>
    <cellStyle name="Input 5 4 3 3" xfId="10623" xr:uid="{00000000-0005-0000-0000-0000F1270000}"/>
    <cellStyle name="Input 5 4 3 3 2" xfId="21520" xr:uid="{00000000-0005-0000-0000-0000F2270000}"/>
    <cellStyle name="Input 5 4 3 3 3" xfId="25650" xr:uid="{00000000-0005-0000-0000-0000F3270000}"/>
    <cellStyle name="Input 5 4 3 3 4" xfId="27167" xr:uid="{00000000-0005-0000-0000-0000F4270000}"/>
    <cellStyle name="Input 5 4 3 4" xfId="14076" xr:uid="{00000000-0005-0000-0000-0000F5270000}"/>
    <cellStyle name="Input 5 4 3 5" xfId="22698" xr:uid="{00000000-0005-0000-0000-0000F6270000}"/>
    <cellStyle name="Input 5 4 3 6" xfId="24318" xr:uid="{00000000-0005-0000-0000-0000F7270000}"/>
    <cellStyle name="Input 5 4 4" xfId="5004" xr:uid="{00000000-0005-0000-0000-0000F8270000}"/>
    <cellStyle name="Input 5 4 4 2" xfId="9955" xr:uid="{00000000-0005-0000-0000-0000F9270000}"/>
    <cellStyle name="Input 5 4 4 2 2" xfId="20852" xr:uid="{00000000-0005-0000-0000-0000FA270000}"/>
    <cellStyle name="Input 5 4 4 2 3" xfId="24982" xr:uid="{00000000-0005-0000-0000-0000FB270000}"/>
    <cellStyle name="Input 5 4 4 2 4" xfId="26499" xr:uid="{00000000-0005-0000-0000-0000FC270000}"/>
    <cellStyle name="Input 5 4 4 3" xfId="10950" xr:uid="{00000000-0005-0000-0000-0000FD270000}"/>
    <cellStyle name="Input 5 4 4 3 2" xfId="21847" xr:uid="{00000000-0005-0000-0000-0000FE270000}"/>
    <cellStyle name="Input 5 4 4 3 3" xfId="25977" xr:uid="{00000000-0005-0000-0000-0000FF270000}"/>
    <cellStyle name="Input 5 4 4 3 4" xfId="27494" xr:uid="{00000000-0005-0000-0000-000000280000}"/>
    <cellStyle name="Input 5 4 4 4" xfId="15901" xr:uid="{00000000-0005-0000-0000-000001280000}"/>
    <cellStyle name="Input 5 4 4 5" xfId="23293" xr:uid="{00000000-0005-0000-0000-000002280000}"/>
    <cellStyle name="Input 5 4 4 6" xfId="22310" xr:uid="{00000000-0005-0000-0000-000003280000}"/>
    <cellStyle name="Input 5 4 5" xfId="5818" xr:uid="{00000000-0005-0000-0000-000004280000}"/>
    <cellStyle name="Input 5 4 5 2" xfId="16715" xr:uid="{00000000-0005-0000-0000-000005280000}"/>
    <cellStyle name="Input 5 4 5 3" xfId="23710" xr:uid="{00000000-0005-0000-0000-000006280000}"/>
    <cellStyle name="Input 5 4 5 4" xfId="22109" xr:uid="{00000000-0005-0000-0000-000007280000}"/>
    <cellStyle name="Input 5 4 6" xfId="10282" xr:uid="{00000000-0005-0000-0000-000008280000}"/>
    <cellStyle name="Input 5 4 6 2" xfId="21179" xr:uid="{00000000-0005-0000-0000-000009280000}"/>
    <cellStyle name="Input 5 4 6 3" xfId="25309" xr:uid="{00000000-0005-0000-0000-00000A280000}"/>
    <cellStyle name="Input 5 4 6 4" xfId="26826" xr:uid="{00000000-0005-0000-0000-00000B280000}"/>
    <cellStyle name="Input 5 4 7" xfId="11816" xr:uid="{00000000-0005-0000-0000-00000C280000}"/>
    <cellStyle name="Input 5 4 8" xfId="22439" xr:uid="{00000000-0005-0000-0000-00000D280000}"/>
    <cellStyle name="Input 5 5" xfId="2647" xr:uid="{00000000-0005-0000-0000-00000E280000}"/>
    <cellStyle name="Input 5 5 2" xfId="7598" xr:uid="{00000000-0005-0000-0000-00000F280000}"/>
    <cellStyle name="Input 5 5 2 2" xfId="18495" xr:uid="{00000000-0005-0000-0000-000010280000}"/>
    <cellStyle name="Input 5 5 2 3" xfId="24239" xr:uid="{00000000-0005-0000-0000-000011280000}"/>
    <cellStyle name="Input 5 5 2 4" xfId="11200" xr:uid="{00000000-0005-0000-0000-000012280000}"/>
    <cellStyle name="Input 5 5 3" xfId="10543" xr:uid="{00000000-0005-0000-0000-000013280000}"/>
    <cellStyle name="Input 5 5 3 2" xfId="21440" xr:uid="{00000000-0005-0000-0000-000014280000}"/>
    <cellStyle name="Input 5 5 3 3" xfId="25570" xr:uid="{00000000-0005-0000-0000-000015280000}"/>
    <cellStyle name="Input 5 5 3 4" xfId="27087" xr:uid="{00000000-0005-0000-0000-000016280000}"/>
    <cellStyle name="Input 5 5 4" xfId="13544" xr:uid="{00000000-0005-0000-0000-000017280000}"/>
    <cellStyle name="Input 5 5 5" xfId="22540" xr:uid="{00000000-0005-0000-0000-000018280000}"/>
    <cellStyle name="Input 5 5 6" xfId="22163" xr:uid="{00000000-0005-0000-0000-000019280000}"/>
    <cellStyle name="Input 5 6" xfId="2616" xr:uid="{00000000-0005-0000-0000-00001A280000}"/>
    <cellStyle name="Input 5 6 2" xfId="7567" xr:uid="{00000000-0005-0000-0000-00001B280000}"/>
    <cellStyle name="Input 5 6 2 2" xfId="18464" xr:uid="{00000000-0005-0000-0000-00001C280000}"/>
    <cellStyle name="Input 5 6 2 3" xfId="24222" xr:uid="{00000000-0005-0000-0000-00001D280000}"/>
    <cellStyle name="Input 5 6 2 4" xfId="22596" xr:uid="{00000000-0005-0000-0000-00001E280000}"/>
    <cellStyle name="Input 5 6 3" xfId="10529" xr:uid="{00000000-0005-0000-0000-00001F280000}"/>
    <cellStyle name="Input 5 6 3 2" xfId="21426" xr:uid="{00000000-0005-0000-0000-000020280000}"/>
    <cellStyle name="Input 5 6 3 3" xfId="25556" xr:uid="{00000000-0005-0000-0000-000021280000}"/>
    <cellStyle name="Input 5 6 3 4" xfId="27073" xr:uid="{00000000-0005-0000-0000-000022280000}"/>
    <cellStyle name="Input 5 6 4" xfId="13513" xr:uid="{00000000-0005-0000-0000-000023280000}"/>
    <cellStyle name="Input 5 6 5" xfId="22521" xr:uid="{00000000-0005-0000-0000-000024280000}"/>
    <cellStyle name="Input 5 6 6" xfId="22139" xr:uid="{00000000-0005-0000-0000-000025280000}"/>
    <cellStyle name="Input 5 7" xfId="5286" xr:uid="{00000000-0005-0000-0000-000026280000}"/>
    <cellStyle name="Input 5 7 2" xfId="16183" xr:uid="{00000000-0005-0000-0000-000027280000}"/>
    <cellStyle name="Input 5 7 3" xfId="23559" xr:uid="{00000000-0005-0000-0000-000028280000}"/>
    <cellStyle name="Input 5 7 4" xfId="24700" xr:uid="{00000000-0005-0000-0000-000029280000}"/>
    <cellStyle name="Input 5 8" xfId="5255" xr:uid="{00000000-0005-0000-0000-00002A280000}"/>
    <cellStyle name="Input 5 8 2" xfId="16152" xr:uid="{00000000-0005-0000-0000-00002B280000}"/>
    <cellStyle name="Input 5 8 3" xfId="23542" xr:uid="{00000000-0005-0000-0000-00002C280000}"/>
    <cellStyle name="Input 5 8 4" xfId="24678" xr:uid="{00000000-0005-0000-0000-00002D280000}"/>
    <cellStyle name="Input 5 9" xfId="11288" xr:uid="{00000000-0005-0000-0000-00002E280000}"/>
    <cellStyle name="Linked Cell 2" xfId="235" xr:uid="{00000000-0005-0000-0000-00002F280000}"/>
    <cellStyle name="Linked Cell 3" xfId="236" xr:uid="{00000000-0005-0000-0000-000030280000}"/>
    <cellStyle name="Linked Cell 4" xfId="237" xr:uid="{00000000-0005-0000-0000-000031280000}"/>
    <cellStyle name="Linked Cell 5" xfId="238" xr:uid="{00000000-0005-0000-0000-000032280000}"/>
    <cellStyle name="Neutral 2" xfId="239" xr:uid="{00000000-0005-0000-0000-000033280000}"/>
    <cellStyle name="Neutral 3" xfId="240" xr:uid="{00000000-0005-0000-0000-000034280000}"/>
    <cellStyle name="Neutral 4" xfId="241" xr:uid="{00000000-0005-0000-0000-000035280000}"/>
    <cellStyle name="Neutral 5" xfId="242" xr:uid="{00000000-0005-0000-0000-000036280000}"/>
    <cellStyle name="Normal" xfId="0" builtinId="0"/>
    <cellStyle name="Normal 10" xfId="243" xr:uid="{00000000-0005-0000-0000-000038280000}"/>
    <cellStyle name="Normal 11" xfId="244" xr:uid="{00000000-0005-0000-0000-000039280000}"/>
    <cellStyle name="Normal 11 2" xfId="245" xr:uid="{00000000-0005-0000-0000-00003A280000}"/>
    <cellStyle name="Normal 12" xfId="246" xr:uid="{00000000-0005-0000-0000-00003B280000}"/>
    <cellStyle name="Normal 13" xfId="247" xr:uid="{00000000-0005-0000-0000-00003C280000}"/>
    <cellStyle name="Normal 13 2" xfId="421" xr:uid="{00000000-0005-0000-0000-00003D280000}"/>
    <cellStyle name="Normal 13 2 2" xfId="550" xr:uid="{00000000-0005-0000-0000-00003E280000}"/>
    <cellStyle name="Normal 13 2 2 2" xfId="815" xr:uid="{00000000-0005-0000-0000-00003F280000}"/>
    <cellStyle name="Normal 13 2 2 2 2" xfId="1347" xr:uid="{00000000-0005-0000-0000-000040280000}"/>
    <cellStyle name="Normal 13 2 2 2 2 2" xfId="2504" xr:uid="{00000000-0005-0000-0000-000041280000}"/>
    <cellStyle name="Normal 13 2 2 2 2 2 2" xfId="4816" xr:uid="{00000000-0005-0000-0000-000042280000}"/>
    <cellStyle name="Normal 13 2 2 2 2 2 2 2" xfId="9767" xr:uid="{00000000-0005-0000-0000-000043280000}"/>
    <cellStyle name="Normal 13 2 2 2 2 2 2 2 2" xfId="20664" xr:uid="{00000000-0005-0000-0000-000044280000}"/>
    <cellStyle name="Normal 13 2 2 2 2 2 2 3" xfId="15713" xr:uid="{00000000-0005-0000-0000-000045280000}"/>
    <cellStyle name="Normal 13 2 2 2 2 2 3" xfId="7455" xr:uid="{00000000-0005-0000-0000-000046280000}"/>
    <cellStyle name="Normal 13 2 2 2 2 2 3 2" xfId="18352" xr:uid="{00000000-0005-0000-0000-000047280000}"/>
    <cellStyle name="Normal 13 2 2 2 2 2 4" xfId="13415" xr:uid="{00000000-0005-0000-0000-000048280000}"/>
    <cellStyle name="Normal 13 2 2 2 2 3" xfId="3671" xr:uid="{00000000-0005-0000-0000-000049280000}"/>
    <cellStyle name="Normal 13 2 2 2 2 3 2" xfId="8622" xr:uid="{00000000-0005-0000-0000-00004A280000}"/>
    <cellStyle name="Normal 13 2 2 2 2 3 2 2" xfId="19519" xr:uid="{00000000-0005-0000-0000-00004B280000}"/>
    <cellStyle name="Normal 13 2 2 2 2 3 3" xfId="14568" xr:uid="{00000000-0005-0000-0000-00004C280000}"/>
    <cellStyle name="Normal 13 2 2 2 2 4" xfId="6310" xr:uid="{00000000-0005-0000-0000-00004D280000}"/>
    <cellStyle name="Normal 13 2 2 2 2 4 2" xfId="17207" xr:uid="{00000000-0005-0000-0000-00004E280000}"/>
    <cellStyle name="Normal 13 2 2 2 2 5" xfId="12297" xr:uid="{00000000-0005-0000-0000-00004F280000}"/>
    <cellStyle name="Normal 13 2 2 2 3" xfId="1973" xr:uid="{00000000-0005-0000-0000-000050280000}"/>
    <cellStyle name="Normal 13 2 2 2 3 2" xfId="4285" xr:uid="{00000000-0005-0000-0000-000051280000}"/>
    <cellStyle name="Normal 13 2 2 2 3 2 2" xfId="9236" xr:uid="{00000000-0005-0000-0000-000052280000}"/>
    <cellStyle name="Normal 13 2 2 2 3 2 2 2" xfId="20133" xr:uid="{00000000-0005-0000-0000-000053280000}"/>
    <cellStyle name="Normal 13 2 2 2 3 2 3" xfId="15182" xr:uid="{00000000-0005-0000-0000-000054280000}"/>
    <cellStyle name="Normal 13 2 2 2 3 3" xfId="6924" xr:uid="{00000000-0005-0000-0000-000055280000}"/>
    <cellStyle name="Normal 13 2 2 2 3 3 2" xfId="17821" xr:uid="{00000000-0005-0000-0000-000056280000}"/>
    <cellStyle name="Normal 13 2 2 2 3 4" xfId="12897" xr:uid="{00000000-0005-0000-0000-000057280000}"/>
    <cellStyle name="Normal 13 2 2 2 4" xfId="3139" xr:uid="{00000000-0005-0000-0000-000058280000}"/>
    <cellStyle name="Normal 13 2 2 2 4 2" xfId="8090" xr:uid="{00000000-0005-0000-0000-000059280000}"/>
    <cellStyle name="Normal 13 2 2 2 4 2 2" xfId="18987" xr:uid="{00000000-0005-0000-0000-00005A280000}"/>
    <cellStyle name="Normal 13 2 2 2 4 3" xfId="14036" xr:uid="{00000000-0005-0000-0000-00005B280000}"/>
    <cellStyle name="Normal 13 2 2 2 5" xfId="5778" xr:uid="{00000000-0005-0000-0000-00005C280000}"/>
    <cellStyle name="Normal 13 2 2 2 5 2" xfId="16675" xr:uid="{00000000-0005-0000-0000-00005D280000}"/>
    <cellStyle name="Normal 13 2 2 2 6" xfId="11776" xr:uid="{00000000-0005-0000-0000-00005E280000}"/>
    <cellStyle name="Normal 13 2 2 3" xfId="1082" xr:uid="{00000000-0005-0000-0000-00005F280000}"/>
    <cellStyle name="Normal 13 2 2 3 2" xfId="2239" xr:uid="{00000000-0005-0000-0000-000060280000}"/>
    <cellStyle name="Normal 13 2 2 3 2 2" xfId="4551" xr:uid="{00000000-0005-0000-0000-000061280000}"/>
    <cellStyle name="Normal 13 2 2 3 2 2 2" xfId="9502" xr:uid="{00000000-0005-0000-0000-000062280000}"/>
    <cellStyle name="Normal 13 2 2 3 2 2 2 2" xfId="20399" xr:uid="{00000000-0005-0000-0000-000063280000}"/>
    <cellStyle name="Normal 13 2 2 3 2 2 3" xfId="15448" xr:uid="{00000000-0005-0000-0000-000064280000}"/>
    <cellStyle name="Normal 13 2 2 3 2 3" xfId="7190" xr:uid="{00000000-0005-0000-0000-000065280000}"/>
    <cellStyle name="Normal 13 2 2 3 2 3 2" xfId="18087" xr:uid="{00000000-0005-0000-0000-000066280000}"/>
    <cellStyle name="Normal 13 2 2 3 2 4" xfId="13156" xr:uid="{00000000-0005-0000-0000-000067280000}"/>
    <cellStyle name="Normal 13 2 2 3 3" xfId="3406" xr:uid="{00000000-0005-0000-0000-000068280000}"/>
    <cellStyle name="Normal 13 2 2 3 3 2" xfId="8357" xr:uid="{00000000-0005-0000-0000-000069280000}"/>
    <cellStyle name="Normal 13 2 2 3 3 2 2" xfId="19254" xr:uid="{00000000-0005-0000-0000-00006A280000}"/>
    <cellStyle name="Normal 13 2 2 3 3 3" xfId="14303" xr:uid="{00000000-0005-0000-0000-00006B280000}"/>
    <cellStyle name="Normal 13 2 2 3 4" xfId="6045" xr:uid="{00000000-0005-0000-0000-00006C280000}"/>
    <cellStyle name="Normal 13 2 2 3 4 2" xfId="16942" xr:uid="{00000000-0005-0000-0000-00006D280000}"/>
    <cellStyle name="Normal 13 2 2 3 5" xfId="12038" xr:uid="{00000000-0005-0000-0000-00006E280000}"/>
    <cellStyle name="Normal 13 2 2 4" xfId="1740" xr:uid="{00000000-0005-0000-0000-00006F280000}"/>
    <cellStyle name="Normal 13 2 2 4 2" xfId="4052" xr:uid="{00000000-0005-0000-0000-000070280000}"/>
    <cellStyle name="Normal 13 2 2 4 2 2" xfId="9003" xr:uid="{00000000-0005-0000-0000-000071280000}"/>
    <cellStyle name="Normal 13 2 2 4 2 2 2" xfId="19900" xr:uid="{00000000-0005-0000-0000-000072280000}"/>
    <cellStyle name="Normal 13 2 2 4 2 3" xfId="14949" xr:uid="{00000000-0005-0000-0000-000073280000}"/>
    <cellStyle name="Normal 13 2 2 4 3" xfId="6691" xr:uid="{00000000-0005-0000-0000-000074280000}"/>
    <cellStyle name="Normal 13 2 2 4 3 2" xfId="17588" xr:uid="{00000000-0005-0000-0000-000075280000}"/>
    <cellStyle name="Normal 13 2 2 4 4" xfId="12671" xr:uid="{00000000-0005-0000-0000-000076280000}"/>
    <cellStyle name="Normal 13 2 2 5" xfId="2874" xr:uid="{00000000-0005-0000-0000-000077280000}"/>
    <cellStyle name="Normal 13 2 2 5 2" xfId="7825" xr:uid="{00000000-0005-0000-0000-000078280000}"/>
    <cellStyle name="Normal 13 2 2 5 2 2" xfId="18722" xr:uid="{00000000-0005-0000-0000-000079280000}"/>
    <cellStyle name="Normal 13 2 2 5 3" xfId="13771" xr:uid="{00000000-0005-0000-0000-00007A280000}"/>
    <cellStyle name="Normal 13 2 2 6" xfId="5513" xr:uid="{00000000-0005-0000-0000-00007B280000}"/>
    <cellStyle name="Normal 13 2 2 6 2" xfId="16410" xr:uid="{00000000-0005-0000-0000-00007C280000}"/>
    <cellStyle name="Normal 13 2 2 7" xfId="11515" xr:uid="{00000000-0005-0000-0000-00007D280000}"/>
    <cellStyle name="Normal 13 2 3" xfId="686" xr:uid="{00000000-0005-0000-0000-00007E280000}"/>
    <cellStyle name="Normal 13 2 3 2" xfId="1218" xr:uid="{00000000-0005-0000-0000-00007F280000}"/>
    <cellStyle name="Normal 13 2 3 2 2" xfId="2375" xr:uid="{00000000-0005-0000-0000-000080280000}"/>
    <cellStyle name="Normal 13 2 3 2 2 2" xfId="4687" xr:uid="{00000000-0005-0000-0000-000081280000}"/>
    <cellStyle name="Normal 13 2 3 2 2 2 2" xfId="9638" xr:uid="{00000000-0005-0000-0000-000082280000}"/>
    <cellStyle name="Normal 13 2 3 2 2 2 2 2" xfId="20535" xr:uid="{00000000-0005-0000-0000-000083280000}"/>
    <cellStyle name="Normal 13 2 3 2 2 2 3" xfId="15584" xr:uid="{00000000-0005-0000-0000-000084280000}"/>
    <cellStyle name="Normal 13 2 3 2 2 3" xfId="7326" xr:uid="{00000000-0005-0000-0000-000085280000}"/>
    <cellStyle name="Normal 13 2 3 2 2 3 2" xfId="18223" xr:uid="{00000000-0005-0000-0000-000086280000}"/>
    <cellStyle name="Normal 13 2 3 2 2 4" xfId="13287" xr:uid="{00000000-0005-0000-0000-000087280000}"/>
    <cellStyle name="Normal 13 2 3 2 3" xfId="3542" xr:uid="{00000000-0005-0000-0000-000088280000}"/>
    <cellStyle name="Normal 13 2 3 2 3 2" xfId="8493" xr:uid="{00000000-0005-0000-0000-000089280000}"/>
    <cellStyle name="Normal 13 2 3 2 3 2 2" xfId="19390" xr:uid="{00000000-0005-0000-0000-00008A280000}"/>
    <cellStyle name="Normal 13 2 3 2 3 3" xfId="14439" xr:uid="{00000000-0005-0000-0000-00008B280000}"/>
    <cellStyle name="Normal 13 2 3 2 4" xfId="6181" xr:uid="{00000000-0005-0000-0000-00008C280000}"/>
    <cellStyle name="Normal 13 2 3 2 4 2" xfId="17078" xr:uid="{00000000-0005-0000-0000-00008D280000}"/>
    <cellStyle name="Normal 13 2 3 2 5" xfId="12169" xr:uid="{00000000-0005-0000-0000-00008E280000}"/>
    <cellStyle name="Normal 13 2 3 3" xfId="1859" xr:uid="{00000000-0005-0000-0000-00008F280000}"/>
    <cellStyle name="Normal 13 2 3 3 2" xfId="4171" xr:uid="{00000000-0005-0000-0000-000090280000}"/>
    <cellStyle name="Normal 13 2 3 3 2 2" xfId="9122" xr:uid="{00000000-0005-0000-0000-000091280000}"/>
    <cellStyle name="Normal 13 2 3 3 2 2 2" xfId="20019" xr:uid="{00000000-0005-0000-0000-000092280000}"/>
    <cellStyle name="Normal 13 2 3 3 2 3" xfId="15068" xr:uid="{00000000-0005-0000-0000-000093280000}"/>
    <cellStyle name="Normal 13 2 3 3 3" xfId="6810" xr:uid="{00000000-0005-0000-0000-000094280000}"/>
    <cellStyle name="Normal 13 2 3 3 3 2" xfId="17707" xr:uid="{00000000-0005-0000-0000-000095280000}"/>
    <cellStyle name="Normal 13 2 3 3 4" xfId="12784" xr:uid="{00000000-0005-0000-0000-000096280000}"/>
    <cellStyle name="Normal 13 2 3 4" xfId="3010" xr:uid="{00000000-0005-0000-0000-000097280000}"/>
    <cellStyle name="Normal 13 2 3 4 2" xfId="7961" xr:uid="{00000000-0005-0000-0000-000098280000}"/>
    <cellStyle name="Normal 13 2 3 4 2 2" xfId="18858" xr:uid="{00000000-0005-0000-0000-000099280000}"/>
    <cellStyle name="Normal 13 2 3 4 3" xfId="13907" xr:uid="{00000000-0005-0000-0000-00009A280000}"/>
    <cellStyle name="Normal 13 2 3 5" xfId="5649" xr:uid="{00000000-0005-0000-0000-00009B280000}"/>
    <cellStyle name="Normal 13 2 3 5 2" xfId="16546" xr:uid="{00000000-0005-0000-0000-00009C280000}"/>
    <cellStyle name="Normal 13 2 3 6" xfId="11648" xr:uid="{00000000-0005-0000-0000-00009D280000}"/>
    <cellStyle name="Normal 13 2 4" xfId="953" xr:uid="{00000000-0005-0000-0000-00009E280000}"/>
    <cellStyle name="Normal 13 2 4 2" xfId="2110" xr:uid="{00000000-0005-0000-0000-00009F280000}"/>
    <cellStyle name="Normal 13 2 4 2 2" xfId="4422" xr:uid="{00000000-0005-0000-0000-0000A0280000}"/>
    <cellStyle name="Normal 13 2 4 2 2 2" xfId="9373" xr:uid="{00000000-0005-0000-0000-0000A1280000}"/>
    <cellStyle name="Normal 13 2 4 2 2 2 2" xfId="20270" xr:uid="{00000000-0005-0000-0000-0000A2280000}"/>
    <cellStyle name="Normal 13 2 4 2 2 3" xfId="15319" xr:uid="{00000000-0005-0000-0000-0000A3280000}"/>
    <cellStyle name="Normal 13 2 4 2 3" xfId="7061" xr:uid="{00000000-0005-0000-0000-0000A4280000}"/>
    <cellStyle name="Normal 13 2 4 2 3 2" xfId="17958" xr:uid="{00000000-0005-0000-0000-0000A5280000}"/>
    <cellStyle name="Normal 13 2 4 2 4" xfId="13028" xr:uid="{00000000-0005-0000-0000-0000A6280000}"/>
    <cellStyle name="Normal 13 2 4 3" xfId="3277" xr:uid="{00000000-0005-0000-0000-0000A7280000}"/>
    <cellStyle name="Normal 13 2 4 3 2" xfId="8228" xr:uid="{00000000-0005-0000-0000-0000A8280000}"/>
    <cellStyle name="Normal 13 2 4 3 2 2" xfId="19125" xr:uid="{00000000-0005-0000-0000-0000A9280000}"/>
    <cellStyle name="Normal 13 2 4 3 3" xfId="14174" xr:uid="{00000000-0005-0000-0000-0000AA280000}"/>
    <cellStyle name="Normal 13 2 4 4" xfId="5916" xr:uid="{00000000-0005-0000-0000-0000AB280000}"/>
    <cellStyle name="Normal 13 2 4 4 2" xfId="16813" xr:uid="{00000000-0005-0000-0000-0000AC280000}"/>
    <cellStyle name="Normal 13 2 4 5" xfId="11910" xr:uid="{00000000-0005-0000-0000-0000AD280000}"/>
    <cellStyle name="Normal 13 2 5" xfId="1436" xr:uid="{00000000-0005-0000-0000-0000AE280000}"/>
    <cellStyle name="Normal 13 2 5 2" xfId="2544" xr:uid="{00000000-0005-0000-0000-0000AF280000}"/>
    <cellStyle name="Normal 13 2 5 2 2" xfId="4856" xr:uid="{00000000-0005-0000-0000-0000B0280000}"/>
    <cellStyle name="Normal 13 2 5 2 2 2" xfId="9807" xr:uid="{00000000-0005-0000-0000-0000B1280000}"/>
    <cellStyle name="Normal 13 2 5 2 2 2 2" xfId="20704" xr:uid="{00000000-0005-0000-0000-0000B2280000}"/>
    <cellStyle name="Normal 13 2 5 2 2 3" xfId="15753" xr:uid="{00000000-0005-0000-0000-0000B3280000}"/>
    <cellStyle name="Normal 13 2 5 2 3" xfId="7495" xr:uid="{00000000-0005-0000-0000-0000B4280000}"/>
    <cellStyle name="Normal 13 2 5 2 3 2" xfId="18392" xr:uid="{00000000-0005-0000-0000-0000B5280000}"/>
    <cellStyle name="Normal 13 2 5 2 4" xfId="13441" xr:uid="{00000000-0005-0000-0000-0000B6280000}"/>
    <cellStyle name="Normal 13 2 5 3" xfId="3759" xr:uid="{00000000-0005-0000-0000-0000B7280000}"/>
    <cellStyle name="Normal 13 2 5 3 2" xfId="8710" xr:uid="{00000000-0005-0000-0000-0000B8280000}"/>
    <cellStyle name="Normal 13 2 5 3 2 2" xfId="19607" xr:uid="{00000000-0005-0000-0000-0000B9280000}"/>
    <cellStyle name="Normal 13 2 5 3 3" xfId="14656" xr:uid="{00000000-0005-0000-0000-0000BA280000}"/>
    <cellStyle name="Normal 13 2 5 4" xfId="6398" xr:uid="{00000000-0005-0000-0000-0000BB280000}"/>
    <cellStyle name="Normal 13 2 5 4 2" xfId="17295" xr:uid="{00000000-0005-0000-0000-0000BC280000}"/>
    <cellStyle name="Normal 13 2 5 5" xfId="12375" xr:uid="{00000000-0005-0000-0000-0000BD280000}"/>
    <cellStyle name="Normal 13 2 5 6" xfId="27742" xr:uid="{00000000-0005-0000-0000-0000BE280000}"/>
    <cellStyle name="Normal 13 2 6" xfId="1626" xr:uid="{00000000-0005-0000-0000-0000BF280000}"/>
    <cellStyle name="Normal 13 2 6 2" xfId="3938" xr:uid="{00000000-0005-0000-0000-0000C0280000}"/>
    <cellStyle name="Normal 13 2 6 2 2" xfId="8889" xr:uid="{00000000-0005-0000-0000-0000C1280000}"/>
    <cellStyle name="Normal 13 2 6 2 2 2" xfId="19786" xr:uid="{00000000-0005-0000-0000-0000C2280000}"/>
    <cellStyle name="Normal 13 2 6 2 3" xfId="14835" xr:uid="{00000000-0005-0000-0000-0000C3280000}"/>
    <cellStyle name="Normal 13 2 6 3" xfId="6577" xr:uid="{00000000-0005-0000-0000-0000C4280000}"/>
    <cellStyle name="Normal 13 2 6 3 2" xfId="17474" xr:uid="{00000000-0005-0000-0000-0000C5280000}"/>
    <cellStyle name="Normal 13 2 6 4" xfId="12558" xr:uid="{00000000-0005-0000-0000-0000C6280000}"/>
    <cellStyle name="Normal 13 2 7" xfId="2745" xr:uid="{00000000-0005-0000-0000-0000C7280000}"/>
    <cellStyle name="Normal 13 2 7 2" xfId="7696" xr:uid="{00000000-0005-0000-0000-0000C8280000}"/>
    <cellStyle name="Normal 13 2 7 2 2" xfId="18593" xr:uid="{00000000-0005-0000-0000-0000C9280000}"/>
    <cellStyle name="Normal 13 2 7 3" xfId="13642" xr:uid="{00000000-0005-0000-0000-0000CA280000}"/>
    <cellStyle name="Normal 13 2 8" xfId="5384" xr:uid="{00000000-0005-0000-0000-0000CB280000}"/>
    <cellStyle name="Normal 13 2 8 2" xfId="16281" xr:uid="{00000000-0005-0000-0000-0000CC280000}"/>
    <cellStyle name="Normal 13 2 9" xfId="11387" xr:uid="{00000000-0005-0000-0000-0000CD280000}"/>
    <cellStyle name="Normal 13 3" xfId="1482" xr:uid="{00000000-0005-0000-0000-0000CE280000}"/>
    <cellStyle name="Normal 13 3 2" xfId="2586" xr:uid="{00000000-0005-0000-0000-0000CF280000}"/>
    <cellStyle name="Normal 13 3 2 2" xfId="4898" xr:uid="{00000000-0005-0000-0000-0000D0280000}"/>
    <cellStyle name="Normal 13 3 2 2 2" xfId="9849" xr:uid="{00000000-0005-0000-0000-0000D1280000}"/>
    <cellStyle name="Normal 13 3 2 2 2 2" xfId="20746" xr:uid="{00000000-0005-0000-0000-0000D2280000}"/>
    <cellStyle name="Normal 13 3 2 2 3" xfId="15795" xr:uid="{00000000-0005-0000-0000-0000D3280000}"/>
    <cellStyle name="Normal 13 3 2 3" xfId="7537" xr:uid="{00000000-0005-0000-0000-0000D4280000}"/>
    <cellStyle name="Normal 13 3 2 3 2" xfId="18434" xr:uid="{00000000-0005-0000-0000-0000D5280000}"/>
    <cellStyle name="Normal 13 3 2 4" xfId="13483" xr:uid="{00000000-0005-0000-0000-0000D6280000}"/>
    <cellStyle name="Normal 13 3 3" xfId="3801" xr:uid="{00000000-0005-0000-0000-0000D7280000}"/>
    <cellStyle name="Normal 13 3 3 2" xfId="8752" xr:uid="{00000000-0005-0000-0000-0000D8280000}"/>
    <cellStyle name="Normal 13 3 3 2 2" xfId="19649" xr:uid="{00000000-0005-0000-0000-0000D9280000}"/>
    <cellStyle name="Normal 13 3 3 3" xfId="14698" xr:uid="{00000000-0005-0000-0000-0000DA280000}"/>
    <cellStyle name="Normal 13 3 4" xfId="6440" xr:uid="{00000000-0005-0000-0000-0000DB280000}"/>
    <cellStyle name="Normal 13 3 4 2" xfId="17337" xr:uid="{00000000-0005-0000-0000-0000DC280000}"/>
    <cellStyle name="Normal 13 3 5" xfId="12419" xr:uid="{00000000-0005-0000-0000-0000DD280000}"/>
    <cellStyle name="Normal 13 4" xfId="1491" xr:uid="{00000000-0005-0000-0000-0000DE280000}"/>
    <cellStyle name="Normal 13 4 2" xfId="2594" xr:uid="{00000000-0005-0000-0000-0000DF280000}"/>
    <cellStyle name="Normal 13 4 2 2" xfId="4906" xr:uid="{00000000-0005-0000-0000-0000E0280000}"/>
    <cellStyle name="Normal 13 4 2 2 2" xfId="9857" xr:uid="{00000000-0005-0000-0000-0000E1280000}"/>
    <cellStyle name="Normal 13 4 2 2 2 2" xfId="20754" xr:uid="{00000000-0005-0000-0000-0000E2280000}"/>
    <cellStyle name="Normal 13 4 2 2 3" xfId="15803" xr:uid="{00000000-0005-0000-0000-0000E3280000}"/>
    <cellStyle name="Normal 13 4 2 3" xfId="7545" xr:uid="{00000000-0005-0000-0000-0000E4280000}"/>
    <cellStyle name="Normal 13 4 2 3 2" xfId="18442" xr:uid="{00000000-0005-0000-0000-0000E5280000}"/>
    <cellStyle name="Normal 13 4 2 4" xfId="13491" xr:uid="{00000000-0005-0000-0000-0000E6280000}"/>
    <cellStyle name="Normal 13 4 3" xfId="3810" xr:uid="{00000000-0005-0000-0000-0000E7280000}"/>
    <cellStyle name="Normal 13 4 3 2" xfId="8761" xr:uid="{00000000-0005-0000-0000-0000E8280000}"/>
    <cellStyle name="Normal 13 4 3 2 2" xfId="19658" xr:uid="{00000000-0005-0000-0000-0000E9280000}"/>
    <cellStyle name="Normal 13 4 3 3" xfId="14707" xr:uid="{00000000-0005-0000-0000-0000EA280000}"/>
    <cellStyle name="Normal 13 4 4" xfId="6449" xr:uid="{00000000-0005-0000-0000-0000EB280000}"/>
    <cellStyle name="Normal 13 4 4 2" xfId="17346" xr:uid="{00000000-0005-0000-0000-0000EC280000}"/>
    <cellStyle name="Normal 13 4 5" xfId="12427" xr:uid="{00000000-0005-0000-0000-0000ED280000}"/>
    <cellStyle name="Normal 14" xfId="248" xr:uid="{00000000-0005-0000-0000-0000EE280000}"/>
    <cellStyle name="Normal 14 2" xfId="422" xr:uid="{00000000-0005-0000-0000-0000EF280000}"/>
    <cellStyle name="Normal 14 2 2" xfId="551" xr:uid="{00000000-0005-0000-0000-0000F0280000}"/>
    <cellStyle name="Normal 14 2 2 2" xfId="816" xr:uid="{00000000-0005-0000-0000-0000F1280000}"/>
    <cellStyle name="Normal 14 2 2 2 2" xfId="1348" xr:uid="{00000000-0005-0000-0000-0000F2280000}"/>
    <cellStyle name="Normal 14 2 2 2 2 2" xfId="2505" xr:uid="{00000000-0005-0000-0000-0000F3280000}"/>
    <cellStyle name="Normal 14 2 2 2 2 2 2" xfId="4817" xr:uid="{00000000-0005-0000-0000-0000F4280000}"/>
    <cellStyle name="Normal 14 2 2 2 2 2 2 2" xfId="9768" xr:uid="{00000000-0005-0000-0000-0000F5280000}"/>
    <cellStyle name="Normal 14 2 2 2 2 2 2 2 2" xfId="20665" xr:uid="{00000000-0005-0000-0000-0000F6280000}"/>
    <cellStyle name="Normal 14 2 2 2 2 2 2 3" xfId="15714" xr:uid="{00000000-0005-0000-0000-0000F7280000}"/>
    <cellStyle name="Normal 14 2 2 2 2 2 3" xfId="7456" xr:uid="{00000000-0005-0000-0000-0000F8280000}"/>
    <cellStyle name="Normal 14 2 2 2 2 2 3 2" xfId="18353" xr:uid="{00000000-0005-0000-0000-0000F9280000}"/>
    <cellStyle name="Normal 14 2 2 2 2 2 4" xfId="13416" xr:uid="{00000000-0005-0000-0000-0000FA280000}"/>
    <cellStyle name="Normal 14 2 2 2 2 3" xfId="3672" xr:uid="{00000000-0005-0000-0000-0000FB280000}"/>
    <cellStyle name="Normal 14 2 2 2 2 3 2" xfId="8623" xr:uid="{00000000-0005-0000-0000-0000FC280000}"/>
    <cellStyle name="Normal 14 2 2 2 2 3 2 2" xfId="19520" xr:uid="{00000000-0005-0000-0000-0000FD280000}"/>
    <cellStyle name="Normal 14 2 2 2 2 3 3" xfId="14569" xr:uid="{00000000-0005-0000-0000-0000FE280000}"/>
    <cellStyle name="Normal 14 2 2 2 2 4" xfId="6311" xr:uid="{00000000-0005-0000-0000-0000FF280000}"/>
    <cellStyle name="Normal 14 2 2 2 2 4 2" xfId="17208" xr:uid="{00000000-0005-0000-0000-000000290000}"/>
    <cellStyle name="Normal 14 2 2 2 2 5" xfId="12298" xr:uid="{00000000-0005-0000-0000-000001290000}"/>
    <cellStyle name="Normal 14 2 2 2 3" xfId="1974" xr:uid="{00000000-0005-0000-0000-000002290000}"/>
    <cellStyle name="Normal 14 2 2 2 3 2" xfId="4286" xr:uid="{00000000-0005-0000-0000-000003290000}"/>
    <cellStyle name="Normal 14 2 2 2 3 2 2" xfId="9237" xr:uid="{00000000-0005-0000-0000-000004290000}"/>
    <cellStyle name="Normal 14 2 2 2 3 2 2 2" xfId="20134" xr:uid="{00000000-0005-0000-0000-000005290000}"/>
    <cellStyle name="Normal 14 2 2 2 3 2 3" xfId="15183" xr:uid="{00000000-0005-0000-0000-000006290000}"/>
    <cellStyle name="Normal 14 2 2 2 3 3" xfId="6925" xr:uid="{00000000-0005-0000-0000-000007290000}"/>
    <cellStyle name="Normal 14 2 2 2 3 3 2" xfId="17822" xr:uid="{00000000-0005-0000-0000-000008290000}"/>
    <cellStyle name="Normal 14 2 2 2 3 4" xfId="12898" xr:uid="{00000000-0005-0000-0000-000009290000}"/>
    <cellStyle name="Normal 14 2 2 2 4" xfId="3140" xr:uid="{00000000-0005-0000-0000-00000A290000}"/>
    <cellStyle name="Normal 14 2 2 2 4 2" xfId="8091" xr:uid="{00000000-0005-0000-0000-00000B290000}"/>
    <cellStyle name="Normal 14 2 2 2 4 2 2" xfId="18988" xr:uid="{00000000-0005-0000-0000-00000C290000}"/>
    <cellStyle name="Normal 14 2 2 2 4 3" xfId="14037" xr:uid="{00000000-0005-0000-0000-00000D290000}"/>
    <cellStyle name="Normal 14 2 2 2 5" xfId="5779" xr:uid="{00000000-0005-0000-0000-00000E290000}"/>
    <cellStyle name="Normal 14 2 2 2 5 2" xfId="16676" xr:uid="{00000000-0005-0000-0000-00000F290000}"/>
    <cellStyle name="Normal 14 2 2 2 6" xfId="11777" xr:uid="{00000000-0005-0000-0000-000010290000}"/>
    <cellStyle name="Normal 14 2 2 3" xfId="1083" xr:uid="{00000000-0005-0000-0000-000011290000}"/>
    <cellStyle name="Normal 14 2 2 3 2" xfId="2240" xr:uid="{00000000-0005-0000-0000-000012290000}"/>
    <cellStyle name="Normal 14 2 2 3 2 2" xfId="4552" xr:uid="{00000000-0005-0000-0000-000013290000}"/>
    <cellStyle name="Normal 14 2 2 3 2 2 2" xfId="9503" xr:uid="{00000000-0005-0000-0000-000014290000}"/>
    <cellStyle name="Normal 14 2 2 3 2 2 2 2" xfId="20400" xr:uid="{00000000-0005-0000-0000-000015290000}"/>
    <cellStyle name="Normal 14 2 2 3 2 2 3" xfId="15449" xr:uid="{00000000-0005-0000-0000-000016290000}"/>
    <cellStyle name="Normal 14 2 2 3 2 3" xfId="7191" xr:uid="{00000000-0005-0000-0000-000017290000}"/>
    <cellStyle name="Normal 14 2 2 3 2 3 2" xfId="18088" xr:uid="{00000000-0005-0000-0000-000018290000}"/>
    <cellStyle name="Normal 14 2 2 3 2 4" xfId="13157" xr:uid="{00000000-0005-0000-0000-000019290000}"/>
    <cellStyle name="Normal 14 2 2 3 3" xfId="3407" xr:uid="{00000000-0005-0000-0000-00001A290000}"/>
    <cellStyle name="Normal 14 2 2 3 3 2" xfId="8358" xr:uid="{00000000-0005-0000-0000-00001B290000}"/>
    <cellStyle name="Normal 14 2 2 3 3 2 2" xfId="19255" xr:uid="{00000000-0005-0000-0000-00001C290000}"/>
    <cellStyle name="Normal 14 2 2 3 3 3" xfId="14304" xr:uid="{00000000-0005-0000-0000-00001D290000}"/>
    <cellStyle name="Normal 14 2 2 3 4" xfId="6046" xr:uid="{00000000-0005-0000-0000-00001E290000}"/>
    <cellStyle name="Normal 14 2 2 3 4 2" xfId="16943" xr:uid="{00000000-0005-0000-0000-00001F290000}"/>
    <cellStyle name="Normal 14 2 2 3 5" xfId="12039" xr:uid="{00000000-0005-0000-0000-000020290000}"/>
    <cellStyle name="Normal 14 2 2 4" xfId="1741" xr:uid="{00000000-0005-0000-0000-000021290000}"/>
    <cellStyle name="Normal 14 2 2 4 2" xfId="4053" xr:uid="{00000000-0005-0000-0000-000022290000}"/>
    <cellStyle name="Normal 14 2 2 4 2 2" xfId="9004" xr:uid="{00000000-0005-0000-0000-000023290000}"/>
    <cellStyle name="Normal 14 2 2 4 2 2 2" xfId="19901" xr:uid="{00000000-0005-0000-0000-000024290000}"/>
    <cellStyle name="Normal 14 2 2 4 2 3" xfId="14950" xr:uid="{00000000-0005-0000-0000-000025290000}"/>
    <cellStyle name="Normal 14 2 2 4 3" xfId="6692" xr:uid="{00000000-0005-0000-0000-000026290000}"/>
    <cellStyle name="Normal 14 2 2 4 3 2" xfId="17589" xr:uid="{00000000-0005-0000-0000-000027290000}"/>
    <cellStyle name="Normal 14 2 2 4 4" xfId="12672" xr:uid="{00000000-0005-0000-0000-000028290000}"/>
    <cellStyle name="Normal 14 2 2 5" xfId="2875" xr:uid="{00000000-0005-0000-0000-000029290000}"/>
    <cellStyle name="Normal 14 2 2 5 2" xfId="7826" xr:uid="{00000000-0005-0000-0000-00002A290000}"/>
    <cellStyle name="Normal 14 2 2 5 2 2" xfId="18723" xr:uid="{00000000-0005-0000-0000-00002B290000}"/>
    <cellStyle name="Normal 14 2 2 5 3" xfId="13772" xr:uid="{00000000-0005-0000-0000-00002C290000}"/>
    <cellStyle name="Normal 14 2 2 6" xfId="5514" xr:uid="{00000000-0005-0000-0000-00002D290000}"/>
    <cellStyle name="Normal 14 2 2 6 2" xfId="16411" xr:uid="{00000000-0005-0000-0000-00002E290000}"/>
    <cellStyle name="Normal 14 2 2 7" xfId="11516" xr:uid="{00000000-0005-0000-0000-00002F290000}"/>
    <cellStyle name="Normal 14 2 3" xfId="687" xr:uid="{00000000-0005-0000-0000-000030290000}"/>
    <cellStyle name="Normal 14 2 3 2" xfId="1219" xr:uid="{00000000-0005-0000-0000-000031290000}"/>
    <cellStyle name="Normal 14 2 3 2 2" xfId="2376" xr:uid="{00000000-0005-0000-0000-000032290000}"/>
    <cellStyle name="Normal 14 2 3 2 2 2" xfId="4688" xr:uid="{00000000-0005-0000-0000-000033290000}"/>
    <cellStyle name="Normal 14 2 3 2 2 2 2" xfId="9639" xr:uid="{00000000-0005-0000-0000-000034290000}"/>
    <cellStyle name="Normal 14 2 3 2 2 2 2 2" xfId="20536" xr:uid="{00000000-0005-0000-0000-000035290000}"/>
    <cellStyle name="Normal 14 2 3 2 2 2 3" xfId="15585" xr:uid="{00000000-0005-0000-0000-000036290000}"/>
    <cellStyle name="Normal 14 2 3 2 2 3" xfId="7327" xr:uid="{00000000-0005-0000-0000-000037290000}"/>
    <cellStyle name="Normal 14 2 3 2 2 3 2" xfId="18224" xr:uid="{00000000-0005-0000-0000-000038290000}"/>
    <cellStyle name="Normal 14 2 3 2 2 4" xfId="13288" xr:uid="{00000000-0005-0000-0000-000039290000}"/>
    <cellStyle name="Normal 14 2 3 2 3" xfId="3543" xr:uid="{00000000-0005-0000-0000-00003A290000}"/>
    <cellStyle name="Normal 14 2 3 2 3 2" xfId="8494" xr:uid="{00000000-0005-0000-0000-00003B290000}"/>
    <cellStyle name="Normal 14 2 3 2 3 2 2" xfId="19391" xr:uid="{00000000-0005-0000-0000-00003C290000}"/>
    <cellStyle name="Normal 14 2 3 2 3 3" xfId="14440" xr:uid="{00000000-0005-0000-0000-00003D290000}"/>
    <cellStyle name="Normal 14 2 3 2 4" xfId="6182" xr:uid="{00000000-0005-0000-0000-00003E290000}"/>
    <cellStyle name="Normal 14 2 3 2 4 2" xfId="17079" xr:uid="{00000000-0005-0000-0000-00003F290000}"/>
    <cellStyle name="Normal 14 2 3 2 5" xfId="12170" xr:uid="{00000000-0005-0000-0000-000040290000}"/>
    <cellStyle name="Normal 14 2 3 3" xfId="1860" xr:uid="{00000000-0005-0000-0000-000041290000}"/>
    <cellStyle name="Normal 14 2 3 3 2" xfId="4172" xr:uid="{00000000-0005-0000-0000-000042290000}"/>
    <cellStyle name="Normal 14 2 3 3 2 2" xfId="9123" xr:uid="{00000000-0005-0000-0000-000043290000}"/>
    <cellStyle name="Normal 14 2 3 3 2 2 2" xfId="20020" xr:uid="{00000000-0005-0000-0000-000044290000}"/>
    <cellStyle name="Normal 14 2 3 3 2 3" xfId="15069" xr:uid="{00000000-0005-0000-0000-000045290000}"/>
    <cellStyle name="Normal 14 2 3 3 3" xfId="6811" xr:uid="{00000000-0005-0000-0000-000046290000}"/>
    <cellStyle name="Normal 14 2 3 3 3 2" xfId="17708" xr:uid="{00000000-0005-0000-0000-000047290000}"/>
    <cellStyle name="Normal 14 2 3 3 4" xfId="12785" xr:uid="{00000000-0005-0000-0000-000048290000}"/>
    <cellStyle name="Normal 14 2 3 4" xfId="3011" xr:uid="{00000000-0005-0000-0000-000049290000}"/>
    <cellStyle name="Normal 14 2 3 4 2" xfId="7962" xr:uid="{00000000-0005-0000-0000-00004A290000}"/>
    <cellStyle name="Normal 14 2 3 4 2 2" xfId="18859" xr:uid="{00000000-0005-0000-0000-00004B290000}"/>
    <cellStyle name="Normal 14 2 3 4 3" xfId="13908" xr:uid="{00000000-0005-0000-0000-00004C290000}"/>
    <cellStyle name="Normal 14 2 3 5" xfId="5650" xr:uid="{00000000-0005-0000-0000-00004D290000}"/>
    <cellStyle name="Normal 14 2 3 5 2" xfId="16547" xr:uid="{00000000-0005-0000-0000-00004E290000}"/>
    <cellStyle name="Normal 14 2 3 6" xfId="11649" xr:uid="{00000000-0005-0000-0000-00004F290000}"/>
    <cellStyle name="Normal 14 2 4" xfId="954" xr:uid="{00000000-0005-0000-0000-000050290000}"/>
    <cellStyle name="Normal 14 2 4 2" xfId="2111" xr:uid="{00000000-0005-0000-0000-000051290000}"/>
    <cellStyle name="Normal 14 2 4 2 2" xfId="4423" xr:uid="{00000000-0005-0000-0000-000052290000}"/>
    <cellStyle name="Normal 14 2 4 2 2 2" xfId="9374" xr:uid="{00000000-0005-0000-0000-000053290000}"/>
    <cellStyle name="Normal 14 2 4 2 2 2 2" xfId="20271" xr:uid="{00000000-0005-0000-0000-000054290000}"/>
    <cellStyle name="Normal 14 2 4 2 2 3" xfId="15320" xr:uid="{00000000-0005-0000-0000-000055290000}"/>
    <cellStyle name="Normal 14 2 4 2 3" xfId="7062" xr:uid="{00000000-0005-0000-0000-000056290000}"/>
    <cellStyle name="Normal 14 2 4 2 3 2" xfId="17959" xr:uid="{00000000-0005-0000-0000-000057290000}"/>
    <cellStyle name="Normal 14 2 4 2 4" xfId="13029" xr:uid="{00000000-0005-0000-0000-000058290000}"/>
    <cellStyle name="Normal 14 2 4 3" xfId="3278" xr:uid="{00000000-0005-0000-0000-000059290000}"/>
    <cellStyle name="Normal 14 2 4 3 2" xfId="8229" xr:uid="{00000000-0005-0000-0000-00005A290000}"/>
    <cellStyle name="Normal 14 2 4 3 2 2" xfId="19126" xr:uid="{00000000-0005-0000-0000-00005B290000}"/>
    <cellStyle name="Normal 14 2 4 3 3" xfId="14175" xr:uid="{00000000-0005-0000-0000-00005C290000}"/>
    <cellStyle name="Normal 14 2 4 4" xfId="5917" xr:uid="{00000000-0005-0000-0000-00005D290000}"/>
    <cellStyle name="Normal 14 2 4 4 2" xfId="16814" xr:uid="{00000000-0005-0000-0000-00005E290000}"/>
    <cellStyle name="Normal 14 2 4 5" xfId="11911" xr:uid="{00000000-0005-0000-0000-00005F290000}"/>
    <cellStyle name="Normal 14 2 5" xfId="1627" xr:uid="{00000000-0005-0000-0000-000060290000}"/>
    <cellStyle name="Normal 14 2 5 2" xfId="3939" xr:uid="{00000000-0005-0000-0000-000061290000}"/>
    <cellStyle name="Normal 14 2 5 2 2" xfId="8890" xr:uid="{00000000-0005-0000-0000-000062290000}"/>
    <cellStyle name="Normal 14 2 5 2 2 2" xfId="19787" xr:uid="{00000000-0005-0000-0000-000063290000}"/>
    <cellStyle name="Normal 14 2 5 2 3" xfId="14836" xr:uid="{00000000-0005-0000-0000-000064290000}"/>
    <cellStyle name="Normal 14 2 5 3" xfId="6578" xr:uid="{00000000-0005-0000-0000-000065290000}"/>
    <cellStyle name="Normal 14 2 5 3 2" xfId="17475" xr:uid="{00000000-0005-0000-0000-000066290000}"/>
    <cellStyle name="Normal 14 2 5 4" xfId="12559" xr:uid="{00000000-0005-0000-0000-000067290000}"/>
    <cellStyle name="Normal 14 2 6" xfId="2746" xr:uid="{00000000-0005-0000-0000-000068290000}"/>
    <cellStyle name="Normal 14 2 6 2" xfId="7697" xr:uid="{00000000-0005-0000-0000-000069290000}"/>
    <cellStyle name="Normal 14 2 6 2 2" xfId="18594" xr:uid="{00000000-0005-0000-0000-00006A290000}"/>
    <cellStyle name="Normal 14 2 6 3" xfId="13643" xr:uid="{00000000-0005-0000-0000-00006B290000}"/>
    <cellStyle name="Normal 14 2 7" xfId="5385" xr:uid="{00000000-0005-0000-0000-00006C290000}"/>
    <cellStyle name="Normal 14 2 7 2" xfId="16282" xr:uid="{00000000-0005-0000-0000-00006D290000}"/>
    <cellStyle name="Normal 14 2 8" xfId="11388" xr:uid="{00000000-0005-0000-0000-00006E290000}"/>
    <cellStyle name="Normal 14 3" xfId="1455" xr:uid="{00000000-0005-0000-0000-00006F290000}"/>
    <cellStyle name="Normal 14 3 2" xfId="2561" xr:uid="{00000000-0005-0000-0000-000070290000}"/>
    <cellStyle name="Normal 14 3 2 2" xfId="4873" xr:uid="{00000000-0005-0000-0000-000071290000}"/>
    <cellStyle name="Normal 14 3 2 2 2" xfId="9824" xr:uid="{00000000-0005-0000-0000-000072290000}"/>
    <cellStyle name="Normal 14 3 2 2 2 2" xfId="20721" xr:uid="{00000000-0005-0000-0000-000073290000}"/>
    <cellStyle name="Normal 14 3 2 2 3" xfId="15770" xr:uid="{00000000-0005-0000-0000-000074290000}"/>
    <cellStyle name="Normal 14 3 2 3" xfId="7512" xr:uid="{00000000-0005-0000-0000-000075290000}"/>
    <cellStyle name="Normal 14 3 2 3 2" xfId="18409" xr:uid="{00000000-0005-0000-0000-000076290000}"/>
    <cellStyle name="Normal 14 3 2 4" xfId="13458" xr:uid="{00000000-0005-0000-0000-000077290000}"/>
    <cellStyle name="Normal 14 3 3" xfId="3776" xr:uid="{00000000-0005-0000-0000-000078290000}"/>
    <cellStyle name="Normal 14 3 3 2" xfId="8727" xr:uid="{00000000-0005-0000-0000-000079290000}"/>
    <cellStyle name="Normal 14 3 3 2 2" xfId="19624" xr:uid="{00000000-0005-0000-0000-00007A290000}"/>
    <cellStyle name="Normal 14 3 3 3" xfId="14673" xr:uid="{00000000-0005-0000-0000-00007B290000}"/>
    <cellStyle name="Normal 14 3 4" xfId="6415" xr:uid="{00000000-0005-0000-0000-00007C290000}"/>
    <cellStyle name="Normal 14 3 4 2" xfId="17312" xr:uid="{00000000-0005-0000-0000-00007D290000}"/>
    <cellStyle name="Normal 14 3 5" xfId="12394" xr:uid="{00000000-0005-0000-0000-00007E290000}"/>
    <cellStyle name="Normal 14 4" xfId="1470" xr:uid="{00000000-0005-0000-0000-00007F290000}"/>
    <cellStyle name="Normal 14 4 2" xfId="2576" xr:uid="{00000000-0005-0000-0000-000080290000}"/>
    <cellStyle name="Normal 14 4 2 2" xfId="4888" xr:uid="{00000000-0005-0000-0000-000081290000}"/>
    <cellStyle name="Normal 14 4 2 2 2" xfId="9839" xr:uid="{00000000-0005-0000-0000-000082290000}"/>
    <cellStyle name="Normal 14 4 2 2 2 2" xfId="20736" xr:uid="{00000000-0005-0000-0000-000083290000}"/>
    <cellStyle name="Normal 14 4 2 2 3" xfId="15785" xr:uid="{00000000-0005-0000-0000-000084290000}"/>
    <cellStyle name="Normal 14 4 2 3" xfId="7527" xr:uid="{00000000-0005-0000-0000-000085290000}"/>
    <cellStyle name="Normal 14 4 2 3 2" xfId="18424" xr:uid="{00000000-0005-0000-0000-000086290000}"/>
    <cellStyle name="Normal 14 4 2 4" xfId="13473" xr:uid="{00000000-0005-0000-0000-000087290000}"/>
    <cellStyle name="Normal 14 4 3" xfId="3791" xr:uid="{00000000-0005-0000-0000-000088290000}"/>
    <cellStyle name="Normal 14 4 3 2" xfId="8742" xr:uid="{00000000-0005-0000-0000-000089290000}"/>
    <cellStyle name="Normal 14 4 3 2 2" xfId="19639" xr:uid="{00000000-0005-0000-0000-00008A290000}"/>
    <cellStyle name="Normal 14 4 3 3" xfId="14688" xr:uid="{00000000-0005-0000-0000-00008B290000}"/>
    <cellStyle name="Normal 14 4 4" xfId="6430" xr:uid="{00000000-0005-0000-0000-00008C290000}"/>
    <cellStyle name="Normal 14 4 4 2" xfId="17327" xr:uid="{00000000-0005-0000-0000-00008D290000}"/>
    <cellStyle name="Normal 14 4 5" xfId="12409" xr:uid="{00000000-0005-0000-0000-00008E290000}"/>
    <cellStyle name="Normal 15" xfId="249" xr:uid="{00000000-0005-0000-0000-00008F290000}"/>
    <cellStyle name="Normal 15 2" xfId="423" xr:uid="{00000000-0005-0000-0000-000090290000}"/>
    <cellStyle name="Normal 15 2 2" xfId="552" xr:uid="{00000000-0005-0000-0000-000091290000}"/>
    <cellStyle name="Normal 15 2 2 2" xfId="817" xr:uid="{00000000-0005-0000-0000-000092290000}"/>
    <cellStyle name="Normal 15 2 2 2 2" xfId="1349" xr:uid="{00000000-0005-0000-0000-000093290000}"/>
    <cellStyle name="Normal 15 2 2 2 2 2" xfId="2506" xr:uid="{00000000-0005-0000-0000-000094290000}"/>
    <cellStyle name="Normal 15 2 2 2 2 2 2" xfId="4818" xr:uid="{00000000-0005-0000-0000-000095290000}"/>
    <cellStyle name="Normal 15 2 2 2 2 2 2 2" xfId="9769" xr:uid="{00000000-0005-0000-0000-000096290000}"/>
    <cellStyle name="Normal 15 2 2 2 2 2 2 2 2" xfId="20666" xr:uid="{00000000-0005-0000-0000-000097290000}"/>
    <cellStyle name="Normal 15 2 2 2 2 2 2 3" xfId="15715" xr:uid="{00000000-0005-0000-0000-000098290000}"/>
    <cellStyle name="Normal 15 2 2 2 2 2 3" xfId="7457" xr:uid="{00000000-0005-0000-0000-000099290000}"/>
    <cellStyle name="Normal 15 2 2 2 2 2 3 2" xfId="18354" xr:uid="{00000000-0005-0000-0000-00009A290000}"/>
    <cellStyle name="Normal 15 2 2 2 2 2 4" xfId="13417" xr:uid="{00000000-0005-0000-0000-00009B290000}"/>
    <cellStyle name="Normal 15 2 2 2 2 3" xfId="3673" xr:uid="{00000000-0005-0000-0000-00009C290000}"/>
    <cellStyle name="Normal 15 2 2 2 2 3 2" xfId="8624" xr:uid="{00000000-0005-0000-0000-00009D290000}"/>
    <cellStyle name="Normal 15 2 2 2 2 3 2 2" xfId="19521" xr:uid="{00000000-0005-0000-0000-00009E290000}"/>
    <cellStyle name="Normal 15 2 2 2 2 3 3" xfId="14570" xr:uid="{00000000-0005-0000-0000-00009F290000}"/>
    <cellStyle name="Normal 15 2 2 2 2 4" xfId="6312" xr:uid="{00000000-0005-0000-0000-0000A0290000}"/>
    <cellStyle name="Normal 15 2 2 2 2 4 2" xfId="17209" xr:uid="{00000000-0005-0000-0000-0000A1290000}"/>
    <cellStyle name="Normal 15 2 2 2 2 5" xfId="12299" xr:uid="{00000000-0005-0000-0000-0000A2290000}"/>
    <cellStyle name="Normal 15 2 2 2 3" xfId="1975" xr:uid="{00000000-0005-0000-0000-0000A3290000}"/>
    <cellStyle name="Normal 15 2 2 2 3 2" xfId="4287" xr:uid="{00000000-0005-0000-0000-0000A4290000}"/>
    <cellStyle name="Normal 15 2 2 2 3 2 2" xfId="9238" xr:uid="{00000000-0005-0000-0000-0000A5290000}"/>
    <cellStyle name="Normal 15 2 2 2 3 2 2 2" xfId="20135" xr:uid="{00000000-0005-0000-0000-0000A6290000}"/>
    <cellStyle name="Normal 15 2 2 2 3 2 3" xfId="15184" xr:uid="{00000000-0005-0000-0000-0000A7290000}"/>
    <cellStyle name="Normal 15 2 2 2 3 3" xfId="6926" xr:uid="{00000000-0005-0000-0000-0000A8290000}"/>
    <cellStyle name="Normal 15 2 2 2 3 3 2" xfId="17823" xr:uid="{00000000-0005-0000-0000-0000A9290000}"/>
    <cellStyle name="Normal 15 2 2 2 3 4" xfId="12899" xr:uid="{00000000-0005-0000-0000-0000AA290000}"/>
    <cellStyle name="Normal 15 2 2 2 4" xfId="3141" xr:uid="{00000000-0005-0000-0000-0000AB290000}"/>
    <cellStyle name="Normal 15 2 2 2 4 2" xfId="8092" xr:uid="{00000000-0005-0000-0000-0000AC290000}"/>
    <cellStyle name="Normal 15 2 2 2 4 2 2" xfId="18989" xr:uid="{00000000-0005-0000-0000-0000AD290000}"/>
    <cellStyle name="Normal 15 2 2 2 4 3" xfId="14038" xr:uid="{00000000-0005-0000-0000-0000AE290000}"/>
    <cellStyle name="Normal 15 2 2 2 5" xfId="5780" xr:uid="{00000000-0005-0000-0000-0000AF290000}"/>
    <cellStyle name="Normal 15 2 2 2 5 2" xfId="16677" xr:uid="{00000000-0005-0000-0000-0000B0290000}"/>
    <cellStyle name="Normal 15 2 2 2 6" xfId="11778" xr:uid="{00000000-0005-0000-0000-0000B1290000}"/>
    <cellStyle name="Normal 15 2 2 3" xfId="1084" xr:uid="{00000000-0005-0000-0000-0000B2290000}"/>
    <cellStyle name="Normal 15 2 2 3 2" xfId="2241" xr:uid="{00000000-0005-0000-0000-0000B3290000}"/>
    <cellStyle name="Normal 15 2 2 3 2 2" xfId="4553" xr:uid="{00000000-0005-0000-0000-0000B4290000}"/>
    <cellStyle name="Normal 15 2 2 3 2 2 2" xfId="9504" xr:uid="{00000000-0005-0000-0000-0000B5290000}"/>
    <cellStyle name="Normal 15 2 2 3 2 2 2 2" xfId="20401" xr:uid="{00000000-0005-0000-0000-0000B6290000}"/>
    <cellStyle name="Normal 15 2 2 3 2 2 3" xfId="15450" xr:uid="{00000000-0005-0000-0000-0000B7290000}"/>
    <cellStyle name="Normal 15 2 2 3 2 3" xfId="7192" xr:uid="{00000000-0005-0000-0000-0000B8290000}"/>
    <cellStyle name="Normal 15 2 2 3 2 3 2" xfId="18089" xr:uid="{00000000-0005-0000-0000-0000B9290000}"/>
    <cellStyle name="Normal 15 2 2 3 2 4" xfId="13158" xr:uid="{00000000-0005-0000-0000-0000BA290000}"/>
    <cellStyle name="Normal 15 2 2 3 3" xfId="3408" xr:uid="{00000000-0005-0000-0000-0000BB290000}"/>
    <cellStyle name="Normal 15 2 2 3 3 2" xfId="8359" xr:uid="{00000000-0005-0000-0000-0000BC290000}"/>
    <cellStyle name="Normal 15 2 2 3 3 2 2" xfId="19256" xr:uid="{00000000-0005-0000-0000-0000BD290000}"/>
    <cellStyle name="Normal 15 2 2 3 3 3" xfId="14305" xr:uid="{00000000-0005-0000-0000-0000BE290000}"/>
    <cellStyle name="Normal 15 2 2 3 4" xfId="6047" xr:uid="{00000000-0005-0000-0000-0000BF290000}"/>
    <cellStyle name="Normal 15 2 2 3 4 2" xfId="16944" xr:uid="{00000000-0005-0000-0000-0000C0290000}"/>
    <cellStyle name="Normal 15 2 2 3 5" xfId="12040" xr:uid="{00000000-0005-0000-0000-0000C1290000}"/>
    <cellStyle name="Normal 15 2 2 4" xfId="1742" xr:uid="{00000000-0005-0000-0000-0000C2290000}"/>
    <cellStyle name="Normal 15 2 2 4 2" xfId="4054" xr:uid="{00000000-0005-0000-0000-0000C3290000}"/>
    <cellStyle name="Normal 15 2 2 4 2 2" xfId="9005" xr:uid="{00000000-0005-0000-0000-0000C4290000}"/>
    <cellStyle name="Normal 15 2 2 4 2 2 2" xfId="19902" xr:uid="{00000000-0005-0000-0000-0000C5290000}"/>
    <cellStyle name="Normal 15 2 2 4 2 3" xfId="14951" xr:uid="{00000000-0005-0000-0000-0000C6290000}"/>
    <cellStyle name="Normal 15 2 2 4 3" xfId="6693" xr:uid="{00000000-0005-0000-0000-0000C7290000}"/>
    <cellStyle name="Normal 15 2 2 4 3 2" xfId="17590" xr:uid="{00000000-0005-0000-0000-0000C8290000}"/>
    <cellStyle name="Normal 15 2 2 4 4" xfId="12673" xr:uid="{00000000-0005-0000-0000-0000C9290000}"/>
    <cellStyle name="Normal 15 2 2 5" xfId="2876" xr:uid="{00000000-0005-0000-0000-0000CA290000}"/>
    <cellStyle name="Normal 15 2 2 5 2" xfId="7827" xr:uid="{00000000-0005-0000-0000-0000CB290000}"/>
    <cellStyle name="Normal 15 2 2 5 2 2" xfId="18724" xr:uid="{00000000-0005-0000-0000-0000CC290000}"/>
    <cellStyle name="Normal 15 2 2 5 3" xfId="13773" xr:uid="{00000000-0005-0000-0000-0000CD290000}"/>
    <cellStyle name="Normal 15 2 2 6" xfId="5515" xr:uid="{00000000-0005-0000-0000-0000CE290000}"/>
    <cellStyle name="Normal 15 2 2 6 2" xfId="16412" xr:uid="{00000000-0005-0000-0000-0000CF290000}"/>
    <cellStyle name="Normal 15 2 2 7" xfId="11517" xr:uid="{00000000-0005-0000-0000-0000D0290000}"/>
    <cellStyle name="Normal 15 2 3" xfId="688" xr:uid="{00000000-0005-0000-0000-0000D1290000}"/>
    <cellStyle name="Normal 15 2 3 2" xfId="1220" xr:uid="{00000000-0005-0000-0000-0000D2290000}"/>
    <cellStyle name="Normal 15 2 3 2 2" xfId="2377" xr:uid="{00000000-0005-0000-0000-0000D3290000}"/>
    <cellStyle name="Normal 15 2 3 2 2 2" xfId="4689" xr:uid="{00000000-0005-0000-0000-0000D4290000}"/>
    <cellStyle name="Normal 15 2 3 2 2 2 2" xfId="9640" xr:uid="{00000000-0005-0000-0000-0000D5290000}"/>
    <cellStyle name="Normal 15 2 3 2 2 2 2 2" xfId="20537" xr:uid="{00000000-0005-0000-0000-0000D6290000}"/>
    <cellStyle name="Normal 15 2 3 2 2 2 3" xfId="15586" xr:uid="{00000000-0005-0000-0000-0000D7290000}"/>
    <cellStyle name="Normal 15 2 3 2 2 3" xfId="7328" xr:uid="{00000000-0005-0000-0000-0000D8290000}"/>
    <cellStyle name="Normal 15 2 3 2 2 3 2" xfId="18225" xr:uid="{00000000-0005-0000-0000-0000D9290000}"/>
    <cellStyle name="Normal 15 2 3 2 2 4" xfId="13289" xr:uid="{00000000-0005-0000-0000-0000DA290000}"/>
    <cellStyle name="Normal 15 2 3 2 3" xfId="3544" xr:uid="{00000000-0005-0000-0000-0000DB290000}"/>
    <cellStyle name="Normal 15 2 3 2 3 2" xfId="8495" xr:uid="{00000000-0005-0000-0000-0000DC290000}"/>
    <cellStyle name="Normal 15 2 3 2 3 2 2" xfId="19392" xr:uid="{00000000-0005-0000-0000-0000DD290000}"/>
    <cellStyle name="Normal 15 2 3 2 3 3" xfId="14441" xr:uid="{00000000-0005-0000-0000-0000DE290000}"/>
    <cellStyle name="Normal 15 2 3 2 4" xfId="6183" xr:uid="{00000000-0005-0000-0000-0000DF290000}"/>
    <cellStyle name="Normal 15 2 3 2 4 2" xfId="17080" xr:uid="{00000000-0005-0000-0000-0000E0290000}"/>
    <cellStyle name="Normal 15 2 3 2 5" xfId="12171" xr:uid="{00000000-0005-0000-0000-0000E1290000}"/>
    <cellStyle name="Normal 15 2 3 3" xfId="1861" xr:uid="{00000000-0005-0000-0000-0000E2290000}"/>
    <cellStyle name="Normal 15 2 3 3 2" xfId="4173" xr:uid="{00000000-0005-0000-0000-0000E3290000}"/>
    <cellStyle name="Normal 15 2 3 3 2 2" xfId="9124" xr:uid="{00000000-0005-0000-0000-0000E4290000}"/>
    <cellStyle name="Normal 15 2 3 3 2 2 2" xfId="20021" xr:uid="{00000000-0005-0000-0000-0000E5290000}"/>
    <cellStyle name="Normal 15 2 3 3 2 3" xfId="15070" xr:uid="{00000000-0005-0000-0000-0000E6290000}"/>
    <cellStyle name="Normal 15 2 3 3 3" xfId="6812" xr:uid="{00000000-0005-0000-0000-0000E7290000}"/>
    <cellStyle name="Normal 15 2 3 3 3 2" xfId="17709" xr:uid="{00000000-0005-0000-0000-0000E8290000}"/>
    <cellStyle name="Normal 15 2 3 3 4" xfId="12786" xr:uid="{00000000-0005-0000-0000-0000E9290000}"/>
    <cellStyle name="Normal 15 2 3 4" xfId="3012" xr:uid="{00000000-0005-0000-0000-0000EA290000}"/>
    <cellStyle name="Normal 15 2 3 4 2" xfId="7963" xr:uid="{00000000-0005-0000-0000-0000EB290000}"/>
    <cellStyle name="Normal 15 2 3 4 2 2" xfId="18860" xr:uid="{00000000-0005-0000-0000-0000EC290000}"/>
    <cellStyle name="Normal 15 2 3 4 3" xfId="13909" xr:uid="{00000000-0005-0000-0000-0000ED290000}"/>
    <cellStyle name="Normal 15 2 3 5" xfId="5651" xr:uid="{00000000-0005-0000-0000-0000EE290000}"/>
    <cellStyle name="Normal 15 2 3 5 2" xfId="16548" xr:uid="{00000000-0005-0000-0000-0000EF290000}"/>
    <cellStyle name="Normal 15 2 3 6" xfId="11650" xr:uid="{00000000-0005-0000-0000-0000F0290000}"/>
    <cellStyle name="Normal 15 2 4" xfId="955" xr:uid="{00000000-0005-0000-0000-0000F1290000}"/>
    <cellStyle name="Normal 15 2 4 2" xfId="2112" xr:uid="{00000000-0005-0000-0000-0000F2290000}"/>
    <cellStyle name="Normal 15 2 4 2 2" xfId="4424" xr:uid="{00000000-0005-0000-0000-0000F3290000}"/>
    <cellStyle name="Normal 15 2 4 2 2 2" xfId="9375" xr:uid="{00000000-0005-0000-0000-0000F4290000}"/>
    <cellStyle name="Normal 15 2 4 2 2 2 2" xfId="20272" xr:uid="{00000000-0005-0000-0000-0000F5290000}"/>
    <cellStyle name="Normal 15 2 4 2 2 3" xfId="15321" xr:uid="{00000000-0005-0000-0000-0000F6290000}"/>
    <cellStyle name="Normal 15 2 4 2 3" xfId="7063" xr:uid="{00000000-0005-0000-0000-0000F7290000}"/>
    <cellStyle name="Normal 15 2 4 2 3 2" xfId="17960" xr:uid="{00000000-0005-0000-0000-0000F8290000}"/>
    <cellStyle name="Normal 15 2 4 2 4" xfId="13030" xr:uid="{00000000-0005-0000-0000-0000F9290000}"/>
    <cellStyle name="Normal 15 2 4 3" xfId="3279" xr:uid="{00000000-0005-0000-0000-0000FA290000}"/>
    <cellStyle name="Normal 15 2 4 3 2" xfId="8230" xr:uid="{00000000-0005-0000-0000-0000FB290000}"/>
    <cellStyle name="Normal 15 2 4 3 2 2" xfId="19127" xr:uid="{00000000-0005-0000-0000-0000FC290000}"/>
    <cellStyle name="Normal 15 2 4 3 3" xfId="14176" xr:uid="{00000000-0005-0000-0000-0000FD290000}"/>
    <cellStyle name="Normal 15 2 4 4" xfId="5918" xr:uid="{00000000-0005-0000-0000-0000FE290000}"/>
    <cellStyle name="Normal 15 2 4 4 2" xfId="16815" xr:uid="{00000000-0005-0000-0000-0000FF290000}"/>
    <cellStyle name="Normal 15 2 4 5" xfId="11912" xr:uid="{00000000-0005-0000-0000-0000002A0000}"/>
    <cellStyle name="Normal 15 2 5" xfId="1628" xr:uid="{00000000-0005-0000-0000-0000012A0000}"/>
    <cellStyle name="Normal 15 2 5 2" xfId="3940" xr:uid="{00000000-0005-0000-0000-0000022A0000}"/>
    <cellStyle name="Normal 15 2 5 2 2" xfId="8891" xr:uid="{00000000-0005-0000-0000-0000032A0000}"/>
    <cellStyle name="Normal 15 2 5 2 2 2" xfId="19788" xr:uid="{00000000-0005-0000-0000-0000042A0000}"/>
    <cellStyle name="Normal 15 2 5 2 3" xfId="14837" xr:uid="{00000000-0005-0000-0000-0000052A0000}"/>
    <cellStyle name="Normal 15 2 5 3" xfId="6579" xr:uid="{00000000-0005-0000-0000-0000062A0000}"/>
    <cellStyle name="Normal 15 2 5 3 2" xfId="17476" xr:uid="{00000000-0005-0000-0000-0000072A0000}"/>
    <cellStyle name="Normal 15 2 5 4" xfId="12560" xr:uid="{00000000-0005-0000-0000-0000082A0000}"/>
    <cellStyle name="Normal 15 2 6" xfId="2747" xr:uid="{00000000-0005-0000-0000-0000092A0000}"/>
    <cellStyle name="Normal 15 2 6 2" xfId="7698" xr:uid="{00000000-0005-0000-0000-00000A2A0000}"/>
    <cellStyle name="Normal 15 2 6 2 2" xfId="18595" xr:uid="{00000000-0005-0000-0000-00000B2A0000}"/>
    <cellStyle name="Normal 15 2 6 3" xfId="13644" xr:uid="{00000000-0005-0000-0000-00000C2A0000}"/>
    <cellStyle name="Normal 15 2 7" xfId="5386" xr:uid="{00000000-0005-0000-0000-00000D2A0000}"/>
    <cellStyle name="Normal 15 2 7 2" xfId="16283" xr:uid="{00000000-0005-0000-0000-00000E2A0000}"/>
    <cellStyle name="Normal 15 2 8" xfId="11389" xr:uid="{00000000-0005-0000-0000-00000F2A0000}"/>
    <cellStyle name="Normal 16" xfId="250" xr:uid="{00000000-0005-0000-0000-0000102A0000}"/>
    <cellStyle name="Normal 17" xfId="251" xr:uid="{00000000-0005-0000-0000-0000112A0000}"/>
    <cellStyle name="Normal 18" xfId="252" xr:uid="{00000000-0005-0000-0000-0000122A0000}"/>
    <cellStyle name="Normal 18 10" xfId="11291" xr:uid="{00000000-0005-0000-0000-0000132A0000}"/>
    <cellStyle name="Normal 18 2" xfId="253" xr:uid="{00000000-0005-0000-0000-0000142A0000}"/>
    <cellStyle name="Normal 18 2 2" xfId="387" xr:uid="{00000000-0005-0000-0000-0000152A0000}"/>
    <cellStyle name="Normal 18 2 2 2" xfId="517" xr:uid="{00000000-0005-0000-0000-0000162A0000}"/>
    <cellStyle name="Normal 18 2 2 2 2" xfId="782" xr:uid="{00000000-0005-0000-0000-0000172A0000}"/>
    <cellStyle name="Normal 18 2 2 2 2 2" xfId="1314" xr:uid="{00000000-0005-0000-0000-0000182A0000}"/>
    <cellStyle name="Normal 18 2 2 2 2 2 2" xfId="2471" xr:uid="{00000000-0005-0000-0000-0000192A0000}"/>
    <cellStyle name="Normal 18 2 2 2 2 2 2 2" xfId="4783" xr:uid="{00000000-0005-0000-0000-00001A2A0000}"/>
    <cellStyle name="Normal 18 2 2 2 2 2 2 2 2" xfId="9734" xr:uid="{00000000-0005-0000-0000-00001B2A0000}"/>
    <cellStyle name="Normal 18 2 2 2 2 2 2 2 2 2" xfId="20631" xr:uid="{00000000-0005-0000-0000-00001C2A0000}"/>
    <cellStyle name="Normal 18 2 2 2 2 2 2 2 3" xfId="15680" xr:uid="{00000000-0005-0000-0000-00001D2A0000}"/>
    <cellStyle name="Normal 18 2 2 2 2 2 2 3" xfId="7422" xr:uid="{00000000-0005-0000-0000-00001E2A0000}"/>
    <cellStyle name="Normal 18 2 2 2 2 2 2 3 2" xfId="18319" xr:uid="{00000000-0005-0000-0000-00001F2A0000}"/>
    <cellStyle name="Normal 18 2 2 2 2 2 2 4" xfId="13382" xr:uid="{00000000-0005-0000-0000-0000202A0000}"/>
    <cellStyle name="Normal 18 2 2 2 2 2 3" xfId="3638" xr:uid="{00000000-0005-0000-0000-0000212A0000}"/>
    <cellStyle name="Normal 18 2 2 2 2 2 3 2" xfId="8589" xr:uid="{00000000-0005-0000-0000-0000222A0000}"/>
    <cellStyle name="Normal 18 2 2 2 2 2 3 2 2" xfId="19486" xr:uid="{00000000-0005-0000-0000-0000232A0000}"/>
    <cellStyle name="Normal 18 2 2 2 2 2 3 3" xfId="14535" xr:uid="{00000000-0005-0000-0000-0000242A0000}"/>
    <cellStyle name="Normal 18 2 2 2 2 2 4" xfId="6277" xr:uid="{00000000-0005-0000-0000-0000252A0000}"/>
    <cellStyle name="Normal 18 2 2 2 2 2 4 2" xfId="17174" xr:uid="{00000000-0005-0000-0000-0000262A0000}"/>
    <cellStyle name="Normal 18 2 2 2 2 2 5" xfId="12264" xr:uid="{00000000-0005-0000-0000-0000272A0000}"/>
    <cellStyle name="Normal 18 2 2 2 2 3" xfId="1940" xr:uid="{00000000-0005-0000-0000-0000282A0000}"/>
    <cellStyle name="Normal 18 2 2 2 2 3 2" xfId="4252" xr:uid="{00000000-0005-0000-0000-0000292A0000}"/>
    <cellStyle name="Normal 18 2 2 2 2 3 2 2" xfId="9203" xr:uid="{00000000-0005-0000-0000-00002A2A0000}"/>
    <cellStyle name="Normal 18 2 2 2 2 3 2 2 2" xfId="20100" xr:uid="{00000000-0005-0000-0000-00002B2A0000}"/>
    <cellStyle name="Normal 18 2 2 2 2 3 2 3" xfId="15149" xr:uid="{00000000-0005-0000-0000-00002C2A0000}"/>
    <cellStyle name="Normal 18 2 2 2 2 3 3" xfId="6891" xr:uid="{00000000-0005-0000-0000-00002D2A0000}"/>
    <cellStyle name="Normal 18 2 2 2 2 3 3 2" xfId="17788" xr:uid="{00000000-0005-0000-0000-00002E2A0000}"/>
    <cellStyle name="Normal 18 2 2 2 2 3 4" xfId="12864" xr:uid="{00000000-0005-0000-0000-00002F2A0000}"/>
    <cellStyle name="Normal 18 2 2 2 2 4" xfId="3106" xr:uid="{00000000-0005-0000-0000-0000302A0000}"/>
    <cellStyle name="Normal 18 2 2 2 2 4 2" xfId="8057" xr:uid="{00000000-0005-0000-0000-0000312A0000}"/>
    <cellStyle name="Normal 18 2 2 2 2 4 2 2" xfId="18954" xr:uid="{00000000-0005-0000-0000-0000322A0000}"/>
    <cellStyle name="Normal 18 2 2 2 2 4 3" xfId="14003" xr:uid="{00000000-0005-0000-0000-0000332A0000}"/>
    <cellStyle name="Normal 18 2 2 2 2 5" xfId="5745" xr:uid="{00000000-0005-0000-0000-0000342A0000}"/>
    <cellStyle name="Normal 18 2 2 2 2 5 2" xfId="16642" xr:uid="{00000000-0005-0000-0000-0000352A0000}"/>
    <cellStyle name="Normal 18 2 2 2 2 6" xfId="11743" xr:uid="{00000000-0005-0000-0000-0000362A0000}"/>
    <cellStyle name="Normal 18 2 2 2 3" xfId="1049" xr:uid="{00000000-0005-0000-0000-0000372A0000}"/>
    <cellStyle name="Normal 18 2 2 2 3 2" xfId="2206" xr:uid="{00000000-0005-0000-0000-0000382A0000}"/>
    <cellStyle name="Normal 18 2 2 2 3 2 2" xfId="4518" xr:uid="{00000000-0005-0000-0000-0000392A0000}"/>
    <cellStyle name="Normal 18 2 2 2 3 2 2 2" xfId="9469" xr:uid="{00000000-0005-0000-0000-00003A2A0000}"/>
    <cellStyle name="Normal 18 2 2 2 3 2 2 2 2" xfId="20366" xr:uid="{00000000-0005-0000-0000-00003B2A0000}"/>
    <cellStyle name="Normal 18 2 2 2 3 2 2 3" xfId="15415" xr:uid="{00000000-0005-0000-0000-00003C2A0000}"/>
    <cellStyle name="Normal 18 2 2 2 3 2 3" xfId="7157" xr:uid="{00000000-0005-0000-0000-00003D2A0000}"/>
    <cellStyle name="Normal 18 2 2 2 3 2 3 2" xfId="18054" xr:uid="{00000000-0005-0000-0000-00003E2A0000}"/>
    <cellStyle name="Normal 18 2 2 2 3 2 4" xfId="13123" xr:uid="{00000000-0005-0000-0000-00003F2A0000}"/>
    <cellStyle name="Normal 18 2 2 2 3 3" xfId="3373" xr:uid="{00000000-0005-0000-0000-0000402A0000}"/>
    <cellStyle name="Normal 18 2 2 2 3 3 2" xfId="8324" xr:uid="{00000000-0005-0000-0000-0000412A0000}"/>
    <cellStyle name="Normal 18 2 2 2 3 3 2 2" xfId="19221" xr:uid="{00000000-0005-0000-0000-0000422A0000}"/>
    <cellStyle name="Normal 18 2 2 2 3 3 3" xfId="14270" xr:uid="{00000000-0005-0000-0000-0000432A0000}"/>
    <cellStyle name="Normal 18 2 2 2 3 4" xfId="6012" xr:uid="{00000000-0005-0000-0000-0000442A0000}"/>
    <cellStyle name="Normal 18 2 2 2 3 4 2" xfId="16909" xr:uid="{00000000-0005-0000-0000-0000452A0000}"/>
    <cellStyle name="Normal 18 2 2 2 3 5" xfId="12005" xr:uid="{00000000-0005-0000-0000-0000462A0000}"/>
    <cellStyle name="Normal 18 2 2 2 4" xfId="1707" xr:uid="{00000000-0005-0000-0000-0000472A0000}"/>
    <cellStyle name="Normal 18 2 2 2 4 2" xfId="4019" xr:uid="{00000000-0005-0000-0000-0000482A0000}"/>
    <cellStyle name="Normal 18 2 2 2 4 2 2" xfId="8970" xr:uid="{00000000-0005-0000-0000-0000492A0000}"/>
    <cellStyle name="Normal 18 2 2 2 4 2 2 2" xfId="19867" xr:uid="{00000000-0005-0000-0000-00004A2A0000}"/>
    <cellStyle name="Normal 18 2 2 2 4 2 3" xfId="14916" xr:uid="{00000000-0005-0000-0000-00004B2A0000}"/>
    <cellStyle name="Normal 18 2 2 2 4 3" xfId="6658" xr:uid="{00000000-0005-0000-0000-00004C2A0000}"/>
    <cellStyle name="Normal 18 2 2 2 4 3 2" xfId="17555" xr:uid="{00000000-0005-0000-0000-00004D2A0000}"/>
    <cellStyle name="Normal 18 2 2 2 4 4" xfId="12638" xr:uid="{00000000-0005-0000-0000-00004E2A0000}"/>
    <cellStyle name="Normal 18 2 2 2 5" xfId="2841" xr:uid="{00000000-0005-0000-0000-00004F2A0000}"/>
    <cellStyle name="Normal 18 2 2 2 5 2" xfId="7792" xr:uid="{00000000-0005-0000-0000-0000502A0000}"/>
    <cellStyle name="Normal 18 2 2 2 5 2 2" xfId="18689" xr:uid="{00000000-0005-0000-0000-0000512A0000}"/>
    <cellStyle name="Normal 18 2 2 2 5 3" xfId="13738" xr:uid="{00000000-0005-0000-0000-0000522A0000}"/>
    <cellStyle name="Normal 18 2 2 2 6" xfId="5480" xr:uid="{00000000-0005-0000-0000-0000532A0000}"/>
    <cellStyle name="Normal 18 2 2 2 6 2" xfId="16377" xr:uid="{00000000-0005-0000-0000-0000542A0000}"/>
    <cellStyle name="Normal 18 2 2 2 7" xfId="11482" xr:uid="{00000000-0005-0000-0000-0000552A0000}"/>
    <cellStyle name="Normal 18 2 2 3" xfId="653" xr:uid="{00000000-0005-0000-0000-0000562A0000}"/>
    <cellStyle name="Normal 18 2 2 3 2" xfId="1185" xr:uid="{00000000-0005-0000-0000-0000572A0000}"/>
    <cellStyle name="Normal 18 2 2 3 2 2" xfId="2342" xr:uid="{00000000-0005-0000-0000-0000582A0000}"/>
    <cellStyle name="Normal 18 2 2 3 2 2 2" xfId="4654" xr:uid="{00000000-0005-0000-0000-0000592A0000}"/>
    <cellStyle name="Normal 18 2 2 3 2 2 2 2" xfId="9605" xr:uid="{00000000-0005-0000-0000-00005A2A0000}"/>
    <cellStyle name="Normal 18 2 2 3 2 2 2 2 2" xfId="20502" xr:uid="{00000000-0005-0000-0000-00005B2A0000}"/>
    <cellStyle name="Normal 18 2 2 3 2 2 2 3" xfId="15551" xr:uid="{00000000-0005-0000-0000-00005C2A0000}"/>
    <cellStyle name="Normal 18 2 2 3 2 2 3" xfId="7293" xr:uid="{00000000-0005-0000-0000-00005D2A0000}"/>
    <cellStyle name="Normal 18 2 2 3 2 2 3 2" xfId="18190" xr:uid="{00000000-0005-0000-0000-00005E2A0000}"/>
    <cellStyle name="Normal 18 2 2 3 2 2 4" xfId="13254" xr:uid="{00000000-0005-0000-0000-00005F2A0000}"/>
    <cellStyle name="Normal 18 2 2 3 2 3" xfId="3509" xr:uid="{00000000-0005-0000-0000-0000602A0000}"/>
    <cellStyle name="Normal 18 2 2 3 2 3 2" xfId="8460" xr:uid="{00000000-0005-0000-0000-0000612A0000}"/>
    <cellStyle name="Normal 18 2 2 3 2 3 2 2" xfId="19357" xr:uid="{00000000-0005-0000-0000-0000622A0000}"/>
    <cellStyle name="Normal 18 2 2 3 2 3 3" xfId="14406" xr:uid="{00000000-0005-0000-0000-0000632A0000}"/>
    <cellStyle name="Normal 18 2 2 3 2 4" xfId="6148" xr:uid="{00000000-0005-0000-0000-0000642A0000}"/>
    <cellStyle name="Normal 18 2 2 3 2 4 2" xfId="17045" xr:uid="{00000000-0005-0000-0000-0000652A0000}"/>
    <cellStyle name="Normal 18 2 2 3 2 5" xfId="12136" xr:uid="{00000000-0005-0000-0000-0000662A0000}"/>
    <cellStyle name="Normal 18 2 2 3 3" xfId="1826" xr:uid="{00000000-0005-0000-0000-0000672A0000}"/>
    <cellStyle name="Normal 18 2 2 3 3 2" xfId="4138" xr:uid="{00000000-0005-0000-0000-0000682A0000}"/>
    <cellStyle name="Normal 18 2 2 3 3 2 2" xfId="9089" xr:uid="{00000000-0005-0000-0000-0000692A0000}"/>
    <cellStyle name="Normal 18 2 2 3 3 2 2 2" xfId="19986" xr:uid="{00000000-0005-0000-0000-00006A2A0000}"/>
    <cellStyle name="Normal 18 2 2 3 3 2 3" xfId="15035" xr:uid="{00000000-0005-0000-0000-00006B2A0000}"/>
    <cellStyle name="Normal 18 2 2 3 3 3" xfId="6777" xr:uid="{00000000-0005-0000-0000-00006C2A0000}"/>
    <cellStyle name="Normal 18 2 2 3 3 3 2" xfId="17674" xr:uid="{00000000-0005-0000-0000-00006D2A0000}"/>
    <cellStyle name="Normal 18 2 2 3 3 4" xfId="12751" xr:uid="{00000000-0005-0000-0000-00006E2A0000}"/>
    <cellStyle name="Normal 18 2 2 3 4" xfId="2977" xr:uid="{00000000-0005-0000-0000-00006F2A0000}"/>
    <cellStyle name="Normal 18 2 2 3 4 2" xfId="7928" xr:uid="{00000000-0005-0000-0000-0000702A0000}"/>
    <cellStyle name="Normal 18 2 2 3 4 2 2" xfId="18825" xr:uid="{00000000-0005-0000-0000-0000712A0000}"/>
    <cellStyle name="Normal 18 2 2 3 4 3" xfId="13874" xr:uid="{00000000-0005-0000-0000-0000722A0000}"/>
    <cellStyle name="Normal 18 2 2 3 5" xfId="5616" xr:uid="{00000000-0005-0000-0000-0000732A0000}"/>
    <cellStyle name="Normal 18 2 2 3 5 2" xfId="16513" xr:uid="{00000000-0005-0000-0000-0000742A0000}"/>
    <cellStyle name="Normal 18 2 2 3 6" xfId="11615" xr:uid="{00000000-0005-0000-0000-0000752A0000}"/>
    <cellStyle name="Normal 18 2 2 4" xfId="920" xr:uid="{00000000-0005-0000-0000-0000762A0000}"/>
    <cellStyle name="Normal 18 2 2 4 2" xfId="2077" xr:uid="{00000000-0005-0000-0000-0000772A0000}"/>
    <cellStyle name="Normal 18 2 2 4 2 2" xfId="4389" xr:uid="{00000000-0005-0000-0000-0000782A0000}"/>
    <cellStyle name="Normal 18 2 2 4 2 2 2" xfId="9340" xr:uid="{00000000-0005-0000-0000-0000792A0000}"/>
    <cellStyle name="Normal 18 2 2 4 2 2 2 2" xfId="20237" xr:uid="{00000000-0005-0000-0000-00007A2A0000}"/>
    <cellStyle name="Normal 18 2 2 4 2 2 3" xfId="15286" xr:uid="{00000000-0005-0000-0000-00007B2A0000}"/>
    <cellStyle name="Normal 18 2 2 4 2 3" xfId="7028" xr:uid="{00000000-0005-0000-0000-00007C2A0000}"/>
    <cellStyle name="Normal 18 2 2 4 2 3 2" xfId="17925" xr:uid="{00000000-0005-0000-0000-00007D2A0000}"/>
    <cellStyle name="Normal 18 2 2 4 2 4" xfId="12995" xr:uid="{00000000-0005-0000-0000-00007E2A0000}"/>
    <cellStyle name="Normal 18 2 2 4 3" xfId="3244" xr:uid="{00000000-0005-0000-0000-00007F2A0000}"/>
    <cellStyle name="Normal 18 2 2 4 3 2" xfId="8195" xr:uid="{00000000-0005-0000-0000-0000802A0000}"/>
    <cellStyle name="Normal 18 2 2 4 3 2 2" xfId="19092" xr:uid="{00000000-0005-0000-0000-0000812A0000}"/>
    <cellStyle name="Normal 18 2 2 4 3 3" xfId="14141" xr:uid="{00000000-0005-0000-0000-0000822A0000}"/>
    <cellStyle name="Normal 18 2 2 4 4" xfId="5883" xr:uid="{00000000-0005-0000-0000-0000832A0000}"/>
    <cellStyle name="Normal 18 2 2 4 4 2" xfId="16780" xr:uid="{00000000-0005-0000-0000-0000842A0000}"/>
    <cellStyle name="Normal 18 2 2 4 5" xfId="11877" xr:uid="{00000000-0005-0000-0000-0000852A0000}"/>
    <cellStyle name="Normal 18 2 2 5" xfId="1593" xr:uid="{00000000-0005-0000-0000-0000862A0000}"/>
    <cellStyle name="Normal 18 2 2 5 2" xfId="3905" xr:uid="{00000000-0005-0000-0000-0000872A0000}"/>
    <cellStyle name="Normal 18 2 2 5 2 2" xfId="8856" xr:uid="{00000000-0005-0000-0000-0000882A0000}"/>
    <cellStyle name="Normal 18 2 2 5 2 2 2" xfId="19753" xr:uid="{00000000-0005-0000-0000-0000892A0000}"/>
    <cellStyle name="Normal 18 2 2 5 2 3" xfId="14802" xr:uid="{00000000-0005-0000-0000-00008A2A0000}"/>
    <cellStyle name="Normal 18 2 2 5 3" xfId="6544" xr:uid="{00000000-0005-0000-0000-00008B2A0000}"/>
    <cellStyle name="Normal 18 2 2 5 3 2" xfId="17441" xr:uid="{00000000-0005-0000-0000-00008C2A0000}"/>
    <cellStyle name="Normal 18 2 2 5 4" xfId="12525" xr:uid="{00000000-0005-0000-0000-00008D2A0000}"/>
    <cellStyle name="Normal 18 2 2 6" xfId="2712" xr:uid="{00000000-0005-0000-0000-00008E2A0000}"/>
    <cellStyle name="Normal 18 2 2 6 2" xfId="7663" xr:uid="{00000000-0005-0000-0000-00008F2A0000}"/>
    <cellStyle name="Normal 18 2 2 6 2 2" xfId="18560" xr:uid="{00000000-0005-0000-0000-0000902A0000}"/>
    <cellStyle name="Normal 18 2 2 6 3" xfId="13609" xr:uid="{00000000-0005-0000-0000-0000912A0000}"/>
    <cellStyle name="Normal 18 2 2 7" xfId="5351" xr:uid="{00000000-0005-0000-0000-0000922A0000}"/>
    <cellStyle name="Normal 18 2 2 7 2" xfId="16248" xr:uid="{00000000-0005-0000-0000-0000932A0000}"/>
    <cellStyle name="Normal 18 2 2 8" xfId="11354" xr:uid="{00000000-0005-0000-0000-0000942A0000}"/>
    <cellStyle name="Normal 18 2 3" xfId="460" xr:uid="{00000000-0005-0000-0000-0000952A0000}"/>
    <cellStyle name="Normal 18 2 3 2" xfId="725" xr:uid="{00000000-0005-0000-0000-0000962A0000}"/>
    <cellStyle name="Normal 18 2 3 2 2" xfId="1257" xr:uid="{00000000-0005-0000-0000-0000972A0000}"/>
    <cellStyle name="Normal 18 2 3 2 2 2" xfId="2414" xr:uid="{00000000-0005-0000-0000-0000982A0000}"/>
    <cellStyle name="Normal 18 2 3 2 2 2 2" xfId="4726" xr:uid="{00000000-0005-0000-0000-0000992A0000}"/>
    <cellStyle name="Normal 18 2 3 2 2 2 2 2" xfId="9677" xr:uid="{00000000-0005-0000-0000-00009A2A0000}"/>
    <cellStyle name="Normal 18 2 3 2 2 2 2 2 2" xfId="20574" xr:uid="{00000000-0005-0000-0000-00009B2A0000}"/>
    <cellStyle name="Normal 18 2 3 2 2 2 2 3" xfId="15623" xr:uid="{00000000-0005-0000-0000-00009C2A0000}"/>
    <cellStyle name="Normal 18 2 3 2 2 2 3" xfId="7365" xr:uid="{00000000-0005-0000-0000-00009D2A0000}"/>
    <cellStyle name="Normal 18 2 3 2 2 2 3 2" xfId="18262" xr:uid="{00000000-0005-0000-0000-00009E2A0000}"/>
    <cellStyle name="Normal 18 2 3 2 2 2 4" xfId="13325" xr:uid="{00000000-0005-0000-0000-00009F2A0000}"/>
    <cellStyle name="Normal 18 2 3 2 2 3" xfId="3581" xr:uid="{00000000-0005-0000-0000-0000A02A0000}"/>
    <cellStyle name="Normal 18 2 3 2 2 3 2" xfId="8532" xr:uid="{00000000-0005-0000-0000-0000A12A0000}"/>
    <cellStyle name="Normal 18 2 3 2 2 3 2 2" xfId="19429" xr:uid="{00000000-0005-0000-0000-0000A22A0000}"/>
    <cellStyle name="Normal 18 2 3 2 2 3 3" xfId="14478" xr:uid="{00000000-0005-0000-0000-0000A32A0000}"/>
    <cellStyle name="Normal 18 2 3 2 2 4" xfId="6220" xr:uid="{00000000-0005-0000-0000-0000A42A0000}"/>
    <cellStyle name="Normal 18 2 3 2 2 4 2" xfId="17117" xr:uid="{00000000-0005-0000-0000-0000A52A0000}"/>
    <cellStyle name="Normal 18 2 3 2 2 5" xfId="12207" xr:uid="{00000000-0005-0000-0000-0000A62A0000}"/>
    <cellStyle name="Normal 18 2 3 2 3" xfId="1889" xr:uid="{00000000-0005-0000-0000-0000A72A0000}"/>
    <cellStyle name="Normal 18 2 3 2 3 2" xfId="4201" xr:uid="{00000000-0005-0000-0000-0000A82A0000}"/>
    <cellStyle name="Normal 18 2 3 2 3 2 2" xfId="9152" xr:uid="{00000000-0005-0000-0000-0000A92A0000}"/>
    <cellStyle name="Normal 18 2 3 2 3 2 2 2" xfId="20049" xr:uid="{00000000-0005-0000-0000-0000AA2A0000}"/>
    <cellStyle name="Normal 18 2 3 2 3 2 3" xfId="15098" xr:uid="{00000000-0005-0000-0000-0000AB2A0000}"/>
    <cellStyle name="Normal 18 2 3 2 3 3" xfId="6840" xr:uid="{00000000-0005-0000-0000-0000AC2A0000}"/>
    <cellStyle name="Normal 18 2 3 2 3 3 2" xfId="17737" xr:uid="{00000000-0005-0000-0000-0000AD2A0000}"/>
    <cellStyle name="Normal 18 2 3 2 3 4" xfId="12813" xr:uid="{00000000-0005-0000-0000-0000AE2A0000}"/>
    <cellStyle name="Normal 18 2 3 2 4" xfId="3049" xr:uid="{00000000-0005-0000-0000-0000AF2A0000}"/>
    <cellStyle name="Normal 18 2 3 2 4 2" xfId="8000" xr:uid="{00000000-0005-0000-0000-0000B02A0000}"/>
    <cellStyle name="Normal 18 2 3 2 4 2 2" xfId="18897" xr:uid="{00000000-0005-0000-0000-0000B12A0000}"/>
    <cellStyle name="Normal 18 2 3 2 4 3" xfId="13946" xr:uid="{00000000-0005-0000-0000-0000B22A0000}"/>
    <cellStyle name="Normal 18 2 3 2 5" xfId="5688" xr:uid="{00000000-0005-0000-0000-0000B32A0000}"/>
    <cellStyle name="Normal 18 2 3 2 5 2" xfId="16585" xr:uid="{00000000-0005-0000-0000-0000B42A0000}"/>
    <cellStyle name="Normal 18 2 3 2 6" xfId="11686" xr:uid="{00000000-0005-0000-0000-0000B52A0000}"/>
    <cellStyle name="Normal 18 2 3 3" xfId="992" xr:uid="{00000000-0005-0000-0000-0000B62A0000}"/>
    <cellStyle name="Normal 18 2 3 3 2" xfId="2149" xr:uid="{00000000-0005-0000-0000-0000B72A0000}"/>
    <cellStyle name="Normal 18 2 3 3 2 2" xfId="4461" xr:uid="{00000000-0005-0000-0000-0000B82A0000}"/>
    <cellStyle name="Normal 18 2 3 3 2 2 2" xfId="9412" xr:uid="{00000000-0005-0000-0000-0000B92A0000}"/>
    <cellStyle name="Normal 18 2 3 3 2 2 2 2" xfId="20309" xr:uid="{00000000-0005-0000-0000-0000BA2A0000}"/>
    <cellStyle name="Normal 18 2 3 3 2 2 3" xfId="15358" xr:uid="{00000000-0005-0000-0000-0000BB2A0000}"/>
    <cellStyle name="Normal 18 2 3 3 2 3" xfId="7100" xr:uid="{00000000-0005-0000-0000-0000BC2A0000}"/>
    <cellStyle name="Normal 18 2 3 3 2 3 2" xfId="17997" xr:uid="{00000000-0005-0000-0000-0000BD2A0000}"/>
    <cellStyle name="Normal 18 2 3 3 2 4" xfId="13066" xr:uid="{00000000-0005-0000-0000-0000BE2A0000}"/>
    <cellStyle name="Normal 18 2 3 3 3" xfId="3316" xr:uid="{00000000-0005-0000-0000-0000BF2A0000}"/>
    <cellStyle name="Normal 18 2 3 3 3 2" xfId="8267" xr:uid="{00000000-0005-0000-0000-0000C02A0000}"/>
    <cellStyle name="Normal 18 2 3 3 3 2 2" xfId="19164" xr:uid="{00000000-0005-0000-0000-0000C12A0000}"/>
    <cellStyle name="Normal 18 2 3 3 3 3" xfId="14213" xr:uid="{00000000-0005-0000-0000-0000C22A0000}"/>
    <cellStyle name="Normal 18 2 3 3 4" xfId="5955" xr:uid="{00000000-0005-0000-0000-0000C32A0000}"/>
    <cellStyle name="Normal 18 2 3 3 4 2" xfId="16852" xr:uid="{00000000-0005-0000-0000-0000C42A0000}"/>
    <cellStyle name="Normal 18 2 3 3 5" xfId="11948" xr:uid="{00000000-0005-0000-0000-0000C52A0000}"/>
    <cellStyle name="Normal 18 2 3 4" xfId="1656" xr:uid="{00000000-0005-0000-0000-0000C62A0000}"/>
    <cellStyle name="Normal 18 2 3 4 2" xfId="3968" xr:uid="{00000000-0005-0000-0000-0000C72A0000}"/>
    <cellStyle name="Normal 18 2 3 4 2 2" xfId="8919" xr:uid="{00000000-0005-0000-0000-0000C82A0000}"/>
    <cellStyle name="Normal 18 2 3 4 2 2 2" xfId="19816" xr:uid="{00000000-0005-0000-0000-0000C92A0000}"/>
    <cellStyle name="Normal 18 2 3 4 2 3" xfId="14865" xr:uid="{00000000-0005-0000-0000-0000CA2A0000}"/>
    <cellStyle name="Normal 18 2 3 4 3" xfId="6607" xr:uid="{00000000-0005-0000-0000-0000CB2A0000}"/>
    <cellStyle name="Normal 18 2 3 4 3 2" xfId="17504" xr:uid="{00000000-0005-0000-0000-0000CC2A0000}"/>
    <cellStyle name="Normal 18 2 3 4 4" xfId="12587" xr:uid="{00000000-0005-0000-0000-0000CD2A0000}"/>
    <cellStyle name="Normal 18 2 3 5" xfId="2784" xr:uid="{00000000-0005-0000-0000-0000CE2A0000}"/>
    <cellStyle name="Normal 18 2 3 5 2" xfId="7735" xr:uid="{00000000-0005-0000-0000-0000CF2A0000}"/>
    <cellStyle name="Normal 18 2 3 5 2 2" xfId="18632" xr:uid="{00000000-0005-0000-0000-0000D02A0000}"/>
    <cellStyle name="Normal 18 2 3 5 3" xfId="13681" xr:uid="{00000000-0005-0000-0000-0000D12A0000}"/>
    <cellStyle name="Normal 18 2 3 6" xfId="5423" xr:uid="{00000000-0005-0000-0000-0000D22A0000}"/>
    <cellStyle name="Normal 18 2 3 6 2" xfId="16320" xr:uid="{00000000-0005-0000-0000-0000D32A0000}"/>
    <cellStyle name="Normal 18 2 3 7" xfId="11425" xr:uid="{00000000-0005-0000-0000-0000D42A0000}"/>
    <cellStyle name="Normal 18 2 4" xfId="590" xr:uid="{00000000-0005-0000-0000-0000D52A0000}"/>
    <cellStyle name="Normal 18 2 4 2" xfId="1122" xr:uid="{00000000-0005-0000-0000-0000D62A0000}"/>
    <cellStyle name="Normal 18 2 4 2 2" xfId="2279" xr:uid="{00000000-0005-0000-0000-0000D72A0000}"/>
    <cellStyle name="Normal 18 2 4 2 2 2" xfId="4591" xr:uid="{00000000-0005-0000-0000-0000D82A0000}"/>
    <cellStyle name="Normal 18 2 4 2 2 2 2" xfId="9542" xr:uid="{00000000-0005-0000-0000-0000D92A0000}"/>
    <cellStyle name="Normal 18 2 4 2 2 2 2 2" xfId="20439" xr:uid="{00000000-0005-0000-0000-0000DA2A0000}"/>
    <cellStyle name="Normal 18 2 4 2 2 2 3" xfId="15488" xr:uid="{00000000-0005-0000-0000-0000DB2A0000}"/>
    <cellStyle name="Normal 18 2 4 2 2 3" xfId="7230" xr:uid="{00000000-0005-0000-0000-0000DC2A0000}"/>
    <cellStyle name="Normal 18 2 4 2 2 3 2" xfId="18127" xr:uid="{00000000-0005-0000-0000-0000DD2A0000}"/>
    <cellStyle name="Normal 18 2 4 2 2 4" xfId="13194" xr:uid="{00000000-0005-0000-0000-0000DE2A0000}"/>
    <cellStyle name="Normal 18 2 4 2 3" xfId="3446" xr:uid="{00000000-0005-0000-0000-0000DF2A0000}"/>
    <cellStyle name="Normal 18 2 4 2 3 2" xfId="8397" xr:uid="{00000000-0005-0000-0000-0000E02A0000}"/>
    <cellStyle name="Normal 18 2 4 2 3 2 2" xfId="19294" xr:uid="{00000000-0005-0000-0000-0000E12A0000}"/>
    <cellStyle name="Normal 18 2 4 2 3 3" xfId="14343" xr:uid="{00000000-0005-0000-0000-0000E22A0000}"/>
    <cellStyle name="Normal 18 2 4 2 4" xfId="6085" xr:uid="{00000000-0005-0000-0000-0000E32A0000}"/>
    <cellStyle name="Normal 18 2 4 2 4 2" xfId="16982" xr:uid="{00000000-0005-0000-0000-0000E42A0000}"/>
    <cellStyle name="Normal 18 2 4 2 5" xfId="12076" xr:uid="{00000000-0005-0000-0000-0000E52A0000}"/>
    <cellStyle name="Normal 18 2 4 3" xfId="1771" xr:uid="{00000000-0005-0000-0000-0000E62A0000}"/>
    <cellStyle name="Normal 18 2 4 3 2" xfId="4083" xr:uid="{00000000-0005-0000-0000-0000E72A0000}"/>
    <cellStyle name="Normal 18 2 4 3 2 2" xfId="9034" xr:uid="{00000000-0005-0000-0000-0000E82A0000}"/>
    <cellStyle name="Normal 18 2 4 3 2 2 2" xfId="19931" xr:uid="{00000000-0005-0000-0000-0000E92A0000}"/>
    <cellStyle name="Normal 18 2 4 3 2 3" xfId="14980" xr:uid="{00000000-0005-0000-0000-0000EA2A0000}"/>
    <cellStyle name="Normal 18 2 4 3 3" xfId="6722" xr:uid="{00000000-0005-0000-0000-0000EB2A0000}"/>
    <cellStyle name="Normal 18 2 4 3 3 2" xfId="17619" xr:uid="{00000000-0005-0000-0000-0000EC2A0000}"/>
    <cellStyle name="Normal 18 2 4 3 4" xfId="12700" xr:uid="{00000000-0005-0000-0000-0000ED2A0000}"/>
    <cellStyle name="Normal 18 2 4 4" xfId="2914" xr:uid="{00000000-0005-0000-0000-0000EE2A0000}"/>
    <cellStyle name="Normal 18 2 4 4 2" xfId="7865" xr:uid="{00000000-0005-0000-0000-0000EF2A0000}"/>
    <cellStyle name="Normal 18 2 4 4 2 2" xfId="18762" xr:uid="{00000000-0005-0000-0000-0000F02A0000}"/>
    <cellStyle name="Normal 18 2 4 4 3" xfId="13811" xr:uid="{00000000-0005-0000-0000-0000F12A0000}"/>
    <cellStyle name="Normal 18 2 4 5" xfId="5553" xr:uid="{00000000-0005-0000-0000-0000F22A0000}"/>
    <cellStyle name="Normal 18 2 4 5 2" xfId="16450" xr:uid="{00000000-0005-0000-0000-0000F32A0000}"/>
    <cellStyle name="Normal 18 2 4 6" xfId="11555" xr:uid="{00000000-0005-0000-0000-0000F42A0000}"/>
    <cellStyle name="Normal 18 2 5" xfId="857" xr:uid="{00000000-0005-0000-0000-0000F52A0000}"/>
    <cellStyle name="Normal 18 2 5 2" xfId="2014" xr:uid="{00000000-0005-0000-0000-0000F62A0000}"/>
    <cellStyle name="Normal 18 2 5 2 2" xfId="4326" xr:uid="{00000000-0005-0000-0000-0000F72A0000}"/>
    <cellStyle name="Normal 18 2 5 2 2 2" xfId="9277" xr:uid="{00000000-0005-0000-0000-0000F82A0000}"/>
    <cellStyle name="Normal 18 2 5 2 2 2 2" xfId="20174" xr:uid="{00000000-0005-0000-0000-0000F92A0000}"/>
    <cellStyle name="Normal 18 2 5 2 2 3" xfId="15223" xr:uid="{00000000-0005-0000-0000-0000FA2A0000}"/>
    <cellStyle name="Normal 18 2 5 2 3" xfId="6965" xr:uid="{00000000-0005-0000-0000-0000FB2A0000}"/>
    <cellStyle name="Normal 18 2 5 2 3 2" xfId="17862" xr:uid="{00000000-0005-0000-0000-0000FC2A0000}"/>
    <cellStyle name="Normal 18 2 5 2 4" xfId="12936" xr:uid="{00000000-0005-0000-0000-0000FD2A0000}"/>
    <cellStyle name="Normal 18 2 5 3" xfId="3181" xr:uid="{00000000-0005-0000-0000-0000FE2A0000}"/>
    <cellStyle name="Normal 18 2 5 3 2" xfId="8132" xr:uid="{00000000-0005-0000-0000-0000FF2A0000}"/>
    <cellStyle name="Normal 18 2 5 3 2 2" xfId="19029" xr:uid="{00000000-0005-0000-0000-0000002B0000}"/>
    <cellStyle name="Normal 18 2 5 3 3" xfId="14078" xr:uid="{00000000-0005-0000-0000-0000012B0000}"/>
    <cellStyle name="Normal 18 2 5 4" xfId="5820" xr:uid="{00000000-0005-0000-0000-0000022B0000}"/>
    <cellStyle name="Normal 18 2 5 4 2" xfId="16717" xr:uid="{00000000-0005-0000-0000-0000032B0000}"/>
    <cellStyle name="Normal 18 2 5 5" xfId="11818" xr:uid="{00000000-0005-0000-0000-0000042B0000}"/>
    <cellStyle name="Normal 18 2 6" xfId="1538" xr:uid="{00000000-0005-0000-0000-0000052B0000}"/>
    <cellStyle name="Normal 18 2 6 2" xfId="3850" xr:uid="{00000000-0005-0000-0000-0000062B0000}"/>
    <cellStyle name="Normal 18 2 6 2 2" xfId="8801" xr:uid="{00000000-0005-0000-0000-0000072B0000}"/>
    <cellStyle name="Normal 18 2 6 2 2 2" xfId="19698" xr:uid="{00000000-0005-0000-0000-0000082B0000}"/>
    <cellStyle name="Normal 18 2 6 2 3" xfId="14747" xr:uid="{00000000-0005-0000-0000-0000092B0000}"/>
    <cellStyle name="Normal 18 2 6 3" xfId="6489" xr:uid="{00000000-0005-0000-0000-00000A2B0000}"/>
    <cellStyle name="Normal 18 2 6 3 2" xfId="17386" xr:uid="{00000000-0005-0000-0000-00000B2B0000}"/>
    <cellStyle name="Normal 18 2 6 4" xfId="12473" xr:uid="{00000000-0005-0000-0000-00000C2B0000}"/>
    <cellStyle name="Normal 18 2 7" xfId="2649" xr:uid="{00000000-0005-0000-0000-00000D2B0000}"/>
    <cellStyle name="Normal 18 2 7 2" xfId="7600" xr:uid="{00000000-0005-0000-0000-00000E2B0000}"/>
    <cellStyle name="Normal 18 2 7 2 2" xfId="18497" xr:uid="{00000000-0005-0000-0000-00000F2B0000}"/>
    <cellStyle name="Normal 18 2 7 3" xfId="13546" xr:uid="{00000000-0005-0000-0000-0000102B0000}"/>
    <cellStyle name="Normal 18 2 8" xfId="5288" xr:uid="{00000000-0005-0000-0000-0000112B0000}"/>
    <cellStyle name="Normal 18 2 8 2" xfId="16185" xr:uid="{00000000-0005-0000-0000-0000122B0000}"/>
    <cellStyle name="Normal 18 2 9" xfId="11292" xr:uid="{00000000-0005-0000-0000-0000132B0000}"/>
    <cellStyle name="Normal 18 3" xfId="386" xr:uid="{00000000-0005-0000-0000-0000142B0000}"/>
    <cellStyle name="Normal 18 3 2" xfId="516" xr:uid="{00000000-0005-0000-0000-0000152B0000}"/>
    <cellStyle name="Normal 18 3 2 2" xfId="781" xr:uid="{00000000-0005-0000-0000-0000162B0000}"/>
    <cellStyle name="Normal 18 3 2 2 2" xfId="1313" xr:uid="{00000000-0005-0000-0000-0000172B0000}"/>
    <cellStyle name="Normal 18 3 2 2 2 2" xfId="2470" xr:uid="{00000000-0005-0000-0000-0000182B0000}"/>
    <cellStyle name="Normal 18 3 2 2 2 2 2" xfId="4782" xr:uid="{00000000-0005-0000-0000-0000192B0000}"/>
    <cellStyle name="Normal 18 3 2 2 2 2 2 2" xfId="9733" xr:uid="{00000000-0005-0000-0000-00001A2B0000}"/>
    <cellStyle name="Normal 18 3 2 2 2 2 2 2 2" xfId="20630" xr:uid="{00000000-0005-0000-0000-00001B2B0000}"/>
    <cellStyle name="Normal 18 3 2 2 2 2 2 3" xfId="15679" xr:uid="{00000000-0005-0000-0000-00001C2B0000}"/>
    <cellStyle name="Normal 18 3 2 2 2 2 3" xfId="7421" xr:uid="{00000000-0005-0000-0000-00001D2B0000}"/>
    <cellStyle name="Normal 18 3 2 2 2 2 3 2" xfId="18318" xr:uid="{00000000-0005-0000-0000-00001E2B0000}"/>
    <cellStyle name="Normal 18 3 2 2 2 2 4" xfId="13381" xr:uid="{00000000-0005-0000-0000-00001F2B0000}"/>
    <cellStyle name="Normal 18 3 2 2 2 3" xfId="3637" xr:uid="{00000000-0005-0000-0000-0000202B0000}"/>
    <cellStyle name="Normal 18 3 2 2 2 3 2" xfId="8588" xr:uid="{00000000-0005-0000-0000-0000212B0000}"/>
    <cellStyle name="Normal 18 3 2 2 2 3 2 2" xfId="19485" xr:uid="{00000000-0005-0000-0000-0000222B0000}"/>
    <cellStyle name="Normal 18 3 2 2 2 3 3" xfId="14534" xr:uid="{00000000-0005-0000-0000-0000232B0000}"/>
    <cellStyle name="Normal 18 3 2 2 2 4" xfId="6276" xr:uid="{00000000-0005-0000-0000-0000242B0000}"/>
    <cellStyle name="Normal 18 3 2 2 2 4 2" xfId="17173" xr:uid="{00000000-0005-0000-0000-0000252B0000}"/>
    <cellStyle name="Normal 18 3 2 2 2 5" xfId="12263" xr:uid="{00000000-0005-0000-0000-0000262B0000}"/>
    <cellStyle name="Normal 18 3 2 2 3" xfId="1939" xr:uid="{00000000-0005-0000-0000-0000272B0000}"/>
    <cellStyle name="Normal 18 3 2 2 3 2" xfId="4251" xr:uid="{00000000-0005-0000-0000-0000282B0000}"/>
    <cellStyle name="Normal 18 3 2 2 3 2 2" xfId="9202" xr:uid="{00000000-0005-0000-0000-0000292B0000}"/>
    <cellStyle name="Normal 18 3 2 2 3 2 2 2" xfId="20099" xr:uid="{00000000-0005-0000-0000-00002A2B0000}"/>
    <cellStyle name="Normal 18 3 2 2 3 2 3" xfId="15148" xr:uid="{00000000-0005-0000-0000-00002B2B0000}"/>
    <cellStyle name="Normal 18 3 2 2 3 3" xfId="6890" xr:uid="{00000000-0005-0000-0000-00002C2B0000}"/>
    <cellStyle name="Normal 18 3 2 2 3 3 2" xfId="17787" xr:uid="{00000000-0005-0000-0000-00002D2B0000}"/>
    <cellStyle name="Normal 18 3 2 2 3 4" xfId="12863" xr:uid="{00000000-0005-0000-0000-00002E2B0000}"/>
    <cellStyle name="Normal 18 3 2 2 4" xfId="3105" xr:uid="{00000000-0005-0000-0000-00002F2B0000}"/>
    <cellStyle name="Normal 18 3 2 2 4 2" xfId="8056" xr:uid="{00000000-0005-0000-0000-0000302B0000}"/>
    <cellStyle name="Normal 18 3 2 2 4 2 2" xfId="18953" xr:uid="{00000000-0005-0000-0000-0000312B0000}"/>
    <cellStyle name="Normal 18 3 2 2 4 3" xfId="14002" xr:uid="{00000000-0005-0000-0000-0000322B0000}"/>
    <cellStyle name="Normal 18 3 2 2 5" xfId="5744" xr:uid="{00000000-0005-0000-0000-0000332B0000}"/>
    <cellStyle name="Normal 18 3 2 2 5 2" xfId="16641" xr:uid="{00000000-0005-0000-0000-0000342B0000}"/>
    <cellStyle name="Normal 18 3 2 2 6" xfId="11742" xr:uid="{00000000-0005-0000-0000-0000352B0000}"/>
    <cellStyle name="Normal 18 3 2 3" xfId="1048" xr:uid="{00000000-0005-0000-0000-0000362B0000}"/>
    <cellStyle name="Normal 18 3 2 3 2" xfId="2205" xr:uid="{00000000-0005-0000-0000-0000372B0000}"/>
    <cellStyle name="Normal 18 3 2 3 2 2" xfId="4517" xr:uid="{00000000-0005-0000-0000-0000382B0000}"/>
    <cellStyle name="Normal 18 3 2 3 2 2 2" xfId="9468" xr:uid="{00000000-0005-0000-0000-0000392B0000}"/>
    <cellStyle name="Normal 18 3 2 3 2 2 2 2" xfId="20365" xr:uid="{00000000-0005-0000-0000-00003A2B0000}"/>
    <cellStyle name="Normal 18 3 2 3 2 2 3" xfId="15414" xr:uid="{00000000-0005-0000-0000-00003B2B0000}"/>
    <cellStyle name="Normal 18 3 2 3 2 3" xfId="7156" xr:uid="{00000000-0005-0000-0000-00003C2B0000}"/>
    <cellStyle name="Normal 18 3 2 3 2 3 2" xfId="18053" xr:uid="{00000000-0005-0000-0000-00003D2B0000}"/>
    <cellStyle name="Normal 18 3 2 3 2 4" xfId="13122" xr:uid="{00000000-0005-0000-0000-00003E2B0000}"/>
    <cellStyle name="Normal 18 3 2 3 3" xfId="3372" xr:uid="{00000000-0005-0000-0000-00003F2B0000}"/>
    <cellStyle name="Normal 18 3 2 3 3 2" xfId="8323" xr:uid="{00000000-0005-0000-0000-0000402B0000}"/>
    <cellStyle name="Normal 18 3 2 3 3 2 2" xfId="19220" xr:uid="{00000000-0005-0000-0000-0000412B0000}"/>
    <cellStyle name="Normal 18 3 2 3 3 3" xfId="14269" xr:uid="{00000000-0005-0000-0000-0000422B0000}"/>
    <cellStyle name="Normal 18 3 2 3 4" xfId="6011" xr:uid="{00000000-0005-0000-0000-0000432B0000}"/>
    <cellStyle name="Normal 18 3 2 3 4 2" xfId="16908" xr:uid="{00000000-0005-0000-0000-0000442B0000}"/>
    <cellStyle name="Normal 18 3 2 3 5" xfId="12004" xr:uid="{00000000-0005-0000-0000-0000452B0000}"/>
    <cellStyle name="Normal 18 3 2 4" xfId="1706" xr:uid="{00000000-0005-0000-0000-0000462B0000}"/>
    <cellStyle name="Normal 18 3 2 4 2" xfId="4018" xr:uid="{00000000-0005-0000-0000-0000472B0000}"/>
    <cellStyle name="Normal 18 3 2 4 2 2" xfId="8969" xr:uid="{00000000-0005-0000-0000-0000482B0000}"/>
    <cellStyle name="Normal 18 3 2 4 2 2 2" xfId="19866" xr:uid="{00000000-0005-0000-0000-0000492B0000}"/>
    <cellStyle name="Normal 18 3 2 4 2 3" xfId="14915" xr:uid="{00000000-0005-0000-0000-00004A2B0000}"/>
    <cellStyle name="Normal 18 3 2 4 3" xfId="6657" xr:uid="{00000000-0005-0000-0000-00004B2B0000}"/>
    <cellStyle name="Normal 18 3 2 4 3 2" xfId="17554" xr:uid="{00000000-0005-0000-0000-00004C2B0000}"/>
    <cellStyle name="Normal 18 3 2 4 4" xfId="12637" xr:uid="{00000000-0005-0000-0000-00004D2B0000}"/>
    <cellStyle name="Normal 18 3 2 5" xfId="2840" xr:uid="{00000000-0005-0000-0000-00004E2B0000}"/>
    <cellStyle name="Normal 18 3 2 5 2" xfId="7791" xr:uid="{00000000-0005-0000-0000-00004F2B0000}"/>
    <cellStyle name="Normal 18 3 2 5 2 2" xfId="18688" xr:uid="{00000000-0005-0000-0000-0000502B0000}"/>
    <cellStyle name="Normal 18 3 2 5 3" xfId="13737" xr:uid="{00000000-0005-0000-0000-0000512B0000}"/>
    <cellStyle name="Normal 18 3 2 6" xfId="5479" xr:uid="{00000000-0005-0000-0000-0000522B0000}"/>
    <cellStyle name="Normal 18 3 2 6 2" xfId="16376" xr:uid="{00000000-0005-0000-0000-0000532B0000}"/>
    <cellStyle name="Normal 18 3 2 7" xfId="11481" xr:uid="{00000000-0005-0000-0000-0000542B0000}"/>
    <cellStyle name="Normal 18 3 3" xfId="652" xr:uid="{00000000-0005-0000-0000-0000552B0000}"/>
    <cellStyle name="Normal 18 3 3 2" xfId="1184" xr:uid="{00000000-0005-0000-0000-0000562B0000}"/>
    <cellStyle name="Normal 18 3 3 2 2" xfId="2341" xr:uid="{00000000-0005-0000-0000-0000572B0000}"/>
    <cellStyle name="Normal 18 3 3 2 2 2" xfId="4653" xr:uid="{00000000-0005-0000-0000-0000582B0000}"/>
    <cellStyle name="Normal 18 3 3 2 2 2 2" xfId="9604" xr:uid="{00000000-0005-0000-0000-0000592B0000}"/>
    <cellStyle name="Normal 18 3 3 2 2 2 2 2" xfId="20501" xr:uid="{00000000-0005-0000-0000-00005A2B0000}"/>
    <cellStyle name="Normal 18 3 3 2 2 2 3" xfId="15550" xr:uid="{00000000-0005-0000-0000-00005B2B0000}"/>
    <cellStyle name="Normal 18 3 3 2 2 3" xfId="7292" xr:uid="{00000000-0005-0000-0000-00005C2B0000}"/>
    <cellStyle name="Normal 18 3 3 2 2 3 2" xfId="18189" xr:uid="{00000000-0005-0000-0000-00005D2B0000}"/>
    <cellStyle name="Normal 18 3 3 2 2 4" xfId="13253" xr:uid="{00000000-0005-0000-0000-00005E2B0000}"/>
    <cellStyle name="Normal 18 3 3 2 3" xfId="3508" xr:uid="{00000000-0005-0000-0000-00005F2B0000}"/>
    <cellStyle name="Normal 18 3 3 2 3 2" xfId="8459" xr:uid="{00000000-0005-0000-0000-0000602B0000}"/>
    <cellStyle name="Normal 18 3 3 2 3 2 2" xfId="19356" xr:uid="{00000000-0005-0000-0000-0000612B0000}"/>
    <cellStyle name="Normal 18 3 3 2 3 3" xfId="14405" xr:uid="{00000000-0005-0000-0000-0000622B0000}"/>
    <cellStyle name="Normal 18 3 3 2 4" xfId="6147" xr:uid="{00000000-0005-0000-0000-0000632B0000}"/>
    <cellStyle name="Normal 18 3 3 2 4 2" xfId="17044" xr:uid="{00000000-0005-0000-0000-0000642B0000}"/>
    <cellStyle name="Normal 18 3 3 2 5" xfId="12135" xr:uid="{00000000-0005-0000-0000-0000652B0000}"/>
    <cellStyle name="Normal 18 3 3 3" xfId="1825" xr:uid="{00000000-0005-0000-0000-0000662B0000}"/>
    <cellStyle name="Normal 18 3 3 3 2" xfId="4137" xr:uid="{00000000-0005-0000-0000-0000672B0000}"/>
    <cellStyle name="Normal 18 3 3 3 2 2" xfId="9088" xr:uid="{00000000-0005-0000-0000-0000682B0000}"/>
    <cellStyle name="Normal 18 3 3 3 2 2 2" xfId="19985" xr:uid="{00000000-0005-0000-0000-0000692B0000}"/>
    <cellStyle name="Normal 18 3 3 3 2 3" xfId="15034" xr:uid="{00000000-0005-0000-0000-00006A2B0000}"/>
    <cellStyle name="Normal 18 3 3 3 3" xfId="6776" xr:uid="{00000000-0005-0000-0000-00006B2B0000}"/>
    <cellStyle name="Normal 18 3 3 3 3 2" xfId="17673" xr:uid="{00000000-0005-0000-0000-00006C2B0000}"/>
    <cellStyle name="Normal 18 3 3 3 4" xfId="12750" xr:uid="{00000000-0005-0000-0000-00006D2B0000}"/>
    <cellStyle name="Normal 18 3 3 4" xfId="2976" xr:uid="{00000000-0005-0000-0000-00006E2B0000}"/>
    <cellStyle name="Normal 18 3 3 4 2" xfId="7927" xr:uid="{00000000-0005-0000-0000-00006F2B0000}"/>
    <cellStyle name="Normal 18 3 3 4 2 2" xfId="18824" xr:uid="{00000000-0005-0000-0000-0000702B0000}"/>
    <cellStyle name="Normal 18 3 3 4 3" xfId="13873" xr:uid="{00000000-0005-0000-0000-0000712B0000}"/>
    <cellStyle name="Normal 18 3 3 5" xfId="5615" xr:uid="{00000000-0005-0000-0000-0000722B0000}"/>
    <cellStyle name="Normal 18 3 3 5 2" xfId="16512" xr:uid="{00000000-0005-0000-0000-0000732B0000}"/>
    <cellStyle name="Normal 18 3 3 6" xfId="11614" xr:uid="{00000000-0005-0000-0000-0000742B0000}"/>
    <cellStyle name="Normal 18 3 4" xfId="919" xr:uid="{00000000-0005-0000-0000-0000752B0000}"/>
    <cellStyle name="Normal 18 3 4 2" xfId="2076" xr:uid="{00000000-0005-0000-0000-0000762B0000}"/>
    <cellStyle name="Normal 18 3 4 2 2" xfId="4388" xr:uid="{00000000-0005-0000-0000-0000772B0000}"/>
    <cellStyle name="Normal 18 3 4 2 2 2" xfId="9339" xr:uid="{00000000-0005-0000-0000-0000782B0000}"/>
    <cellStyle name="Normal 18 3 4 2 2 2 2" xfId="20236" xr:uid="{00000000-0005-0000-0000-0000792B0000}"/>
    <cellStyle name="Normal 18 3 4 2 2 3" xfId="15285" xr:uid="{00000000-0005-0000-0000-00007A2B0000}"/>
    <cellStyle name="Normal 18 3 4 2 3" xfId="7027" xr:uid="{00000000-0005-0000-0000-00007B2B0000}"/>
    <cellStyle name="Normal 18 3 4 2 3 2" xfId="17924" xr:uid="{00000000-0005-0000-0000-00007C2B0000}"/>
    <cellStyle name="Normal 18 3 4 2 4" xfId="12994" xr:uid="{00000000-0005-0000-0000-00007D2B0000}"/>
    <cellStyle name="Normal 18 3 4 3" xfId="3243" xr:uid="{00000000-0005-0000-0000-00007E2B0000}"/>
    <cellStyle name="Normal 18 3 4 3 2" xfId="8194" xr:uid="{00000000-0005-0000-0000-00007F2B0000}"/>
    <cellStyle name="Normal 18 3 4 3 2 2" xfId="19091" xr:uid="{00000000-0005-0000-0000-0000802B0000}"/>
    <cellStyle name="Normal 18 3 4 3 3" xfId="14140" xr:uid="{00000000-0005-0000-0000-0000812B0000}"/>
    <cellStyle name="Normal 18 3 4 4" xfId="5882" xr:uid="{00000000-0005-0000-0000-0000822B0000}"/>
    <cellStyle name="Normal 18 3 4 4 2" xfId="16779" xr:uid="{00000000-0005-0000-0000-0000832B0000}"/>
    <cellStyle name="Normal 18 3 4 5" xfId="11876" xr:uid="{00000000-0005-0000-0000-0000842B0000}"/>
    <cellStyle name="Normal 18 3 5" xfId="1592" xr:uid="{00000000-0005-0000-0000-0000852B0000}"/>
    <cellStyle name="Normal 18 3 5 2" xfId="3904" xr:uid="{00000000-0005-0000-0000-0000862B0000}"/>
    <cellStyle name="Normal 18 3 5 2 2" xfId="8855" xr:uid="{00000000-0005-0000-0000-0000872B0000}"/>
    <cellStyle name="Normal 18 3 5 2 2 2" xfId="19752" xr:uid="{00000000-0005-0000-0000-0000882B0000}"/>
    <cellStyle name="Normal 18 3 5 2 3" xfId="14801" xr:uid="{00000000-0005-0000-0000-0000892B0000}"/>
    <cellStyle name="Normal 18 3 5 3" xfId="6543" xr:uid="{00000000-0005-0000-0000-00008A2B0000}"/>
    <cellStyle name="Normal 18 3 5 3 2" xfId="17440" xr:uid="{00000000-0005-0000-0000-00008B2B0000}"/>
    <cellStyle name="Normal 18 3 5 4" xfId="12524" xr:uid="{00000000-0005-0000-0000-00008C2B0000}"/>
    <cellStyle name="Normal 18 3 6" xfId="2711" xr:uid="{00000000-0005-0000-0000-00008D2B0000}"/>
    <cellStyle name="Normal 18 3 6 2" xfId="7662" xr:uid="{00000000-0005-0000-0000-00008E2B0000}"/>
    <cellStyle name="Normal 18 3 6 2 2" xfId="18559" xr:uid="{00000000-0005-0000-0000-00008F2B0000}"/>
    <cellStyle name="Normal 18 3 6 3" xfId="13608" xr:uid="{00000000-0005-0000-0000-0000902B0000}"/>
    <cellStyle name="Normal 18 3 7" xfId="5350" xr:uid="{00000000-0005-0000-0000-0000912B0000}"/>
    <cellStyle name="Normal 18 3 7 2" xfId="16247" xr:uid="{00000000-0005-0000-0000-0000922B0000}"/>
    <cellStyle name="Normal 18 3 8" xfId="11353" xr:uid="{00000000-0005-0000-0000-0000932B0000}"/>
    <cellStyle name="Normal 18 4" xfId="459" xr:uid="{00000000-0005-0000-0000-0000942B0000}"/>
    <cellStyle name="Normal 18 4 2" xfId="724" xr:uid="{00000000-0005-0000-0000-0000952B0000}"/>
    <cellStyle name="Normal 18 4 2 2" xfId="1256" xr:uid="{00000000-0005-0000-0000-0000962B0000}"/>
    <cellStyle name="Normal 18 4 2 2 2" xfId="2413" xr:uid="{00000000-0005-0000-0000-0000972B0000}"/>
    <cellStyle name="Normal 18 4 2 2 2 2" xfId="4725" xr:uid="{00000000-0005-0000-0000-0000982B0000}"/>
    <cellStyle name="Normal 18 4 2 2 2 2 2" xfId="9676" xr:uid="{00000000-0005-0000-0000-0000992B0000}"/>
    <cellStyle name="Normal 18 4 2 2 2 2 2 2" xfId="20573" xr:uid="{00000000-0005-0000-0000-00009A2B0000}"/>
    <cellStyle name="Normal 18 4 2 2 2 2 3" xfId="15622" xr:uid="{00000000-0005-0000-0000-00009B2B0000}"/>
    <cellStyle name="Normal 18 4 2 2 2 3" xfId="7364" xr:uid="{00000000-0005-0000-0000-00009C2B0000}"/>
    <cellStyle name="Normal 18 4 2 2 2 3 2" xfId="18261" xr:uid="{00000000-0005-0000-0000-00009D2B0000}"/>
    <cellStyle name="Normal 18 4 2 2 2 4" xfId="13324" xr:uid="{00000000-0005-0000-0000-00009E2B0000}"/>
    <cellStyle name="Normal 18 4 2 2 3" xfId="3580" xr:uid="{00000000-0005-0000-0000-00009F2B0000}"/>
    <cellStyle name="Normal 18 4 2 2 3 2" xfId="8531" xr:uid="{00000000-0005-0000-0000-0000A02B0000}"/>
    <cellStyle name="Normal 18 4 2 2 3 2 2" xfId="19428" xr:uid="{00000000-0005-0000-0000-0000A12B0000}"/>
    <cellStyle name="Normal 18 4 2 2 3 3" xfId="14477" xr:uid="{00000000-0005-0000-0000-0000A22B0000}"/>
    <cellStyle name="Normal 18 4 2 2 4" xfId="6219" xr:uid="{00000000-0005-0000-0000-0000A32B0000}"/>
    <cellStyle name="Normal 18 4 2 2 4 2" xfId="17116" xr:uid="{00000000-0005-0000-0000-0000A42B0000}"/>
    <cellStyle name="Normal 18 4 2 2 5" xfId="12206" xr:uid="{00000000-0005-0000-0000-0000A52B0000}"/>
    <cellStyle name="Normal 18 4 2 3" xfId="1888" xr:uid="{00000000-0005-0000-0000-0000A62B0000}"/>
    <cellStyle name="Normal 18 4 2 3 2" xfId="4200" xr:uid="{00000000-0005-0000-0000-0000A72B0000}"/>
    <cellStyle name="Normal 18 4 2 3 2 2" xfId="9151" xr:uid="{00000000-0005-0000-0000-0000A82B0000}"/>
    <cellStyle name="Normal 18 4 2 3 2 2 2" xfId="20048" xr:uid="{00000000-0005-0000-0000-0000A92B0000}"/>
    <cellStyle name="Normal 18 4 2 3 2 3" xfId="15097" xr:uid="{00000000-0005-0000-0000-0000AA2B0000}"/>
    <cellStyle name="Normal 18 4 2 3 3" xfId="6839" xr:uid="{00000000-0005-0000-0000-0000AB2B0000}"/>
    <cellStyle name="Normal 18 4 2 3 3 2" xfId="17736" xr:uid="{00000000-0005-0000-0000-0000AC2B0000}"/>
    <cellStyle name="Normal 18 4 2 3 4" xfId="12812" xr:uid="{00000000-0005-0000-0000-0000AD2B0000}"/>
    <cellStyle name="Normal 18 4 2 4" xfId="3048" xr:uid="{00000000-0005-0000-0000-0000AE2B0000}"/>
    <cellStyle name="Normal 18 4 2 4 2" xfId="7999" xr:uid="{00000000-0005-0000-0000-0000AF2B0000}"/>
    <cellStyle name="Normal 18 4 2 4 2 2" xfId="18896" xr:uid="{00000000-0005-0000-0000-0000B02B0000}"/>
    <cellStyle name="Normal 18 4 2 4 3" xfId="13945" xr:uid="{00000000-0005-0000-0000-0000B12B0000}"/>
    <cellStyle name="Normal 18 4 2 5" xfId="5687" xr:uid="{00000000-0005-0000-0000-0000B22B0000}"/>
    <cellStyle name="Normal 18 4 2 5 2" xfId="16584" xr:uid="{00000000-0005-0000-0000-0000B32B0000}"/>
    <cellStyle name="Normal 18 4 2 6" xfId="11685" xr:uid="{00000000-0005-0000-0000-0000B42B0000}"/>
    <cellStyle name="Normal 18 4 3" xfId="991" xr:uid="{00000000-0005-0000-0000-0000B52B0000}"/>
    <cellStyle name="Normal 18 4 3 2" xfId="2148" xr:uid="{00000000-0005-0000-0000-0000B62B0000}"/>
    <cellStyle name="Normal 18 4 3 2 2" xfId="4460" xr:uid="{00000000-0005-0000-0000-0000B72B0000}"/>
    <cellStyle name="Normal 18 4 3 2 2 2" xfId="9411" xr:uid="{00000000-0005-0000-0000-0000B82B0000}"/>
    <cellStyle name="Normal 18 4 3 2 2 2 2" xfId="20308" xr:uid="{00000000-0005-0000-0000-0000B92B0000}"/>
    <cellStyle name="Normal 18 4 3 2 2 3" xfId="15357" xr:uid="{00000000-0005-0000-0000-0000BA2B0000}"/>
    <cellStyle name="Normal 18 4 3 2 3" xfId="7099" xr:uid="{00000000-0005-0000-0000-0000BB2B0000}"/>
    <cellStyle name="Normal 18 4 3 2 3 2" xfId="17996" xr:uid="{00000000-0005-0000-0000-0000BC2B0000}"/>
    <cellStyle name="Normal 18 4 3 2 4" xfId="13065" xr:uid="{00000000-0005-0000-0000-0000BD2B0000}"/>
    <cellStyle name="Normal 18 4 3 3" xfId="3315" xr:uid="{00000000-0005-0000-0000-0000BE2B0000}"/>
    <cellStyle name="Normal 18 4 3 3 2" xfId="8266" xr:uid="{00000000-0005-0000-0000-0000BF2B0000}"/>
    <cellStyle name="Normal 18 4 3 3 2 2" xfId="19163" xr:uid="{00000000-0005-0000-0000-0000C02B0000}"/>
    <cellStyle name="Normal 18 4 3 3 3" xfId="14212" xr:uid="{00000000-0005-0000-0000-0000C12B0000}"/>
    <cellStyle name="Normal 18 4 3 4" xfId="5954" xr:uid="{00000000-0005-0000-0000-0000C22B0000}"/>
    <cellStyle name="Normal 18 4 3 4 2" xfId="16851" xr:uid="{00000000-0005-0000-0000-0000C32B0000}"/>
    <cellStyle name="Normal 18 4 3 5" xfId="11947" xr:uid="{00000000-0005-0000-0000-0000C42B0000}"/>
    <cellStyle name="Normal 18 4 4" xfId="1655" xr:uid="{00000000-0005-0000-0000-0000C52B0000}"/>
    <cellStyle name="Normal 18 4 4 2" xfId="3967" xr:uid="{00000000-0005-0000-0000-0000C62B0000}"/>
    <cellStyle name="Normal 18 4 4 2 2" xfId="8918" xr:uid="{00000000-0005-0000-0000-0000C72B0000}"/>
    <cellStyle name="Normal 18 4 4 2 2 2" xfId="19815" xr:uid="{00000000-0005-0000-0000-0000C82B0000}"/>
    <cellStyle name="Normal 18 4 4 2 3" xfId="14864" xr:uid="{00000000-0005-0000-0000-0000C92B0000}"/>
    <cellStyle name="Normal 18 4 4 3" xfId="6606" xr:uid="{00000000-0005-0000-0000-0000CA2B0000}"/>
    <cellStyle name="Normal 18 4 4 3 2" xfId="17503" xr:uid="{00000000-0005-0000-0000-0000CB2B0000}"/>
    <cellStyle name="Normal 18 4 4 4" xfId="12586" xr:uid="{00000000-0005-0000-0000-0000CC2B0000}"/>
    <cellStyle name="Normal 18 4 5" xfId="2783" xr:uid="{00000000-0005-0000-0000-0000CD2B0000}"/>
    <cellStyle name="Normal 18 4 5 2" xfId="7734" xr:uid="{00000000-0005-0000-0000-0000CE2B0000}"/>
    <cellStyle name="Normal 18 4 5 2 2" xfId="18631" xr:uid="{00000000-0005-0000-0000-0000CF2B0000}"/>
    <cellStyle name="Normal 18 4 5 3" xfId="13680" xr:uid="{00000000-0005-0000-0000-0000D02B0000}"/>
    <cellStyle name="Normal 18 4 6" xfId="5422" xr:uid="{00000000-0005-0000-0000-0000D12B0000}"/>
    <cellStyle name="Normal 18 4 6 2" xfId="16319" xr:uid="{00000000-0005-0000-0000-0000D22B0000}"/>
    <cellStyle name="Normal 18 4 7" xfId="11424" xr:uid="{00000000-0005-0000-0000-0000D32B0000}"/>
    <cellStyle name="Normal 18 5" xfId="589" xr:uid="{00000000-0005-0000-0000-0000D42B0000}"/>
    <cellStyle name="Normal 18 5 2" xfId="1121" xr:uid="{00000000-0005-0000-0000-0000D52B0000}"/>
    <cellStyle name="Normal 18 5 2 2" xfId="2278" xr:uid="{00000000-0005-0000-0000-0000D62B0000}"/>
    <cellStyle name="Normal 18 5 2 2 2" xfId="4590" xr:uid="{00000000-0005-0000-0000-0000D72B0000}"/>
    <cellStyle name="Normal 18 5 2 2 2 2" xfId="9541" xr:uid="{00000000-0005-0000-0000-0000D82B0000}"/>
    <cellStyle name="Normal 18 5 2 2 2 2 2" xfId="20438" xr:uid="{00000000-0005-0000-0000-0000D92B0000}"/>
    <cellStyle name="Normal 18 5 2 2 2 3" xfId="15487" xr:uid="{00000000-0005-0000-0000-0000DA2B0000}"/>
    <cellStyle name="Normal 18 5 2 2 3" xfId="7229" xr:uid="{00000000-0005-0000-0000-0000DB2B0000}"/>
    <cellStyle name="Normal 18 5 2 2 3 2" xfId="18126" xr:uid="{00000000-0005-0000-0000-0000DC2B0000}"/>
    <cellStyle name="Normal 18 5 2 2 4" xfId="13193" xr:uid="{00000000-0005-0000-0000-0000DD2B0000}"/>
    <cellStyle name="Normal 18 5 2 3" xfId="3445" xr:uid="{00000000-0005-0000-0000-0000DE2B0000}"/>
    <cellStyle name="Normal 18 5 2 3 2" xfId="8396" xr:uid="{00000000-0005-0000-0000-0000DF2B0000}"/>
    <cellStyle name="Normal 18 5 2 3 2 2" xfId="19293" xr:uid="{00000000-0005-0000-0000-0000E02B0000}"/>
    <cellStyle name="Normal 18 5 2 3 3" xfId="14342" xr:uid="{00000000-0005-0000-0000-0000E12B0000}"/>
    <cellStyle name="Normal 18 5 2 4" xfId="6084" xr:uid="{00000000-0005-0000-0000-0000E22B0000}"/>
    <cellStyle name="Normal 18 5 2 4 2" xfId="16981" xr:uid="{00000000-0005-0000-0000-0000E32B0000}"/>
    <cellStyle name="Normal 18 5 2 5" xfId="12075" xr:uid="{00000000-0005-0000-0000-0000E42B0000}"/>
    <cellStyle name="Normal 18 5 3" xfId="1770" xr:uid="{00000000-0005-0000-0000-0000E52B0000}"/>
    <cellStyle name="Normal 18 5 3 2" xfId="4082" xr:uid="{00000000-0005-0000-0000-0000E62B0000}"/>
    <cellStyle name="Normal 18 5 3 2 2" xfId="9033" xr:uid="{00000000-0005-0000-0000-0000E72B0000}"/>
    <cellStyle name="Normal 18 5 3 2 2 2" xfId="19930" xr:uid="{00000000-0005-0000-0000-0000E82B0000}"/>
    <cellStyle name="Normal 18 5 3 2 3" xfId="14979" xr:uid="{00000000-0005-0000-0000-0000E92B0000}"/>
    <cellStyle name="Normal 18 5 3 3" xfId="6721" xr:uid="{00000000-0005-0000-0000-0000EA2B0000}"/>
    <cellStyle name="Normal 18 5 3 3 2" xfId="17618" xr:uid="{00000000-0005-0000-0000-0000EB2B0000}"/>
    <cellStyle name="Normal 18 5 3 4" xfId="12699" xr:uid="{00000000-0005-0000-0000-0000EC2B0000}"/>
    <cellStyle name="Normal 18 5 4" xfId="2913" xr:uid="{00000000-0005-0000-0000-0000ED2B0000}"/>
    <cellStyle name="Normal 18 5 4 2" xfId="7864" xr:uid="{00000000-0005-0000-0000-0000EE2B0000}"/>
    <cellStyle name="Normal 18 5 4 2 2" xfId="18761" xr:uid="{00000000-0005-0000-0000-0000EF2B0000}"/>
    <cellStyle name="Normal 18 5 4 3" xfId="13810" xr:uid="{00000000-0005-0000-0000-0000F02B0000}"/>
    <cellStyle name="Normal 18 5 5" xfId="5552" xr:uid="{00000000-0005-0000-0000-0000F12B0000}"/>
    <cellStyle name="Normal 18 5 5 2" xfId="16449" xr:uid="{00000000-0005-0000-0000-0000F22B0000}"/>
    <cellStyle name="Normal 18 5 6" xfId="11554" xr:uid="{00000000-0005-0000-0000-0000F32B0000}"/>
    <cellStyle name="Normal 18 6" xfId="856" xr:uid="{00000000-0005-0000-0000-0000F42B0000}"/>
    <cellStyle name="Normal 18 6 2" xfId="2013" xr:uid="{00000000-0005-0000-0000-0000F52B0000}"/>
    <cellStyle name="Normal 18 6 2 2" xfId="4325" xr:uid="{00000000-0005-0000-0000-0000F62B0000}"/>
    <cellStyle name="Normal 18 6 2 2 2" xfId="9276" xr:uid="{00000000-0005-0000-0000-0000F72B0000}"/>
    <cellStyle name="Normal 18 6 2 2 2 2" xfId="20173" xr:uid="{00000000-0005-0000-0000-0000F82B0000}"/>
    <cellStyle name="Normal 18 6 2 2 3" xfId="15222" xr:uid="{00000000-0005-0000-0000-0000F92B0000}"/>
    <cellStyle name="Normal 18 6 2 3" xfId="6964" xr:uid="{00000000-0005-0000-0000-0000FA2B0000}"/>
    <cellStyle name="Normal 18 6 2 3 2" xfId="17861" xr:uid="{00000000-0005-0000-0000-0000FB2B0000}"/>
    <cellStyle name="Normal 18 6 2 4" xfId="12935" xr:uid="{00000000-0005-0000-0000-0000FC2B0000}"/>
    <cellStyle name="Normal 18 6 3" xfId="3180" xr:uid="{00000000-0005-0000-0000-0000FD2B0000}"/>
    <cellStyle name="Normal 18 6 3 2" xfId="8131" xr:uid="{00000000-0005-0000-0000-0000FE2B0000}"/>
    <cellStyle name="Normal 18 6 3 2 2" xfId="19028" xr:uid="{00000000-0005-0000-0000-0000FF2B0000}"/>
    <cellStyle name="Normal 18 6 3 3" xfId="14077" xr:uid="{00000000-0005-0000-0000-0000002C0000}"/>
    <cellStyle name="Normal 18 6 4" xfId="5819" xr:uid="{00000000-0005-0000-0000-0000012C0000}"/>
    <cellStyle name="Normal 18 6 4 2" xfId="16716" xr:uid="{00000000-0005-0000-0000-0000022C0000}"/>
    <cellStyle name="Normal 18 6 5" xfId="11817" xr:uid="{00000000-0005-0000-0000-0000032C0000}"/>
    <cellStyle name="Normal 18 7" xfId="1537" xr:uid="{00000000-0005-0000-0000-0000042C0000}"/>
    <cellStyle name="Normal 18 7 2" xfId="3849" xr:uid="{00000000-0005-0000-0000-0000052C0000}"/>
    <cellStyle name="Normal 18 7 2 2" xfId="8800" xr:uid="{00000000-0005-0000-0000-0000062C0000}"/>
    <cellStyle name="Normal 18 7 2 2 2" xfId="19697" xr:uid="{00000000-0005-0000-0000-0000072C0000}"/>
    <cellStyle name="Normal 18 7 2 3" xfId="14746" xr:uid="{00000000-0005-0000-0000-0000082C0000}"/>
    <cellStyle name="Normal 18 7 3" xfId="6488" xr:uid="{00000000-0005-0000-0000-0000092C0000}"/>
    <cellStyle name="Normal 18 7 3 2" xfId="17385" xr:uid="{00000000-0005-0000-0000-00000A2C0000}"/>
    <cellStyle name="Normal 18 7 4" xfId="12472" xr:uid="{00000000-0005-0000-0000-00000B2C0000}"/>
    <cellStyle name="Normal 18 8" xfId="2648" xr:uid="{00000000-0005-0000-0000-00000C2C0000}"/>
    <cellStyle name="Normal 18 8 2" xfId="7599" xr:uid="{00000000-0005-0000-0000-00000D2C0000}"/>
    <cellStyle name="Normal 18 8 2 2" xfId="18496" xr:uid="{00000000-0005-0000-0000-00000E2C0000}"/>
    <cellStyle name="Normal 18 8 3" xfId="13545" xr:uid="{00000000-0005-0000-0000-00000F2C0000}"/>
    <cellStyle name="Normal 18 9" xfId="5287" xr:uid="{00000000-0005-0000-0000-0000102C0000}"/>
    <cellStyle name="Normal 18 9 2" xfId="16184" xr:uid="{00000000-0005-0000-0000-0000112C0000}"/>
    <cellStyle name="Normal 19" xfId="254" xr:uid="{00000000-0005-0000-0000-0000122C0000}"/>
    <cellStyle name="Normal 2" xfId="3" xr:uid="{00000000-0005-0000-0000-0000132C0000}"/>
    <cellStyle name="Normal 2 2" xfId="255" xr:uid="{00000000-0005-0000-0000-0000142C0000}"/>
    <cellStyle name="Normal 2 2 10" xfId="256" xr:uid="{00000000-0005-0000-0000-0000152C0000}"/>
    <cellStyle name="Normal 2 2 11" xfId="257" xr:uid="{00000000-0005-0000-0000-0000162C0000}"/>
    <cellStyle name="Normal 2 2 12" xfId="258" xr:uid="{00000000-0005-0000-0000-0000172C0000}"/>
    <cellStyle name="Normal 2 2 13" xfId="259" xr:uid="{00000000-0005-0000-0000-0000182C0000}"/>
    <cellStyle name="Normal 2 2 14" xfId="260" xr:uid="{00000000-0005-0000-0000-0000192C0000}"/>
    <cellStyle name="Normal 2 2 15" xfId="261" xr:uid="{00000000-0005-0000-0000-00001A2C0000}"/>
    <cellStyle name="Normal 2 2 16" xfId="262" xr:uid="{00000000-0005-0000-0000-00001B2C0000}"/>
    <cellStyle name="Normal 2 2 17" xfId="263" xr:uid="{00000000-0005-0000-0000-00001C2C0000}"/>
    <cellStyle name="Normal 2 2 18" xfId="264" xr:uid="{00000000-0005-0000-0000-00001D2C0000}"/>
    <cellStyle name="Normal 2 2 19" xfId="265" xr:uid="{00000000-0005-0000-0000-00001E2C0000}"/>
    <cellStyle name="Normal 2 2 2" xfId="266" xr:uid="{00000000-0005-0000-0000-00001F2C0000}"/>
    <cellStyle name="Normal 2 2 20" xfId="267" xr:uid="{00000000-0005-0000-0000-0000202C0000}"/>
    <cellStyle name="Normal 2 2 21" xfId="268" xr:uid="{00000000-0005-0000-0000-0000212C0000}"/>
    <cellStyle name="Normal 2 2 22" xfId="269" xr:uid="{00000000-0005-0000-0000-0000222C0000}"/>
    <cellStyle name="Normal 2 2 23" xfId="388" xr:uid="{00000000-0005-0000-0000-0000232C0000}"/>
    <cellStyle name="Normal 2 2 23 2" xfId="518" xr:uid="{00000000-0005-0000-0000-0000242C0000}"/>
    <cellStyle name="Normal 2 2 23 2 2" xfId="783" xr:uid="{00000000-0005-0000-0000-0000252C0000}"/>
    <cellStyle name="Normal 2 2 23 2 2 2" xfId="1315" xr:uid="{00000000-0005-0000-0000-0000262C0000}"/>
    <cellStyle name="Normal 2 2 23 2 2 2 2" xfId="2472" xr:uid="{00000000-0005-0000-0000-0000272C0000}"/>
    <cellStyle name="Normal 2 2 23 2 2 2 2 2" xfId="4784" xr:uid="{00000000-0005-0000-0000-0000282C0000}"/>
    <cellStyle name="Normal 2 2 23 2 2 2 2 2 2" xfId="9735" xr:uid="{00000000-0005-0000-0000-0000292C0000}"/>
    <cellStyle name="Normal 2 2 23 2 2 2 2 2 2 2" xfId="20632" xr:uid="{00000000-0005-0000-0000-00002A2C0000}"/>
    <cellStyle name="Normal 2 2 23 2 2 2 2 2 3" xfId="15681" xr:uid="{00000000-0005-0000-0000-00002B2C0000}"/>
    <cellStyle name="Normal 2 2 23 2 2 2 2 3" xfId="7423" xr:uid="{00000000-0005-0000-0000-00002C2C0000}"/>
    <cellStyle name="Normal 2 2 23 2 2 2 2 3 2" xfId="18320" xr:uid="{00000000-0005-0000-0000-00002D2C0000}"/>
    <cellStyle name="Normal 2 2 23 2 2 2 2 4" xfId="13383" xr:uid="{00000000-0005-0000-0000-00002E2C0000}"/>
    <cellStyle name="Normal 2 2 23 2 2 2 3" xfId="3639" xr:uid="{00000000-0005-0000-0000-00002F2C0000}"/>
    <cellStyle name="Normal 2 2 23 2 2 2 3 2" xfId="8590" xr:uid="{00000000-0005-0000-0000-0000302C0000}"/>
    <cellStyle name="Normal 2 2 23 2 2 2 3 2 2" xfId="19487" xr:uid="{00000000-0005-0000-0000-0000312C0000}"/>
    <cellStyle name="Normal 2 2 23 2 2 2 3 3" xfId="14536" xr:uid="{00000000-0005-0000-0000-0000322C0000}"/>
    <cellStyle name="Normal 2 2 23 2 2 2 4" xfId="6278" xr:uid="{00000000-0005-0000-0000-0000332C0000}"/>
    <cellStyle name="Normal 2 2 23 2 2 2 4 2" xfId="17175" xr:uid="{00000000-0005-0000-0000-0000342C0000}"/>
    <cellStyle name="Normal 2 2 23 2 2 2 5" xfId="12265" xr:uid="{00000000-0005-0000-0000-0000352C0000}"/>
    <cellStyle name="Normal 2 2 23 2 2 3" xfId="1941" xr:uid="{00000000-0005-0000-0000-0000362C0000}"/>
    <cellStyle name="Normal 2 2 23 2 2 3 2" xfId="4253" xr:uid="{00000000-0005-0000-0000-0000372C0000}"/>
    <cellStyle name="Normal 2 2 23 2 2 3 2 2" xfId="9204" xr:uid="{00000000-0005-0000-0000-0000382C0000}"/>
    <cellStyle name="Normal 2 2 23 2 2 3 2 2 2" xfId="20101" xr:uid="{00000000-0005-0000-0000-0000392C0000}"/>
    <cellStyle name="Normal 2 2 23 2 2 3 2 3" xfId="15150" xr:uid="{00000000-0005-0000-0000-00003A2C0000}"/>
    <cellStyle name="Normal 2 2 23 2 2 3 3" xfId="6892" xr:uid="{00000000-0005-0000-0000-00003B2C0000}"/>
    <cellStyle name="Normal 2 2 23 2 2 3 3 2" xfId="17789" xr:uid="{00000000-0005-0000-0000-00003C2C0000}"/>
    <cellStyle name="Normal 2 2 23 2 2 3 4" xfId="12865" xr:uid="{00000000-0005-0000-0000-00003D2C0000}"/>
    <cellStyle name="Normal 2 2 23 2 2 4" xfId="3107" xr:uid="{00000000-0005-0000-0000-00003E2C0000}"/>
    <cellStyle name="Normal 2 2 23 2 2 4 2" xfId="8058" xr:uid="{00000000-0005-0000-0000-00003F2C0000}"/>
    <cellStyle name="Normal 2 2 23 2 2 4 2 2" xfId="18955" xr:uid="{00000000-0005-0000-0000-0000402C0000}"/>
    <cellStyle name="Normal 2 2 23 2 2 4 3" xfId="14004" xr:uid="{00000000-0005-0000-0000-0000412C0000}"/>
    <cellStyle name="Normal 2 2 23 2 2 5" xfId="5746" xr:uid="{00000000-0005-0000-0000-0000422C0000}"/>
    <cellStyle name="Normal 2 2 23 2 2 5 2" xfId="16643" xr:uid="{00000000-0005-0000-0000-0000432C0000}"/>
    <cellStyle name="Normal 2 2 23 2 2 6" xfId="11744" xr:uid="{00000000-0005-0000-0000-0000442C0000}"/>
    <cellStyle name="Normal 2 2 23 2 3" xfId="1050" xr:uid="{00000000-0005-0000-0000-0000452C0000}"/>
    <cellStyle name="Normal 2 2 23 2 3 2" xfId="2207" xr:uid="{00000000-0005-0000-0000-0000462C0000}"/>
    <cellStyle name="Normal 2 2 23 2 3 2 2" xfId="4519" xr:uid="{00000000-0005-0000-0000-0000472C0000}"/>
    <cellStyle name="Normal 2 2 23 2 3 2 2 2" xfId="9470" xr:uid="{00000000-0005-0000-0000-0000482C0000}"/>
    <cellStyle name="Normal 2 2 23 2 3 2 2 2 2" xfId="20367" xr:uid="{00000000-0005-0000-0000-0000492C0000}"/>
    <cellStyle name="Normal 2 2 23 2 3 2 2 3" xfId="15416" xr:uid="{00000000-0005-0000-0000-00004A2C0000}"/>
    <cellStyle name="Normal 2 2 23 2 3 2 3" xfId="7158" xr:uid="{00000000-0005-0000-0000-00004B2C0000}"/>
    <cellStyle name="Normal 2 2 23 2 3 2 3 2" xfId="18055" xr:uid="{00000000-0005-0000-0000-00004C2C0000}"/>
    <cellStyle name="Normal 2 2 23 2 3 2 4" xfId="13124" xr:uid="{00000000-0005-0000-0000-00004D2C0000}"/>
    <cellStyle name="Normal 2 2 23 2 3 3" xfId="3374" xr:uid="{00000000-0005-0000-0000-00004E2C0000}"/>
    <cellStyle name="Normal 2 2 23 2 3 3 2" xfId="8325" xr:uid="{00000000-0005-0000-0000-00004F2C0000}"/>
    <cellStyle name="Normal 2 2 23 2 3 3 2 2" xfId="19222" xr:uid="{00000000-0005-0000-0000-0000502C0000}"/>
    <cellStyle name="Normal 2 2 23 2 3 3 3" xfId="14271" xr:uid="{00000000-0005-0000-0000-0000512C0000}"/>
    <cellStyle name="Normal 2 2 23 2 3 4" xfId="6013" xr:uid="{00000000-0005-0000-0000-0000522C0000}"/>
    <cellStyle name="Normal 2 2 23 2 3 4 2" xfId="16910" xr:uid="{00000000-0005-0000-0000-0000532C0000}"/>
    <cellStyle name="Normal 2 2 23 2 3 5" xfId="12006" xr:uid="{00000000-0005-0000-0000-0000542C0000}"/>
    <cellStyle name="Normal 2 2 23 2 4" xfId="1708" xr:uid="{00000000-0005-0000-0000-0000552C0000}"/>
    <cellStyle name="Normal 2 2 23 2 4 2" xfId="4020" xr:uid="{00000000-0005-0000-0000-0000562C0000}"/>
    <cellStyle name="Normal 2 2 23 2 4 2 2" xfId="8971" xr:uid="{00000000-0005-0000-0000-0000572C0000}"/>
    <cellStyle name="Normal 2 2 23 2 4 2 2 2" xfId="19868" xr:uid="{00000000-0005-0000-0000-0000582C0000}"/>
    <cellStyle name="Normal 2 2 23 2 4 2 3" xfId="14917" xr:uid="{00000000-0005-0000-0000-0000592C0000}"/>
    <cellStyle name="Normal 2 2 23 2 4 3" xfId="6659" xr:uid="{00000000-0005-0000-0000-00005A2C0000}"/>
    <cellStyle name="Normal 2 2 23 2 4 3 2" xfId="17556" xr:uid="{00000000-0005-0000-0000-00005B2C0000}"/>
    <cellStyle name="Normal 2 2 23 2 4 4" xfId="12639" xr:uid="{00000000-0005-0000-0000-00005C2C0000}"/>
    <cellStyle name="Normal 2 2 23 2 5" xfId="2842" xr:uid="{00000000-0005-0000-0000-00005D2C0000}"/>
    <cellStyle name="Normal 2 2 23 2 5 2" xfId="7793" xr:uid="{00000000-0005-0000-0000-00005E2C0000}"/>
    <cellStyle name="Normal 2 2 23 2 5 2 2" xfId="18690" xr:uid="{00000000-0005-0000-0000-00005F2C0000}"/>
    <cellStyle name="Normal 2 2 23 2 5 3" xfId="13739" xr:uid="{00000000-0005-0000-0000-0000602C0000}"/>
    <cellStyle name="Normal 2 2 23 2 6" xfId="5481" xr:uid="{00000000-0005-0000-0000-0000612C0000}"/>
    <cellStyle name="Normal 2 2 23 2 6 2" xfId="16378" xr:uid="{00000000-0005-0000-0000-0000622C0000}"/>
    <cellStyle name="Normal 2 2 23 2 7" xfId="11483" xr:uid="{00000000-0005-0000-0000-0000632C0000}"/>
    <cellStyle name="Normal 2 2 23 3" xfId="654" xr:uid="{00000000-0005-0000-0000-0000642C0000}"/>
    <cellStyle name="Normal 2 2 23 3 2" xfId="1186" xr:uid="{00000000-0005-0000-0000-0000652C0000}"/>
    <cellStyle name="Normal 2 2 23 3 2 2" xfId="2343" xr:uid="{00000000-0005-0000-0000-0000662C0000}"/>
    <cellStyle name="Normal 2 2 23 3 2 2 2" xfId="4655" xr:uid="{00000000-0005-0000-0000-0000672C0000}"/>
    <cellStyle name="Normal 2 2 23 3 2 2 2 2" xfId="9606" xr:uid="{00000000-0005-0000-0000-0000682C0000}"/>
    <cellStyle name="Normal 2 2 23 3 2 2 2 2 2" xfId="20503" xr:uid="{00000000-0005-0000-0000-0000692C0000}"/>
    <cellStyle name="Normal 2 2 23 3 2 2 2 3" xfId="15552" xr:uid="{00000000-0005-0000-0000-00006A2C0000}"/>
    <cellStyle name="Normal 2 2 23 3 2 2 3" xfId="7294" xr:uid="{00000000-0005-0000-0000-00006B2C0000}"/>
    <cellStyle name="Normal 2 2 23 3 2 2 3 2" xfId="18191" xr:uid="{00000000-0005-0000-0000-00006C2C0000}"/>
    <cellStyle name="Normal 2 2 23 3 2 2 4" xfId="13255" xr:uid="{00000000-0005-0000-0000-00006D2C0000}"/>
    <cellStyle name="Normal 2 2 23 3 2 3" xfId="3510" xr:uid="{00000000-0005-0000-0000-00006E2C0000}"/>
    <cellStyle name="Normal 2 2 23 3 2 3 2" xfId="8461" xr:uid="{00000000-0005-0000-0000-00006F2C0000}"/>
    <cellStyle name="Normal 2 2 23 3 2 3 2 2" xfId="19358" xr:uid="{00000000-0005-0000-0000-0000702C0000}"/>
    <cellStyle name="Normal 2 2 23 3 2 3 3" xfId="14407" xr:uid="{00000000-0005-0000-0000-0000712C0000}"/>
    <cellStyle name="Normal 2 2 23 3 2 4" xfId="6149" xr:uid="{00000000-0005-0000-0000-0000722C0000}"/>
    <cellStyle name="Normal 2 2 23 3 2 4 2" xfId="17046" xr:uid="{00000000-0005-0000-0000-0000732C0000}"/>
    <cellStyle name="Normal 2 2 23 3 2 5" xfId="12137" xr:uid="{00000000-0005-0000-0000-0000742C0000}"/>
    <cellStyle name="Normal 2 2 23 3 3" xfId="1827" xr:uid="{00000000-0005-0000-0000-0000752C0000}"/>
    <cellStyle name="Normal 2 2 23 3 3 2" xfId="4139" xr:uid="{00000000-0005-0000-0000-0000762C0000}"/>
    <cellStyle name="Normal 2 2 23 3 3 2 2" xfId="9090" xr:uid="{00000000-0005-0000-0000-0000772C0000}"/>
    <cellStyle name="Normal 2 2 23 3 3 2 2 2" xfId="19987" xr:uid="{00000000-0005-0000-0000-0000782C0000}"/>
    <cellStyle name="Normal 2 2 23 3 3 2 3" xfId="15036" xr:uid="{00000000-0005-0000-0000-0000792C0000}"/>
    <cellStyle name="Normal 2 2 23 3 3 3" xfId="6778" xr:uid="{00000000-0005-0000-0000-00007A2C0000}"/>
    <cellStyle name="Normal 2 2 23 3 3 3 2" xfId="17675" xr:uid="{00000000-0005-0000-0000-00007B2C0000}"/>
    <cellStyle name="Normal 2 2 23 3 3 4" xfId="12752" xr:uid="{00000000-0005-0000-0000-00007C2C0000}"/>
    <cellStyle name="Normal 2 2 23 3 4" xfId="2978" xr:uid="{00000000-0005-0000-0000-00007D2C0000}"/>
    <cellStyle name="Normal 2 2 23 3 4 2" xfId="7929" xr:uid="{00000000-0005-0000-0000-00007E2C0000}"/>
    <cellStyle name="Normal 2 2 23 3 4 2 2" xfId="18826" xr:uid="{00000000-0005-0000-0000-00007F2C0000}"/>
    <cellStyle name="Normal 2 2 23 3 4 3" xfId="13875" xr:uid="{00000000-0005-0000-0000-0000802C0000}"/>
    <cellStyle name="Normal 2 2 23 3 5" xfId="5617" xr:uid="{00000000-0005-0000-0000-0000812C0000}"/>
    <cellStyle name="Normal 2 2 23 3 5 2" xfId="16514" xr:uid="{00000000-0005-0000-0000-0000822C0000}"/>
    <cellStyle name="Normal 2 2 23 3 6" xfId="11616" xr:uid="{00000000-0005-0000-0000-0000832C0000}"/>
    <cellStyle name="Normal 2 2 23 4" xfId="921" xr:uid="{00000000-0005-0000-0000-0000842C0000}"/>
    <cellStyle name="Normal 2 2 23 4 2" xfId="2078" xr:uid="{00000000-0005-0000-0000-0000852C0000}"/>
    <cellStyle name="Normal 2 2 23 4 2 2" xfId="4390" xr:uid="{00000000-0005-0000-0000-0000862C0000}"/>
    <cellStyle name="Normal 2 2 23 4 2 2 2" xfId="9341" xr:uid="{00000000-0005-0000-0000-0000872C0000}"/>
    <cellStyle name="Normal 2 2 23 4 2 2 2 2" xfId="20238" xr:uid="{00000000-0005-0000-0000-0000882C0000}"/>
    <cellStyle name="Normal 2 2 23 4 2 2 3" xfId="15287" xr:uid="{00000000-0005-0000-0000-0000892C0000}"/>
    <cellStyle name="Normal 2 2 23 4 2 3" xfId="7029" xr:uid="{00000000-0005-0000-0000-00008A2C0000}"/>
    <cellStyle name="Normal 2 2 23 4 2 3 2" xfId="17926" xr:uid="{00000000-0005-0000-0000-00008B2C0000}"/>
    <cellStyle name="Normal 2 2 23 4 2 4" xfId="12996" xr:uid="{00000000-0005-0000-0000-00008C2C0000}"/>
    <cellStyle name="Normal 2 2 23 4 3" xfId="3245" xr:uid="{00000000-0005-0000-0000-00008D2C0000}"/>
    <cellStyle name="Normal 2 2 23 4 3 2" xfId="8196" xr:uid="{00000000-0005-0000-0000-00008E2C0000}"/>
    <cellStyle name="Normal 2 2 23 4 3 2 2" xfId="19093" xr:uid="{00000000-0005-0000-0000-00008F2C0000}"/>
    <cellStyle name="Normal 2 2 23 4 3 3" xfId="14142" xr:uid="{00000000-0005-0000-0000-0000902C0000}"/>
    <cellStyle name="Normal 2 2 23 4 4" xfId="5884" xr:uid="{00000000-0005-0000-0000-0000912C0000}"/>
    <cellStyle name="Normal 2 2 23 4 4 2" xfId="16781" xr:uid="{00000000-0005-0000-0000-0000922C0000}"/>
    <cellStyle name="Normal 2 2 23 4 5" xfId="11878" xr:uid="{00000000-0005-0000-0000-0000932C0000}"/>
    <cellStyle name="Normal 2 2 23 5" xfId="1594" xr:uid="{00000000-0005-0000-0000-0000942C0000}"/>
    <cellStyle name="Normal 2 2 23 5 2" xfId="3906" xr:uid="{00000000-0005-0000-0000-0000952C0000}"/>
    <cellStyle name="Normal 2 2 23 5 2 2" xfId="8857" xr:uid="{00000000-0005-0000-0000-0000962C0000}"/>
    <cellStyle name="Normal 2 2 23 5 2 2 2" xfId="19754" xr:uid="{00000000-0005-0000-0000-0000972C0000}"/>
    <cellStyle name="Normal 2 2 23 5 2 3" xfId="14803" xr:uid="{00000000-0005-0000-0000-0000982C0000}"/>
    <cellStyle name="Normal 2 2 23 5 3" xfId="6545" xr:uid="{00000000-0005-0000-0000-0000992C0000}"/>
    <cellStyle name="Normal 2 2 23 5 3 2" xfId="17442" xr:uid="{00000000-0005-0000-0000-00009A2C0000}"/>
    <cellStyle name="Normal 2 2 23 5 4" xfId="12526" xr:uid="{00000000-0005-0000-0000-00009B2C0000}"/>
    <cellStyle name="Normal 2 2 23 6" xfId="2713" xr:uid="{00000000-0005-0000-0000-00009C2C0000}"/>
    <cellStyle name="Normal 2 2 23 6 2" xfId="7664" xr:uid="{00000000-0005-0000-0000-00009D2C0000}"/>
    <cellStyle name="Normal 2 2 23 6 2 2" xfId="18561" xr:uid="{00000000-0005-0000-0000-00009E2C0000}"/>
    <cellStyle name="Normal 2 2 23 6 3" xfId="13610" xr:uid="{00000000-0005-0000-0000-00009F2C0000}"/>
    <cellStyle name="Normal 2 2 23 7" xfId="5352" xr:uid="{00000000-0005-0000-0000-0000A02C0000}"/>
    <cellStyle name="Normal 2 2 23 7 2" xfId="16249" xr:uid="{00000000-0005-0000-0000-0000A12C0000}"/>
    <cellStyle name="Normal 2 2 23 8" xfId="11355" xr:uid="{00000000-0005-0000-0000-0000A22C0000}"/>
    <cellStyle name="Normal 2 2 24" xfId="461" xr:uid="{00000000-0005-0000-0000-0000A32C0000}"/>
    <cellStyle name="Normal 2 2 24 2" xfId="726" xr:uid="{00000000-0005-0000-0000-0000A42C0000}"/>
    <cellStyle name="Normal 2 2 24 2 2" xfId="1258" xr:uid="{00000000-0005-0000-0000-0000A52C0000}"/>
    <cellStyle name="Normal 2 2 24 2 2 2" xfId="2415" xr:uid="{00000000-0005-0000-0000-0000A62C0000}"/>
    <cellStyle name="Normal 2 2 24 2 2 2 2" xfId="4727" xr:uid="{00000000-0005-0000-0000-0000A72C0000}"/>
    <cellStyle name="Normal 2 2 24 2 2 2 2 2" xfId="9678" xr:uid="{00000000-0005-0000-0000-0000A82C0000}"/>
    <cellStyle name="Normal 2 2 24 2 2 2 2 2 2" xfId="20575" xr:uid="{00000000-0005-0000-0000-0000A92C0000}"/>
    <cellStyle name="Normal 2 2 24 2 2 2 2 3" xfId="15624" xr:uid="{00000000-0005-0000-0000-0000AA2C0000}"/>
    <cellStyle name="Normal 2 2 24 2 2 2 3" xfId="7366" xr:uid="{00000000-0005-0000-0000-0000AB2C0000}"/>
    <cellStyle name="Normal 2 2 24 2 2 2 3 2" xfId="18263" xr:uid="{00000000-0005-0000-0000-0000AC2C0000}"/>
    <cellStyle name="Normal 2 2 24 2 2 2 4" xfId="13326" xr:uid="{00000000-0005-0000-0000-0000AD2C0000}"/>
    <cellStyle name="Normal 2 2 24 2 2 3" xfId="3582" xr:uid="{00000000-0005-0000-0000-0000AE2C0000}"/>
    <cellStyle name="Normal 2 2 24 2 2 3 2" xfId="8533" xr:uid="{00000000-0005-0000-0000-0000AF2C0000}"/>
    <cellStyle name="Normal 2 2 24 2 2 3 2 2" xfId="19430" xr:uid="{00000000-0005-0000-0000-0000B02C0000}"/>
    <cellStyle name="Normal 2 2 24 2 2 3 3" xfId="14479" xr:uid="{00000000-0005-0000-0000-0000B12C0000}"/>
    <cellStyle name="Normal 2 2 24 2 2 4" xfId="6221" xr:uid="{00000000-0005-0000-0000-0000B22C0000}"/>
    <cellStyle name="Normal 2 2 24 2 2 4 2" xfId="17118" xr:uid="{00000000-0005-0000-0000-0000B32C0000}"/>
    <cellStyle name="Normal 2 2 24 2 2 5" xfId="12208" xr:uid="{00000000-0005-0000-0000-0000B42C0000}"/>
    <cellStyle name="Normal 2 2 24 2 3" xfId="1890" xr:uid="{00000000-0005-0000-0000-0000B52C0000}"/>
    <cellStyle name="Normal 2 2 24 2 3 2" xfId="4202" xr:uid="{00000000-0005-0000-0000-0000B62C0000}"/>
    <cellStyle name="Normal 2 2 24 2 3 2 2" xfId="9153" xr:uid="{00000000-0005-0000-0000-0000B72C0000}"/>
    <cellStyle name="Normal 2 2 24 2 3 2 2 2" xfId="20050" xr:uid="{00000000-0005-0000-0000-0000B82C0000}"/>
    <cellStyle name="Normal 2 2 24 2 3 2 3" xfId="15099" xr:uid="{00000000-0005-0000-0000-0000B92C0000}"/>
    <cellStyle name="Normal 2 2 24 2 3 3" xfId="6841" xr:uid="{00000000-0005-0000-0000-0000BA2C0000}"/>
    <cellStyle name="Normal 2 2 24 2 3 3 2" xfId="17738" xr:uid="{00000000-0005-0000-0000-0000BB2C0000}"/>
    <cellStyle name="Normal 2 2 24 2 3 4" xfId="12814" xr:uid="{00000000-0005-0000-0000-0000BC2C0000}"/>
    <cellStyle name="Normal 2 2 24 2 4" xfId="3050" xr:uid="{00000000-0005-0000-0000-0000BD2C0000}"/>
    <cellStyle name="Normal 2 2 24 2 4 2" xfId="8001" xr:uid="{00000000-0005-0000-0000-0000BE2C0000}"/>
    <cellStyle name="Normal 2 2 24 2 4 2 2" xfId="18898" xr:uid="{00000000-0005-0000-0000-0000BF2C0000}"/>
    <cellStyle name="Normal 2 2 24 2 4 3" xfId="13947" xr:uid="{00000000-0005-0000-0000-0000C02C0000}"/>
    <cellStyle name="Normal 2 2 24 2 5" xfId="5689" xr:uid="{00000000-0005-0000-0000-0000C12C0000}"/>
    <cellStyle name="Normal 2 2 24 2 5 2" xfId="16586" xr:uid="{00000000-0005-0000-0000-0000C22C0000}"/>
    <cellStyle name="Normal 2 2 24 2 6" xfId="11687" xr:uid="{00000000-0005-0000-0000-0000C32C0000}"/>
    <cellStyle name="Normal 2 2 24 3" xfId="993" xr:uid="{00000000-0005-0000-0000-0000C42C0000}"/>
    <cellStyle name="Normal 2 2 24 3 2" xfId="2150" xr:uid="{00000000-0005-0000-0000-0000C52C0000}"/>
    <cellStyle name="Normal 2 2 24 3 2 2" xfId="4462" xr:uid="{00000000-0005-0000-0000-0000C62C0000}"/>
    <cellStyle name="Normal 2 2 24 3 2 2 2" xfId="9413" xr:uid="{00000000-0005-0000-0000-0000C72C0000}"/>
    <cellStyle name="Normal 2 2 24 3 2 2 2 2" xfId="20310" xr:uid="{00000000-0005-0000-0000-0000C82C0000}"/>
    <cellStyle name="Normal 2 2 24 3 2 2 3" xfId="15359" xr:uid="{00000000-0005-0000-0000-0000C92C0000}"/>
    <cellStyle name="Normal 2 2 24 3 2 3" xfId="7101" xr:uid="{00000000-0005-0000-0000-0000CA2C0000}"/>
    <cellStyle name="Normal 2 2 24 3 2 3 2" xfId="17998" xr:uid="{00000000-0005-0000-0000-0000CB2C0000}"/>
    <cellStyle name="Normal 2 2 24 3 2 4" xfId="13067" xr:uid="{00000000-0005-0000-0000-0000CC2C0000}"/>
    <cellStyle name="Normal 2 2 24 3 3" xfId="3317" xr:uid="{00000000-0005-0000-0000-0000CD2C0000}"/>
    <cellStyle name="Normal 2 2 24 3 3 2" xfId="8268" xr:uid="{00000000-0005-0000-0000-0000CE2C0000}"/>
    <cellStyle name="Normal 2 2 24 3 3 2 2" xfId="19165" xr:uid="{00000000-0005-0000-0000-0000CF2C0000}"/>
    <cellStyle name="Normal 2 2 24 3 3 3" xfId="14214" xr:uid="{00000000-0005-0000-0000-0000D02C0000}"/>
    <cellStyle name="Normal 2 2 24 3 4" xfId="5956" xr:uid="{00000000-0005-0000-0000-0000D12C0000}"/>
    <cellStyle name="Normal 2 2 24 3 4 2" xfId="16853" xr:uid="{00000000-0005-0000-0000-0000D22C0000}"/>
    <cellStyle name="Normal 2 2 24 3 5" xfId="11949" xr:uid="{00000000-0005-0000-0000-0000D32C0000}"/>
    <cellStyle name="Normal 2 2 24 4" xfId="1657" xr:uid="{00000000-0005-0000-0000-0000D42C0000}"/>
    <cellStyle name="Normal 2 2 24 4 2" xfId="3969" xr:uid="{00000000-0005-0000-0000-0000D52C0000}"/>
    <cellStyle name="Normal 2 2 24 4 2 2" xfId="8920" xr:uid="{00000000-0005-0000-0000-0000D62C0000}"/>
    <cellStyle name="Normal 2 2 24 4 2 2 2" xfId="19817" xr:uid="{00000000-0005-0000-0000-0000D72C0000}"/>
    <cellStyle name="Normal 2 2 24 4 2 3" xfId="14866" xr:uid="{00000000-0005-0000-0000-0000D82C0000}"/>
    <cellStyle name="Normal 2 2 24 4 3" xfId="6608" xr:uid="{00000000-0005-0000-0000-0000D92C0000}"/>
    <cellStyle name="Normal 2 2 24 4 3 2" xfId="17505" xr:uid="{00000000-0005-0000-0000-0000DA2C0000}"/>
    <cellStyle name="Normal 2 2 24 4 4" xfId="12588" xr:uid="{00000000-0005-0000-0000-0000DB2C0000}"/>
    <cellStyle name="Normal 2 2 24 5" xfId="2785" xr:uid="{00000000-0005-0000-0000-0000DC2C0000}"/>
    <cellStyle name="Normal 2 2 24 5 2" xfId="7736" xr:uid="{00000000-0005-0000-0000-0000DD2C0000}"/>
    <cellStyle name="Normal 2 2 24 5 2 2" xfId="18633" xr:uid="{00000000-0005-0000-0000-0000DE2C0000}"/>
    <cellStyle name="Normal 2 2 24 5 3" xfId="13682" xr:uid="{00000000-0005-0000-0000-0000DF2C0000}"/>
    <cellStyle name="Normal 2 2 24 6" xfId="5424" xr:uid="{00000000-0005-0000-0000-0000E02C0000}"/>
    <cellStyle name="Normal 2 2 24 6 2" xfId="16321" xr:uid="{00000000-0005-0000-0000-0000E12C0000}"/>
    <cellStyle name="Normal 2 2 24 7" xfId="11426" xr:uid="{00000000-0005-0000-0000-0000E22C0000}"/>
    <cellStyle name="Normal 2 2 25" xfId="591" xr:uid="{00000000-0005-0000-0000-0000E32C0000}"/>
    <cellStyle name="Normal 2 2 25 2" xfId="1123" xr:uid="{00000000-0005-0000-0000-0000E42C0000}"/>
    <cellStyle name="Normal 2 2 25 2 2" xfId="2280" xr:uid="{00000000-0005-0000-0000-0000E52C0000}"/>
    <cellStyle name="Normal 2 2 25 2 2 2" xfId="4592" xr:uid="{00000000-0005-0000-0000-0000E62C0000}"/>
    <cellStyle name="Normal 2 2 25 2 2 2 2" xfId="9543" xr:uid="{00000000-0005-0000-0000-0000E72C0000}"/>
    <cellStyle name="Normal 2 2 25 2 2 2 2 2" xfId="20440" xr:uid="{00000000-0005-0000-0000-0000E82C0000}"/>
    <cellStyle name="Normal 2 2 25 2 2 2 3" xfId="15489" xr:uid="{00000000-0005-0000-0000-0000E92C0000}"/>
    <cellStyle name="Normal 2 2 25 2 2 3" xfId="7231" xr:uid="{00000000-0005-0000-0000-0000EA2C0000}"/>
    <cellStyle name="Normal 2 2 25 2 2 3 2" xfId="18128" xr:uid="{00000000-0005-0000-0000-0000EB2C0000}"/>
    <cellStyle name="Normal 2 2 25 2 2 4" xfId="13195" xr:uid="{00000000-0005-0000-0000-0000EC2C0000}"/>
    <cellStyle name="Normal 2 2 25 2 3" xfId="3447" xr:uid="{00000000-0005-0000-0000-0000ED2C0000}"/>
    <cellStyle name="Normal 2 2 25 2 3 2" xfId="8398" xr:uid="{00000000-0005-0000-0000-0000EE2C0000}"/>
    <cellStyle name="Normal 2 2 25 2 3 2 2" xfId="19295" xr:uid="{00000000-0005-0000-0000-0000EF2C0000}"/>
    <cellStyle name="Normal 2 2 25 2 3 3" xfId="14344" xr:uid="{00000000-0005-0000-0000-0000F02C0000}"/>
    <cellStyle name="Normal 2 2 25 2 4" xfId="6086" xr:uid="{00000000-0005-0000-0000-0000F12C0000}"/>
    <cellStyle name="Normal 2 2 25 2 4 2" xfId="16983" xr:uid="{00000000-0005-0000-0000-0000F22C0000}"/>
    <cellStyle name="Normal 2 2 25 2 5" xfId="12077" xr:uid="{00000000-0005-0000-0000-0000F32C0000}"/>
    <cellStyle name="Normal 2 2 25 3" xfId="1772" xr:uid="{00000000-0005-0000-0000-0000F42C0000}"/>
    <cellStyle name="Normal 2 2 25 3 2" xfId="4084" xr:uid="{00000000-0005-0000-0000-0000F52C0000}"/>
    <cellStyle name="Normal 2 2 25 3 2 2" xfId="9035" xr:uid="{00000000-0005-0000-0000-0000F62C0000}"/>
    <cellStyle name="Normal 2 2 25 3 2 2 2" xfId="19932" xr:uid="{00000000-0005-0000-0000-0000F72C0000}"/>
    <cellStyle name="Normal 2 2 25 3 2 3" xfId="14981" xr:uid="{00000000-0005-0000-0000-0000F82C0000}"/>
    <cellStyle name="Normal 2 2 25 3 3" xfId="6723" xr:uid="{00000000-0005-0000-0000-0000F92C0000}"/>
    <cellStyle name="Normal 2 2 25 3 3 2" xfId="17620" xr:uid="{00000000-0005-0000-0000-0000FA2C0000}"/>
    <cellStyle name="Normal 2 2 25 3 4" xfId="12701" xr:uid="{00000000-0005-0000-0000-0000FB2C0000}"/>
    <cellStyle name="Normal 2 2 25 4" xfId="2915" xr:uid="{00000000-0005-0000-0000-0000FC2C0000}"/>
    <cellStyle name="Normal 2 2 25 4 2" xfId="7866" xr:uid="{00000000-0005-0000-0000-0000FD2C0000}"/>
    <cellStyle name="Normal 2 2 25 4 2 2" xfId="18763" xr:uid="{00000000-0005-0000-0000-0000FE2C0000}"/>
    <cellStyle name="Normal 2 2 25 4 3" xfId="13812" xr:uid="{00000000-0005-0000-0000-0000FF2C0000}"/>
    <cellStyle name="Normal 2 2 25 5" xfId="5554" xr:uid="{00000000-0005-0000-0000-0000002D0000}"/>
    <cellStyle name="Normal 2 2 25 5 2" xfId="16451" xr:uid="{00000000-0005-0000-0000-0000012D0000}"/>
    <cellStyle name="Normal 2 2 25 6" xfId="11556" xr:uid="{00000000-0005-0000-0000-0000022D0000}"/>
    <cellStyle name="Normal 2 2 26" xfId="858" xr:uid="{00000000-0005-0000-0000-0000032D0000}"/>
    <cellStyle name="Normal 2 2 26 2" xfId="2015" xr:uid="{00000000-0005-0000-0000-0000042D0000}"/>
    <cellStyle name="Normal 2 2 26 2 2" xfId="4327" xr:uid="{00000000-0005-0000-0000-0000052D0000}"/>
    <cellStyle name="Normal 2 2 26 2 2 2" xfId="9278" xr:uid="{00000000-0005-0000-0000-0000062D0000}"/>
    <cellStyle name="Normal 2 2 26 2 2 2 2" xfId="20175" xr:uid="{00000000-0005-0000-0000-0000072D0000}"/>
    <cellStyle name="Normal 2 2 26 2 2 3" xfId="15224" xr:uid="{00000000-0005-0000-0000-0000082D0000}"/>
    <cellStyle name="Normal 2 2 26 2 3" xfId="6966" xr:uid="{00000000-0005-0000-0000-0000092D0000}"/>
    <cellStyle name="Normal 2 2 26 2 3 2" xfId="17863" xr:uid="{00000000-0005-0000-0000-00000A2D0000}"/>
    <cellStyle name="Normal 2 2 26 2 4" xfId="12937" xr:uid="{00000000-0005-0000-0000-00000B2D0000}"/>
    <cellStyle name="Normal 2 2 26 3" xfId="3182" xr:uid="{00000000-0005-0000-0000-00000C2D0000}"/>
    <cellStyle name="Normal 2 2 26 3 2" xfId="8133" xr:uid="{00000000-0005-0000-0000-00000D2D0000}"/>
    <cellStyle name="Normal 2 2 26 3 2 2" xfId="19030" xr:uid="{00000000-0005-0000-0000-00000E2D0000}"/>
    <cellStyle name="Normal 2 2 26 3 3" xfId="14079" xr:uid="{00000000-0005-0000-0000-00000F2D0000}"/>
    <cellStyle name="Normal 2 2 26 4" xfId="5821" xr:uid="{00000000-0005-0000-0000-0000102D0000}"/>
    <cellStyle name="Normal 2 2 26 4 2" xfId="16718" xr:uid="{00000000-0005-0000-0000-0000112D0000}"/>
    <cellStyle name="Normal 2 2 26 5" xfId="11819" xr:uid="{00000000-0005-0000-0000-0000122D0000}"/>
    <cellStyle name="Normal 2 2 27" xfId="1420" xr:uid="{00000000-0005-0000-0000-0000132D0000}"/>
    <cellStyle name="Normal 2 2 27 2" xfId="2529" xr:uid="{00000000-0005-0000-0000-0000142D0000}"/>
    <cellStyle name="Normal 2 2 27 2 2" xfId="4841" xr:uid="{00000000-0005-0000-0000-0000152D0000}"/>
    <cellStyle name="Normal 2 2 27 2 2 2" xfId="9792" xr:uid="{00000000-0005-0000-0000-0000162D0000}"/>
    <cellStyle name="Normal 2 2 27 2 2 2 2" xfId="20689" xr:uid="{00000000-0005-0000-0000-0000172D0000}"/>
    <cellStyle name="Normal 2 2 27 2 2 3" xfId="15738" xr:uid="{00000000-0005-0000-0000-0000182D0000}"/>
    <cellStyle name="Normal 2 2 27 2 3" xfId="7480" xr:uid="{00000000-0005-0000-0000-0000192D0000}"/>
    <cellStyle name="Normal 2 2 27 2 3 2" xfId="18377" xr:uid="{00000000-0005-0000-0000-00001A2D0000}"/>
    <cellStyle name="Normal 2 2 27 2 4" xfId="13426" xr:uid="{00000000-0005-0000-0000-00001B2D0000}"/>
    <cellStyle name="Normal 2 2 27 3" xfId="3744" xr:uid="{00000000-0005-0000-0000-00001C2D0000}"/>
    <cellStyle name="Normal 2 2 27 3 2" xfId="8695" xr:uid="{00000000-0005-0000-0000-00001D2D0000}"/>
    <cellStyle name="Normal 2 2 27 3 2 2" xfId="19592" xr:uid="{00000000-0005-0000-0000-00001E2D0000}"/>
    <cellStyle name="Normal 2 2 27 3 3" xfId="14641" xr:uid="{00000000-0005-0000-0000-00001F2D0000}"/>
    <cellStyle name="Normal 2 2 27 4" xfId="6383" xr:uid="{00000000-0005-0000-0000-0000202D0000}"/>
    <cellStyle name="Normal 2 2 27 4 2" xfId="17280" xr:uid="{00000000-0005-0000-0000-0000212D0000}"/>
    <cellStyle name="Normal 2 2 27 5" xfId="12358" xr:uid="{00000000-0005-0000-0000-0000222D0000}"/>
    <cellStyle name="Normal 2 2 28" xfId="1424" xr:uid="{00000000-0005-0000-0000-0000232D0000}"/>
    <cellStyle name="Normal 2 2 28 2" xfId="2533" xr:uid="{00000000-0005-0000-0000-0000242D0000}"/>
    <cellStyle name="Normal 2 2 28 2 2" xfId="4845" xr:uid="{00000000-0005-0000-0000-0000252D0000}"/>
    <cellStyle name="Normal 2 2 28 2 2 2" xfId="9796" xr:uid="{00000000-0005-0000-0000-0000262D0000}"/>
    <cellStyle name="Normal 2 2 28 2 2 2 2" xfId="20693" xr:uid="{00000000-0005-0000-0000-0000272D0000}"/>
    <cellStyle name="Normal 2 2 28 2 2 3" xfId="15742" xr:uid="{00000000-0005-0000-0000-0000282D0000}"/>
    <cellStyle name="Normal 2 2 28 2 3" xfId="7484" xr:uid="{00000000-0005-0000-0000-0000292D0000}"/>
    <cellStyle name="Normal 2 2 28 2 3 2" xfId="18381" xr:uid="{00000000-0005-0000-0000-00002A2D0000}"/>
    <cellStyle name="Normal 2 2 28 2 4" xfId="13430" xr:uid="{00000000-0005-0000-0000-00002B2D0000}"/>
    <cellStyle name="Normal 2 2 28 3" xfId="3748" xr:uid="{00000000-0005-0000-0000-00002C2D0000}"/>
    <cellStyle name="Normal 2 2 28 3 2" xfId="8699" xr:uid="{00000000-0005-0000-0000-00002D2D0000}"/>
    <cellStyle name="Normal 2 2 28 3 2 2" xfId="19596" xr:uid="{00000000-0005-0000-0000-00002E2D0000}"/>
    <cellStyle name="Normal 2 2 28 3 3" xfId="14645" xr:uid="{00000000-0005-0000-0000-00002F2D0000}"/>
    <cellStyle name="Normal 2 2 28 4" xfId="6387" xr:uid="{00000000-0005-0000-0000-0000302D0000}"/>
    <cellStyle name="Normal 2 2 28 4 2" xfId="17284" xr:uid="{00000000-0005-0000-0000-0000312D0000}"/>
    <cellStyle name="Normal 2 2 28 5" xfId="12362" xr:uid="{00000000-0005-0000-0000-0000322D0000}"/>
    <cellStyle name="Normal 2 2 29" xfId="1453" xr:uid="{00000000-0005-0000-0000-0000332D0000}"/>
    <cellStyle name="Normal 2 2 29 2" xfId="2560" xr:uid="{00000000-0005-0000-0000-0000342D0000}"/>
    <cellStyle name="Normal 2 2 29 2 2" xfId="4872" xr:uid="{00000000-0005-0000-0000-0000352D0000}"/>
    <cellStyle name="Normal 2 2 29 2 2 2" xfId="9823" xr:uid="{00000000-0005-0000-0000-0000362D0000}"/>
    <cellStyle name="Normal 2 2 29 2 2 2 2" xfId="20720" xr:uid="{00000000-0005-0000-0000-0000372D0000}"/>
    <cellStyle name="Normal 2 2 29 2 2 3" xfId="15769" xr:uid="{00000000-0005-0000-0000-0000382D0000}"/>
    <cellStyle name="Normal 2 2 29 2 3" xfId="7511" xr:uid="{00000000-0005-0000-0000-0000392D0000}"/>
    <cellStyle name="Normal 2 2 29 2 3 2" xfId="18408" xr:uid="{00000000-0005-0000-0000-00003A2D0000}"/>
    <cellStyle name="Normal 2 2 29 2 4" xfId="13457" xr:uid="{00000000-0005-0000-0000-00003B2D0000}"/>
    <cellStyle name="Normal 2 2 29 3" xfId="3775" xr:uid="{00000000-0005-0000-0000-00003C2D0000}"/>
    <cellStyle name="Normal 2 2 29 3 2" xfId="8726" xr:uid="{00000000-0005-0000-0000-00003D2D0000}"/>
    <cellStyle name="Normal 2 2 29 3 2 2" xfId="19623" xr:uid="{00000000-0005-0000-0000-00003E2D0000}"/>
    <cellStyle name="Normal 2 2 29 3 3" xfId="14672" xr:uid="{00000000-0005-0000-0000-00003F2D0000}"/>
    <cellStyle name="Normal 2 2 29 4" xfId="6414" xr:uid="{00000000-0005-0000-0000-0000402D0000}"/>
    <cellStyle name="Normal 2 2 29 4 2" xfId="17311" xr:uid="{00000000-0005-0000-0000-0000412D0000}"/>
    <cellStyle name="Normal 2 2 29 5" xfId="12393" xr:uid="{00000000-0005-0000-0000-0000422D0000}"/>
    <cellStyle name="Normal 2 2 3" xfId="270" xr:uid="{00000000-0005-0000-0000-0000432D0000}"/>
    <cellStyle name="Normal 2 2 30" xfId="1473" xr:uid="{00000000-0005-0000-0000-0000442D0000}"/>
    <cellStyle name="Normal 2 2 30 2" xfId="2578" xr:uid="{00000000-0005-0000-0000-0000452D0000}"/>
    <cellStyle name="Normal 2 2 30 2 2" xfId="4890" xr:uid="{00000000-0005-0000-0000-0000462D0000}"/>
    <cellStyle name="Normal 2 2 30 2 2 2" xfId="9841" xr:uid="{00000000-0005-0000-0000-0000472D0000}"/>
    <cellStyle name="Normal 2 2 30 2 2 2 2" xfId="20738" xr:uid="{00000000-0005-0000-0000-0000482D0000}"/>
    <cellStyle name="Normal 2 2 30 2 2 3" xfId="15787" xr:uid="{00000000-0005-0000-0000-0000492D0000}"/>
    <cellStyle name="Normal 2 2 30 2 3" xfId="7529" xr:uid="{00000000-0005-0000-0000-00004A2D0000}"/>
    <cellStyle name="Normal 2 2 30 2 3 2" xfId="18426" xr:uid="{00000000-0005-0000-0000-00004B2D0000}"/>
    <cellStyle name="Normal 2 2 30 2 4" xfId="13475" xr:uid="{00000000-0005-0000-0000-00004C2D0000}"/>
    <cellStyle name="Normal 2 2 30 3" xfId="3793" xr:uid="{00000000-0005-0000-0000-00004D2D0000}"/>
    <cellStyle name="Normal 2 2 30 3 2" xfId="8744" xr:uid="{00000000-0005-0000-0000-00004E2D0000}"/>
    <cellStyle name="Normal 2 2 30 3 2 2" xfId="19641" xr:uid="{00000000-0005-0000-0000-00004F2D0000}"/>
    <cellStyle name="Normal 2 2 30 3 3" xfId="14690" xr:uid="{00000000-0005-0000-0000-0000502D0000}"/>
    <cellStyle name="Normal 2 2 30 4" xfId="6432" xr:uid="{00000000-0005-0000-0000-0000512D0000}"/>
    <cellStyle name="Normal 2 2 30 4 2" xfId="17329" xr:uid="{00000000-0005-0000-0000-0000522D0000}"/>
    <cellStyle name="Normal 2 2 30 5" xfId="12411" xr:uid="{00000000-0005-0000-0000-0000532D0000}"/>
    <cellStyle name="Normal 2 2 31" xfId="1481" xr:uid="{00000000-0005-0000-0000-0000542D0000}"/>
    <cellStyle name="Normal 2 2 31 2" xfId="2585" xr:uid="{00000000-0005-0000-0000-0000552D0000}"/>
    <cellStyle name="Normal 2 2 31 2 2" xfId="4897" xr:uid="{00000000-0005-0000-0000-0000562D0000}"/>
    <cellStyle name="Normal 2 2 31 2 2 2" xfId="9848" xr:uid="{00000000-0005-0000-0000-0000572D0000}"/>
    <cellStyle name="Normal 2 2 31 2 2 2 2" xfId="20745" xr:uid="{00000000-0005-0000-0000-0000582D0000}"/>
    <cellStyle name="Normal 2 2 31 2 2 3" xfId="15794" xr:uid="{00000000-0005-0000-0000-0000592D0000}"/>
    <cellStyle name="Normal 2 2 31 2 3" xfId="7536" xr:uid="{00000000-0005-0000-0000-00005A2D0000}"/>
    <cellStyle name="Normal 2 2 31 2 3 2" xfId="18433" xr:uid="{00000000-0005-0000-0000-00005B2D0000}"/>
    <cellStyle name="Normal 2 2 31 2 4" xfId="13482" xr:uid="{00000000-0005-0000-0000-00005C2D0000}"/>
    <cellStyle name="Normal 2 2 31 3" xfId="3800" xr:uid="{00000000-0005-0000-0000-00005D2D0000}"/>
    <cellStyle name="Normal 2 2 31 3 2" xfId="8751" xr:uid="{00000000-0005-0000-0000-00005E2D0000}"/>
    <cellStyle name="Normal 2 2 31 3 2 2" xfId="19648" xr:uid="{00000000-0005-0000-0000-00005F2D0000}"/>
    <cellStyle name="Normal 2 2 31 3 3" xfId="14697" xr:uid="{00000000-0005-0000-0000-0000602D0000}"/>
    <cellStyle name="Normal 2 2 31 4" xfId="6439" xr:uid="{00000000-0005-0000-0000-0000612D0000}"/>
    <cellStyle name="Normal 2 2 31 4 2" xfId="17336" xr:uid="{00000000-0005-0000-0000-0000622D0000}"/>
    <cellStyle name="Normal 2 2 31 5" xfId="12418" xr:uid="{00000000-0005-0000-0000-0000632D0000}"/>
    <cellStyle name="Normal 2 2 32" xfId="1489" xr:uid="{00000000-0005-0000-0000-0000642D0000}"/>
    <cellStyle name="Normal 2 2 32 2" xfId="2592" xr:uid="{00000000-0005-0000-0000-0000652D0000}"/>
    <cellStyle name="Normal 2 2 32 2 2" xfId="4904" xr:uid="{00000000-0005-0000-0000-0000662D0000}"/>
    <cellStyle name="Normal 2 2 32 2 2 2" xfId="9855" xr:uid="{00000000-0005-0000-0000-0000672D0000}"/>
    <cellStyle name="Normal 2 2 32 2 2 2 2" xfId="20752" xr:uid="{00000000-0005-0000-0000-0000682D0000}"/>
    <cellStyle name="Normal 2 2 32 2 2 3" xfId="15801" xr:uid="{00000000-0005-0000-0000-0000692D0000}"/>
    <cellStyle name="Normal 2 2 32 2 3" xfId="7543" xr:uid="{00000000-0005-0000-0000-00006A2D0000}"/>
    <cellStyle name="Normal 2 2 32 2 3 2" xfId="18440" xr:uid="{00000000-0005-0000-0000-00006B2D0000}"/>
    <cellStyle name="Normal 2 2 32 2 4" xfId="13489" xr:uid="{00000000-0005-0000-0000-00006C2D0000}"/>
    <cellStyle name="Normal 2 2 32 3" xfId="3808" xr:uid="{00000000-0005-0000-0000-00006D2D0000}"/>
    <cellStyle name="Normal 2 2 32 3 2" xfId="8759" xr:uid="{00000000-0005-0000-0000-00006E2D0000}"/>
    <cellStyle name="Normal 2 2 32 3 2 2" xfId="19656" xr:uid="{00000000-0005-0000-0000-00006F2D0000}"/>
    <cellStyle name="Normal 2 2 32 3 3" xfId="14705" xr:uid="{00000000-0005-0000-0000-0000702D0000}"/>
    <cellStyle name="Normal 2 2 32 4" xfId="6447" xr:uid="{00000000-0005-0000-0000-0000712D0000}"/>
    <cellStyle name="Normal 2 2 32 4 2" xfId="17344" xr:uid="{00000000-0005-0000-0000-0000722D0000}"/>
    <cellStyle name="Normal 2 2 32 5" xfId="12425" xr:uid="{00000000-0005-0000-0000-0000732D0000}"/>
    <cellStyle name="Normal 2 2 33" xfId="1539" xr:uid="{00000000-0005-0000-0000-0000742D0000}"/>
    <cellStyle name="Normal 2 2 33 2" xfId="3851" xr:uid="{00000000-0005-0000-0000-0000752D0000}"/>
    <cellStyle name="Normal 2 2 33 2 2" xfId="8802" xr:uid="{00000000-0005-0000-0000-0000762D0000}"/>
    <cellStyle name="Normal 2 2 33 2 2 2" xfId="19699" xr:uid="{00000000-0005-0000-0000-0000772D0000}"/>
    <cellStyle name="Normal 2 2 33 2 3" xfId="14748" xr:uid="{00000000-0005-0000-0000-0000782D0000}"/>
    <cellStyle name="Normal 2 2 33 3" xfId="6490" xr:uid="{00000000-0005-0000-0000-0000792D0000}"/>
    <cellStyle name="Normal 2 2 33 3 2" xfId="17387" xr:uid="{00000000-0005-0000-0000-00007A2D0000}"/>
    <cellStyle name="Normal 2 2 33 4" xfId="12474" xr:uid="{00000000-0005-0000-0000-00007B2D0000}"/>
    <cellStyle name="Normal 2 2 34" xfId="2650" xr:uid="{00000000-0005-0000-0000-00007C2D0000}"/>
    <cellStyle name="Normal 2 2 34 2" xfId="7601" xr:uid="{00000000-0005-0000-0000-00007D2D0000}"/>
    <cellStyle name="Normal 2 2 34 2 2" xfId="18498" xr:uid="{00000000-0005-0000-0000-00007E2D0000}"/>
    <cellStyle name="Normal 2 2 34 3" xfId="13547" xr:uid="{00000000-0005-0000-0000-00007F2D0000}"/>
    <cellStyle name="Normal 2 2 35" xfId="5289" xr:uid="{00000000-0005-0000-0000-0000802D0000}"/>
    <cellStyle name="Normal 2 2 35 2" xfId="16186" xr:uid="{00000000-0005-0000-0000-0000812D0000}"/>
    <cellStyle name="Normal 2 2 36" xfId="11293" xr:uid="{00000000-0005-0000-0000-0000822D0000}"/>
    <cellStyle name="Normal 2 2 4" xfId="271" xr:uid="{00000000-0005-0000-0000-0000832D0000}"/>
    <cellStyle name="Normal 2 2 5" xfId="272" xr:uid="{00000000-0005-0000-0000-0000842D0000}"/>
    <cellStyle name="Normal 2 2 6" xfId="273" xr:uid="{00000000-0005-0000-0000-0000852D0000}"/>
    <cellStyle name="Normal 2 2 7" xfId="274" xr:uid="{00000000-0005-0000-0000-0000862D0000}"/>
    <cellStyle name="Normal 2 2 8" xfId="275" xr:uid="{00000000-0005-0000-0000-0000872D0000}"/>
    <cellStyle name="Normal 2 2 9" xfId="276" xr:uid="{00000000-0005-0000-0000-0000882D0000}"/>
    <cellStyle name="Normal 2 2_32_Santee_May09 (2)" xfId="277" xr:uid="{00000000-0005-0000-0000-0000892D0000}"/>
    <cellStyle name="Normal 2 3" xfId="278" xr:uid="{00000000-0005-0000-0000-00008A2D0000}"/>
    <cellStyle name="Normal 2 3 2" xfId="279" xr:uid="{00000000-0005-0000-0000-00008B2D0000}"/>
    <cellStyle name="Normal 2 4" xfId="1504" xr:uid="{00000000-0005-0000-0000-00008C2D0000}"/>
    <cellStyle name="Normal 2 4 2" xfId="2606" xr:uid="{00000000-0005-0000-0000-00008D2D0000}"/>
    <cellStyle name="Normal 2 4 2 2" xfId="4918" xr:uid="{00000000-0005-0000-0000-00008E2D0000}"/>
    <cellStyle name="Normal 2 4 2 2 2" xfId="9869" xr:uid="{00000000-0005-0000-0000-00008F2D0000}"/>
    <cellStyle name="Normal 2 4 2 2 2 2" xfId="20766" xr:uid="{00000000-0005-0000-0000-0000902D0000}"/>
    <cellStyle name="Normal 2 4 2 2 3" xfId="15815" xr:uid="{00000000-0005-0000-0000-0000912D0000}"/>
    <cellStyle name="Normal 2 4 2 3" xfId="7557" xr:uid="{00000000-0005-0000-0000-0000922D0000}"/>
    <cellStyle name="Normal 2 4 2 3 2" xfId="18454" xr:uid="{00000000-0005-0000-0000-0000932D0000}"/>
    <cellStyle name="Normal 2 4 2 4" xfId="13503" xr:uid="{00000000-0005-0000-0000-0000942D0000}"/>
    <cellStyle name="Normal 2 4 3" xfId="3822" xr:uid="{00000000-0005-0000-0000-0000952D0000}"/>
    <cellStyle name="Normal 2 4 3 2" xfId="8773" xr:uid="{00000000-0005-0000-0000-0000962D0000}"/>
    <cellStyle name="Normal 2 4 3 2 2" xfId="19670" xr:uid="{00000000-0005-0000-0000-0000972D0000}"/>
    <cellStyle name="Normal 2 4 3 3" xfId="14719" xr:uid="{00000000-0005-0000-0000-0000982D0000}"/>
    <cellStyle name="Normal 2 4 4" xfId="6461" xr:uid="{00000000-0005-0000-0000-0000992D0000}"/>
    <cellStyle name="Normal 2 4 4 2" xfId="17358" xr:uid="{00000000-0005-0000-0000-00009A2D0000}"/>
    <cellStyle name="Normal 2 4 5" xfId="12440" xr:uid="{00000000-0005-0000-0000-00009B2D0000}"/>
    <cellStyle name="Normal 2_Special Ed P-2" xfId="280" xr:uid="{00000000-0005-0000-0000-00009C2D0000}"/>
    <cellStyle name="Normal 20" xfId="281" xr:uid="{00000000-0005-0000-0000-00009D2D0000}"/>
    <cellStyle name="Normal 21" xfId="282" xr:uid="{00000000-0005-0000-0000-00009E2D0000}"/>
    <cellStyle name="Normal 22" xfId="283" xr:uid="{00000000-0005-0000-0000-00009F2D0000}"/>
    <cellStyle name="Normal 22 2" xfId="389" xr:uid="{00000000-0005-0000-0000-0000A02D0000}"/>
    <cellStyle name="Normal 22 2 2" xfId="519" xr:uid="{00000000-0005-0000-0000-0000A12D0000}"/>
    <cellStyle name="Normal 22 2 2 2" xfId="784" xr:uid="{00000000-0005-0000-0000-0000A22D0000}"/>
    <cellStyle name="Normal 22 2 2 2 2" xfId="1316" xr:uid="{00000000-0005-0000-0000-0000A32D0000}"/>
    <cellStyle name="Normal 22 2 2 2 2 2" xfId="2473" xr:uid="{00000000-0005-0000-0000-0000A42D0000}"/>
    <cellStyle name="Normal 22 2 2 2 2 2 2" xfId="4785" xr:uid="{00000000-0005-0000-0000-0000A52D0000}"/>
    <cellStyle name="Normal 22 2 2 2 2 2 2 2" xfId="9736" xr:uid="{00000000-0005-0000-0000-0000A62D0000}"/>
    <cellStyle name="Normal 22 2 2 2 2 2 2 2 2" xfId="20633" xr:uid="{00000000-0005-0000-0000-0000A72D0000}"/>
    <cellStyle name="Normal 22 2 2 2 2 2 2 3" xfId="15682" xr:uid="{00000000-0005-0000-0000-0000A82D0000}"/>
    <cellStyle name="Normal 22 2 2 2 2 2 3" xfId="7424" xr:uid="{00000000-0005-0000-0000-0000A92D0000}"/>
    <cellStyle name="Normal 22 2 2 2 2 2 3 2" xfId="18321" xr:uid="{00000000-0005-0000-0000-0000AA2D0000}"/>
    <cellStyle name="Normal 22 2 2 2 2 2 4" xfId="13384" xr:uid="{00000000-0005-0000-0000-0000AB2D0000}"/>
    <cellStyle name="Normal 22 2 2 2 2 3" xfId="3640" xr:uid="{00000000-0005-0000-0000-0000AC2D0000}"/>
    <cellStyle name="Normal 22 2 2 2 2 3 2" xfId="8591" xr:uid="{00000000-0005-0000-0000-0000AD2D0000}"/>
    <cellStyle name="Normal 22 2 2 2 2 3 2 2" xfId="19488" xr:uid="{00000000-0005-0000-0000-0000AE2D0000}"/>
    <cellStyle name="Normal 22 2 2 2 2 3 3" xfId="14537" xr:uid="{00000000-0005-0000-0000-0000AF2D0000}"/>
    <cellStyle name="Normal 22 2 2 2 2 4" xfId="6279" xr:uid="{00000000-0005-0000-0000-0000B02D0000}"/>
    <cellStyle name="Normal 22 2 2 2 2 4 2" xfId="17176" xr:uid="{00000000-0005-0000-0000-0000B12D0000}"/>
    <cellStyle name="Normal 22 2 2 2 2 5" xfId="12266" xr:uid="{00000000-0005-0000-0000-0000B22D0000}"/>
    <cellStyle name="Normal 22 2 2 2 3" xfId="1942" xr:uid="{00000000-0005-0000-0000-0000B32D0000}"/>
    <cellStyle name="Normal 22 2 2 2 3 2" xfId="4254" xr:uid="{00000000-0005-0000-0000-0000B42D0000}"/>
    <cellStyle name="Normal 22 2 2 2 3 2 2" xfId="9205" xr:uid="{00000000-0005-0000-0000-0000B52D0000}"/>
    <cellStyle name="Normal 22 2 2 2 3 2 2 2" xfId="20102" xr:uid="{00000000-0005-0000-0000-0000B62D0000}"/>
    <cellStyle name="Normal 22 2 2 2 3 2 3" xfId="15151" xr:uid="{00000000-0005-0000-0000-0000B72D0000}"/>
    <cellStyle name="Normal 22 2 2 2 3 3" xfId="6893" xr:uid="{00000000-0005-0000-0000-0000B82D0000}"/>
    <cellStyle name="Normal 22 2 2 2 3 3 2" xfId="17790" xr:uid="{00000000-0005-0000-0000-0000B92D0000}"/>
    <cellStyle name="Normal 22 2 2 2 3 4" xfId="12866" xr:uid="{00000000-0005-0000-0000-0000BA2D0000}"/>
    <cellStyle name="Normal 22 2 2 2 4" xfId="3108" xr:uid="{00000000-0005-0000-0000-0000BB2D0000}"/>
    <cellStyle name="Normal 22 2 2 2 4 2" xfId="8059" xr:uid="{00000000-0005-0000-0000-0000BC2D0000}"/>
    <cellStyle name="Normal 22 2 2 2 4 2 2" xfId="18956" xr:uid="{00000000-0005-0000-0000-0000BD2D0000}"/>
    <cellStyle name="Normal 22 2 2 2 4 3" xfId="14005" xr:uid="{00000000-0005-0000-0000-0000BE2D0000}"/>
    <cellStyle name="Normal 22 2 2 2 5" xfId="5747" xr:uid="{00000000-0005-0000-0000-0000BF2D0000}"/>
    <cellStyle name="Normal 22 2 2 2 5 2" xfId="16644" xr:uid="{00000000-0005-0000-0000-0000C02D0000}"/>
    <cellStyle name="Normal 22 2 2 2 6" xfId="11745" xr:uid="{00000000-0005-0000-0000-0000C12D0000}"/>
    <cellStyle name="Normal 22 2 2 3" xfId="1051" xr:uid="{00000000-0005-0000-0000-0000C22D0000}"/>
    <cellStyle name="Normal 22 2 2 3 2" xfId="2208" xr:uid="{00000000-0005-0000-0000-0000C32D0000}"/>
    <cellStyle name="Normal 22 2 2 3 2 2" xfId="4520" xr:uid="{00000000-0005-0000-0000-0000C42D0000}"/>
    <cellStyle name="Normal 22 2 2 3 2 2 2" xfId="9471" xr:uid="{00000000-0005-0000-0000-0000C52D0000}"/>
    <cellStyle name="Normal 22 2 2 3 2 2 2 2" xfId="20368" xr:uid="{00000000-0005-0000-0000-0000C62D0000}"/>
    <cellStyle name="Normal 22 2 2 3 2 2 3" xfId="15417" xr:uid="{00000000-0005-0000-0000-0000C72D0000}"/>
    <cellStyle name="Normal 22 2 2 3 2 3" xfId="7159" xr:uid="{00000000-0005-0000-0000-0000C82D0000}"/>
    <cellStyle name="Normal 22 2 2 3 2 3 2" xfId="18056" xr:uid="{00000000-0005-0000-0000-0000C92D0000}"/>
    <cellStyle name="Normal 22 2 2 3 2 4" xfId="13125" xr:uid="{00000000-0005-0000-0000-0000CA2D0000}"/>
    <cellStyle name="Normal 22 2 2 3 3" xfId="3375" xr:uid="{00000000-0005-0000-0000-0000CB2D0000}"/>
    <cellStyle name="Normal 22 2 2 3 3 2" xfId="8326" xr:uid="{00000000-0005-0000-0000-0000CC2D0000}"/>
    <cellStyle name="Normal 22 2 2 3 3 2 2" xfId="19223" xr:uid="{00000000-0005-0000-0000-0000CD2D0000}"/>
    <cellStyle name="Normal 22 2 2 3 3 3" xfId="14272" xr:uid="{00000000-0005-0000-0000-0000CE2D0000}"/>
    <cellStyle name="Normal 22 2 2 3 4" xfId="6014" xr:uid="{00000000-0005-0000-0000-0000CF2D0000}"/>
    <cellStyle name="Normal 22 2 2 3 4 2" xfId="16911" xr:uid="{00000000-0005-0000-0000-0000D02D0000}"/>
    <cellStyle name="Normal 22 2 2 3 5" xfId="12007" xr:uid="{00000000-0005-0000-0000-0000D12D0000}"/>
    <cellStyle name="Normal 22 2 2 4" xfId="1709" xr:uid="{00000000-0005-0000-0000-0000D22D0000}"/>
    <cellStyle name="Normal 22 2 2 4 2" xfId="4021" xr:uid="{00000000-0005-0000-0000-0000D32D0000}"/>
    <cellStyle name="Normal 22 2 2 4 2 2" xfId="8972" xr:uid="{00000000-0005-0000-0000-0000D42D0000}"/>
    <cellStyle name="Normal 22 2 2 4 2 2 2" xfId="19869" xr:uid="{00000000-0005-0000-0000-0000D52D0000}"/>
    <cellStyle name="Normal 22 2 2 4 2 3" xfId="14918" xr:uid="{00000000-0005-0000-0000-0000D62D0000}"/>
    <cellStyle name="Normal 22 2 2 4 3" xfId="6660" xr:uid="{00000000-0005-0000-0000-0000D72D0000}"/>
    <cellStyle name="Normal 22 2 2 4 3 2" xfId="17557" xr:uid="{00000000-0005-0000-0000-0000D82D0000}"/>
    <cellStyle name="Normal 22 2 2 4 4" xfId="12640" xr:uid="{00000000-0005-0000-0000-0000D92D0000}"/>
    <cellStyle name="Normal 22 2 2 5" xfId="2843" xr:uid="{00000000-0005-0000-0000-0000DA2D0000}"/>
    <cellStyle name="Normal 22 2 2 5 2" xfId="7794" xr:uid="{00000000-0005-0000-0000-0000DB2D0000}"/>
    <cellStyle name="Normal 22 2 2 5 2 2" xfId="18691" xr:uid="{00000000-0005-0000-0000-0000DC2D0000}"/>
    <cellStyle name="Normal 22 2 2 5 3" xfId="13740" xr:uid="{00000000-0005-0000-0000-0000DD2D0000}"/>
    <cellStyle name="Normal 22 2 2 6" xfId="5482" xr:uid="{00000000-0005-0000-0000-0000DE2D0000}"/>
    <cellStyle name="Normal 22 2 2 6 2" xfId="16379" xr:uid="{00000000-0005-0000-0000-0000DF2D0000}"/>
    <cellStyle name="Normal 22 2 2 7" xfId="11484" xr:uid="{00000000-0005-0000-0000-0000E02D0000}"/>
    <cellStyle name="Normal 22 2 3" xfId="655" xr:uid="{00000000-0005-0000-0000-0000E12D0000}"/>
    <cellStyle name="Normal 22 2 3 2" xfId="1187" xr:uid="{00000000-0005-0000-0000-0000E22D0000}"/>
    <cellStyle name="Normal 22 2 3 2 2" xfId="2344" xr:uid="{00000000-0005-0000-0000-0000E32D0000}"/>
    <cellStyle name="Normal 22 2 3 2 2 2" xfId="4656" xr:uid="{00000000-0005-0000-0000-0000E42D0000}"/>
    <cellStyle name="Normal 22 2 3 2 2 2 2" xfId="9607" xr:uid="{00000000-0005-0000-0000-0000E52D0000}"/>
    <cellStyle name="Normal 22 2 3 2 2 2 2 2" xfId="20504" xr:uid="{00000000-0005-0000-0000-0000E62D0000}"/>
    <cellStyle name="Normal 22 2 3 2 2 2 3" xfId="15553" xr:uid="{00000000-0005-0000-0000-0000E72D0000}"/>
    <cellStyle name="Normal 22 2 3 2 2 3" xfId="7295" xr:uid="{00000000-0005-0000-0000-0000E82D0000}"/>
    <cellStyle name="Normal 22 2 3 2 2 3 2" xfId="18192" xr:uid="{00000000-0005-0000-0000-0000E92D0000}"/>
    <cellStyle name="Normal 22 2 3 2 2 4" xfId="13256" xr:uid="{00000000-0005-0000-0000-0000EA2D0000}"/>
    <cellStyle name="Normal 22 2 3 2 3" xfId="3511" xr:uid="{00000000-0005-0000-0000-0000EB2D0000}"/>
    <cellStyle name="Normal 22 2 3 2 3 2" xfId="8462" xr:uid="{00000000-0005-0000-0000-0000EC2D0000}"/>
    <cellStyle name="Normal 22 2 3 2 3 2 2" xfId="19359" xr:uid="{00000000-0005-0000-0000-0000ED2D0000}"/>
    <cellStyle name="Normal 22 2 3 2 3 3" xfId="14408" xr:uid="{00000000-0005-0000-0000-0000EE2D0000}"/>
    <cellStyle name="Normal 22 2 3 2 4" xfId="6150" xr:uid="{00000000-0005-0000-0000-0000EF2D0000}"/>
    <cellStyle name="Normal 22 2 3 2 4 2" xfId="17047" xr:uid="{00000000-0005-0000-0000-0000F02D0000}"/>
    <cellStyle name="Normal 22 2 3 2 5" xfId="12138" xr:uid="{00000000-0005-0000-0000-0000F12D0000}"/>
    <cellStyle name="Normal 22 2 3 3" xfId="1828" xr:uid="{00000000-0005-0000-0000-0000F22D0000}"/>
    <cellStyle name="Normal 22 2 3 3 2" xfId="4140" xr:uid="{00000000-0005-0000-0000-0000F32D0000}"/>
    <cellStyle name="Normal 22 2 3 3 2 2" xfId="9091" xr:uid="{00000000-0005-0000-0000-0000F42D0000}"/>
    <cellStyle name="Normal 22 2 3 3 2 2 2" xfId="19988" xr:uid="{00000000-0005-0000-0000-0000F52D0000}"/>
    <cellStyle name="Normal 22 2 3 3 2 3" xfId="15037" xr:uid="{00000000-0005-0000-0000-0000F62D0000}"/>
    <cellStyle name="Normal 22 2 3 3 3" xfId="6779" xr:uid="{00000000-0005-0000-0000-0000F72D0000}"/>
    <cellStyle name="Normal 22 2 3 3 3 2" xfId="17676" xr:uid="{00000000-0005-0000-0000-0000F82D0000}"/>
    <cellStyle name="Normal 22 2 3 3 4" xfId="12753" xr:uid="{00000000-0005-0000-0000-0000F92D0000}"/>
    <cellStyle name="Normal 22 2 3 4" xfId="2979" xr:uid="{00000000-0005-0000-0000-0000FA2D0000}"/>
    <cellStyle name="Normal 22 2 3 4 2" xfId="7930" xr:uid="{00000000-0005-0000-0000-0000FB2D0000}"/>
    <cellStyle name="Normal 22 2 3 4 2 2" xfId="18827" xr:uid="{00000000-0005-0000-0000-0000FC2D0000}"/>
    <cellStyle name="Normal 22 2 3 4 3" xfId="13876" xr:uid="{00000000-0005-0000-0000-0000FD2D0000}"/>
    <cellStyle name="Normal 22 2 3 5" xfId="5618" xr:uid="{00000000-0005-0000-0000-0000FE2D0000}"/>
    <cellStyle name="Normal 22 2 3 5 2" xfId="16515" xr:uid="{00000000-0005-0000-0000-0000FF2D0000}"/>
    <cellStyle name="Normal 22 2 3 6" xfId="11617" xr:uid="{00000000-0005-0000-0000-0000002E0000}"/>
    <cellStyle name="Normal 22 2 4" xfId="922" xr:uid="{00000000-0005-0000-0000-0000012E0000}"/>
    <cellStyle name="Normal 22 2 4 2" xfId="2079" xr:uid="{00000000-0005-0000-0000-0000022E0000}"/>
    <cellStyle name="Normal 22 2 4 2 2" xfId="4391" xr:uid="{00000000-0005-0000-0000-0000032E0000}"/>
    <cellStyle name="Normal 22 2 4 2 2 2" xfId="9342" xr:uid="{00000000-0005-0000-0000-0000042E0000}"/>
    <cellStyle name="Normal 22 2 4 2 2 2 2" xfId="20239" xr:uid="{00000000-0005-0000-0000-0000052E0000}"/>
    <cellStyle name="Normal 22 2 4 2 2 3" xfId="15288" xr:uid="{00000000-0005-0000-0000-0000062E0000}"/>
    <cellStyle name="Normal 22 2 4 2 3" xfId="7030" xr:uid="{00000000-0005-0000-0000-0000072E0000}"/>
    <cellStyle name="Normal 22 2 4 2 3 2" xfId="17927" xr:uid="{00000000-0005-0000-0000-0000082E0000}"/>
    <cellStyle name="Normal 22 2 4 2 4" xfId="12997" xr:uid="{00000000-0005-0000-0000-0000092E0000}"/>
    <cellStyle name="Normal 22 2 4 3" xfId="3246" xr:uid="{00000000-0005-0000-0000-00000A2E0000}"/>
    <cellStyle name="Normal 22 2 4 3 2" xfId="8197" xr:uid="{00000000-0005-0000-0000-00000B2E0000}"/>
    <cellStyle name="Normal 22 2 4 3 2 2" xfId="19094" xr:uid="{00000000-0005-0000-0000-00000C2E0000}"/>
    <cellStyle name="Normal 22 2 4 3 3" xfId="14143" xr:uid="{00000000-0005-0000-0000-00000D2E0000}"/>
    <cellStyle name="Normal 22 2 4 4" xfId="5885" xr:uid="{00000000-0005-0000-0000-00000E2E0000}"/>
    <cellStyle name="Normal 22 2 4 4 2" xfId="16782" xr:uid="{00000000-0005-0000-0000-00000F2E0000}"/>
    <cellStyle name="Normal 22 2 4 5" xfId="11879" xr:uid="{00000000-0005-0000-0000-0000102E0000}"/>
    <cellStyle name="Normal 22 2 5" xfId="1595" xr:uid="{00000000-0005-0000-0000-0000112E0000}"/>
    <cellStyle name="Normal 22 2 5 2" xfId="3907" xr:uid="{00000000-0005-0000-0000-0000122E0000}"/>
    <cellStyle name="Normal 22 2 5 2 2" xfId="8858" xr:uid="{00000000-0005-0000-0000-0000132E0000}"/>
    <cellStyle name="Normal 22 2 5 2 2 2" xfId="19755" xr:uid="{00000000-0005-0000-0000-0000142E0000}"/>
    <cellStyle name="Normal 22 2 5 2 3" xfId="14804" xr:uid="{00000000-0005-0000-0000-0000152E0000}"/>
    <cellStyle name="Normal 22 2 5 3" xfId="6546" xr:uid="{00000000-0005-0000-0000-0000162E0000}"/>
    <cellStyle name="Normal 22 2 5 3 2" xfId="17443" xr:uid="{00000000-0005-0000-0000-0000172E0000}"/>
    <cellStyle name="Normal 22 2 5 4" xfId="12527" xr:uid="{00000000-0005-0000-0000-0000182E0000}"/>
    <cellStyle name="Normal 22 2 6" xfId="2714" xr:uid="{00000000-0005-0000-0000-0000192E0000}"/>
    <cellStyle name="Normal 22 2 6 2" xfId="7665" xr:uid="{00000000-0005-0000-0000-00001A2E0000}"/>
    <cellStyle name="Normal 22 2 6 2 2" xfId="18562" xr:uid="{00000000-0005-0000-0000-00001B2E0000}"/>
    <cellStyle name="Normal 22 2 6 3" xfId="13611" xr:uid="{00000000-0005-0000-0000-00001C2E0000}"/>
    <cellStyle name="Normal 22 2 7" xfId="5353" xr:uid="{00000000-0005-0000-0000-00001D2E0000}"/>
    <cellStyle name="Normal 22 2 7 2" xfId="16250" xr:uid="{00000000-0005-0000-0000-00001E2E0000}"/>
    <cellStyle name="Normal 22 2 8" xfId="11356" xr:uid="{00000000-0005-0000-0000-00001F2E0000}"/>
    <cellStyle name="Normal 22 3" xfId="468" xr:uid="{00000000-0005-0000-0000-0000202E0000}"/>
    <cellStyle name="Normal 22 3 2" xfId="733" xr:uid="{00000000-0005-0000-0000-0000212E0000}"/>
    <cellStyle name="Normal 22 3 2 2" xfId="1265" xr:uid="{00000000-0005-0000-0000-0000222E0000}"/>
    <cellStyle name="Normal 22 3 2 2 2" xfId="2422" xr:uid="{00000000-0005-0000-0000-0000232E0000}"/>
    <cellStyle name="Normal 22 3 2 2 2 2" xfId="4734" xr:uid="{00000000-0005-0000-0000-0000242E0000}"/>
    <cellStyle name="Normal 22 3 2 2 2 2 2" xfId="9685" xr:uid="{00000000-0005-0000-0000-0000252E0000}"/>
    <cellStyle name="Normal 22 3 2 2 2 2 2 2" xfId="20582" xr:uid="{00000000-0005-0000-0000-0000262E0000}"/>
    <cellStyle name="Normal 22 3 2 2 2 2 3" xfId="15631" xr:uid="{00000000-0005-0000-0000-0000272E0000}"/>
    <cellStyle name="Normal 22 3 2 2 2 3" xfId="7373" xr:uid="{00000000-0005-0000-0000-0000282E0000}"/>
    <cellStyle name="Normal 22 3 2 2 2 3 2" xfId="18270" xr:uid="{00000000-0005-0000-0000-0000292E0000}"/>
    <cellStyle name="Normal 22 3 2 2 2 4" xfId="13333" xr:uid="{00000000-0005-0000-0000-00002A2E0000}"/>
    <cellStyle name="Normal 22 3 2 2 3" xfId="3589" xr:uid="{00000000-0005-0000-0000-00002B2E0000}"/>
    <cellStyle name="Normal 22 3 2 2 3 2" xfId="8540" xr:uid="{00000000-0005-0000-0000-00002C2E0000}"/>
    <cellStyle name="Normal 22 3 2 2 3 2 2" xfId="19437" xr:uid="{00000000-0005-0000-0000-00002D2E0000}"/>
    <cellStyle name="Normal 22 3 2 2 3 3" xfId="14486" xr:uid="{00000000-0005-0000-0000-00002E2E0000}"/>
    <cellStyle name="Normal 22 3 2 2 4" xfId="6228" xr:uid="{00000000-0005-0000-0000-00002F2E0000}"/>
    <cellStyle name="Normal 22 3 2 2 4 2" xfId="17125" xr:uid="{00000000-0005-0000-0000-0000302E0000}"/>
    <cellStyle name="Normal 22 3 2 2 5" xfId="12215" xr:uid="{00000000-0005-0000-0000-0000312E0000}"/>
    <cellStyle name="Normal 22 3 2 3" xfId="1891" xr:uid="{00000000-0005-0000-0000-0000322E0000}"/>
    <cellStyle name="Normal 22 3 2 3 2" xfId="4203" xr:uid="{00000000-0005-0000-0000-0000332E0000}"/>
    <cellStyle name="Normal 22 3 2 3 2 2" xfId="9154" xr:uid="{00000000-0005-0000-0000-0000342E0000}"/>
    <cellStyle name="Normal 22 3 2 3 2 2 2" xfId="20051" xr:uid="{00000000-0005-0000-0000-0000352E0000}"/>
    <cellStyle name="Normal 22 3 2 3 2 3" xfId="15100" xr:uid="{00000000-0005-0000-0000-0000362E0000}"/>
    <cellStyle name="Normal 22 3 2 3 3" xfId="6842" xr:uid="{00000000-0005-0000-0000-0000372E0000}"/>
    <cellStyle name="Normal 22 3 2 3 3 2" xfId="17739" xr:uid="{00000000-0005-0000-0000-0000382E0000}"/>
    <cellStyle name="Normal 22 3 2 3 4" xfId="12815" xr:uid="{00000000-0005-0000-0000-0000392E0000}"/>
    <cellStyle name="Normal 22 3 2 4" xfId="3057" xr:uid="{00000000-0005-0000-0000-00003A2E0000}"/>
    <cellStyle name="Normal 22 3 2 4 2" xfId="8008" xr:uid="{00000000-0005-0000-0000-00003B2E0000}"/>
    <cellStyle name="Normal 22 3 2 4 2 2" xfId="18905" xr:uid="{00000000-0005-0000-0000-00003C2E0000}"/>
    <cellStyle name="Normal 22 3 2 4 3" xfId="13954" xr:uid="{00000000-0005-0000-0000-00003D2E0000}"/>
    <cellStyle name="Normal 22 3 2 5" xfId="5696" xr:uid="{00000000-0005-0000-0000-00003E2E0000}"/>
    <cellStyle name="Normal 22 3 2 5 2" xfId="16593" xr:uid="{00000000-0005-0000-0000-00003F2E0000}"/>
    <cellStyle name="Normal 22 3 2 6" xfId="11694" xr:uid="{00000000-0005-0000-0000-0000402E0000}"/>
    <cellStyle name="Normal 22 3 3" xfId="1000" xr:uid="{00000000-0005-0000-0000-0000412E0000}"/>
    <cellStyle name="Normal 22 3 3 2" xfId="2157" xr:uid="{00000000-0005-0000-0000-0000422E0000}"/>
    <cellStyle name="Normal 22 3 3 2 2" xfId="4469" xr:uid="{00000000-0005-0000-0000-0000432E0000}"/>
    <cellStyle name="Normal 22 3 3 2 2 2" xfId="9420" xr:uid="{00000000-0005-0000-0000-0000442E0000}"/>
    <cellStyle name="Normal 22 3 3 2 2 2 2" xfId="20317" xr:uid="{00000000-0005-0000-0000-0000452E0000}"/>
    <cellStyle name="Normal 22 3 3 2 2 3" xfId="15366" xr:uid="{00000000-0005-0000-0000-0000462E0000}"/>
    <cellStyle name="Normal 22 3 3 2 3" xfId="7108" xr:uid="{00000000-0005-0000-0000-0000472E0000}"/>
    <cellStyle name="Normal 22 3 3 2 3 2" xfId="18005" xr:uid="{00000000-0005-0000-0000-0000482E0000}"/>
    <cellStyle name="Normal 22 3 3 2 4" xfId="13074" xr:uid="{00000000-0005-0000-0000-0000492E0000}"/>
    <cellStyle name="Normal 22 3 3 3" xfId="3324" xr:uid="{00000000-0005-0000-0000-00004A2E0000}"/>
    <cellStyle name="Normal 22 3 3 3 2" xfId="8275" xr:uid="{00000000-0005-0000-0000-00004B2E0000}"/>
    <cellStyle name="Normal 22 3 3 3 2 2" xfId="19172" xr:uid="{00000000-0005-0000-0000-00004C2E0000}"/>
    <cellStyle name="Normal 22 3 3 3 3" xfId="14221" xr:uid="{00000000-0005-0000-0000-00004D2E0000}"/>
    <cellStyle name="Normal 22 3 3 4" xfId="5963" xr:uid="{00000000-0005-0000-0000-00004E2E0000}"/>
    <cellStyle name="Normal 22 3 3 4 2" xfId="16860" xr:uid="{00000000-0005-0000-0000-00004F2E0000}"/>
    <cellStyle name="Normal 22 3 3 5" xfId="11956" xr:uid="{00000000-0005-0000-0000-0000502E0000}"/>
    <cellStyle name="Normal 22 3 4" xfId="1658" xr:uid="{00000000-0005-0000-0000-0000512E0000}"/>
    <cellStyle name="Normal 22 3 4 2" xfId="3970" xr:uid="{00000000-0005-0000-0000-0000522E0000}"/>
    <cellStyle name="Normal 22 3 4 2 2" xfId="8921" xr:uid="{00000000-0005-0000-0000-0000532E0000}"/>
    <cellStyle name="Normal 22 3 4 2 2 2" xfId="19818" xr:uid="{00000000-0005-0000-0000-0000542E0000}"/>
    <cellStyle name="Normal 22 3 4 2 3" xfId="14867" xr:uid="{00000000-0005-0000-0000-0000552E0000}"/>
    <cellStyle name="Normal 22 3 4 3" xfId="6609" xr:uid="{00000000-0005-0000-0000-0000562E0000}"/>
    <cellStyle name="Normal 22 3 4 3 2" xfId="17506" xr:uid="{00000000-0005-0000-0000-0000572E0000}"/>
    <cellStyle name="Normal 22 3 4 4" xfId="12589" xr:uid="{00000000-0005-0000-0000-0000582E0000}"/>
    <cellStyle name="Normal 22 3 5" xfId="2792" xr:uid="{00000000-0005-0000-0000-0000592E0000}"/>
    <cellStyle name="Normal 22 3 5 2" xfId="7743" xr:uid="{00000000-0005-0000-0000-00005A2E0000}"/>
    <cellStyle name="Normal 22 3 5 2 2" xfId="18640" xr:uid="{00000000-0005-0000-0000-00005B2E0000}"/>
    <cellStyle name="Normal 22 3 5 3" xfId="13689" xr:uid="{00000000-0005-0000-0000-00005C2E0000}"/>
    <cellStyle name="Normal 22 3 6" xfId="5431" xr:uid="{00000000-0005-0000-0000-00005D2E0000}"/>
    <cellStyle name="Normal 22 3 6 2" xfId="16328" xr:uid="{00000000-0005-0000-0000-00005E2E0000}"/>
    <cellStyle name="Normal 22 3 7" xfId="11433" xr:uid="{00000000-0005-0000-0000-00005F2E0000}"/>
    <cellStyle name="Normal 22 4" xfId="592" xr:uid="{00000000-0005-0000-0000-0000602E0000}"/>
    <cellStyle name="Normal 22 4 2" xfId="1124" xr:uid="{00000000-0005-0000-0000-0000612E0000}"/>
    <cellStyle name="Normal 22 4 2 2" xfId="2281" xr:uid="{00000000-0005-0000-0000-0000622E0000}"/>
    <cellStyle name="Normal 22 4 2 2 2" xfId="4593" xr:uid="{00000000-0005-0000-0000-0000632E0000}"/>
    <cellStyle name="Normal 22 4 2 2 2 2" xfId="9544" xr:uid="{00000000-0005-0000-0000-0000642E0000}"/>
    <cellStyle name="Normal 22 4 2 2 2 2 2" xfId="20441" xr:uid="{00000000-0005-0000-0000-0000652E0000}"/>
    <cellStyle name="Normal 22 4 2 2 2 3" xfId="15490" xr:uid="{00000000-0005-0000-0000-0000662E0000}"/>
    <cellStyle name="Normal 22 4 2 2 3" xfId="7232" xr:uid="{00000000-0005-0000-0000-0000672E0000}"/>
    <cellStyle name="Normal 22 4 2 2 3 2" xfId="18129" xr:uid="{00000000-0005-0000-0000-0000682E0000}"/>
    <cellStyle name="Normal 22 4 2 2 4" xfId="13196" xr:uid="{00000000-0005-0000-0000-0000692E0000}"/>
    <cellStyle name="Normal 22 4 2 3" xfId="3448" xr:uid="{00000000-0005-0000-0000-00006A2E0000}"/>
    <cellStyle name="Normal 22 4 2 3 2" xfId="8399" xr:uid="{00000000-0005-0000-0000-00006B2E0000}"/>
    <cellStyle name="Normal 22 4 2 3 2 2" xfId="19296" xr:uid="{00000000-0005-0000-0000-00006C2E0000}"/>
    <cellStyle name="Normal 22 4 2 3 3" xfId="14345" xr:uid="{00000000-0005-0000-0000-00006D2E0000}"/>
    <cellStyle name="Normal 22 4 2 4" xfId="6087" xr:uid="{00000000-0005-0000-0000-00006E2E0000}"/>
    <cellStyle name="Normal 22 4 2 4 2" xfId="16984" xr:uid="{00000000-0005-0000-0000-00006F2E0000}"/>
    <cellStyle name="Normal 22 4 2 5" xfId="12078" xr:uid="{00000000-0005-0000-0000-0000702E0000}"/>
    <cellStyle name="Normal 22 4 3" xfId="1773" xr:uid="{00000000-0005-0000-0000-0000712E0000}"/>
    <cellStyle name="Normal 22 4 3 2" xfId="4085" xr:uid="{00000000-0005-0000-0000-0000722E0000}"/>
    <cellStyle name="Normal 22 4 3 2 2" xfId="9036" xr:uid="{00000000-0005-0000-0000-0000732E0000}"/>
    <cellStyle name="Normal 22 4 3 2 2 2" xfId="19933" xr:uid="{00000000-0005-0000-0000-0000742E0000}"/>
    <cellStyle name="Normal 22 4 3 2 3" xfId="14982" xr:uid="{00000000-0005-0000-0000-0000752E0000}"/>
    <cellStyle name="Normal 22 4 3 3" xfId="6724" xr:uid="{00000000-0005-0000-0000-0000762E0000}"/>
    <cellStyle name="Normal 22 4 3 3 2" xfId="17621" xr:uid="{00000000-0005-0000-0000-0000772E0000}"/>
    <cellStyle name="Normal 22 4 3 4" xfId="12702" xr:uid="{00000000-0005-0000-0000-0000782E0000}"/>
    <cellStyle name="Normal 22 4 4" xfId="2916" xr:uid="{00000000-0005-0000-0000-0000792E0000}"/>
    <cellStyle name="Normal 22 4 4 2" xfId="7867" xr:uid="{00000000-0005-0000-0000-00007A2E0000}"/>
    <cellStyle name="Normal 22 4 4 2 2" xfId="18764" xr:uid="{00000000-0005-0000-0000-00007B2E0000}"/>
    <cellStyle name="Normal 22 4 4 3" xfId="13813" xr:uid="{00000000-0005-0000-0000-00007C2E0000}"/>
    <cellStyle name="Normal 22 4 5" xfId="5555" xr:uid="{00000000-0005-0000-0000-00007D2E0000}"/>
    <cellStyle name="Normal 22 4 5 2" xfId="16452" xr:uid="{00000000-0005-0000-0000-00007E2E0000}"/>
    <cellStyle name="Normal 22 4 6" xfId="11557" xr:uid="{00000000-0005-0000-0000-00007F2E0000}"/>
    <cellStyle name="Normal 22 5" xfId="859" xr:uid="{00000000-0005-0000-0000-0000802E0000}"/>
    <cellStyle name="Normal 22 5 2" xfId="2016" xr:uid="{00000000-0005-0000-0000-0000812E0000}"/>
    <cellStyle name="Normal 22 5 2 2" xfId="4328" xr:uid="{00000000-0005-0000-0000-0000822E0000}"/>
    <cellStyle name="Normal 22 5 2 2 2" xfId="9279" xr:uid="{00000000-0005-0000-0000-0000832E0000}"/>
    <cellStyle name="Normal 22 5 2 2 2 2" xfId="20176" xr:uid="{00000000-0005-0000-0000-0000842E0000}"/>
    <cellStyle name="Normal 22 5 2 2 3" xfId="15225" xr:uid="{00000000-0005-0000-0000-0000852E0000}"/>
    <cellStyle name="Normal 22 5 2 3" xfId="6967" xr:uid="{00000000-0005-0000-0000-0000862E0000}"/>
    <cellStyle name="Normal 22 5 2 3 2" xfId="17864" xr:uid="{00000000-0005-0000-0000-0000872E0000}"/>
    <cellStyle name="Normal 22 5 2 4" xfId="12938" xr:uid="{00000000-0005-0000-0000-0000882E0000}"/>
    <cellStyle name="Normal 22 5 3" xfId="3183" xr:uid="{00000000-0005-0000-0000-0000892E0000}"/>
    <cellStyle name="Normal 22 5 3 2" xfId="8134" xr:uid="{00000000-0005-0000-0000-00008A2E0000}"/>
    <cellStyle name="Normal 22 5 3 2 2" xfId="19031" xr:uid="{00000000-0005-0000-0000-00008B2E0000}"/>
    <cellStyle name="Normal 22 5 3 3" xfId="14080" xr:uid="{00000000-0005-0000-0000-00008C2E0000}"/>
    <cellStyle name="Normal 22 5 4" xfId="5822" xr:uid="{00000000-0005-0000-0000-00008D2E0000}"/>
    <cellStyle name="Normal 22 5 4 2" xfId="16719" xr:uid="{00000000-0005-0000-0000-00008E2E0000}"/>
    <cellStyle name="Normal 22 5 5" xfId="11820" xr:uid="{00000000-0005-0000-0000-00008F2E0000}"/>
    <cellStyle name="Normal 22 6" xfId="1540" xr:uid="{00000000-0005-0000-0000-0000902E0000}"/>
    <cellStyle name="Normal 22 6 2" xfId="3852" xr:uid="{00000000-0005-0000-0000-0000912E0000}"/>
    <cellStyle name="Normal 22 6 2 2" xfId="8803" xr:uid="{00000000-0005-0000-0000-0000922E0000}"/>
    <cellStyle name="Normal 22 6 2 2 2" xfId="19700" xr:uid="{00000000-0005-0000-0000-0000932E0000}"/>
    <cellStyle name="Normal 22 6 2 3" xfId="14749" xr:uid="{00000000-0005-0000-0000-0000942E0000}"/>
    <cellStyle name="Normal 22 6 3" xfId="6491" xr:uid="{00000000-0005-0000-0000-0000952E0000}"/>
    <cellStyle name="Normal 22 6 3 2" xfId="17388" xr:uid="{00000000-0005-0000-0000-0000962E0000}"/>
    <cellStyle name="Normal 22 6 4" xfId="12475" xr:uid="{00000000-0005-0000-0000-0000972E0000}"/>
    <cellStyle name="Normal 22 7" xfId="2651" xr:uid="{00000000-0005-0000-0000-0000982E0000}"/>
    <cellStyle name="Normal 22 7 2" xfId="7602" xr:uid="{00000000-0005-0000-0000-0000992E0000}"/>
    <cellStyle name="Normal 22 7 2 2" xfId="18499" xr:uid="{00000000-0005-0000-0000-00009A2E0000}"/>
    <cellStyle name="Normal 22 7 3" xfId="13548" xr:uid="{00000000-0005-0000-0000-00009B2E0000}"/>
    <cellStyle name="Normal 22 8" xfId="5290" xr:uid="{00000000-0005-0000-0000-00009C2E0000}"/>
    <cellStyle name="Normal 22 8 2" xfId="16187" xr:uid="{00000000-0005-0000-0000-00009D2E0000}"/>
    <cellStyle name="Normal 22 9" xfId="11295" xr:uid="{00000000-0005-0000-0000-00009E2E0000}"/>
    <cellStyle name="Normal 23" xfId="284" xr:uid="{00000000-0005-0000-0000-00009F2E0000}"/>
    <cellStyle name="Normal 24" xfId="285" xr:uid="{00000000-0005-0000-0000-0000A02E0000}"/>
    <cellStyle name="Normal 25" xfId="286" xr:uid="{00000000-0005-0000-0000-0000A12E0000}"/>
    <cellStyle name="Normal 26" xfId="287" xr:uid="{00000000-0005-0000-0000-0000A22E0000}"/>
    <cellStyle name="Normal 27" xfId="288" xr:uid="{00000000-0005-0000-0000-0000A32E0000}"/>
    <cellStyle name="Normal 28" xfId="289" xr:uid="{00000000-0005-0000-0000-0000A42E0000}"/>
    <cellStyle name="Normal 29" xfId="290" xr:uid="{00000000-0005-0000-0000-0000A52E0000}"/>
    <cellStyle name="Normal 3" xfId="4" xr:uid="{00000000-0005-0000-0000-0000A62E0000}"/>
    <cellStyle name="Normal 3 10" xfId="11201" xr:uid="{00000000-0005-0000-0000-0000A72E0000}"/>
    <cellStyle name="Normal 3 2" xfId="366" xr:uid="{00000000-0005-0000-0000-0000A82E0000}"/>
    <cellStyle name="Normal 3 2 2" xfId="496" xr:uid="{00000000-0005-0000-0000-0000A92E0000}"/>
    <cellStyle name="Normal 3 2 2 2" xfId="761" xr:uid="{00000000-0005-0000-0000-0000AA2E0000}"/>
    <cellStyle name="Normal 3 2 2 2 2" xfId="1293" xr:uid="{00000000-0005-0000-0000-0000AB2E0000}"/>
    <cellStyle name="Normal 3 2 2 2 2 2" xfId="2450" xr:uid="{00000000-0005-0000-0000-0000AC2E0000}"/>
    <cellStyle name="Normal 3 2 2 2 2 2 2" xfId="4762" xr:uid="{00000000-0005-0000-0000-0000AD2E0000}"/>
    <cellStyle name="Normal 3 2 2 2 2 2 2 2" xfId="9713" xr:uid="{00000000-0005-0000-0000-0000AE2E0000}"/>
    <cellStyle name="Normal 3 2 2 2 2 2 2 2 2" xfId="20610" xr:uid="{00000000-0005-0000-0000-0000AF2E0000}"/>
    <cellStyle name="Normal 3 2 2 2 2 2 2 3" xfId="15659" xr:uid="{00000000-0005-0000-0000-0000B02E0000}"/>
    <cellStyle name="Normal 3 2 2 2 2 2 3" xfId="7401" xr:uid="{00000000-0005-0000-0000-0000B12E0000}"/>
    <cellStyle name="Normal 3 2 2 2 2 2 3 2" xfId="18298" xr:uid="{00000000-0005-0000-0000-0000B22E0000}"/>
    <cellStyle name="Normal 3 2 2 2 2 2 4" xfId="13361" xr:uid="{00000000-0005-0000-0000-0000B32E0000}"/>
    <cellStyle name="Normal 3 2 2 2 2 3" xfId="3617" xr:uid="{00000000-0005-0000-0000-0000B42E0000}"/>
    <cellStyle name="Normal 3 2 2 2 2 3 2" xfId="8568" xr:uid="{00000000-0005-0000-0000-0000B52E0000}"/>
    <cellStyle name="Normal 3 2 2 2 2 3 2 2" xfId="19465" xr:uid="{00000000-0005-0000-0000-0000B62E0000}"/>
    <cellStyle name="Normal 3 2 2 2 2 3 3" xfId="14514" xr:uid="{00000000-0005-0000-0000-0000B72E0000}"/>
    <cellStyle name="Normal 3 2 2 2 2 4" xfId="6256" xr:uid="{00000000-0005-0000-0000-0000B82E0000}"/>
    <cellStyle name="Normal 3 2 2 2 2 4 2" xfId="17153" xr:uid="{00000000-0005-0000-0000-0000B92E0000}"/>
    <cellStyle name="Normal 3 2 2 2 2 5" xfId="12243" xr:uid="{00000000-0005-0000-0000-0000BA2E0000}"/>
    <cellStyle name="Normal 3 2 2 2 3" xfId="1919" xr:uid="{00000000-0005-0000-0000-0000BB2E0000}"/>
    <cellStyle name="Normal 3 2 2 2 3 2" xfId="4231" xr:uid="{00000000-0005-0000-0000-0000BC2E0000}"/>
    <cellStyle name="Normal 3 2 2 2 3 2 2" xfId="9182" xr:uid="{00000000-0005-0000-0000-0000BD2E0000}"/>
    <cellStyle name="Normal 3 2 2 2 3 2 2 2" xfId="20079" xr:uid="{00000000-0005-0000-0000-0000BE2E0000}"/>
    <cellStyle name="Normal 3 2 2 2 3 2 3" xfId="15128" xr:uid="{00000000-0005-0000-0000-0000BF2E0000}"/>
    <cellStyle name="Normal 3 2 2 2 3 3" xfId="6870" xr:uid="{00000000-0005-0000-0000-0000C02E0000}"/>
    <cellStyle name="Normal 3 2 2 2 3 3 2" xfId="17767" xr:uid="{00000000-0005-0000-0000-0000C12E0000}"/>
    <cellStyle name="Normal 3 2 2 2 3 4" xfId="12843" xr:uid="{00000000-0005-0000-0000-0000C22E0000}"/>
    <cellStyle name="Normal 3 2 2 2 4" xfId="3085" xr:uid="{00000000-0005-0000-0000-0000C32E0000}"/>
    <cellStyle name="Normal 3 2 2 2 4 2" xfId="8036" xr:uid="{00000000-0005-0000-0000-0000C42E0000}"/>
    <cellStyle name="Normal 3 2 2 2 4 2 2" xfId="18933" xr:uid="{00000000-0005-0000-0000-0000C52E0000}"/>
    <cellStyle name="Normal 3 2 2 2 4 3" xfId="13982" xr:uid="{00000000-0005-0000-0000-0000C62E0000}"/>
    <cellStyle name="Normal 3 2 2 2 5" xfId="5724" xr:uid="{00000000-0005-0000-0000-0000C72E0000}"/>
    <cellStyle name="Normal 3 2 2 2 5 2" xfId="16621" xr:uid="{00000000-0005-0000-0000-0000C82E0000}"/>
    <cellStyle name="Normal 3 2 2 2 6" xfId="11722" xr:uid="{00000000-0005-0000-0000-0000C92E0000}"/>
    <cellStyle name="Normal 3 2 2 3" xfId="1028" xr:uid="{00000000-0005-0000-0000-0000CA2E0000}"/>
    <cellStyle name="Normal 3 2 2 3 2" xfId="2185" xr:uid="{00000000-0005-0000-0000-0000CB2E0000}"/>
    <cellStyle name="Normal 3 2 2 3 2 2" xfId="4497" xr:uid="{00000000-0005-0000-0000-0000CC2E0000}"/>
    <cellStyle name="Normal 3 2 2 3 2 2 2" xfId="9448" xr:uid="{00000000-0005-0000-0000-0000CD2E0000}"/>
    <cellStyle name="Normal 3 2 2 3 2 2 2 2" xfId="20345" xr:uid="{00000000-0005-0000-0000-0000CE2E0000}"/>
    <cellStyle name="Normal 3 2 2 3 2 2 3" xfId="15394" xr:uid="{00000000-0005-0000-0000-0000CF2E0000}"/>
    <cellStyle name="Normal 3 2 2 3 2 3" xfId="7136" xr:uid="{00000000-0005-0000-0000-0000D02E0000}"/>
    <cellStyle name="Normal 3 2 2 3 2 3 2" xfId="18033" xr:uid="{00000000-0005-0000-0000-0000D12E0000}"/>
    <cellStyle name="Normal 3 2 2 3 2 4" xfId="13102" xr:uid="{00000000-0005-0000-0000-0000D22E0000}"/>
    <cellStyle name="Normal 3 2 2 3 3" xfId="3352" xr:uid="{00000000-0005-0000-0000-0000D32E0000}"/>
    <cellStyle name="Normal 3 2 2 3 3 2" xfId="8303" xr:uid="{00000000-0005-0000-0000-0000D42E0000}"/>
    <cellStyle name="Normal 3 2 2 3 3 2 2" xfId="19200" xr:uid="{00000000-0005-0000-0000-0000D52E0000}"/>
    <cellStyle name="Normal 3 2 2 3 3 3" xfId="14249" xr:uid="{00000000-0005-0000-0000-0000D62E0000}"/>
    <cellStyle name="Normal 3 2 2 3 4" xfId="5991" xr:uid="{00000000-0005-0000-0000-0000D72E0000}"/>
    <cellStyle name="Normal 3 2 2 3 4 2" xfId="16888" xr:uid="{00000000-0005-0000-0000-0000D82E0000}"/>
    <cellStyle name="Normal 3 2 2 3 5" xfId="11984" xr:uid="{00000000-0005-0000-0000-0000D92E0000}"/>
    <cellStyle name="Normal 3 2 2 4" xfId="1686" xr:uid="{00000000-0005-0000-0000-0000DA2E0000}"/>
    <cellStyle name="Normal 3 2 2 4 2" xfId="3998" xr:uid="{00000000-0005-0000-0000-0000DB2E0000}"/>
    <cellStyle name="Normal 3 2 2 4 2 2" xfId="8949" xr:uid="{00000000-0005-0000-0000-0000DC2E0000}"/>
    <cellStyle name="Normal 3 2 2 4 2 2 2" xfId="19846" xr:uid="{00000000-0005-0000-0000-0000DD2E0000}"/>
    <cellStyle name="Normal 3 2 2 4 2 3" xfId="14895" xr:uid="{00000000-0005-0000-0000-0000DE2E0000}"/>
    <cellStyle name="Normal 3 2 2 4 3" xfId="6637" xr:uid="{00000000-0005-0000-0000-0000DF2E0000}"/>
    <cellStyle name="Normal 3 2 2 4 3 2" xfId="17534" xr:uid="{00000000-0005-0000-0000-0000E02E0000}"/>
    <cellStyle name="Normal 3 2 2 4 4" xfId="12617" xr:uid="{00000000-0005-0000-0000-0000E12E0000}"/>
    <cellStyle name="Normal 3 2 2 5" xfId="2820" xr:uid="{00000000-0005-0000-0000-0000E22E0000}"/>
    <cellStyle name="Normal 3 2 2 5 2" xfId="7771" xr:uid="{00000000-0005-0000-0000-0000E32E0000}"/>
    <cellStyle name="Normal 3 2 2 5 2 2" xfId="18668" xr:uid="{00000000-0005-0000-0000-0000E42E0000}"/>
    <cellStyle name="Normal 3 2 2 5 3" xfId="13717" xr:uid="{00000000-0005-0000-0000-0000E52E0000}"/>
    <cellStyle name="Normal 3 2 2 6" xfId="5459" xr:uid="{00000000-0005-0000-0000-0000E62E0000}"/>
    <cellStyle name="Normal 3 2 2 6 2" xfId="16356" xr:uid="{00000000-0005-0000-0000-0000E72E0000}"/>
    <cellStyle name="Normal 3 2 2 7" xfId="11461" xr:uid="{00000000-0005-0000-0000-0000E82E0000}"/>
    <cellStyle name="Normal 3 2 3" xfId="632" xr:uid="{00000000-0005-0000-0000-0000E92E0000}"/>
    <cellStyle name="Normal 3 2 3 2" xfId="1164" xr:uid="{00000000-0005-0000-0000-0000EA2E0000}"/>
    <cellStyle name="Normal 3 2 3 2 2" xfId="2321" xr:uid="{00000000-0005-0000-0000-0000EB2E0000}"/>
    <cellStyle name="Normal 3 2 3 2 2 2" xfId="4633" xr:uid="{00000000-0005-0000-0000-0000EC2E0000}"/>
    <cellStyle name="Normal 3 2 3 2 2 2 2" xfId="9584" xr:uid="{00000000-0005-0000-0000-0000ED2E0000}"/>
    <cellStyle name="Normal 3 2 3 2 2 2 2 2" xfId="20481" xr:uid="{00000000-0005-0000-0000-0000EE2E0000}"/>
    <cellStyle name="Normal 3 2 3 2 2 2 3" xfId="15530" xr:uid="{00000000-0005-0000-0000-0000EF2E0000}"/>
    <cellStyle name="Normal 3 2 3 2 2 3" xfId="7272" xr:uid="{00000000-0005-0000-0000-0000F02E0000}"/>
    <cellStyle name="Normal 3 2 3 2 2 3 2" xfId="18169" xr:uid="{00000000-0005-0000-0000-0000F12E0000}"/>
    <cellStyle name="Normal 3 2 3 2 2 4" xfId="13233" xr:uid="{00000000-0005-0000-0000-0000F22E0000}"/>
    <cellStyle name="Normal 3 2 3 2 3" xfId="3488" xr:uid="{00000000-0005-0000-0000-0000F32E0000}"/>
    <cellStyle name="Normal 3 2 3 2 3 2" xfId="8439" xr:uid="{00000000-0005-0000-0000-0000F42E0000}"/>
    <cellStyle name="Normal 3 2 3 2 3 2 2" xfId="19336" xr:uid="{00000000-0005-0000-0000-0000F52E0000}"/>
    <cellStyle name="Normal 3 2 3 2 3 3" xfId="14385" xr:uid="{00000000-0005-0000-0000-0000F62E0000}"/>
    <cellStyle name="Normal 3 2 3 2 4" xfId="6127" xr:uid="{00000000-0005-0000-0000-0000F72E0000}"/>
    <cellStyle name="Normal 3 2 3 2 4 2" xfId="17024" xr:uid="{00000000-0005-0000-0000-0000F82E0000}"/>
    <cellStyle name="Normal 3 2 3 2 5" xfId="12115" xr:uid="{00000000-0005-0000-0000-0000F92E0000}"/>
    <cellStyle name="Normal 3 2 3 3" xfId="1805" xr:uid="{00000000-0005-0000-0000-0000FA2E0000}"/>
    <cellStyle name="Normal 3 2 3 3 2" xfId="4117" xr:uid="{00000000-0005-0000-0000-0000FB2E0000}"/>
    <cellStyle name="Normal 3 2 3 3 2 2" xfId="9068" xr:uid="{00000000-0005-0000-0000-0000FC2E0000}"/>
    <cellStyle name="Normal 3 2 3 3 2 2 2" xfId="19965" xr:uid="{00000000-0005-0000-0000-0000FD2E0000}"/>
    <cellStyle name="Normal 3 2 3 3 2 3" xfId="15014" xr:uid="{00000000-0005-0000-0000-0000FE2E0000}"/>
    <cellStyle name="Normal 3 2 3 3 3" xfId="6756" xr:uid="{00000000-0005-0000-0000-0000FF2E0000}"/>
    <cellStyle name="Normal 3 2 3 3 3 2" xfId="17653" xr:uid="{00000000-0005-0000-0000-0000002F0000}"/>
    <cellStyle name="Normal 3 2 3 3 4" xfId="12730" xr:uid="{00000000-0005-0000-0000-0000012F0000}"/>
    <cellStyle name="Normal 3 2 3 4" xfId="2956" xr:uid="{00000000-0005-0000-0000-0000022F0000}"/>
    <cellStyle name="Normal 3 2 3 4 2" xfId="7907" xr:uid="{00000000-0005-0000-0000-0000032F0000}"/>
    <cellStyle name="Normal 3 2 3 4 2 2" xfId="18804" xr:uid="{00000000-0005-0000-0000-0000042F0000}"/>
    <cellStyle name="Normal 3 2 3 4 3" xfId="13853" xr:uid="{00000000-0005-0000-0000-0000052F0000}"/>
    <cellStyle name="Normal 3 2 3 5" xfId="5595" xr:uid="{00000000-0005-0000-0000-0000062F0000}"/>
    <cellStyle name="Normal 3 2 3 5 2" xfId="16492" xr:uid="{00000000-0005-0000-0000-0000072F0000}"/>
    <cellStyle name="Normal 3 2 3 6" xfId="11594" xr:uid="{00000000-0005-0000-0000-0000082F0000}"/>
    <cellStyle name="Normal 3 2 4" xfId="899" xr:uid="{00000000-0005-0000-0000-0000092F0000}"/>
    <cellStyle name="Normal 3 2 4 2" xfId="2056" xr:uid="{00000000-0005-0000-0000-00000A2F0000}"/>
    <cellStyle name="Normal 3 2 4 2 2" xfId="4368" xr:uid="{00000000-0005-0000-0000-00000B2F0000}"/>
    <cellStyle name="Normal 3 2 4 2 2 2" xfId="9319" xr:uid="{00000000-0005-0000-0000-00000C2F0000}"/>
    <cellStyle name="Normal 3 2 4 2 2 2 2" xfId="20216" xr:uid="{00000000-0005-0000-0000-00000D2F0000}"/>
    <cellStyle name="Normal 3 2 4 2 2 3" xfId="15265" xr:uid="{00000000-0005-0000-0000-00000E2F0000}"/>
    <cellStyle name="Normal 3 2 4 2 3" xfId="7007" xr:uid="{00000000-0005-0000-0000-00000F2F0000}"/>
    <cellStyle name="Normal 3 2 4 2 3 2" xfId="17904" xr:uid="{00000000-0005-0000-0000-0000102F0000}"/>
    <cellStyle name="Normal 3 2 4 2 4" xfId="12974" xr:uid="{00000000-0005-0000-0000-0000112F0000}"/>
    <cellStyle name="Normal 3 2 4 3" xfId="3223" xr:uid="{00000000-0005-0000-0000-0000122F0000}"/>
    <cellStyle name="Normal 3 2 4 3 2" xfId="8174" xr:uid="{00000000-0005-0000-0000-0000132F0000}"/>
    <cellStyle name="Normal 3 2 4 3 2 2" xfId="19071" xr:uid="{00000000-0005-0000-0000-0000142F0000}"/>
    <cellStyle name="Normal 3 2 4 3 3" xfId="14120" xr:uid="{00000000-0005-0000-0000-0000152F0000}"/>
    <cellStyle name="Normal 3 2 4 4" xfId="5862" xr:uid="{00000000-0005-0000-0000-0000162F0000}"/>
    <cellStyle name="Normal 3 2 4 4 2" xfId="16759" xr:uid="{00000000-0005-0000-0000-0000172F0000}"/>
    <cellStyle name="Normal 3 2 4 5" xfId="11856" xr:uid="{00000000-0005-0000-0000-0000182F0000}"/>
    <cellStyle name="Normal 3 2 5" xfId="1572" xr:uid="{00000000-0005-0000-0000-0000192F0000}"/>
    <cellStyle name="Normal 3 2 5 2" xfId="3884" xr:uid="{00000000-0005-0000-0000-00001A2F0000}"/>
    <cellStyle name="Normal 3 2 5 2 2" xfId="8835" xr:uid="{00000000-0005-0000-0000-00001B2F0000}"/>
    <cellStyle name="Normal 3 2 5 2 2 2" xfId="19732" xr:uid="{00000000-0005-0000-0000-00001C2F0000}"/>
    <cellStyle name="Normal 3 2 5 2 3" xfId="14781" xr:uid="{00000000-0005-0000-0000-00001D2F0000}"/>
    <cellStyle name="Normal 3 2 5 3" xfId="6523" xr:uid="{00000000-0005-0000-0000-00001E2F0000}"/>
    <cellStyle name="Normal 3 2 5 3 2" xfId="17420" xr:uid="{00000000-0005-0000-0000-00001F2F0000}"/>
    <cellStyle name="Normal 3 2 5 4" xfId="12504" xr:uid="{00000000-0005-0000-0000-0000202F0000}"/>
    <cellStyle name="Normal 3 2 6" xfId="2691" xr:uid="{00000000-0005-0000-0000-0000212F0000}"/>
    <cellStyle name="Normal 3 2 6 2" xfId="7642" xr:uid="{00000000-0005-0000-0000-0000222F0000}"/>
    <cellStyle name="Normal 3 2 6 2 2" xfId="18539" xr:uid="{00000000-0005-0000-0000-0000232F0000}"/>
    <cellStyle name="Normal 3 2 6 3" xfId="13588" xr:uid="{00000000-0005-0000-0000-0000242F0000}"/>
    <cellStyle name="Normal 3 2 7" xfId="5330" xr:uid="{00000000-0005-0000-0000-0000252F0000}"/>
    <cellStyle name="Normal 3 2 7 2" xfId="16227" xr:uid="{00000000-0005-0000-0000-0000262F0000}"/>
    <cellStyle name="Normal 3 2 8" xfId="11333" xr:uid="{00000000-0005-0000-0000-0000272F0000}"/>
    <cellStyle name="Normal 3 3" xfId="428" xr:uid="{00000000-0005-0000-0000-0000282F0000}"/>
    <cellStyle name="Normal 3 3 2" xfId="693" xr:uid="{00000000-0005-0000-0000-0000292F0000}"/>
    <cellStyle name="Normal 3 3 2 2" xfId="1225" xr:uid="{00000000-0005-0000-0000-00002A2F0000}"/>
    <cellStyle name="Normal 3 3 2 2 2" xfId="2382" xr:uid="{00000000-0005-0000-0000-00002B2F0000}"/>
    <cellStyle name="Normal 3 3 2 2 2 2" xfId="4694" xr:uid="{00000000-0005-0000-0000-00002C2F0000}"/>
    <cellStyle name="Normal 3 3 2 2 2 2 2" xfId="9645" xr:uid="{00000000-0005-0000-0000-00002D2F0000}"/>
    <cellStyle name="Normal 3 3 2 2 2 2 2 2" xfId="20542" xr:uid="{00000000-0005-0000-0000-00002E2F0000}"/>
    <cellStyle name="Normal 3 3 2 2 2 2 3" xfId="15591" xr:uid="{00000000-0005-0000-0000-00002F2F0000}"/>
    <cellStyle name="Normal 3 3 2 2 2 3" xfId="7333" xr:uid="{00000000-0005-0000-0000-0000302F0000}"/>
    <cellStyle name="Normal 3 3 2 2 2 3 2" xfId="18230" xr:uid="{00000000-0005-0000-0000-0000312F0000}"/>
    <cellStyle name="Normal 3 3 2 2 2 4" xfId="13294" xr:uid="{00000000-0005-0000-0000-0000322F0000}"/>
    <cellStyle name="Normal 3 3 2 2 3" xfId="3549" xr:uid="{00000000-0005-0000-0000-0000332F0000}"/>
    <cellStyle name="Normal 3 3 2 2 3 2" xfId="8500" xr:uid="{00000000-0005-0000-0000-0000342F0000}"/>
    <cellStyle name="Normal 3 3 2 2 3 2 2" xfId="19397" xr:uid="{00000000-0005-0000-0000-0000352F0000}"/>
    <cellStyle name="Normal 3 3 2 2 3 3" xfId="14446" xr:uid="{00000000-0005-0000-0000-0000362F0000}"/>
    <cellStyle name="Normal 3 3 2 2 4" xfId="6188" xr:uid="{00000000-0005-0000-0000-0000372F0000}"/>
    <cellStyle name="Normal 3 3 2 2 4 2" xfId="17085" xr:uid="{00000000-0005-0000-0000-0000382F0000}"/>
    <cellStyle name="Normal 3 3 2 2 5" xfId="12176" xr:uid="{00000000-0005-0000-0000-0000392F0000}"/>
    <cellStyle name="Normal 3 3 2 3" xfId="1866" xr:uid="{00000000-0005-0000-0000-00003A2F0000}"/>
    <cellStyle name="Normal 3 3 2 3 2" xfId="4178" xr:uid="{00000000-0005-0000-0000-00003B2F0000}"/>
    <cellStyle name="Normal 3 3 2 3 2 2" xfId="9129" xr:uid="{00000000-0005-0000-0000-00003C2F0000}"/>
    <cellStyle name="Normal 3 3 2 3 2 2 2" xfId="20026" xr:uid="{00000000-0005-0000-0000-00003D2F0000}"/>
    <cellStyle name="Normal 3 3 2 3 2 3" xfId="15075" xr:uid="{00000000-0005-0000-0000-00003E2F0000}"/>
    <cellStyle name="Normal 3 3 2 3 3" xfId="6817" xr:uid="{00000000-0005-0000-0000-00003F2F0000}"/>
    <cellStyle name="Normal 3 3 2 3 3 2" xfId="17714" xr:uid="{00000000-0005-0000-0000-0000402F0000}"/>
    <cellStyle name="Normal 3 3 2 3 4" xfId="12791" xr:uid="{00000000-0005-0000-0000-0000412F0000}"/>
    <cellStyle name="Normal 3 3 2 4" xfId="3017" xr:uid="{00000000-0005-0000-0000-0000422F0000}"/>
    <cellStyle name="Normal 3 3 2 4 2" xfId="7968" xr:uid="{00000000-0005-0000-0000-0000432F0000}"/>
    <cellStyle name="Normal 3 3 2 4 2 2" xfId="18865" xr:uid="{00000000-0005-0000-0000-0000442F0000}"/>
    <cellStyle name="Normal 3 3 2 4 3" xfId="13914" xr:uid="{00000000-0005-0000-0000-0000452F0000}"/>
    <cellStyle name="Normal 3 3 2 5" xfId="5656" xr:uid="{00000000-0005-0000-0000-0000462F0000}"/>
    <cellStyle name="Normal 3 3 2 5 2" xfId="16553" xr:uid="{00000000-0005-0000-0000-0000472F0000}"/>
    <cellStyle name="Normal 3 3 2 6" xfId="11655" xr:uid="{00000000-0005-0000-0000-0000482F0000}"/>
    <cellStyle name="Normal 3 3 3" xfId="960" xr:uid="{00000000-0005-0000-0000-0000492F0000}"/>
    <cellStyle name="Normal 3 3 3 2" xfId="2117" xr:uid="{00000000-0005-0000-0000-00004A2F0000}"/>
    <cellStyle name="Normal 3 3 3 2 2" xfId="4429" xr:uid="{00000000-0005-0000-0000-00004B2F0000}"/>
    <cellStyle name="Normal 3 3 3 2 2 2" xfId="9380" xr:uid="{00000000-0005-0000-0000-00004C2F0000}"/>
    <cellStyle name="Normal 3 3 3 2 2 2 2" xfId="20277" xr:uid="{00000000-0005-0000-0000-00004D2F0000}"/>
    <cellStyle name="Normal 3 3 3 2 2 3" xfId="15326" xr:uid="{00000000-0005-0000-0000-00004E2F0000}"/>
    <cellStyle name="Normal 3 3 3 2 3" xfId="7068" xr:uid="{00000000-0005-0000-0000-00004F2F0000}"/>
    <cellStyle name="Normal 3 3 3 2 3 2" xfId="17965" xr:uid="{00000000-0005-0000-0000-0000502F0000}"/>
    <cellStyle name="Normal 3 3 3 2 4" xfId="13035" xr:uid="{00000000-0005-0000-0000-0000512F0000}"/>
    <cellStyle name="Normal 3 3 3 3" xfId="3284" xr:uid="{00000000-0005-0000-0000-0000522F0000}"/>
    <cellStyle name="Normal 3 3 3 3 2" xfId="8235" xr:uid="{00000000-0005-0000-0000-0000532F0000}"/>
    <cellStyle name="Normal 3 3 3 3 2 2" xfId="19132" xr:uid="{00000000-0005-0000-0000-0000542F0000}"/>
    <cellStyle name="Normal 3 3 3 3 3" xfId="14181" xr:uid="{00000000-0005-0000-0000-0000552F0000}"/>
    <cellStyle name="Normal 3 3 3 4" xfId="5923" xr:uid="{00000000-0005-0000-0000-0000562F0000}"/>
    <cellStyle name="Normal 3 3 3 4 2" xfId="16820" xr:uid="{00000000-0005-0000-0000-0000572F0000}"/>
    <cellStyle name="Normal 3 3 3 5" xfId="11917" xr:uid="{00000000-0005-0000-0000-0000582F0000}"/>
    <cellStyle name="Normal 3 3 4" xfId="1633" xr:uid="{00000000-0005-0000-0000-0000592F0000}"/>
    <cellStyle name="Normal 3 3 4 2" xfId="3945" xr:uid="{00000000-0005-0000-0000-00005A2F0000}"/>
    <cellStyle name="Normal 3 3 4 2 2" xfId="8896" xr:uid="{00000000-0005-0000-0000-00005B2F0000}"/>
    <cellStyle name="Normal 3 3 4 2 2 2" xfId="19793" xr:uid="{00000000-0005-0000-0000-00005C2F0000}"/>
    <cellStyle name="Normal 3 3 4 2 3" xfId="14842" xr:uid="{00000000-0005-0000-0000-00005D2F0000}"/>
    <cellStyle name="Normal 3 3 4 3" xfId="6584" xr:uid="{00000000-0005-0000-0000-00005E2F0000}"/>
    <cellStyle name="Normal 3 3 4 3 2" xfId="17481" xr:uid="{00000000-0005-0000-0000-00005F2F0000}"/>
    <cellStyle name="Normal 3 3 4 4" xfId="12565" xr:uid="{00000000-0005-0000-0000-0000602F0000}"/>
    <cellStyle name="Normal 3 3 5" xfId="2752" xr:uid="{00000000-0005-0000-0000-0000612F0000}"/>
    <cellStyle name="Normal 3 3 5 2" xfId="7703" xr:uid="{00000000-0005-0000-0000-0000622F0000}"/>
    <cellStyle name="Normal 3 3 5 2 2" xfId="18600" xr:uid="{00000000-0005-0000-0000-0000632F0000}"/>
    <cellStyle name="Normal 3 3 5 3" xfId="13649" xr:uid="{00000000-0005-0000-0000-0000642F0000}"/>
    <cellStyle name="Normal 3 3 6" xfId="5391" xr:uid="{00000000-0005-0000-0000-0000652F0000}"/>
    <cellStyle name="Normal 3 3 6 2" xfId="16288" xr:uid="{00000000-0005-0000-0000-0000662F0000}"/>
    <cellStyle name="Normal 3 3 7" xfId="11394" xr:uid="{00000000-0005-0000-0000-0000672F0000}"/>
    <cellStyle name="Normal 3 4" xfId="561" xr:uid="{00000000-0005-0000-0000-0000682F0000}"/>
    <cellStyle name="Normal 3 4 2" xfId="1093" xr:uid="{00000000-0005-0000-0000-0000692F0000}"/>
    <cellStyle name="Normal 3 4 2 2" xfId="2250" xr:uid="{00000000-0005-0000-0000-00006A2F0000}"/>
    <cellStyle name="Normal 3 4 2 2 2" xfId="4562" xr:uid="{00000000-0005-0000-0000-00006B2F0000}"/>
    <cellStyle name="Normal 3 4 2 2 2 2" xfId="9513" xr:uid="{00000000-0005-0000-0000-00006C2F0000}"/>
    <cellStyle name="Normal 3 4 2 2 2 2 2" xfId="20410" xr:uid="{00000000-0005-0000-0000-00006D2F0000}"/>
    <cellStyle name="Normal 3 4 2 2 2 3" xfId="15459" xr:uid="{00000000-0005-0000-0000-00006E2F0000}"/>
    <cellStyle name="Normal 3 4 2 2 3" xfId="7201" xr:uid="{00000000-0005-0000-0000-00006F2F0000}"/>
    <cellStyle name="Normal 3 4 2 2 3 2" xfId="18098" xr:uid="{00000000-0005-0000-0000-0000702F0000}"/>
    <cellStyle name="Normal 3 4 2 2 4" xfId="13165" xr:uid="{00000000-0005-0000-0000-0000712F0000}"/>
    <cellStyle name="Normal 3 4 2 3" xfId="3417" xr:uid="{00000000-0005-0000-0000-0000722F0000}"/>
    <cellStyle name="Normal 3 4 2 3 2" xfId="8368" xr:uid="{00000000-0005-0000-0000-0000732F0000}"/>
    <cellStyle name="Normal 3 4 2 3 2 2" xfId="19265" xr:uid="{00000000-0005-0000-0000-0000742F0000}"/>
    <cellStyle name="Normal 3 4 2 3 3" xfId="14314" xr:uid="{00000000-0005-0000-0000-0000752F0000}"/>
    <cellStyle name="Normal 3 4 2 4" xfId="6056" xr:uid="{00000000-0005-0000-0000-0000762F0000}"/>
    <cellStyle name="Normal 3 4 2 4 2" xfId="16953" xr:uid="{00000000-0005-0000-0000-0000772F0000}"/>
    <cellStyle name="Normal 3 4 2 5" xfId="12047" xr:uid="{00000000-0005-0000-0000-0000782F0000}"/>
    <cellStyle name="Normal 3 4 3" xfId="1750" xr:uid="{00000000-0005-0000-0000-0000792F0000}"/>
    <cellStyle name="Normal 3 4 3 2" xfId="4062" xr:uid="{00000000-0005-0000-0000-00007A2F0000}"/>
    <cellStyle name="Normal 3 4 3 2 2" xfId="9013" xr:uid="{00000000-0005-0000-0000-00007B2F0000}"/>
    <cellStyle name="Normal 3 4 3 2 2 2" xfId="19910" xr:uid="{00000000-0005-0000-0000-00007C2F0000}"/>
    <cellStyle name="Normal 3 4 3 2 3" xfId="14959" xr:uid="{00000000-0005-0000-0000-00007D2F0000}"/>
    <cellStyle name="Normal 3 4 3 3" xfId="6701" xr:uid="{00000000-0005-0000-0000-00007E2F0000}"/>
    <cellStyle name="Normal 3 4 3 3 2" xfId="17598" xr:uid="{00000000-0005-0000-0000-00007F2F0000}"/>
    <cellStyle name="Normal 3 4 3 4" xfId="12679" xr:uid="{00000000-0005-0000-0000-0000802F0000}"/>
    <cellStyle name="Normal 3 4 4" xfId="2885" xr:uid="{00000000-0005-0000-0000-0000812F0000}"/>
    <cellStyle name="Normal 3 4 4 2" xfId="7836" xr:uid="{00000000-0005-0000-0000-0000822F0000}"/>
    <cellStyle name="Normal 3 4 4 2 2" xfId="18733" xr:uid="{00000000-0005-0000-0000-0000832F0000}"/>
    <cellStyle name="Normal 3 4 4 3" xfId="13782" xr:uid="{00000000-0005-0000-0000-0000842F0000}"/>
    <cellStyle name="Normal 3 4 5" xfId="5524" xr:uid="{00000000-0005-0000-0000-0000852F0000}"/>
    <cellStyle name="Normal 3 4 5 2" xfId="16421" xr:uid="{00000000-0005-0000-0000-0000862F0000}"/>
    <cellStyle name="Normal 3 4 6" xfId="11526" xr:uid="{00000000-0005-0000-0000-0000872F0000}"/>
    <cellStyle name="Normal 3 5" xfId="828" xr:uid="{00000000-0005-0000-0000-0000882F0000}"/>
    <cellStyle name="Normal 3 5 2" xfId="1985" xr:uid="{00000000-0005-0000-0000-0000892F0000}"/>
    <cellStyle name="Normal 3 5 2 2" xfId="4297" xr:uid="{00000000-0005-0000-0000-00008A2F0000}"/>
    <cellStyle name="Normal 3 5 2 2 2" xfId="9248" xr:uid="{00000000-0005-0000-0000-00008B2F0000}"/>
    <cellStyle name="Normal 3 5 2 2 2 2" xfId="20145" xr:uid="{00000000-0005-0000-0000-00008C2F0000}"/>
    <cellStyle name="Normal 3 5 2 2 3" xfId="15194" xr:uid="{00000000-0005-0000-0000-00008D2F0000}"/>
    <cellStyle name="Normal 3 5 2 3" xfId="6936" xr:uid="{00000000-0005-0000-0000-00008E2F0000}"/>
    <cellStyle name="Normal 3 5 2 3 2" xfId="17833" xr:uid="{00000000-0005-0000-0000-00008F2F0000}"/>
    <cellStyle name="Normal 3 5 2 4" xfId="12907" xr:uid="{00000000-0005-0000-0000-0000902F0000}"/>
    <cellStyle name="Normal 3 5 3" xfId="3152" xr:uid="{00000000-0005-0000-0000-0000912F0000}"/>
    <cellStyle name="Normal 3 5 3 2" xfId="8103" xr:uid="{00000000-0005-0000-0000-0000922F0000}"/>
    <cellStyle name="Normal 3 5 3 2 2" xfId="19000" xr:uid="{00000000-0005-0000-0000-0000932F0000}"/>
    <cellStyle name="Normal 3 5 3 3" xfId="14049" xr:uid="{00000000-0005-0000-0000-0000942F0000}"/>
    <cellStyle name="Normal 3 5 4" xfId="5791" xr:uid="{00000000-0005-0000-0000-0000952F0000}"/>
    <cellStyle name="Normal 3 5 4 2" xfId="16688" xr:uid="{00000000-0005-0000-0000-0000962F0000}"/>
    <cellStyle name="Normal 3 5 5" xfId="11789" xr:uid="{00000000-0005-0000-0000-0000972F0000}"/>
    <cellStyle name="Normal 3 6" xfId="1421" xr:uid="{00000000-0005-0000-0000-0000982F0000}"/>
    <cellStyle name="Normal 3 6 2" xfId="2530" xr:uid="{00000000-0005-0000-0000-0000992F0000}"/>
    <cellStyle name="Normal 3 6 2 2" xfId="4842" xr:uid="{00000000-0005-0000-0000-00009A2F0000}"/>
    <cellStyle name="Normal 3 6 2 2 2" xfId="9793" xr:uid="{00000000-0005-0000-0000-00009B2F0000}"/>
    <cellStyle name="Normal 3 6 2 2 2 2" xfId="20690" xr:uid="{00000000-0005-0000-0000-00009C2F0000}"/>
    <cellStyle name="Normal 3 6 2 2 3" xfId="15739" xr:uid="{00000000-0005-0000-0000-00009D2F0000}"/>
    <cellStyle name="Normal 3 6 2 3" xfId="7481" xr:uid="{00000000-0005-0000-0000-00009E2F0000}"/>
    <cellStyle name="Normal 3 6 2 3 2" xfId="18378" xr:uid="{00000000-0005-0000-0000-00009F2F0000}"/>
    <cellStyle name="Normal 3 6 2 4" xfId="13427" xr:uid="{00000000-0005-0000-0000-0000A02F0000}"/>
    <cellStyle name="Normal 3 6 3" xfId="3745" xr:uid="{00000000-0005-0000-0000-0000A12F0000}"/>
    <cellStyle name="Normal 3 6 3 2" xfId="8696" xr:uid="{00000000-0005-0000-0000-0000A22F0000}"/>
    <cellStyle name="Normal 3 6 3 2 2" xfId="19593" xr:uid="{00000000-0005-0000-0000-0000A32F0000}"/>
    <cellStyle name="Normal 3 6 3 3" xfId="14642" xr:uid="{00000000-0005-0000-0000-0000A42F0000}"/>
    <cellStyle name="Normal 3 6 4" xfId="6384" xr:uid="{00000000-0005-0000-0000-0000A52F0000}"/>
    <cellStyle name="Normal 3 6 4 2" xfId="17281" xr:uid="{00000000-0005-0000-0000-0000A62F0000}"/>
    <cellStyle name="Normal 3 6 5" xfId="12359" xr:uid="{00000000-0005-0000-0000-0000A72F0000}"/>
    <cellStyle name="Normal 3 7" xfId="1517" xr:uid="{00000000-0005-0000-0000-0000A82F0000}"/>
    <cellStyle name="Normal 3 7 2" xfId="3829" xr:uid="{00000000-0005-0000-0000-0000A92F0000}"/>
    <cellStyle name="Normal 3 7 2 2" xfId="8780" xr:uid="{00000000-0005-0000-0000-0000AA2F0000}"/>
    <cellStyle name="Normal 3 7 2 2 2" xfId="19677" xr:uid="{00000000-0005-0000-0000-0000AB2F0000}"/>
    <cellStyle name="Normal 3 7 2 3" xfId="14726" xr:uid="{00000000-0005-0000-0000-0000AC2F0000}"/>
    <cellStyle name="Normal 3 7 3" xfId="6468" xr:uid="{00000000-0005-0000-0000-0000AD2F0000}"/>
    <cellStyle name="Normal 3 7 3 2" xfId="17365" xr:uid="{00000000-0005-0000-0000-0000AE2F0000}"/>
    <cellStyle name="Normal 3 7 4" xfId="12452" xr:uid="{00000000-0005-0000-0000-0000AF2F0000}"/>
    <cellStyle name="Normal 3 8" xfId="2613" xr:uid="{00000000-0005-0000-0000-0000B02F0000}"/>
    <cellStyle name="Normal 3 8 2" xfId="7564" xr:uid="{00000000-0005-0000-0000-0000B12F0000}"/>
    <cellStyle name="Normal 3 8 2 2" xfId="18461" xr:uid="{00000000-0005-0000-0000-0000B22F0000}"/>
    <cellStyle name="Normal 3 8 3" xfId="13510" xr:uid="{00000000-0005-0000-0000-0000B32F0000}"/>
    <cellStyle name="Normal 3 9" xfId="5252" xr:uid="{00000000-0005-0000-0000-0000B42F0000}"/>
    <cellStyle name="Normal 3 9 2" xfId="16149" xr:uid="{00000000-0005-0000-0000-0000B52F0000}"/>
    <cellStyle name="Normal 30" xfId="291" xr:uid="{00000000-0005-0000-0000-0000B62F0000}"/>
    <cellStyle name="Normal 31" xfId="292" xr:uid="{00000000-0005-0000-0000-0000B72F0000}"/>
    <cellStyle name="Normal 32" xfId="293" xr:uid="{00000000-0005-0000-0000-0000B82F0000}"/>
    <cellStyle name="Normal 32 2" xfId="390" xr:uid="{00000000-0005-0000-0000-0000B92F0000}"/>
    <cellStyle name="Normal 32 2 2" xfId="520" xr:uid="{00000000-0005-0000-0000-0000BA2F0000}"/>
    <cellStyle name="Normal 32 2 2 2" xfId="785" xr:uid="{00000000-0005-0000-0000-0000BB2F0000}"/>
    <cellStyle name="Normal 32 2 2 2 2" xfId="1317" xr:uid="{00000000-0005-0000-0000-0000BC2F0000}"/>
    <cellStyle name="Normal 32 2 2 2 2 2" xfId="2474" xr:uid="{00000000-0005-0000-0000-0000BD2F0000}"/>
    <cellStyle name="Normal 32 2 2 2 2 2 2" xfId="4786" xr:uid="{00000000-0005-0000-0000-0000BE2F0000}"/>
    <cellStyle name="Normal 32 2 2 2 2 2 2 2" xfId="9737" xr:uid="{00000000-0005-0000-0000-0000BF2F0000}"/>
    <cellStyle name="Normal 32 2 2 2 2 2 2 2 2" xfId="20634" xr:uid="{00000000-0005-0000-0000-0000C02F0000}"/>
    <cellStyle name="Normal 32 2 2 2 2 2 2 3" xfId="15683" xr:uid="{00000000-0005-0000-0000-0000C12F0000}"/>
    <cellStyle name="Normal 32 2 2 2 2 2 3" xfId="7425" xr:uid="{00000000-0005-0000-0000-0000C22F0000}"/>
    <cellStyle name="Normal 32 2 2 2 2 2 3 2" xfId="18322" xr:uid="{00000000-0005-0000-0000-0000C32F0000}"/>
    <cellStyle name="Normal 32 2 2 2 2 2 4" xfId="13385" xr:uid="{00000000-0005-0000-0000-0000C42F0000}"/>
    <cellStyle name="Normal 32 2 2 2 2 3" xfId="3641" xr:uid="{00000000-0005-0000-0000-0000C52F0000}"/>
    <cellStyle name="Normal 32 2 2 2 2 3 2" xfId="8592" xr:uid="{00000000-0005-0000-0000-0000C62F0000}"/>
    <cellStyle name="Normal 32 2 2 2 2 3 2 2" xfId="19489" xr:uid="{00000000-0005-0000-0000-0000C72F0000}"/>
    <cellStyle name="Normal 32 2 2 2 2 3 3" xfId="14538" xr:uid="{00000000-0005-0000-0000-0000C82F0000}"/>
    <cellStyle name="Normal 32 2 2 2 2 4" xfId="6280" xr:uid="{00000000-0005-0000-0000-0000C92F0000}"/>
    <cellStyle name="Normal 32 2 2 2 2 4 2" xfId="17177" xr:uid="{00000000-0005-0000-0000-0000CA2F0000}"/>
    <cellStyle name="Normal 32 2 2 2 2 5" xfId="12267" xr:uid="{00000000-0005-0000-0000-0000CB2F0000}"/>
    <cellStyle name="Normal 32 2 2 2 3" xfId="1943" xr:uid="{00000000-0005-0000-0000-0000CC2F0000}"/>
    <cellStyle name="Normal 32 2 2 2 3 2" xfId="4255" xr:uid="{00000000-0005-0000-0000-0000CD2F0000}"/>
    <cellStyle name="Normal 32 2 2 2 3 2 2" xfId="9206" xr:uid="{00000000-0005-0000-0000-0000CE2F0000}"/>
    <cellStyle name="Normal 32 2 2 2 3 2 2 2" xfId="20103" xr:uid="{00000000-0005-0000-0000-0000CF2F0000}"/>
    <cellStyle name="Normal 32 2 2 2 3 2 3" xfId="15152" xr:uid="{00000000-0005-0000-0000-0000D02F0000}"/>
    <cellStyle name="Normal 32 2 2 2 3 3" xfId="6894" xr:uid="{00000000-0005-0000-0000-0000D12F0000}"/>
    <cellStyle name="Normal 32 2 2 2 3 3 2" xfId="17791" xr:uid="{00000000-0005-0000-0000-0000D22F0000}"/>
    <cellStyle name="Normal 32 2 2 2 3 4" xfId="12867" xr:uid="{00000000-0005-0000-0000-0000D32F0000}"/>
    <cellStyle name="Normal 32 2 2 2 4" xfId="3109" xr:uid="{00000000-0005-0000-0000-0000D42F0000}"/>
    <cellStyle name="Normal 32 2 2 2 4 2" xfId="8060" xr:uid="{00000000-0005-0000-0000-0000D52F0000}"/>
    <cellStyle name="Normal 32 2 2 2 4 2 2" xfId="18957" xr:uid="{00000000-0005-0000-0000-0000D62F0000}"/>
    <cellStyle name="Normal 32 2 2 2 4 3" xfId="14006" xr:uid="{00000000-0005-0000-0000-0000D72F0000}"/>
    <cellStyle name="Normal 32 2 2 2 5" xfId="5748" xr:uid="{00000000-0005-0000-0000-0000D82F0000}"/>
    <cellStyle name="Normal 32 2 2 2 5 2" xfId="16645" xr:uid="{00000000-0005-0000-0000-0000D92F0000}"/>
    <cellStyle name="Normal 32 2 2 2 6" xfId="11746" xr:uid="{00000000-0005-0000-0000-0000DA2F0000}"/>
    <cellStyle name="Normal 32 2 2 3" xfId="1052" xr:uid="{00000000-0005-0000-0000-0000DB2F0000}"/>
    <cellStyle name="Normal 32 2 2 3 2" xfId="2209" xr:uid="{00000000-0005-0000-0000-0000DC2F0000}"/>
    <cellStyle name="Normal 32 2 2 3 2 2" xfId="4521" xr:uid="{00000000-0005-0000-0000-0000DD2F0000}"/>
    <cellStyle name="Normal 32 2 2 3 2 2 2" xfId="9472" xr:uid="{00000000-0005-0000-0000-0000DE2F0000}"/>
    <cellStyle name="Normal 32 2 2 3 2 2 2 2" xfId="20369" xr:uid="{00000000-0005-0000-0000-0000DF2F0000}"/>
    <cellStyle name="Normal 32 2 2 3 2 2 3" xfId="15418" xr:uid="{00000000-0005-0000-0000-0000E02F0000}"/>
    <cellStyle name="Normal 32 2 2 3 2 3" xfId="7160" xr:uid="{00000000-0005-0000-0000-0000E12F0000}"/>
    <cellStyle name="Normal 32 2 2 3 2 3 2" xfId="18057" xr:uid="{00000000-0005-0000-0000-0000E22F0000}"/>
    <cellStyle name="Normal 32 2 2 3 2 4" xfId="13126" xr:uid="{00000000-0005-0000-0000-0000E32F0000}"/>
    <cellStyle name="Normal 32 2 2 3 3" xfId="3376" xr:uid="{00000000-0005-0000-0000-0000E42F0000}"/>
    <cellStyle name="Normal 32 2 2 3 3 2" xfId="8327" xr:uid="{00000000-0005-0000-0000-0000E52F0000}"/>
    <cellStyle name="Normal 32 2 2 3 3 2 2" xfId="19224" xr:uid="{00000000-0005-0000-0000-0000E62F0000}"/>
    <cellStyle name="Normal 32 2 2 3 3 3" xfId="14273" xr:uid="{00000000-0005-0000-0000-0000E72F0000}"/>
    <cellStyle name="Normal 32 2 2 3 4" xfId="6015" xr:uid="{00000000-0005-0000-0000-0000E82F0000}"/>
    <cellStyle name="Normal 32 2 2 3 4 2" xfId="16912" xr:uid="{00000000-0005-0000-0000-0000E92F0000}"/>
    <cellStyle name="Normal 32 2 2 3 5" xfId="12008" xr:uid="{00000000-0005-0000-0000-0000EA2F0000}"/>
    <cellStyle name="Normal 32 2 2 4" xfId="1710" xr:uid="{00000000-0005-0000-0000-0000EB2F0000}"/>
    <cellStyle name="Normal 32 2 2 4 2" xfId="4022" xr:uid="{00000000-0005-0000-0000-0000EC2F0000}"/>
    <cellStyle name="Normal 32 2 2 4 2 2" xfId="8973" xr:uid="{00000000-0005-0000-0000-0000ED2F0000}"/>
    <cellStyle name="Normal 32 2 2 4 2 2 2" xfId="19870" xr:uid="{00000000-0005-0000-0000-0000EE2F0000}"/>
    <cellStyle name="Normal 32 2 2 4 2 3" xfId="14919" xr:uid="{00000000-0005-0000-0000-0000EF2F0000}"/>
    <cellStyle name="Normal 32 2 2 4 3" xfId="6661" xr:uid="{00000000-0005-0000-0000-0000F02F0000}"/>
    <cellStyle name="Normal 32 2 2 4 3 2" xfId="17558" xr:uid="{00000000-0005-0000-0000-0000F12F0000}"/>
    <cellStyle name="Normal 32 2 2 4 4" xfId="12641" xr:uid="{00000000-0005-0000-0000-0000F22F0000}"/>
    <cellStyle name="Normal 32 2 2 5" xfId="2844" xr:uid="{00000000-0005-0000-0000-0000F32F0000}"/>
    <cellStyle name="Normal 32 2 2 5 2" xfId="7795" xr:uid="{00000000-0005-0000-0000-0000F42F0000}"/>
    <cellStyle name="Normal 32 2 2 5 2 2" xfId="18692" xr:uid="{00000000-0005-0000-0000-0000F52F0000}"/>
    <cellStyle name="Normal 32 2 2 5 3" xfId="13741" xr:uid="{00000000-0005-0000-0000-0000F62F0000}"/>
    <cellStyle name="Normal 32 2 2 6" xfId="5483" xr:uid="{00000000-0005-0000-0000-0000F72F0000}"/>
    <cellStyle name="Normal 32 2 2 6 2" xfId="16380" xr:uid="{00000000-0005-0000-0000-0000F82F0000}"/>
    <cellStyle name="Normal 32 2 2 7" xfId="11485" xr:uid="{00000000-0005-0000-0000-0000F92F0000}"/>
    <cellStyle name="Normal 32 2 3" xfId="656" xr:uid="{00000000-0005-0000-0000-0000FA2F0000}"/>
    <cellStyle name="Normal 32 2 3 2" xfId="1188" xr:uid="{00000000-0005-0000-0000-0000FB2F0000}"/>
    <cellStyle name="Normal 32 2 3 2 2" xfId="2345" xr:uid="{00000000-0005-0000-0000-0000FC2F0000}"/>
    <cellStyle name="Normal 32 2 3 2 2 2" xfId="4657" xr:uid="{00000000-0005-0000-0000-0000FD2F0000}"/>
    <cellStyle name="Normal 32 2 3 2 2 2 2" xfId="9608" xr:uid="{00000000-0005-0000-0000-0000FE2F0000}"/>
    <cellStyle name="Normal 32 2 3 2 2 2 2 2" xfId="20505" xr:uid="{00000000-0005-0000-0000-0000FF2F0000}"/>
    <cellStyle name="Normal 32 2 3 2 2 2 3" xfId="15554" xr:uid="{00000000-0005-0000-0000-000000300000}"/>
    <cellStyle name="Normal 32 2 3 2 2 3" xfId="7296" xr:uid="{00000000-0005-0000-0000-000001300000}"/>
    <cellStyle name="Normal 32 2 3 2 2 3 2" xfId="18193" xr:uid="{00000000-0005-0000-0000-000002300000}"/>
    <cellStyle name="Normal 32 2 3 2 2 4" xfId="13257" xr:uid="{00000000-0005-0000-0000-000003300000}"/>
    <cellStyle name="Normal 32 2 3 2 3" xfId="3512" xr:uid="{00000000-0005-0000-0000-000004300000}"/>
    <cellStyle name="Normal 32 2 3 2 3 2" xfId="8463" xr:uid="{00000000-0005-0000-0000-000005300000}"/>
    <cellStyle name="Normal 32 2 3 2 3 2 2" xfId="19360" xr:uid="{00000000-0005-0000-0000-000006300000}"/>
    <cellStyle name="Normal 32 2 3 2 3 3" xfId="14409" xr:uid="{00000000-0005-0000-0000-000007300000}"/>
    <cellStyle name="Normal 32 2 3 2 4" xfId="6151" xr:uid="{00000000-0005-0000-0000-000008300000}"/>
    <cellStyle name="Normal 32 2 3 2 4 2" xfId="17048" xr:uid="{00000000-0005-0000-0000-000009300000}"/>
    <cellStyle name="Normal 32 2 3 2 5" xfId="12139" xr:uid="{00000000-0005-0000-0000-00000A300000}"/>
    <cellStyle name="Normal 32 2 3 3" xfId="1829" xr:uid="{00000000-0005-0000-0000-00000B300000}"/>
    <cellStyle name="Normal 32 2 3 3 2" xfId="4141" xr:uid="{00000000-0005-0000-0000-00000C300000}"/>
    <cellStyle name="Normal 32 2 3 3 2 2" xfId="9092" xr:uid="{00000000-0005-0000-0000-00000D300000}"/>
    <cellStyle name="Normal 32 2 3 3 2 2 2" xfId="19989" xr:uid="{00000000-0005-0000-0000-00000E300000}"/>
    <cellStyle name="Normal 32 2 3 3 2 3" xfId="15038" xr:uid="{00000000-0005-0000-0000-00000F300000}"/>
    <cellStyle name="Normal 32 2 3 3 3" xfId="6780" xr:uid="{00000000-0005-0000-0000-000010300000}"/>
    <cellStyle name="Normal 32 2 3 3 3 2" xfId="17677" xr:uid="{00000000-0005-0000-0000-000011300000}"/>
    <cellStyle name="Normal 32 2 3 3 4" xfId="12754" xr:uid="{00000000-0005-0000-0000-000012300000}"/>
    <cellStyle name="Normal 32 2 3 4" xfId="2980" xr:uid="{00000000-0005-0000-0000-000013300000}"/>
    <cellStyle name="Normal 32 2 3 4 2" xfId="7931" xr:uid="{00000000-0005-0000-0000-000014300000}"/>
    <cellStyle name="Normal 32 2 3 4 2 2" xfId="18828" xr:uid="{00000000-0005-0000-0000-000015300000}"/>
    <cellStyle name="Normal 32 2 3 4 3" xfId="13877" xr:uid="{00000000-0005-0000-0000-000016300000}"/>
    <cellStyle name="Normal 32 2 3 5" xfId="5619" xr:uid="{00000000-0005-0000-0000-000017300000}"/>
    <cellStyle name="Normal 32 2 3 5 2" xfId="16516" xr:uid="{00000000-0005-0000-0000-000018300000}"/>
    <cellStyle name="Normal 32 2 3 6" xfId="11618" xr:uid="{00000000-0005-0000-0000-000019300000}"/>
    <cellStyle name="Normal 32 2 4" xfId="923" xr:uid="{00000000-0005-0000-0000-00001A300000}"/>
    <cellStyle name="Normal 32 2 4 2" xfId="2080" xr:uid="{00000000-0005-0000-0000-00001B300000}"/>
    <cellStyle name="Normal 32 2 4 2 2" xfId="4392" xr:uid="{00000000-0005-0000-0000-00001C300000}"/>
    <cellStyle name="Normal 32 2 4 2 2 2" xfId="9343" xr:uid="{00000000-0005-0000-0000-00001D300000}"/>
    <cellStyle name="Normal 32 2 4 2 2 2 2" xfId="20240" xr:uid="{00000000-0005-0000-0000-00001E300000}"/>
    <cellStyle name="Normal 32 2 4 2 2 3" xfId="15289" xr:uid="{00000000-0005-0000-0000-00001F300000}"/>
    <cellStyle name="Normal 32 2 4 2 3" xfId="7031" xr:uid="{00000000-0005-0000-0000-000020300000}"/>
    <cellStyle name="Normal 32 2 4 2 3 2" xfId="17928" xr:uid="{00000000-0005-0000-0000-000021300000}"/>
    <cellStyle name="Normal 32 2 4 2 4" xfId="12998" xr:uid="{00000000-0005-0000-0000-000022300000}"/>
    <cellStyle name="Normal 32 2 4 3" xfId="3247" xr:uid="{00000000-0005-0000-0000-000023300000}"/>
    <cellStyle name="Normal 32 2 4 3 2" xfId="8198" xr:uid="{00000000-0005-0000-0000-000024300000}"/>
    <cellStyle name="Normal 32 2 4 3 2 2" xfId="19095" xr:uid="{00000000-0005-0000-0000-000025300000}"/>
    <cellStyle name="Normal 32 2 4 3 3" xfId="14144" xr:uid="{00000000-0005-0000-0000-000026300000}"/>
    <cellStyle name="Normal 32 2 4 4" xfId="5886" xr:uid="{00000000-0005-0000-0000-000027300000}"/>
    <cellStyle name="Normal 32 2 4 4 2" xfId="16783" xr:uid="{00000000-0005-0000-0000-000028300000}"/>
    <cellStyle name="Normal 32 2 4 5" xfId="11880" xr:uid="{00000000-0005-0000-0000-000029300000}"/>
    <cellStyle name="Normal 32 2 5" xfId="1596" xr:uid="{00000000-0005-0000-0000-00002A300000}"/>
    <cellStyle name="Normal 32 2 5 2" xfId="3908" xr:uid="{00000000-0005-0000-0000-00002B300000}"/>
    <cellStyle name="Normal 32 2 5 2 2" xfId="8859" xr:uid="{00000000-0005-0000-0000-00002C300000}"/>
    <cellStyle name="Normal 32 2 5 2 2 2" xfId="19756" xr:uid="{00000000-0005-0000-0000-00002D300000}"/>
    <cellStyle name="Normal 32 2 5 2 3" xfId="14805" xr:uid="{00000000-0005-0000-0000-00002E300000}"/>
    <cellStyle name="Normal 32 2 5 3" xfId="6547" xr:uid="{00000000-0005-0000-0000-00002F300000}"/>
    <cellStyle name="Normal 32 2 5 3 2" xfId="17444" xr:uid="{00000000-0005-0000-0000-000030300000}"/>
    <cellStyle name="Normal 32 2 5 4" xfId="12528" xr:uid="{00000000-0005-0000-0000-000031300000}"/>
    <cellStyle name="Normal 32 2 6" xfId="2715" xr:uid="{00000000-0005-0000-0000-000032300000}"/>
    <cellStyle name="Normal 32 2 6 2" xfId="7666" xr:uid="{00000000-0005-0000-0000-000033300000}"/>
    <cellStyle name="Normal 32 2 6 2 2" xfId="18563" xr:uid="{00000000-0005-0000-0000-000034300000}"/>
    <cellStyle name="Normal 32 2 6 3" xfId="13612" xr:uid="{00000000-0005-0000-0000-000035300000}"/>
    <cellStyle name="Normal 32 2 7" xfId="5354" xr:uid="{00000000-0005-0000-0000-000036300000}"/>
    <cellStyle name="Normal 32 2 7 2" xfId="16251" xr:uid="{00000000-0005-0000-0000-000037300000}"/>
    <cellStyle name="Normal 32 2 8" xfId="11357" xr:uid="{00000000-0005-0000-0000-000038300000}"/>
    <cellStyle name="Normal 32 3" xfId="469" xr:uid="{00000000-0005-0000-0000-000039300000}"/>
    <cellStyle name="Normal 32 3 2" xfId="734" xr:uid="{00000000-0005-0000-0000-00003A300000}"/>
    <cellStyle name="Normal 32 3 2 2" xfId="1266" xr:uid="{00000000-0005-0000-0000-00003B300000}"/>
    <cellStyle name="Normal 32 3 2 2 2" xfId="2423" xr:uid="{00000000-0005-0000-0000-00003C300000}"/>
    <cellStyle name="Normal 32 3 2 2 2 2" xfId="4735" xr:uid="{00000000-0005-0000-0000-00003D300000}"/>
    <cellStyle name="Normal 32 3 2 2 2 2 2" xfId="9686" xr:uid="{00000000-0005-0000-0000-00003E300000}"/>
    <cellStyle name="Normal 32 3 2 2 2 2 2 2" xfId="20583" xr:uid="{00000000-0005-0000-0000-00003F300000}"/>
    <cellStyle name="Normal 32 3 2 2 2 2 3" xfId="15632" xr:uid="{00000000-0005-0000-0000-000040300000}"/>
    <cellStyle name="Normal 32 3 2 2 2 3" xfId="7374" xr:uid="{00000000-0005-0000-0000-000041300000}"/>
    <cellStyle name="Normal 32 3 2 2 2 3 2" xfId="18271" xr:uid="{00000000-0005-0000-0000-000042300000}"/>
    <cellStyle name="Normal 32 3 2 2 2 4" xfId="13334" xr:uid="{00000000-0005-0000-0000-000043300000}"/>
    <cellStyle name="Normal 32 3 2 2 3" xfId="3590" xr:uid="{00000000-0005-0000-0000-000044300000}"/>
    <cellStyle name="Normal 32 3 2 2 3 2" xfId="8541" xr:uid="{00000000-0005-0000-0000-000045300000}"/>
    <cellStyle name="Normal 32 3 2 2 3 2 2" xfId="19438" xr:uid="{00000000-0005-0000-0000-000046300000}"/>
    <cellStyle name="Normal 32 3 2 2 3 3" xfId="14487" xr:uid="{00000000-0005-0000-0000-000047300000}"/>
    <cellStyle name="Normal 32 3 2 2 4" xfId="6229" xr:uid="{00000000-0005-0000-0000-000048300000}"/>
    <cellStyle name="Normal 32 3 2 2 4 2" xfId="17126" xr:uid="{00000000-0005-0000-0000-000049300000}"/>
    <cellStyle name="Normal 32 3 2 2 5" xfId="12216" xr:uid="{00000000-0005-0000-0000-00004A300000}"/>
    <cellStyle name="Normal 32 3 2 3" xfId="1892" xr:uid="{00000000-0005-0000-0000-00004B300000}"/>
    <cellStyle name="Normal 32 3 2 3 2" xfId="4204" xr:uid="{00000000-0005-0000-0000-00004C300000}"/>
    <cellStyle name="Normal 32 3 2 3 2 2" xfId="9155" xr:uid="{00000000-0005-0000-0000-00004D300000}"/>
    <cellStyle name="Normal 32 3 2 3 2 2 2" xfId="20052" xr:uid="{00000000-0005-0000-0000-00004E300000}"/>
    <cellStyle name="Normal 32 3 2 3 2 3" xfId="15101" xr:uid="{00000000-0005-0000-0000-00004F300000}"/>
    <cellStyle name="Normal 32 3 2 3 3" xfId="6843" xr:uid="{00000000-0005-0000-0000-000050300000}"/>
    <cellStyle name="Normal 32 3 2 3 3 2" xfId="17740" xr:uid="{00000000-0005-0000-0000-000051300000}"/>
    <cellStyle name="Normal 32 3 2 3 4" xfId="12816" xr:uid="{00000000-0005-0000-0000-000052300000}"/>
    <cellStyle name="Normal 32 3 2 4" xfId="3058" xr:uid="{00000000-0005-0000-0000-000053300000}"/>
    <cellStyle name="Normal 32 3 2 4 2" xfId="8009" xr:uid="{00000000-0005-0000-0000-000054300000}"/>
    <cellStyle name="Normal 32 3 2 4 2 2" xfId="18906" xr:uid="{00000000-0005-0000-0000-000055300000}"/>
    <cellStyle name="Normal 32 3 2 4 3" xfId="13955" xr:uid="{00000000-0005-0000-0000-000056300000}"/>
    <cellStyle name="Normal 32 3 2 5" xfId="5697" xr:uid="{00000000-0005-0000-0000-000057300000}"/>
    <cellStyle name="Normal 32 3 2 5 2" xfId="16594" xr:uid="{00000000-0005-0000-0000-000058300000}"/>
    <cellStyle name="Normal 32 3 2 6" xfId="11695" xr:uid="{00000000-0005-0000-0000-000059300000}"/>
    <cellStyle name="Normal 32 3 3" xfId="1001" xr:uid="{00000000-0005-0000-0000-00005A300000}"/>
    <cellStyle name="Normal 32 3 3 2" xfId="2158" xr:uid="{00000000-0005-0000-0000-00005B300000}"/>
    <cellStyle name="Normal 32 3 3 2 2" xfId="4470" xr:uid="{00000000-0005-0000-0000-00005C300000}"/>
    <cellStyle name="Normal 32 3 3 2 2 2" xfId="9421" xr:uid="{00000000-0005-0000-0000-00005D300000}"/>
    <cellStyle name="Normal 32 3 3 2 2 2 2" xfId="20318" xr:uid="{00000000-0005-0000-0000-00005E300000}"/>
    <cellStyle name="Normal 32 3 3 2 2 3" xfId="15367" xr:uid="{00000000-0005-0000-0000-00005F300000}"/>
    <cellStyle name="Normal 32 3 3 2 3" xfId="7109" xr:uid="{00000000-0005-0000-0000-000060300000}"/>
    <cellStyle name="Normal 32 3 3 2 3 2" xfId="18006" xr:uid="{00000000-0005-0000-0000-000061300000}"/>
    <cellStyle name="Normal 32 3 3 2 4" xfId="13075" xr:uid="{00000000-0005-0000-0000-000062300000}"/>
    <cellStyle name="Normal 32 3 3 3" xfId="3325" xr:uid="{00000000-0005-0000-0000-000063300000}"/>
    <cellStyle name="Normal 32 3 3 3 2" xfId="8276" xr:uid="{00000000-0005-0000-0000-000064300000}"/>
    <cellStyle name="Normal 32 3 3 3 2 2" xfId="19173" xr:uid="{00000000-0005-0000-0000-000065300000}"/>
    <cellStyle name="Normal 32 3 3 3 3" xfId="14222" xr:uid="{00000000-0005-0000-0000-000066300000}"/>
    <cellStyle name="Normal 32 3 3 4" xfId="5964" xr:uid="{00000000-0005-0000-0000-000067300000}"/>
    <cellStyle name="Normal 32 3 3 4 2" xfId="16861" xr:uid="{00000000-0005-0000-0000-000068300000}"/>
    <cellStyle name="Normal 32 3 3 5" xfId="11957" xr:uid="{00000000-0005-0000-0000-000069300000}"/>
    <cellStyle name="Normal 32 3 4" xfId="1659" xr:uid="{00000000-0005-0000-0000-00006A300000}"/>
    <cellStyle name="Normal 32 3 4 2" xfId="3971" xr:uid="{00000000-0005-0000-0000-00006B300000}"/>
    <cellStyle name="Normal 32 3 4 2 2" xfId="8922" xr:uid="{00000000-0005-0000-0000-00006C300000}"/>
    <cellStyle name="Normal 32 3 4 2 2 2" xfId="19819" xr:uid="{00000000-0005-0000-0000-00006D300000}"/>
    <cellStyle name="Normal 32 3 4 2 3" xfId="14868" xr:uid="{00000000-0005-0000-0000-00006E300000}"/>
    <cellStyle name="Normal 32 3 4 3" xfId="6610" xr:uid="{00000000-0005-0000-0000-00006F300000}"/>
    <cellStyle name="Normal 32 3 4 3 2" xfId="17507" xr:uid="{00000000-0005-0000-0000-000070300000}"/>
    <cellStyle name="Normal 32 3 4 4" xfId="12590" xr:uid="{00000000-0005-0000-0000-000071300000}"/>
    <cellStyle name="Normal 32 3 5" xfId="2793" xr:uid="{00000000-0005-0000-0000-000072300000}"/>
    <cellStyle name="Normal 32 3 5 2" xfId="7744" xr:uid="{00000000-0005-0000-0000-000073300000}"/>
    <cellStyle name="Normal 32 3 5 2 2" xfId="18641" xr:uid="{00000000-0005-0000-0000-000074300000}"/>
    <cellStyle name="Normal 32 3 5 3" xfId="13690" xr:uid="{00000000-0005-0000-0000-000075300000}"/>
    <cellStyle name="Normal 32 3 6" xfId="5432" xr:uid="{00000000-0005-0000-0000-000076300000}"/>
    <cellStyle name="Normal 32 3 6 2" xfId="16329" xr:uid="{00000000-0005-0000-0000-000077300000}"/>
    <cellStyle name="Normal 32 3 7" xfId="11434" xr:uid="{00000000-0005-0000-0000-000078300000}"/>
    <cellStyle name="Normal 32 4" xfId="593" xr:uid="{00000000-0005-0000-0000-000079300000}"/>
    <cellStyle name="Normal 32 4 2" xfId="1125" xr:uid="{00000000-0005-0000-0000-00007A300000}"/>
    <cellStyle name="Normal 32 4 2 2" xfId="2282" xr:uid="{00000000-0005-0000-0000-00007B300000}"/>
    <cellStyle name="Normal 32 4 2 2 2" xfId="4594" xr:uid="{00000000-0005-0000-0000-00007C300000}"/>
    <cellStyle name="Normal 32 4 2 2 2 2" xfId="9545" xr:uid="{00000000-0005-0000-0000-00007D300000}"/>
    <cellStyle name="Normal 32 4 2 2 2 2 2" xfId="20442" xr:uid="{00000000-0005-0000-0000-00007E300000}"/>
    <cellStyle name="Normal 32 4 2 2 2 3" xfId="15491" xr:uid="{00000000-0005-0000-0000-00007F300000}"/>
    <cellStyle name="Normal 32 4 2 2 3" xfId="7233" xr:uid="{00000000-0005-0000-0000-000080300000}"/>
    <cellStyle name="Normal 32 4 2 2 3 2" xfId="18130" xr:uid="{00000000-0005-0000-0000-000081300000}"/>
    <cellStyle name="Normal 32 4 2 2 4" xfId="13197" xr:uid="{00000000-0005-0000-0000-000082300000}"/>
    <cellStyle name="Normal 32 4 2 3" xfId="3449" xr:uid="{00000000-0005-0000-0000-000083300000}"/>
    <cellStyle name="Normal 32 4 2 3 2" xfId="8400" xr:uid="{00000000-0005-0000-0000-000084300000}"/>
    <cellStyle name="Normal 32 4 2 3 2 2" xfId="19297" xr:uid="{00000000-0005-0000-0000-000085300000}"/>
    <cellStyle name="Normal 32 4 2 3 3" xfId="14346" xr:uid="{00000000-0005-0000-0000-000086300000}"/>
    <cellStyle name="Normal 32 4 2 4" xfId="6088" xr:uid="{00000000-0005-0000-0000-000087300000}"/>
    <cellStyle name="Normal 32 4 2 4 2" xfId="16985" xr:uid="{00000000-0005-0000-0000-000088300000}"/>
    <cellStyle name="Normal 32 4 2 5" xfId="12079" xr:uid="{00000000-0005-0000-0000-000089300000}"/>
    <cellStyle name="Normal 32 4 3" xfId="1774" xr:uid="{00000000-0005-0000-0000-00008A300000}"/>
    <cellStyle name="Normal 32 4 3 2" xfId="4086" xr:uid="{00000000-0005-0000-0000-00008B300000}"/>
    <cellStyle name="Normal 32 4 3 2 2" xfId="9037" xr:uid="{00000000-0005-0000-0000-00008C300000}"/>
    <cellStyle name="Normal 32 4 3 2 2 2" xfId="19934" xr:uid="{00000000-0005-0000-0000-00008D300000}"/>
    <cellStyle name="Normal 32 4 3 2 3" xfId="14983" xr:uid="{00000000-0005-0000-0000-00008E300000}"/>
    <cellStyle name="Normal 32 4 3 3" xfId="6725" xr:uid="{00000000-0005-0000-0000-00008F300000}"/>
    <cellStyle name="Normal 32 4 3 3 2" xfId="17622" xr:uid="{00000000-0005-0000-0000-000090300000}"/>
    <cellStyle name="Normal 32 4 3 4" xfId="12703" xr:uid="{00000000-0005-0000-0000-000091300000}"/>
    <cellStyle name="Normal 32 4 4" xfId="2917" xr:uid="{00000000-0005-0000-0000-000092300000}"/>
    <cellStyle name="Normal 32 4 4 2" xfId="7868" xr:uid="{00000000-0005-0000-0000-000093300000}"/>
    <cellStyle name="Normal 32 4 4 2 2" xfId="18765" xr:uid="{00000000-0005-0000-0000-000094300000}"/>
    <cellStyle name="Normal 32 4 4 3" xfId="13814" xr:uid="{00000000-0005-0000-0000-000095300000}"/>
    <cellStyle name="Normal 32 4 5" xfId="5556" xr:uid="{00000000-0005-0000-0000-000096300000}"/>
    <cellStyle name="Normal 32 4 5 2" xfId="16453" xr:uid="{00000000-0005-0000-0000-000097300000}"/>
    <cellStyle name="Normal 32 4 6" xfId="11558" xr:uid="{00000000-0005-0000-0000-000098300000}"/>
    <cellStyle name="Normal 32 5" xfId="860" xr:uid="{00000000-0005-0000-0000-000099300000}"/>
    <cellStyle name="Normal 32 5 2" xfId="2017" xr:uid="{00000000-0005-0000-0000-00009A300000}"/>
    <cellStyle name="Normal 32 5 2 2" xfId="4329" xr:uid="{00000000-0005-0000-0000-00009B300000}"/>
    <cellStyle name="Normal 32 5 2 2 2" xfId="9280" xr:uid="{00000000-0005-0000-0000-00009C300000}"/>
    <cellStyle name="Normal 32 5 2 2 2 2" xfId="20177" xr:uid="{00000000-0005-0000-0000-00009D300000}"/>
    <cellStyle name="Normal 32 5 2 2 3" xfId="15226" xr:uid="{00000000-0005-0000-0000-00009E300000}"/>
    <cellStyle name="Normal 32 5 2 3" xfId="6968" xr:uid="{00000000-0005-0000-0000-00009F300000}"/>
    <cellStyle name="Normal 32 5 2 3 2" xfId="17865" xr:uid="{00000000-0005-0000-0000-0000A0300000}"/>
    <cellStyle name="Normal 32 5 2 4" xfId="12939" xr:uid="{00000000-0005-0000-0000-0000A1300000}"/>
    <cellStyle name="Normal 32 5 3" xfId="3184" xr:uid="{00000000-0005-0000-0000-0000A2300000}"/>
    <cellStyle name="Normal 32 5 3 2" xfId="8135" xr:uid="{00000000-0005-0000-0000-0000A3300000}"/>
    <cellStyle name="Normal 32 5 3 2 2" xfId="19032" xr:uid="{00000000-0005-0000-0000-0000A4300000}"/>
    <cellStyle name="Normal 32 5 3 3" xfId="14081" xr:uid="{00000000-0005-0000-0000-0000A5300000}"/>
    <cellStyle name="Normal 32 5 4" xfId="5823" xr:uid="{00000000-0005-0000-0000-0000A6300000}"/>
    <cellStyle name="Normal 32 5 4 2" xfId="16720" xr:uid="{00000000-0005-0000-0000-0000A7300000}"/>
    <cellStyle name="Normal 32 5 5" xfId="11821" xr:uid="{00000000-0005-0000-0000-0000A8300000}"/>
    <cellStyle name="Normal 32 6" xfId="1541" xr:uid="{00000000-0005-0000-0000-0000A9300000}"/>
    <cellStyle name="Normal 32 6 2" xfId="3853" xr:uid="{00000000-0005-0000-0000-0000AA300000}"/>
    <cellStyle name="Normal 32 6 2 2" xfId="8804" xr:uid="{00000000-0005-0000-0000-0000AB300000}"/>
    <cellStyle name="Normal 32 6 2 2 2" xfId="19701" xr:uid="{00000000-0005-0000-0000-0000AC300000}"/>
    <cellStyle name="Normal 32 6 2 3" xfId="14750" xr:uid="{00000000-0005-0000-0000-0000AD300000}"/>
    <cellStyle name="Normal 32 6 3" xfId="6492" xr:uid="{00000000-0005-0000-0000-0000AE300000}"/>
    <cellStyle name="Normal 32 6 3 2" xfId="17389" xr:uid="{00000000-0005-0000-0000-0000AF300000}"/>
    <cellStyle name="Normal 32 6 4" xfId="12476" xr:uid="{00000000-0005-0000-0000-0000B0300000}"/>
    <cellStyle name="Normal 32 7" xfId="2652" xr:uid="{00000000-0005-0000-0000-0000B1300000}"/>
    <cellStyle name="Normal 32 7 2" xfId="7603" xr:uid="{00000000-0005-0000-0000-0000B2300000}"/>
    <cellStyle name="Normal 32 7 2 2" xfId="18500" xr:uid="{00000000-0005-0000-0000-0000B3300000}"/>
    <cellStyle name="Normal 32 7 3" xfId="13549" xr:uid="{00000000-0005-0000-0000-0000B4300000}"/>
    <cellStyle name="Normal 32 8" xfId="5291" xr:uid="{00000000-0005-0000-0000-0000B5300000}"/>
    <cellStyle name="Normal 32 8 2" xfId="16188" xr:uid="{00000000-0005-0000-0000-0000B6300000}"/>
    <cellStyle name="Normal 32 9" xfId="11296" xr:uid="{00000000-0005-0000-0000-0000B7300000}"/>
    <cellStyle name="Normal 33" xfId="294" xr:uid="{00000000-0005-0000-0000-0000B8300000}"/>
    <cellStyle name="Normal 33 2" xfId="295" xr:uid="{00000000-0005-0000-0000-0000B9300000}"/>
    <cellStyle name="Normal 34" xfId="296" xr:uid="{00000000-0005-0000-0000-0000BA300000}"/>
    <cellStyle name="Normal 35" xfId="297" xr:uid="{00000000-0005-0000-0000-0000BB300000}"/>
    <cellStyle name="Normal 36" xfId="298" xr:uid="{00000000-0005-0000-0000-0000BC300000}"/>
    <cellStyle name="Normal 37" xfId="299" xr:uid="{00000000-0005-0000-0000-0000BD300000}"/>
    <cellStyle name="Normal 37 2" xfId="391" xr:uid="{00000000-0005-0000-0000-0000BE300000}"/>
    <cellStyle name="Normal 37 2 2" xfId="521" xr:uid="{00000000-0005-0000-0000-0000BF300000}"/>
    <cellStyle name="Normal 37 2 2 2" xfId="786" xr:uid="{00000000-0005-0000-0000-0000C0300000}"/>
    <cellStyle name="Normal 37 2 2 2 2" xfId="1318" xr:uid="{00000000-0005-0000-0000-0000C1300000}"/>
    <cellStyle name="Normal 37 2 2 2 2 2" xfId="2475" xr:uid="{00000000-0005-0000-0000-0000C2300000}"/>
    <cellStyle name="Normal 37 2 2 2 2 2 2" xfId="4787" xr:uid="{00000000-0005-0000-0000-0000C3300000}"/>
    <cellStyle name="Normal 37 2 2 2 2 2 2 2" xfId="9738" xr:uid="{00000000-0005-0000-0000-0000C4300000}"/>
    <cellStyle name="Normal 37 2 2 2 2 2 2 2 2" xfId="20635" xr:uid="{00000000-0005-0000-0000-0000C5300000}"/>
    <cellStyle name="Normal 37 2 2 2 2 2 2 3" xfId="15684" xr:uid="{00000000-0005-0000-0000-0000C6300000}"/>
    <cellStyle name="Normal 37 2 2 2 2 2 3" xfId="7426" xr:uid="{00000000-0005-0000-0000-0000C7300000}"/>
    <cellStyle name="Normal 37 2 2 2 2 2 3 2" xfId="18323" xr:uid="{00000000-0005-0000-0000-0000C8300000}"/>
    <cellStyle name="Normal 37 2 2 2 2 2 4" xfId="13386" xr:uid="{00000000-0005-0000-0000-0000C9300000}"/>
    <cellStyle name="Normal 37 2 2 2 2 3" xfId="3642" xr:uid="{00000000-0005-0000-0000-0000CA300000}"/>
    <cellStyle name="Normal 37 2 2 2 2 3 2" xfId="8593" xr:uid="{00000000-0005-0000-0000-0000CB300000}"/>
    <cellStyle name="Normal 37 2 2 2 2 3 2 2" xfId="19490" xr:uid="{00000000-0005-0000-0000-0000CC300000}"/>
    <cellStyle name="Normal 37 2 2 2 2 3 3" xfId="14539" xr:uid="{00000000-0005-0000-0000-0000CD300000}"/>
    <cellStyle name="Normal 37 2 2 2 2 4" xfId="6281" xr:uid="{00000000-0005-0000-0000-0000CE300000}"/>
    <cellStyle name="Normal 37 2 2 2 2 4 2" xfId="17178" xr:uid="{00000000-0005-0000-0000-0000CF300000}"/>
    <cellStyle name="Normal 37 2 2 2 2 5" xfId="12268" xr:uid="{00000000-0005-0000-0000-0000D0300000}"/>
    <cellStyle name="Normal 37 2 2 2 3" xfId="1944" xr:uid="{00000000-0005-0000-0000-0000D1300000}"/>
    <cellStyle name="Normal 37 2 2 2 3 2" xfId="4256" xr:uid="{00000000-0005-0000-0000-0000D2300000}"/>
    <cellStyle name="Normal 37 2 2 2 3 2 2" xfId="9207" xr:uid="{00000000-0005-0000-0000-0000D3300000}"/>
    <cellStyle name="Normal 37 2 2 2 3 2 2 2" xfId="20104" xr:uid="{00000000-0005-0000-0000-0000D4300000}"/>
    <cellStyle name="Normal 37 2 2 2 3 2 3" xfId="15153" xr:uid="{00000000-0005-0000-0000-0000D5300000}"/>
    <cellStyle name="Normal 37 2 2 2 3 3" xfId="6895" xr:uid="{00000000-0005-0000-0000-0000D6300000}"/>
    <cellStyle name="Normal 37 2 2 2 3 3 2" xfId="17792" xr:uid="{00000000-0005-0000-0000-0000D7300000}"/>
    <cellStyle name="Normal 37 2 2 2 3 4" xfId="12868" xr:uid="{00000000-0005-0000-0000-0000D8300000}"/>
    <cellStyle name="Normal 37 2 2 2 4" xfId="3110" xr:uid="{00000000-0005-0000-0000-0000D9300000}"/>
    <cellStyle name="Normal 37 2 2 2 4 2" xfId="8061" xr:uid="{00000000-0005-0000-0000-0000DA300000}"/>
    <cellStyle name="Normal 37 2 2 2 4 2 2" xfId="18958" xr:uid="{00000000-0005-0000-0000-0000DB300000}"/>
    <cellStyle name="Normal 37 2 2 2 4 3" xfId="14007" xr:uid="{00000000-0005-0000-0000-0000DC300000}"/>
    <cellStyle name="Normal 37 2 2 2 5" xfId="5749" xr:uid="{00000000-0005-0000-0000-0000DD300000}"/>
    <cellStyle name="Normal 37 2 2 2 5 2" xfId="16646" xr:uid="{00000000-0005-0000-0000-0000DE300000}"/>
    <cellStyle name="Normal 37 2 2 2 6" xfId="11747" xr:uid="{00000000-0005-0000-0000-0000DF300000}"/>
    <cellStyle name="Normal 37 2 2 3" xfId="1053" xr:uid="{00000000-0005-0000-0000-0000E0300000}"/>
    <cellStyle name="Normal 37 2 2 3 2" xfId="2210" xr:uid="{00000000-0005-0000-0000-0000E1300000}"/>
    <cellStyle name="Normal 37 2 2 3 2 2" xfId="4522" xr:uid="{00000000-0005-0000-0000-0000E2300000}"/>
    <cellStyle name="Normal 37 2 2 3 2 2 2" xfId="9473" xr:uid="{00000000-0005-0000-0000-0000E3300000}"/>
    <cellStyle name="Normal 37 2 2 3 2 2 2 2" xfId="20370" xr:uid="{00000000-0005-0000-0000-0000E4300000}"/>
    <cellStyle name="Normal 37 2 2 3 2 2 3" xfId="15419" xr:uid="{00000000-0005-0000-0000-0000E5300000}"/>
    <cellStyle name="Normal 37 2 2 3 2 3" xfId="7161" xr:uid="{00000000-0005-0000-0000-0000E6300000}"/>
    <cellStyle name="Normal 37 2 2 3 2 3 2" xfId="18058" xr:uid="{00000000-0005-0000-0000-0000E7300000}"/>
    <cellStyle name="Normal 37 2 2 3 2 4" xfId="13127" xr:uid="{00000000-0005-0000-0000-0000E8300000}"/>
    <cellStyle name="Normal 37 2 2 3 3" xfId="3377" xr:uid="{00000000-0005-0000-0000-0000E9300000}"/>
    <cellStyle name="Normal 37 2 2 3 3 2" xfId="8328" xr:uid="{00000000-0005-0000-0000-0000EA300000}"/>
    <cellStyle name="Normal 37 2 2 3 3 2 2" xfId="19225" xr:uid="{00000000-0005-0000-0000-0000EB300000}"/>
    <cellStyle name="Normal 37 2 2 3 3 3" xfId="14274" xr:uid="{00000000-0005-0000-0000-0000EC300000}"/>
    <cellStyle name="Normal 37 2 2 3 4" xfId="6016" xr:uid="{00000000-0005-0000-0000-0000ED300000}"/>
    <cellStyle name="Normal 37 2 2 3 4 2" xfId="16913" xr:uid="{00000000-0005-0000-0000-0000EE300000}"/>
    <cellStyle name="Normal 37 2 2 3 5" xfId="12009" xr:uid="{00000000-0005-0000-0000-0000EF300000}"/>
    <cellStyle name="Normal 37 2 2 4" xfId="1711" xr:uid="{00000000-0005-0000-0000-0000F0300000}"/>
    <cellStyle name="Normal 37 2 2 4 2" xfId="4023" xr:uid="{00000000-0005-0000-0000-0000F1300000}"/>
    <cellStyle name="Normal 37 2 2 4 2 2" xfId="8974" xr:uid="{00000000-0005-0000-0000-0000F2300000}"/>
    <cellStyle name="Normal 37 2 2 4 2 2 2" xfId="19871" xr:uid="{00000000-0005-0000-0000-0000F3300000}"/>
    <cellStyle name="Normal 37 2 2 4 2 3" xfId="14920" xr:uid="{00000000-0005-0000-0000-0000F4300000}"/>
    <cellStyle name="Normal 37 2 2 4 3" xfId="6662" xr:uid="{00000000-0005-0000-0000-0000F5300000}"/>
    <cellStyle name="Normal 37 2 2 4 3 2" xfId="17559" xr:uid="{00000000-0005-0000-0000-0000F6300000}"/>
    <cellStyle name="Normal 37 2 2 4 4" xfId="12642" xr:uid="{00000000-0005-0000-0000-0000F7300000}"/>
    <cellStyle name="Normal 37 2 2 5" xfId="2845" xr:uid="{00000000-0005-0000-0000-0000F8300000}"/>
    <cellStyle name="Normal 37 2 2 5 2" xfId="7796" xr:uid="{00000000-0005-0000-0000-0000F9300000}"/>
    <cellStyle name="Normal 37 2 2 5 2 2" xfId="18693" xr:uid="{00000000-0005-0000-0000-0000FA300000}"/>
    <cellStyle name="Normal 37 2 2 5 3" xfId="13742" xr:uid="{00000000-0005-0000-0000-0000FB300000}"/>
    <cellStyle name="Normal 37 2 2 6" xfId="5484" xr:uid="{00000000-0005-0000-0000-0000FC300000}"/>
    <cellStyle name="Normal 37 2 2 6 2" xfId="16381" xr:uid="{00000000-0005-0000-0000-0000FD300000}"/>
    <cellStyle name="Normal 37 2 2 7" xfId="11486" xr:uid="{00000000-0005-0000-0000-0000FE300000}"/>
    <cellStyle name="Normal 37 2 3" xfId="657" xr:uid="{00000000-0005-0000-0000-0000FF300000}"/>
    <cellStyle name="Normal 37 2 3 2" xfId="1189" xr:uid="{00000000-0005-0000-0000-000000310000}"/>
    <cellStyle name="Normal 37 2 3 2 2" xfId="2346" xr:uid="{00000000-0005-0000-0000-000001310000}"/>
    <cellStyle name="Normal 37 2 3 2 2 2" xfId="4658" xr:uid="{00000000-0005-0000-0000-000002310000}"/>
    <cellStyle name="Normal 37 2 3 2 2 2 2" xfId="9609" xr:uid="{00000000-0005-0000-0000-000003310000}"/>
    <cellStyle name="Normal 37 2 3 2 2 2 2 2" xfId="20506" xr:uid="{00000000-0005-0000-0000-000004310000}"/>
    <cellStyle name="Normal 37 2 3 2 2 2 3" xfId="15555" xr:uid="{00000000-0005-0000-0000-000005310000}"/>
    <cellStyle name="Normal 37 2 3 2 2 3" xfId="7297" xr:uid="{00000000-0005-0000-0000-000006310000}"/>
    <cellStyle name="Normal 37 2 3 2 2 3 2" xfId="18194" xr:uid="{00000000-0005-0000-0000-000007310000}"/>
    <cellStyle name="Normal 37 2 3 2 2 4" xfId="13258" xr:uid="{00000000-0005-0000-0000-000008310000}"/>
    <cellStyle name="Normal 37 2 3 2 3" xfId="3513" xr:uid="{00000000-0005-0000-0000-000009310000}"/>
    <cellStyle name="Normal 37 2 3 2 3 2" xfId="8464" xr:uid="{00000000-0005-0000-0000-00000A310000}"/>
    <cellStyle name="Normal 37 2 3 2 3 2 2" xfId="19361" xr:uid="{00000000-0005-0000-0000-00000B310000}"/>
    <cellStyle name="Normal 37 2 3 2 3 3" xfId="14410" xr:uid="{00000000-0005-0000-0000-00000C310000}"/>
    <cellStyle name="Normal 37 2 3 2 4" xfId="6152" xr:uid="{00000000-0005-0000-0000-00000D310000}"/>
    <cellStyle name="Normal 37 2 3 2 4 2" xfId="17049" xr:uid="{00000000-0005-0000-0000-00000E310000}"/>
    <cellStyle name="Normal 37 2 3 2 5" xfId="12140" xr:uid="{00000000-0005-0000-0000-00000F310000}"/>
    <cellStyle name="Normal 37 2 3 3" xfId="1830" xr:uid="{00000000-0005-0000-0000-000010310000}"/>
    <cellStyle name="Normal 37 2 3 3 2" xfId="4142" xr:uid="{00000000-0005-0000-0000-000011310000}"/>
    <cellStyle name="Normal 37 2 3 3 2 2" xfId="9093" xr:uid="{00000000-0005-0000-0000-000012310000}"/>
    <cellStyle name="Normal 37 2 3 3 2 2 2" xfId="19990" xr:uid="{00000000-0005-0000-0000-000013310000}"/>
    <cellStyle name="Normal 37 2 3 3 2 3" xfId="15039" xr:uid="{00000000-0005-0000-0000-000014310000}"/>
    <cellStyle name="Normal 37 2 3 3 3" xfId="6781" xr:uid="{00000000-0005-0000-0000-000015310000}"/>
    <cellStyle name="Normal 37 2 3 3 3 2" xfId="17678" xr:uid="{00000000-0005-0000-0000-000016310000}"/>
    <cellStyle name="Normal 37 2 3 3 4" xfId="12755" xr:uid="{00000000-0005-0000-0000-000017310000}"/>
    <cellStyle name="Normal 37 2 3 4" xfId="2981" xr:uid="{00000000-0005-0000-0000-000018310000}"/>
    <cellStyle name="Normal 37 2 3 4 2" xfId="7932" xr:uid="{00000000-0005-0000-0000-000019310000}"/>
    <cellStyle name="Normal 37 2 3 4 2 2" xfId="18829" xr:uid="{00000000-0005-0000-0000-00001A310000}"/>
    <cellStyle name="Normal 37 2 3 4 3" xfId="13878" xr:uid="{00000000-0005-0000-0000-00001B310000}"/>
    <cellStyle name="Normal 37 2 3 5" xfId="5620" xr:uid="{00000000-0005-0000-0000-00001C310000}"/>
    <cellStyle name="Normal 37 2 3 5 2" xfId="16517" xr:uid="{00000000-0005-0000-0000-00001D310000}"/>
    <cellStyle name="Normal 37 2 3 6" xfId="11619" xr:uid="{00000000-0005-0000-0000-00001E310000}"/>
    <cellStyle name="Normal 37 2 4" xfId="924" xr:uid="{00000000-0005-0000-0000-00001F310000}"/>
    <cellStyle name="Normal 37 2 4 2" xfId="2081" xr:uid="{00000000-0005-0000-0000-000020310000}"/>
    <cellStyle name="Normal 37 2 4 2 2" xfId="4393" xr:uid="{00000000-0005-0000-0000-000021310000}"/>
    <cellStyle name="Normal 37 2 4 2 2 2" xfId="9344" xr:uid="{00000000-0005-0000-0000-000022310000}"/>
    <cellStyle name="Normal 37 2 4 2 2 2 2" xfId="20241" xr:uid="{00000000-0005-0000-0000-000023310000}"/>
    <cellStyle name="Normal 37 2 4 2 2 3" xfId="15290" xr:uid="{00000000-0005-0000-0000-000024310000}"/>
    <cellStyle name="Normal 37 2 4 2 3" xfId="7032" xr:uid="{00000000-0005-0000-0000-000025310000}"/>
    <cellStyle name="Normal 37 2 4 2 3 2" xfId="17929" xr:uid="{00000000-0005-0000-0000-000026310000}"/>
    <cellStyle name="Normal 37 2 4 2 4" xfId="12999" xr:uid="{00000000-0005-0000-0000-000027310000}"/>
    <cellStyle name="Normal 37 2 4 3" xfId="3248" xr:uid="{00000000-0005-0000-0000-000028310000}"/>
    <cellStyle name="Normal 37 2 4 3 2" xfId="8199" xr:uid="{00000000-0005-0000-0000-000029310000}"/>
    <cellStyle name="Normal 37 2 4 3 2 2" xfId="19096" xr:uid="{00000000-0005-0000-0000-00002A310000}"/>
    <cellStyle name="Normal 37 2 4 3 3" xfId="14145" xr:uid="{00000000-0005-0000-0000-00002B310000}"/>
    <cellStyle name="Normal 37 2 4 4" xfId="5887" xr:uid="{00000000-0005-0000-0000-00002C310000}"/>
    <cellStyle name="Normal 37 2 4 4 2" xfId="16784" xr:uid="{00000000-0005-0000-0000-00002D310000}"/>
    <cellStyle name="Normal 37 2 4 5" xfId="11881" xr:uid="{00000000-0005-0000-0000-00002E310000}"/>
    <cellStyle name="Normal 37 2 5" xfId="1597" xr:uid="{00000000-0005-0000-0000-00002F310000}"/>
    <cellStyle name="Normal 37 2 5 2" xfId="3909" xr:uid="{00000000-0005-0000-0000-000030310000}"/>
    <cellStyle name="Normal 37 2 5 2 2" xfId="8860" xr:uid="{00000000-0005-0000-0000-000031310000}"/>
    <cellStyle name="Normal 37 2 5 2 2 2" xfId="19757" xr:uid="{00000000-0005-0000-0000-000032310000}"/>
    <cellStyle name="Normal 37 2 5 2 3" xfId="14806" xr:uid="{00000000-0005-0000-0000-000033310000}"/>
    <cellStyle name="Normal 37 2 5 3" xfId="6548" xr:uid="{00000000-0005-0000-0000-000034310000}"/>
    <cellStyle name="Normal 37 2 5 3 2" xfId="17445" xr:uid="{00000000-0005-0000-0000-000035310000}"/>
    <cellStyle name="Normal 37 2 5 4" xfId="12529" xr:uid="{00000000-0005-0000-0000-000036310000}"/>
    <cellStyle name="Normal 37 2 6" xfId="2716" xr:uid="{00000000-0005-0000-0000-000037310000}"/>
    <cellStyle name="Normal 37 2 6 2" xfId="7667" xr:uid="{00000000-0005-0000-0000-000038310000}"/>
    <cellStyle name="Normal 37 2 6 2 2" xfId="18564" xr:uid="{00000000-0005-0000-0000-000039310000}"/>
    <cellStyle name="Normal 37 2 6 3" xfId="13613" xr:uid="{00000000-0005-0000-0000-00003A310000}"/>
    <cellStyle name="Normal 37 2 7" xfId="5355" xr:uid="{00000000-0005-0000-0000-00003B310000}"/>
    <cellStyle name="Normal 37 2 7 2" xfId="16252" xr:uid="{00000000-0005-0000-0000-00003C310000}"/>
    <cellStyle name="Normal 37 2 8" xfId="11358" xr:uid="{00000000-0005-0000-0000-00003D310000}"/>
    <cellStyle name="Normal 37 3" xfId="470" xr:uid="{00000000-0005-0000-0000-00003E310000}"/>
    <cellStyle name="Normal 37 3 2" xfId="735" xr:uid="{00000000-0005-0000-0000-00003F310000}"/>
    <cellStyle name="Normal 37 3 2 2" xfId="1267" xr:uid="{00000000-0005-0000-0000-000040310000}"/>
    <cellStyle name="Normal 37 3 2 2 2" xfId="2424" xr:uid="{00000000-0005-0000-0000-000041310000}"/>
    <cellStyle name="Normal 37 3 2 2 2 2" xfId="4736" xr:uid="{00000000-0005-0000-0000-000042310000}"/>
    <cellStyle name="Normal 37 3 2 2 2 2 2" xfId="9687" xr:uid="{00000000-0005-0000-0000-000043310000}"/>
    <cellStyle name="Normal 37 3 2 2 2 2 2 2" xfId="20584" xr:uid="{00000000-0005-0000-0000-000044310000}"/>
    <cellStyle name="Normal 37 3 2 2 2 2 3" xfId="15633" xr:uid="{00000000-0005-0000-0000-000045310000}"/>
    <cellStyle name="Normal 37 3 2 2 2 3" xfId="7375" xr:uid="{00000000-0005-0000-0000-000046310000}"/>
    <cellStyle name="Normal 37 3 2 2 2 3 2" xfId="18272" xr:uid="{00000000-0005-0000-0000-000047310000}"/>
    <cellStyle name="Normal 37 3 2 2 2 4" xfId="13335" xr:uid="{00000000-0005-0000-0000-000048310000}"/>
    <cellStyle name="Normal 37 3 2 2 3" xfId="3591" xr:uid="{00000000-0005-0000-0000-000049310000}"/>
    <cellStyle name="Normal 37 3 2 2 3 2" xfId="8542" xr:uid="{00000000-0005-0000-0000-00004A310000}"/>
    <cellStyle name="Normal 37 3 2 2 3 2 2" xfId="19439" xr:uid="{00000000-0005-0000-0000-00004B310000}"/>
    <cellStyle name="Normal 37 3 2 2 3 3" xfId="14488" xr:uid="{00000000-0005-0000-0000-00004C310000}"/>
    <cellStyle name="Normal 37 3 2 2 4" xfId="6230" xr:uid="{00000000-0005-0000-0000-00004D310000}"/>
    <cellStyle name="Normal 37 3 2 2 4 2" xfId="17127" xr:uid="{00000000-0005-0000-0000-00004E310000}"/>
    <cellStyle name="Normal 37 3 2 2 5" xfId="12217" xr:uid="{00000000-0005-0000-0000-00004F310000}"/>
    <cellStyle name="Normal 37 3 2 3" xfId="1893" xr:uid="{00000000-0005-0000-0000-000050310000}"/>
    <cellStyle name="Normal 37 3 2 3 2" xfId="4205" xr:uid="{00000000-0005-0000-0000-000051310000}"/>
    <cellStyle name="Normal 37 3 2 3 2 2" xfId="9156" xr:uid="{00000000-0005-0000-0000-000052310000}"/>
    <cellStyle name="Normal 37 3 2 3 2 2 2" xfId="20053" xr:uid="{00000000-0005-0000-0000-000053310000}"/>
    <cellStyle name="Normal 37 3 2 3 2 3" xfId="15102" xr:uid="{00000000-0005-0000-0000-000054310000}"/>
    <cellStyle name="Normal 37 3 2 3 3" xfId="6844" xr:uid="{00000000-0005-0000-0000-000055310000}"/>
    <cellStyle name="Normal 37 3 2 3 3 2" xfId="17741" xr:uid="{00000000-0005-0000-0000-000056310000}"/>
    <cellStyle name="Normal 37 3 2 3 4" xfId="12817" xr:uid="{00000000-0005-0000-0000-000057310000}"/>
    <cellStyle name="Normal 37 3 2 4" xfId="3059" xr:uid="{00000000-0005-0000-0000-000058310000}"/>
    <cellStyle name="Normal 37 3 2 4 2" xfId="8010" xr:uid="{00000000-0005-0000-0000-000059310000}"/>
    <cellStyle name="Normal 37 3 2 4 2 2" xfId="18907" xr:uid="{00000000-0005-0000-0000-00005A310000}"/>
    <cellStyle name="Normal 37 3 2 4 3" xfId="13956" xr:uid="{00000000-0005-0000-0000-00005B310000}"/>
    <cellStyle name="Normal 37 3 2 5" xfId="5698" xr:uid="{00000000-0005-0000-0000-00005C310000}"/>
    <cellStyle name="Normal 37 3 2 5 2" xfId="16595" xr:uid="{00000000-0005-0000-0000-00005D310000}"/>
    <cellStyle name="Normal 37 3 2 6" xfId="11696" xr:uid="{00000000-0005-0000-0000-00005E310000}"/>
    <cellStyle name="Normal 37 3 3" xfId="1002" xr:uid="{00000000-0005-0000-0000-00005F310000}"/>
    <cellStyle name="Normal 37 3 3 2" xfId="2159" xr:uid="{00000000-0005-0000-0000-000060310000}"/>
    <cellStyle name="Normal 37 3 3 2 2" xfId="4471" xr:uid="{00000000-0005-0000-0000-000061310000}"/>
    <cellStyle name="Normal 37 3 3 2 2 2" xfId="9422" xr:uid="{00000000-0005-0000-0000-000062310000}"/>
    <cellStyle name="Normal 37 3 3 2 2 2 2" xfId="20319" xr:uid="{00000000-0005-0000-0000-000063310000}"/>
    <cellStyle name="Normal 37 3 3 2 2 3" xfId="15368" xr:uid="{00000000-0005-0000-0000-000064310000}"/>
    <cellStyle name="Normal 37 3 3 2 3" xfId="7110" xr:uid="{00000000-0005-0000-0000-000065310000}"/>
    <cellStyle name="Normal 37 3 3 2 3 2" xfId="18007" xr:uid="{00000000-0005-0000-0000-000066310000}"/>
    <cellStyle name="Normal 37 3 3 2 4" xfId="13076" xr:uid="{00000000-0005-0000-0000-000067310000}"/>
    <cellStyle name="Normal 37 3 3 3" xfId="3326" xr:uid="{00000000-0005-0000-0000-000068310000}"/>
    <cellStyle name="Normal 37 3 3 3 2" xfId="8277" xr:uid="{00000000-0005-0000-0000-000069310000}"/>
    <cellStyle name="Normal 37 3 3 3 2 2" xfId="19174" xr:uid="{00000000-0005-0000-0000-00006A310000}"/>
    <cellStyle name="Normal 37 3 3 3 3" xfId="14223" xr:uid="{00000000-0005-0000-0000-00006B310000}"/>
    <cellStyle name="Normal 37 3 3 4" xfId="5965" xr:uid="{00000000-0005-0000-0000-00006C310000}"/>
    <cellStyle name="Normal 37 3 3 4 2" xfId="16862" xr:uid="{00000000-0005-0000-0000-00006D310000}"/>
    <cellStyle name="Normal 37 3 3 5" xfId="11958" xr:uid="{00000000-0005-0000-0000-00006E310000}"/>
    <cellStyle name="Normal 37 3 4" xfId="1660" xr:uid="{00000000-0005-0000-0000-00006F310000}"/>
    <cellStyle name="Normal 37 3 4 2" xfId="3972" xr:uid="{00000000-0005-0000-0000-000070310000}"/>
    <cellStyle name="Normal 37 3 4 2 2" xfId="8923" xr:uid="{00000000-0005-0000-0000-000071310000}"/>
    <cellStyle name="Normal 37 3 4 2 2 2" xfId="19820" xr:uid="{00000000-0005-0000-0000-000072310000}"/>
    <cellStyle name="Normal 37 3 4 2 3" xfId="14869" xr:uid="{00000000-0005-0000-0000-000073310000}"/>
    <cellStyle name="Normal 37 3 4 3" xfId="6611" xr:uid="{00000000-0005-0000-0000-000074310000}"/>
    <cellStyle name="Normal 37 3 4 3 2" xfId="17508" xr:uid="{00000000-0005-0000-0000-000075310000}"/>
    <cellStyle name="Normal 37 3 4 4" xfId="12591" xr:uid="{00000000-0005-0000-0000-000076310000}"/>
    <cellStyle name="Normal 37 3 5" xfId="2794" xr:uid="{00000000-0005-0000-0000-000077310000}"/>
    <cellStyle name="Normal 37 3 5 2" xfId="7745" xr:uid="{00000000-0005-0000-0000-000078310000}"/>
    <cellStyle name="Normal 37 3 5 2 2" xfId="18642" xr:uid="{00000000-0005-0000-0000-000079310000}"/>
    <cellStyle name="Normal 37 3 5 3" xfId="13691" xr:uid="{00000000-0005-0000-0000-00007A310000}"/>
    <cellStyle name="Normal 37 3 6" xfId="5433" xr:uid="{00000000-0005-0000-0000-00007B310000}"/>
    <cellStyle name="Normal 37 3 6 2" xfId="16330" xr:uid="{00000000-0005-0000-0000-00007C310000}"/>
    <cellStyle name="Normal 37 3 7" xfId="11435" xr:uid="{00000000-0005-0000-0000-00007D310000}"/>
    <cellStyle name="Normal 37 4" xfId="594" xr:uid="{00000000-0005-0000-0000-00007E310000}"/>
    <cellStyle name="Normal 37 4 2" xfId="1126" xr:uid="{00000000-0005-0000-0000-00007F310000}"/>
    <cellStyle name="Normal 37 4 2 2" xfId="2283" xr:uid="{00000000-0005-0000-0000-000080310000}"/>
    <cellStyle name="Normal 37 4 2 2 2" xfId="4595" xr:uid="{00000000-0005-0000-0000-000081310000}"/>
    <cellStyle name="Normal 37 4 2 2 2 2" xfId="9546" xr:uid="{00000000-0005-0000-0000-000082310000}"/>
    <cellStyle name="Normal 37 4 2 2 2 2 2" xfId="20443" xr:uid="{00000000-0005-0000-0000-000083310000}"/>
    <cellStyle name="Normal 37 4 2 2 2 3" xfId="15492" xr:uid="{00000000-0005-0000-0000-000084310000}"/>
    <cellStyle name="Normal 37 4 2 2 3" xfId="7234" xr:uid="{00000000-0005-0000-0000-000085310000}"/>
    <cellStyle name="Normal 37 4 2 2 3 2" xfId="18131" xr:uid="{00000000-0005-0000-0000-000086310000}"/>
    <cellStyle name="Normal 37 4 2 2 4" xfId="13198" xr:uid="{00000000-0005-0000-0000-000087310000}"/>
    <cellStyle name="Normal 37 4 2 3" xfId="3450" xr:uid="{00000000-0005-0000-0000-000088310000}"/>
    <cellStyle name="Normal 37 4 2 3 2" xfId="8401" xr:uid="{00000000-0005-0000-0000-000089310000}"/>
    <cellStyle name="Normal 37 4 2 3 2 2" xfId="19298" xr:uid="{00000000-0005-0000-0000-00008A310000}"/>
    <cellStyle name="Normal 37 4 2 3 3" xfId="14347" xr:uid="{00000000-0005-0000-0000-00008B310000}"/>
    <cellStyle name="Normal 37 4 2 4" xfId="6089" xr:uid="{00000000-0005-0000-0000-00008C310000}"/>
    <cellStyle name="Normal 37 4 2 4 2" xfId="16986" xr:uid="{00000000-0005-0000-0000-00008D310000}"/>
    <cellStyle name="Normal 37 4 2 5" xfId="12080" xr:uid="{00000000-0005-0000-0000-00008E310000}"/>
    <cellStyle name="Normal 37 4 3" xfId="1775" xr:uid="{00000000-0005-0000-0000-00008F310000}"/>
    <cellStyle name="Normal 37 4 3 2" xfId="4087" xr:uid="{00000000-0005-0000-0000-000090310000}"/>
    <cellStyle name="Normal 37 4 3 2 2" xfId="9038" xr:uid="{00000000-0005-0000-0000-000091310000}"/>
    <cellStyle name="Normal 37 4 3 2 2 2" xfId="19935" xr:uid="{00000000-0005-0000-0000-000092310000}"/>
    <cellStyle name="Normal 37 4 3 2 3" xfId="14984" xr:uid="{00000000-0005-0000-0000-000093310000}"/>
    <cellStyle name="Normal 37 4 3 3" xfId="6726" xr:uid="{00000000-0005-0000-0000-000094310000}"/>
    <cellStyle name="Normal 37 4 3 3 2" xfId="17623" xr:uid="{00000000-0005-0000-0000-000095310000}"/>
    <cellStyle name="Normal 37 4 3 4" xfId="12704" xr:uid="{00000000-0005-0000-0000-000096310000}"/>
    <cellStyle name="Normal 37 4 4" xfId="2918" xr:uid="{00000000-0005-0000-0000-000097310000}"/>
    <cellStyle name="Normal 37 4 4 2" xfId="7869" xr:uid="{00000000-0005-0000-0000-000098310000}"/>
    <cellStyle name="Normal 37 4 4 2 2" xfId="18766" xr:uid="{00000000-0005-0000-0000-000099310000}"/>
    <cellStyle name="Normal 37 4 4 3" xfId="13815" xr:uid="{00000000-0005-0000-0000-00009A310000}"/>
    <cellStyle name="Normal 37 4 5" xfId="5557" xr:uid="{00000000-0005-0000-0000-00009B310000}"/>
    <cellStyle name="Normal 37 4 5 2" xfId="16454" xr:uid="{00000000-0005-0000-0000-00009C310000}"/>
    <cellStyle name="Normal 37 4 6" xfId="11559" xr:uid="{00000000-0005-0000-0000-00009D310000}"/>
    <cellStyle name="Normal 37 5" xfId="861" xr:uid="{00000000-0005-0000-0000-00009E310000}"/>
    <cellStyle name="Normal 37 5 2" xfId="2018" xr:uid="{00000000-0005-0000-0000-00009F310000}"/>
    <cellStyle name="Normal 37 5 2 2" xfId="4330" xr:uid="{00000000-0005-0000-0000-0000A0310000}"/>
    <cellStyle name="Normal 37 5 2 2 2" xfId="9281" xr:uid="{00000000-0005-0000-0000-0000A1310000}"/>
    <cellStyle name="Normal 37 5 2 2 2 2" xfId="20178" xr:uid="{00000000-0005-0000-0000-0000A2310000}"/>
    <cellStyle name="Normal 37 5 2 2 3" xfId="15227" xr:uid="{00000000-0005-0000-0000-0000A3310000}"/>
    <cellStyle name="Normal 37 5 2 3" xfId="6969" xr:uid="{00000000-0005-0000-0000-0000A4310000}"/>
    <cellStyle name="Normal 37 5 2 3 2" xfId="17866" xr:uid="{00000000-0005-0000-0000-0000A5310000}"/>
    <cellStyle name="Normal 37 5 2 4" xfId="12940" xr:uid="{00000000-0005-0000-0000-0000A6310000}"/>
    <cellStyle name="Normal 37 5 3" xfId="3185" xr:uid="{00000000-0005-0000-0000-0000A7310000}"/>
    <cellStyle name="Normal 37 5 3 2" xfId="8136" xr:uid="{00000000-0005-0000-0000-0000A8310000}"/>
    <cellStyle name="Normal 37 5 3 2 2" xfId="19033" xr:uid="{00000000-0005-0000-0000-0000A9310000}"/>
    <cellStyle name="Normal 37 5 3 3" xfId="14082" xr:uid="{00000000-0005-0000-0000-0000AA310000}"/>
    <cellStyle name="Normal 37 5 4" xfId="5824" xr:uid="{00000000-0005-0000-0000-0000AB310000}"/>
    <cellStyle name="Normal 37 5 4 2" xfId="16721" xr:uid="{00000000-0005-0000-0000-0000AC310000}"/>
    <cellStyle name="Normal 37 5 5" xfId="11822" xr:uid="{00000000-0005-0000-0000-0000AD310000}"/>
    <cellStyle name="Normal 37 6" xfId="1542" xr:uid="{00000000-0005-0000-0000-0000AE310000}"/>
    <cellStyle name="Normal 37 6 2" xfId="3854" xr:uid="{00000000-0005-0000-0000-0000AF310000}"/>
    <cellStyle name="Normal 37 6 2 2" xfId="8805" xr:uid="{00000000-0005-0000-0000-0000B0310000}"/>
    <cellStyle name="Normal 37 6 2 2 2" xfId="19702" xr:uid="{00000000-0005-0000-0000-0000B1310000}"/>
    <cellStyle name="Normal 37 6 2 3" xfId="14751" xr:uid="{00000000-0005-0000-0000-0000B2310000}"/>
    <cellStyle name="Normal 37 6 3" xfId="6493" xr:uid="{00000000-0005-0000-0000-0000B3310000}"/>
    <cellStyle name="Normal 37 6 3 2" xfId="17390" xr:uid="{00000000-0005-0000-0000-0000B4310000}"/>
    <cellStyle name="Normal 37 6 4" xfId="12477" xr:uid="{00000000-0005-0000-0000-0000B5310000}"/>
    <cellStyle name="Normal 37 7" xfId="2653" xr:uid="{00000000-0005-0000-0000-0000B6310000}"/>
    <cellStyle name="Normal 37 7 2" xfId="7604" xr:uid="{00000000-0005-0000-0000-0000B7310000}"/>
    <cellStyle name="Normal 37 7 2 2" xfId="18501" xr:uid="{00000000-0005-0000-0000-0000B8310000}"/>
    <cellStyle name="Normal 37 7 3" xfId="13550" xr:uid="{00000000-0005-0000-0000-0000B9310000}"/>
    <cellStyle name="Normal 37 8" xfId="5292" xr:uid="{00000000-0005-0000-0000-0000BA310000}"/>
    <cellStyle name="Normal 37 8 2" xfId="16189" xr:uid="{00000000-0005-0000-0000-0000BB310000}"/>
    <cellStyle name="Normal 37 9" xfId="11297" xr:uid="{00000000-0005-0000-0000-0000BC310000}"/>
    <cellStyle name="Normal 38" xfId="300" xr:uid="{00000000-0005-0000-0000-0000BD310000}"/>
    <cellStyle name="Normal 38 2" xfId="392" xr:uid="{00000000-0005-0000-0000-0000BE310000}"/>
    <cellStyle name="Normal 38 2 2" xfId="522" xr:uid="{00000000-0005-0000-0000-0000BF310000}"/>
    <cellStyle name="Normal 38 2 2 2" xfId="787" xr:uid="{00000000-0005-0000-0000-0000C0310000}"/>
    <cellStyle name="Normal 38 2 2 2 2" xfId="1319" xr:uid="{00000000-0005-0000-0000-0000C1310000}"/>
    <cellStyle name="Normal 38 2 2 2 2 2" xfId="2476" xr:uid="{00000000-0005-0000-0000-0000C2310000}"/>
    <cellStyle name="Normal 38 2 2 2 2 2 2" xfId="4788" xr:uid="{00000000-0005-0000-0000-0000C3310000}"/>
    <cellStyle name="Normal 38 2 2 2 2 2 2 2" xfId="9739" xr:uid="{00000000-0005-0000-0000-0000C4310000}"/>
    <cellStyle name="Normal 38 2 2 2 2 2 2 2 2" xfId="20636" xr:uid="{00000000-0005-0000-0000-0000C5310000}"/>
    <cellStyle name="Normal 38 2 2 2 2 2 2 3" xfId="15685" xr:uid="{00000000-0005-0000-0000-0000C6310000}"/>
    <cellStyle name="Normal 38 2 2 2 2 2 3" xfId="7427" xr:uid="{00000000-0005-0000-0000-0000C7310000}"/>
    <cellStyle name="Normal 38 2 2 2 2 2 3 2" xfId="18324" xr:uid="{00000000-0005-0000-0000-0000C8310000}"/>
    <cellStyle name="Normal 38 2 2 2 2 2 4" xfId="13387" xr:uid="{00000000-0005-0000-0000-0000C9310000}"/>
    <cellStyle name="Normal 38 2 2 2 2 3" xfId="3643" xr:uid="{00000000-0005-0000-0000-0000CA310000}"/>
    <cellStyle name="Normal 38 2 2 2 2 3 2" xfId="8594" xr:uid="{00000000-0005-0000-0000-0000CB310000}"/>
    <cellStyle name="Normal 38 2 2 2 2 3 2 2" xfId="19491" xr:uid="{00000000-0005-0000-0000-0000CC310000}"/>
    <cellStyle name="Normal 38 2 2 2 2 3 3" xfId="14540" xr:uid="{00000000-0005-0000-0000-0000CD310000}"/>
    <cellStyle name="Normal 38 2 2 2 2 4" xfId="6282" xr:uid="{00000000-0005-0000-0000-0000CE310000}"/>
    <cellStyle name="Normal 38 2 2 2 2 4 2" xfId="17179" xr:uid="{00000000-0005-0000-0000-0000CF310000}"/>
    <cellStyle name="Normal 38 2 2 2 2 5" xfId="12269" xr:uid="{00000000-0005-0000-0000-0000D0310000}"/>
    <cellStyle name="Normal 38 2 2 2 3" xfId="1945" xr:uid="{00000000-0005-0000-0000-0000D1310000}"/>
    <cellStyle name="Normal 38 2 2 2 3 2" xfId="4257" xr:uid="{00000000-0005-0000-0000-0000D2310000}"/>
    <cellStyle name="Normal 38 2 2 2 3 2 2" xfId="9208" xr:uid="{00000000-0005-0000-0000-0000D3310000}"/>
    <cellStyle name="Normal 38 2 2 2 3 2 2 2" xfId="20105" xr:uid="{00000000-0005-0000-0000-0000D4310000}"/>
    <cellStyle name="Normal 38 2 2 2 3 2 3" xfId="15154" xr:uid="{00000000-0005-0000-0000-0000D5310000}"/>
    <cellStyle name="Normal 38 2 2 2 3 3" xfId="6896" xr:uid="{00000000-0005-0000-0000-0000D6310000}"/>
    <cellStyle name="Normal 38 2 2 2 3 3 2" xfId="17793" xr:uid="{00000000-0005-0000-0000-0000D7310000}"/>
    <cellStyle name="Normal 38 2 2 2 3 4" xfId="12869" xr:uid="{00000000-0005-0000-0000-0000D8310000}"/>
    <cellStyle name="Normal 38 2 2 2 4" xfId="3111" xr:uid="{00000000-0005-0000-0000-0000D9310000}"/>
    <cellStyle name="Normal 38 2 2 2 4 2" xfId="8062" xr:uid="{00000000-0005-0000-0000-0000DA310000}"/>
    <cellStyle name="Normal 38 2 2 2 4 2 2" xfId="18959" xr:uid="{00000000-0005-0000-0000-0000DB310000}"/>
    <cellStyle name="Normal 38 2 2 2 4 3" xfId="14008" xr:uid="{00000000-0005-0000-0000-0000DC310000}"/>
    <cellStyle name="Normal 38 2 2 2 5" xfId="5750" xr:uid="{00000000-0005-0000-0000-0000DD310000}"/>
    <cellStyle name="Normal 38 2 2 2 5 2" xfId="16647" xr:uid="{00000000-0005-0000-0000-0000DE310000}"/>
    <cellStyle name="Normal 38 2 2 2 6" xfId="11748" xr:uid="{00000000-0005-0000-0000-0000DF310000}"/>
    <cellStyle name="Normal 38 2 2 3" xfId="1054" xr:uid="{00000000-0005-0000-0000-0000E0310000}"/>
    <cellStyle name="Normal 38 2 2 3 2" xfId="2211" xr:uid="{00000000-0005-0000-0000-0000E1310000}"/>
    <cellStyle name="Normal 38 2 2 3 2 2" xfId="4523" xr:uid="{00000000-0005-0000-0000-0000E2310000}"/>
    <cellStyle name="Normal 38 2 2 3 2 2 2" xfId="9474" xr:uid="{00000000-0005-0000-0000-0000E3310000}"/>
    <cellStyle name="Normal 38 2 2 3 2 2 2 2" xfId="20371" xr:uid="{00000000-0005-0000-0000-0000E4310000}"/>
    <cellStyle name="Normal 38 2 2 3 2 2 3" xfId="15420" xr:uid="{00000000-0005-0000-0000-0000E5310000}"/>
    <cellStyle name="Normal 38 2 2 3 2 3" xfId="7162" xr:uid="{00000000-0005-0000-0000-0000E6310000}"/>
    <cellStyle name="Normal 38 2 2 3 2 3 2" xfId="18059" xr:uid="{00000000-0005-0000-0000-0000E7310000}"/>
    <cellStyle name="Normal 38 2 2 3 2 4" xfId="13128" xr:uid="{00000000-0005-0000-0000-0000E8310000}"/>
    <cellStyle name="Normal 38 2 2 3 3" xfId="3378" xr:uid="{00000000-0005-0000-0000-0000E9310000}"/>
    <cellStyle name="Normal 38 2 2 3 3 2" xfId="8329" xr:uid="{00000000-0005-0000-0000-0000EA310000}"/>
    <cellStyle name="Normal 38 2 2 3 3 2 2" xfId="19226" xr:uid="{00000000-0005-0000-0000-0000EB310000}"/>
    <cellStyle name="Normal 38 2 2 3 3 3" xfId="14275" xr:uid="{00000000-0005-0000-0000-0000EC310000}"/>
    <cellStyle name="Normal 38 2 2 3 4" xfId="6017" xr:uid="{00000000-0005-0000-0000-0000ED310000}"/>
    <cellStyle name="Normal 38 2 2 3 4 2" xfId="16914" xr:uid="{00000000-0005-0000-0000-0000EE310000}"/>
    <cellStyle name="Normal 38 2 2 3 5" xfId="12010" xr:uid="{00000000-0005-0000-0000-0000EF310000}"/>
    <cellStyle name="Normal 38 2 2 4" xfId="1712" xr:uid="{00000000-0005-0000-0000-0000F0310000}"/>
    <cellStyle name="Normal 38 2 2 4 2" xfId="4024" xr:uid="{00000000-0005-0000-0000-0000F1310000}"/>
    <cellStyle name="Normal 38 2 2 4 2 2" xfId="8975" xr:uid="{00000000-0005-0000-0000-0000F2310000}"/>
    <cellStyle name="Normal 38 2 2 4 2 2 2" xfId="19872" xr:uid="{00000000-0005-0000-0000-0000F3310000}"/>
    <cellStyle name="Normal 38 2 2 4 2 3" xfId="14921" xr:uid="{00000000-0005-0000-0000-0000F4310000}"/>
    <cellStyle name="Normal 38 2 2 4 3" xfId="6663" xr:uid="{00000000-0005-0000-0000-0000F5310000}"/>
    <cellStyle name="Normal 38 2 2 4 3 2" xfId="17560" xr:uid="{00000000-0005-0000-0000-0000F6310000}"/>
    <cellStyle name="Normal 38 2 2 4 4" xfId="12643" xr:uid="{00000000-0005-0000-0000-0000F7310000}"/>
    <cellStyle name="Normal 38 2 2 5" xfId="2846" xr:uid="{00000000-0005-0000-0000-0000F8310000}"/>
    <cellStyle name="Normal 38 2 2 5 2" xfId="7797" xr:uid="{00000000-0005-0000-0000-0000F9310000}"/>
    <cellStyle name="Normal 38 2 2 5 2 2" xfId="18694" xr:uid="{00000000-0005-0000-0000-0000FA310000}"/>
    <cellStyle name="Normal 38 2 2 5 3" xfId="13743" xr:uid="{00000000-0005-0000-0000-0000FB310000}"/>
    <cellStyle name="Normal 38 2 2 6" xfId="5485" xr:uid="{00000000-0005-0000-0000-0000FC310000}"/>
    <cellStyle name="Normal 38 2 2 6 2" xfId="16382" xr:uid="{00000000-0005-0000-0000-0000FD310000}"/>
    <cellStyle name="Normal 38 2 2 7" xfId="11487" xr:uid="{00000000-0005-0000-0000-0000FE310000}"/>
    <cellStyle name="Normal 38 2 3" xfId="658" xr:uid="{00000000-0005-0000-0000-0000FF310000}"/>
    <cellStyle name="Normal 38 2 3 2" xfId="1190" xr:uid="{00000000-0005-0000-0000-000000320000}"/>
    <cellStyle name="Normal 38 2 3 2 2" xfId="2347" xr:uid="{00000000-0005-0000-0000-000001320000}"/>
    <cellStyle name="Normal 38 2 3 2 2 2" xfId="4659" xr:uid="{00000000-0005-0000-0000-000002320000}"/>
    <cellStyle name="Normal 38 2 3 2 2 2 2" xfId="9610" xr:uid="{00000000-0005-0000-0000-000003320000}"/>
    <cellStyle name="Normal 38 2 3 2 2 2 2 2" xfId="20507" xr:uid="{00000000-0005-0000-0000-000004320000}"/>
    <cellStyle name="Normal 38 2 3 2 2 2 3" xfId="15556" xr:uid="{00000000-0005-0000-0000-000005320000}"/>
    <cellStyle name="Normal 38 2 3 2 2 3" xfId="7298" xr:uid="{00000000-0005-0000-0000-000006320000}"/>
    <cellStyle name="Normal 38 2 3 2 2 3 2" xfId="18195" xr:uid="{00000000-0005-0000-0000-000007320000}"/>
    <cellStyle name="Normal 38 2 3 2 2 4" xfId="13259" xr:uid="{00000000-0005-0000-0000-000008320000}"/>
    <cellStyle name="Normal 38 2 3 2 3" xfId="3514" xr:uid="{00000000-0005-0000-0000-000009320000}"/>
    <cellStyle name="Normal 38 2 3 2 3 2" xfId="8465" xr:uid="{00000000-0005-0000-0000-00000A320000}"/>
    <cellStyle name="Normal 38 2 3 2 3 2 2" xfId="19362" xr:uid="{00000000-0005-0000-0000-00000B320000}"/>
    <cellStyle name="Normal 38 2 3 2 3 3" xfId="14411" xr:uid="{00000000-0005-0000-0000-00000C320000}"/>
    <cellStyle name="Normal 38 2 3 2 4" xfId="6153" xr:uid="{00000000-0005-0000-0000-00000D320000}"/>
    <cellStyle name="Normal 38 2 3 2 4 2" xfId="17050" xr:uid="{00000000-0005-0000-0000-00000E320000}"/>
    <cellStyle name="Normal 38 2 3 2 5" xfId="12141" xr:uid="{00000000-0005-0000-0000-00000F320000}"/>
    <cellStyle name="Normal 38 2 3 3" xfId="1831" xr:uid="{00000000-0005-0000-0000-000010320000}"/>
    <cellStyle name="Normal 38 2 3 3 2" xfId="4143" xr:uid="{00000000-0005-0000-0000-000011320000}"/>
    <cellStyle name="Normal 38 2 3 3 2 2" xfId="9094" xr:uid="{00000000-0005-0000-0000-000012320000}"/>
    <cellStyle name="Normal 38 2 3 3 2 2 2" xfId="19991" xr:uid="{00000000-0005-0000-0000-000013320000}"/>
    <cellStyle name="Normal 38 2 3 3 2 3" xfId="15040" xr:uid="{00000000-0005-0000-0000-000014320000}"/>
    <cellStyle name="Normal 38 2 3 3 3" xfId="6782" xr:uid="{00000000-0005-0000-0000-000015320000}"/>
    <cellStyle name="Normal 38 2 3 3 3 2" xfId="17679" xr:uid="{00000000-0005-0000-0000-000016320000}"/>
    <cellStyle name="Normal 38 2 3 3 4" xfId="12756" xr:uid="{00000000-0005-0000-0000-000017320000}"/>
    <cellStyle name="Normal 38 2 3 4" xfId="2982" xr:uid="{00000000-0005-0000-0000-000018320000}"/>
    <cellStyle name="Normal 38 2 3 4 2" xfId="7933" xr:uid="{00000000-0005-0000-0000-000019320000}"/>
    <cellStyle name="Normal 38 2 3 4 2 2" xfId="18830" xr:uid="{00000000-0005-0000-0000-00001A320000}"/>
    <cellStyle name="Normal 38 2 3 4 3" xfId="13879" xr:uid="{00000000-0005-0000-0000-00001B320000}"/>
    <cellStyle name="Normal 38 2 3 5" xfId="5621" xr:uid="{00000000-0005-0000-0000-00001C320000}"/>
    <cellStyle name="Normal 38 2 3 5 2" xfId="16518" xr:uid="{00000000-0005-0000-0000-00001D320000}"/>
    <cellStyle name="Normal 38 2 3 6" xfId="11620" xr:uid="{00000000-0005-0000-0000-00001E320000}"/>
    <cellStyle name="Normal 38 2 4" xfId="925" xr:uid="{00000000-0005-0000-0000-00001F320000}"/>
    <cellStyle name="Normal 38 2 4 2" xfId="2082" xr:uid="{00000000-0005-0000-0000-000020320000}"/>
    <cellStyle name="Normal 38 2 4 2 2" xfId="4394" xr:uid="{00000000-0005-0000-0000-000021320000}"/>
    <cellStyle name="Normal 38 2 4 2 2 2" xfId="9345" xr:uid="{00000000-0005-0000-0000-000022320000}"/>
    <cellStyle name="Normal 38 2 4 2 2 2 2" xfId="20242" xr:uid="{00000000-0005-0000-0000-000023320000}"/>
    <cellStyle name="Normal 38 2 4 2 2 3" xfId="15291" xr:uid="{00000000-0005-0000-0000-000024320000}"/>
    <cellStyle name="Normal 38 2 4 2 3" xfId="7033" xr:uid="{00000000-0005-0000-0000-000025320000}"/>
    <cellStyle name="Normal 38 2 4 2 3 2" xfId="17930" xr:uid="{00000000-0005-0000-0000-000026320000}"/>
    <cellStyle name="Normal 38 2 4 2 4" xfId="13000" xr:uid="{00000000-0005-0000-0000-000027320000}"/>
    <cellStyle name="Normal 38 2 4 3" xfId="3249" xr:uid="{00000000-0005-0000-0000-000028320000}"/>
    <cellStyle name="Normal 38 2 4 3 2" xfId="8200" xr:uid="{00000000-0005-0000-0000-000029320000}"/>
    <cellStyle name="Normal 38 2 4 3 2 2" xfId="19097" xr:uid="{00000000-0005-0000-0000-00002A320000}"/>
    <cellStyle name="Normal 38 2 4 3 3" xfId="14146" xr:uid="{00000000-0005-0000-0000-00002B320000}"/>
    <cellStyle name="Normal 38 2 4 4" xfId="5888" xr:uid="{00000000-0005-0000-0000-00002C320000}"/>
    <cellStyle name="Normal 38 2 4 4 2" xfId="16785" xr:uid="{00000000-0005-0000-0000-00002D320000}"/>
    <cellStyle name="Normal 38 2 4 5" xfId="11882" xr:uid="{00000000-0005-0000-0000-00002E320000}"/>
    <cellStyle name="Normal 38 2 5" xfId="1598" xr:uid="{00000000-0005-0000-0000-00002F320000}"/>
    <cellStyle name="Normal 38 2 5 2" xfId="3910" xr:uid="{00000000-0005-0000-0000-000030320000}"/>
    <cellStyle name="Normal 38 2 5 2 2" xfId="8861" xr:uid="{00000000-0005-0000-0000-000031320000}"/>
    <cellStyle name="Normal 38 2 5 2 2 2" xfId="19758" xr:uid="{00000000-0005-0000-0000-000032320000}"/>
    <cellStyle name="Normal 38 2 5 2 3" xfId="14807" xr:uid="{00000000-0005-0000-0000-000033320000}"/>
    <cellStyle name="Normal 38 2 5 3" xfId="6549" xr:uid="{00000000-0005-0000-0000-000034320000}"/>
    <cellStyle name="Normal 38 2 5 3 2" xfId="17446" xr:uid="{00000000-0005-0000-0000-000035320000}"/>
    <cellStyle name="Normal 38 2 5 4" xfId="12530" xr:uid="{00000000-0005-0000-0000-000036320000}"/>
    <cellStyle name="Normal 38 2 6" xfId="2717" xr:uid="{00000000-0005-0000-0000-000037320000}"/>
    <cellStyle name="Normal 38 2 6 2" xfId="7668" xr:uid="{00000000-0005-0000-0000-000038320000}"/>
    <cellStyle name="Normal 38 2 6 2 2" xfId="18565" xr:uid="{00000000-0005-0000-0000-000039320000}"/>
    <cellStyle name="Normal 38 2 6 3" xfId="13614" xr:uid="{00000000-0005-0000-0000-00003A320000}"/>
    <cellStyle name="Normal 38 2 7" xfId="5356" xr:uid="{00000000-0005-0000-0000-00003B320000}"/>
    <cellStyle name="Normal 38 2 7 2" xfId="16253" xr:uid="{00000000-0005-0000-0000-00003C320000}"/>
    <cellStyle name="Normal 38 2 8" xfId="11359" xr:uid="{00000000-0005-0000-0000-00003D320000}"/>
    <cellStyle name="Normal 38 3" xfId="471" xr:uid="{00000000-0005-0000-0000-00003E320000}"/>
    <cellStyle name="Normal 38 3 2" xfId="736" xr:uid="{00000000-0005-0000-0000-00003F320000}"/>
    <cellStyle name="Normal 38 3 2 2" xfId="1268" xr:uid="{00000000-0005-0000-0000-000040320000}"/>
    <cellStyle name="Normal 38 3 2 2 2" xfId="2425" xr:uid="{00000000-0005-0000-0000-000041320000}"/>
    <cellStyle name="Normal 38 3 2 2 2 2" xfId="4737" xr:uid="{00000000-0005-0000-0000-000042320000}"/>
    <cellStyle name="Normal 38 3 2 2 2 2 2" xfId="9688" xr:uid="{00000000-0005-0000-0000-000043320000}"/>
    <cellStyle name="Normal 38 3 2 2 2 2 2 2" xfId="20585" xr:uid="{00000000-0005-0000-0000-000044320000}"/>
    <cellStyle name="Normal 38 3 2 2 2 2 3" xfId="15634" xr:uid="{00000000-0005-0000-0000-000045320000}"/>
    <cellStyle name="Normal 38 3 2 2 2 3" xfId="7376" xr:uid="{00000000-0005-0000-0000-000046320000}"/>
    <cellStyle name="Normal 38 3 2 2 2 3 2" xfId="18273" xr:uid="{00000000-0005-0000-0000-000047320000}"/>
    <cellStyle name="Normal 38 3 2 2 2 4" xfId="13336" xr:uid="{00000000-0005-0000-0000-000048320000}"/>
    <cellStyle name="Normal 38 3 2 2 3" xfId="3592" xr:uid="{00000000-0005-0000-0000-000049320000}"/>
    <cellStyle name="Normal 38 3 2 2 3 2" xfId="8543" xr:uid="{00000000-0005-0000-0000-00004A320000}"/>
    <cellStyle name="Normal 38 3 2 2 3 2 2" xfId="19440" xr:uid="{00000000-0005-0000-0000-00004B320000}"/>
    <cellStyle name="Normal 38 3 2 2 3 3" xfId="14489" xr:uid="{00000000-0005-0000-0000-00004C320000}"/>
    <cellStyle name="Normal 38 3 2 2 4" xfId="6231" xr:uid="{00000000-0005-0000-0000-00004D320000}"/>
    <cellStyle name="Normal 38 3 2 2 4 2" xfId="17128" xr:uid="{00000000-0005-0000-0000-00004E320000}"/>
    <cellStyle name="Normal 38 3 2 2 5" xfId="12218" xr:uid="{00000000-0005-0000-0000-00004F320000}"/>
    <cellStyle name="Normal 38 3 2 3" xfId="1894" xr:uid="{00000000-0005-0000-0000-000050320000}"/>
    <cellStyle name="Normal 38 3 2 3 2" xfId="4206" xr:uid="{00000000-0005-0000-0000-000051320000}"/>
    <cellStyle name="Normal 38 3 2 3 2 2" xfId="9157" xr:uid="{00000000-0005-0000-0000-000052320000}"/>
    <cellStyle name="Normal 38 3 2 3 2 2 2" xfId="20054" xr:uid="{00000000-0005-0000-0000-000053320000}"/>
    <cellStyle name="Normal 38 3 2 3 2 3" xfId="15103" xr:uid="{00000000-0005-0000-0000-000054320000}"/>
    <cellStyle name="Normal 38 3 2 3 3" xfId="6845" xr:uid="{00000000-0005-0000-0000-000055320000}"/>
    <cellStyle name="Normal 38 3 2 3 3 2" xfId="17742" xr:uid="{00000000-0005-0000-0000-000056320000}"/>
    <cellStyle name="Normal 38 3 2 3 4" xfId="12818" xr:uid="{00000000-0005-0000-0000-000057320000}"/>
    <cellStyle name="Normal 38 3 2 4" xfId="3060" xr:uid="{00000000-0005-0000-0000-000058320000}"/>
    <cellStyle name="Normal 38 3 2 4 2" xfId="8011" xr:uid="{00000000-0005-0000-0000-000059320000}"/>
    <cellStyle name="Normal 38 3 2 4 2 2" xfId="18908" xr:uid="{00000000-0005-0000-0000-00005A320000}"/>
    <cellStyle name="Normal 38 3 2 4 3" xfId="13957" xr:uid="{00000000-0005-0000-0000-00005B320000}"/>
    <cellStyle name="Normal 38 3 2 5" xfId="5699" xr:uid="{00000000-0005-0000-0000-00005C320000}"/>
    <cellStyle name="Normal 38 3 2 5 2" xfId="16596" xr:uid="{00000000-0005-0000-0000-00005D320000}"/>
    <cellStyle name="Normal 38 3 2 6" xfId="11697" xr:uid="{00000000-0005-0000-0000-00005E320000}"/>
    <cellStyle name="Normal 38 3 3" xfId="1003" xr:uid="{00000000-0005-0000-0000-00005F320000}"/>
    <cellStyle name="Normal 38 3 3 2" xfId="2160" xr:uid="{00000000-0005-0000-0000-000060320000}"/>
    <cellStyle name="Normal 38 3 3 2 2" xfId="4472" xr:uid="{00000000-0005-0000-0000-000061320000}"/>
    <cellStyle name="Normal 38 3 3 2 2 2" xfId="9423" xr:uid="{00000000-0005-0000-0000-000062320000}"/>
    <cellStyle name="Normal 38 3 3 2 2 2 2" xfId="20320" xr:uid="{00000000-0005-0000-0000-000063320000}"/>
    <cellStyle name="Normal 38 3 3 2 2 3" xfId="15369" xr:uid="{00000000-0005-0000-0000-000064320000}"/>
    <cellStyle name="Normal 38 3 3 2 3" xfId="7111" xr:uid="{00000000-0005-0000-0000-000065320000}"/>
    <cellStyle name="Normal 38 3 3 2 3 2" xfId="18008" xr:uid="{00000000-0005-0000-0000-000066320000}"/>
    <cellStyle name="Normal 38 3 3 2 4" xfId="13077" xr:uid="{00000000-0005-0000-0000-000067320000}"/>
    <cellStyle name="Normal 38 3 3 3" xfId="3327" xr:uid="{00000000-0005-0000-0000-000068320000}"/>
    <cellStyle name="Normal 38 3 3 3 2" xfId="8278" xr:uid="{00000000-0005-0000-0000-000069320000}"/>
    <cellStyle name="Normal 38 3 3 3 2 2" xfId="19175" xr:uid="{00000000-0005-0000-0000-00006A320000}"/>
    <cellStyle name="Normal 38 3 3 3 3" xfId="14224" xr:uid="{00000000-0005-0000-0000-00006B320000}"/>
    <cellStyle name="Normal 38 3 3 4" xfId="5966" xr:uid="{00000000-0005-0000-0000-00006C320000}"/>
    <cellStyle name="Normal 38 3 3 4 2" xfId="16863" xr:uid="{00000000-0005-0000-0000-00006D320000}"/>
    <cellStyle name="Normal 38 3 3 5" xfId="11959" xr:uid="{00000000-0005-0000-0000-00006E320000}"/>
    <cellStyle name="Normal 38 3 4" xfId="1661" xr:uid="{00000000-0005-0000-0000-00006F320000}"/>
    <cellStyle name="Normal 38 3 4 2" xfId="3973" xr:uid="{00000000-0005-0000-0000-000070320000}"/>
    <cellStyle name="Normal 38 3 4 2 2" xfId="8924" xr:uid="{00000000-0005-0000-0000-000071320000}"/>
    <cellStyle name="Normal 38 3 4 2 2 2" xfId="19821" xr:uid="{00000000-0005-0000-0000-000072320000}"/>
    <cellStyle name="Normal 38 3 4 2 3" xfId="14870" xr:uid="{00000000-0005-0000-0000-000073320000}"/>
    <cellStyle name="Normal 38 3 4 3" xfId="6612" xr:uid="{00000000-0005-0000-0000-000074320000}"/>
    <cellStyle name="Normal 38 3 4 3 2" xfId="17509" xr:uid="{00000000-0005-0000-0000-000075320000}"/>
    <cellStyle name="Normal 38 3 4 4" xfId="12592" xr:uid="{00000000-0005-0000-0000-000076320000}"/>
    <cellStyle name="Normal 38 3 5" xfId="2795" xr:uid="{00000000-0005-0000-0000-000077320000}"/>
    <cellStyle name="Normal 38 3 5 2" xfId="7746" xr:uid="{00000000-0005-0000-0000-000078320000}"/>
    <cellStyle name="Normal 38 3 5 2 2" xfId="18643" xr:uid="{00000000-0005-0000-0000-000079320000}"/>
    <cellStyle name="Normal 38 3 5 3" xfId="13692" xr:uid="{00000000-0005-0000-0000-00007A320000}"/>
    <cellStyle name="Normal 38 3 6" xfId="5434" xr:uid="{00000000-0005-0000-0000-00007B320000}"/>
    <cellStyle name="Normal 38 3 6 2" xfId="16331" xr:uid="{00000000-0005-0000-0000-00007C320000}"/>
    <cellStyle name="Normal 38 3 7" xfId="11436" xr:uid="{00000000-0005-0000-0000-00007D320000}"/>
    <cellStyle name="Normal 38 4" xfId="595" xr:uid="{00000000-0005-0000-0000-00007E320000}"/>
    <cellStyle name="Normal 38 4 2" xfId="1127" xr:uid="{00000000-0005-0000-0000-00007F320000}"/>
    <cellStyle name="Normal 38 4 2 2" xfId="2284" xr:uid="{00000000-0005-0000-0000-000080320000}"/>
    <cellStyle name="Normal 38 4 2 2 2" xfId="4596" xr:uid="{00000000-0005-0000-0000-000081320000}"/>
    <cellStyle name="Normal 38 4 2 2 2 2" xfId="9547" xr:uid="{00000000-0005-0000-0000-000082320000}"/>
    <cellStyle name="Normal 38 4 2 2 2 2 2" xfId="20444" xr:uid="{00000000-0005-0000-0000-000083320000}"/>
    <cellStyle name="Normal 38 4 2 2 2 3" xfId="15493" xr:uid="{00000000-0005-0000-0000-000084320000}"/>
    <cellStyle name="Normal 38 4 2 2 3" xfId="7235" xr:uid="{00000000-0005-0000-0000-000085320000}"/>
    <cellStyle name="Normal 38 4 2 2 3 2" xfId="18132" xr:uid="{00000000-0005-0000-0000-000086320000}"/>
    <cellStyle name="Normal 38 4 2 2 4" xfId="13199" xr:uid="{00000000-0005-0000-0000-000087320000}"/>
    <cellStyle name="Normal 38 4 2 3" xfId="3451" xr:uid="{00000000-0005-0000-0000-000088320000}"/>
    <cellStyle name="Normal 38 4 2 3 2" xfId="8402" xr:uid="{00000000-0005-0000-0000-000089320000}"/>
    <cellStyle name="Normal 38 4 2 3 2 2" xfId="19299" xr:uid="{00000000-0005-0000-0000-00008A320000}"/>
    <cellStyle name="Normal 38 4 2 3 3" xfId="14348" xr:uid="{00000000-0005-0000-0000-00008B320000}"/>
    <cellStyle name="Normal 38 4 2 4" xfId="6090" xr:uid="{00000000-0005-0000-0000-00008C320000}"/>
    <cellStyle name="Normal 38 4 2 4 2" xfId="16987" xr:uid="{00000000-0005-0000-0000-00008D320000}"/>
    <cellStyle name="Normal 38 4 2 5" xfId="12081" xr:uid="{00000000-0005-0000-0000-00008E320000}"/>
    <cellStyle name="Normal 38 4 3" xfId="1776" xr:uid="{00000000-0005-0000-0000-00008F320000}"/>
    <cellStyle name="Normal 38 4 3 2" xfId="4088" xr:uid="{00000000-0005-0000-0000-000090320000}"/>
    <cellStyle name="Normal 38 4 3 2 2" xfId="9039" xr:uid="{00000000-0005-0000-0000-000091320000}"/>
    <cellStyle name="Normal 38 4 3 2 2 2" xfId="19936" xr:uid="{00000000-0005-0000-0000-000092320000}"/>
    <cellStyle name="Normal 38 4 3 2 3" xfId="14985" xr:uid="{00000000-0005-0000-0000-000093320000}"/>
    <cellStyle name="Normal 38 4 3 3" xfId="6727" xr:uid="{00000000-0005-0000-0000-000094320000}"/>
    <cellStyle name="Normal 38 4 3 3 2" xfId="17624" xr:uid="{00000000-0005-0000-0000-000095320000}"/>
    <cellStyle name="Normal 38 4 3 4" xfId="12705" xr:uid="{00000000-0005-0000-0000-000096320000}"/>
    <cellStyle name="Normal 38 4 4" xfId="2919" xr:uid="{00000000-0005-0000-0000-000097320000}"/>
    <cellStyle name="Normal 38 4 4 2" xfId="7870" xr:uid="{00000000-0005-0000-0000-000098320000}"/>
    <cellStyle name="Normal 38 4 4 2 2" xfId="18767" xr:uid="{00000000-0005-0000-0000-000099320000}"/>
    <cellStyle name="Normal 38 4 4 3" xfId="13816" xr:uid="{00000000-0005-0000-0000-00009A320000}"/>
    <cellStyle name="Normal 38 4 5" xfId="5558" xr:uid="{00000000-0005-0000-0000-00009B320000}"/>
    <cellStyle name="Normal 38 4 5 2" xfId="16455" xr:uid="{00000000-0005-0000-0000-00009C320000}"/>
    <cellStyle name="Normal 38 4 6" xfId="11560" xr:uid="{00000000-0005-0000-0000-00009D320000}"/>
    <cellStyle name="Normal 38 5" xfId="862" xr:uid="{00000000-0005-0000-0000-00009E320000}"/>
    <cellStyle name="Normal 38 5 2" xfId="2019" xr:uid="{00000000-0005-0000-0000-00009F320000}"/>
    <cellStyle name="Normal 38 5 2 2" xfId="4331" xr:uid="{00000000-0005-0000-0000-0000A0320000}"/>
    <cellStyle name="Normal 38 5 2 2 2" xfId="9282" xr:uid="{00000000-0005-0000-0000-0000A1320000}"/>
    <cellStyle name="Normal 38 5 2 2 2 2" xfId="20179" xr:uid="{00000000-0005-0000-0000-0000A2320000}"/>
    <cellStyle name="Normal 38 5 2 2 3" xfId="15228" xr:uid="{00000000-0005-0000-0000-0000A3320000}"/>
    <cellStyle name="Normal 38 5 2 3" xfId="6970" xr:uid="{00000000-0005-0000-0000-0000A4320000}"/>
    <cellStyle name="Normal 38 5 2 3 2" xfId="17867" xr:uid="{00000000-0005-0000-0000-0000A5320000}"/>
    <cellStyle name="Normal 38 5 2 4" xfId="12941" xr:uid="{00000000-0005-0000-0000-0000A6320000}"/>
    <cellStyle name="Normal 38 5 3" xfId="3186" xr:uid="{00000000-0005-0000-0000-0000A7320000}"/>
    <cellStyle name="Normal 38 5 3 2" xfId="8137" xr:uid="{00000000-0005-0000-0000-0000A8320000}"/>
    <cellStyle name="Normal 38 5 3 2 2" xfId="19034" xr:uid="{00000000-0005-0000-0000-0000A9320000}"/>
    <cellStyle name="Normal 38 5 3 3" xfId="14083" xr:uid="{00000000-0005-0000-0000-0000AA320000}"/>
    <cellStyle name="Normal 38 5 4" xfId="5825" xr:uid="{00000000-0005-0000-0000-0000AB320000}"/>
    <cellStyle name="Normal 38 5 4 2" xfId="16722" xr:uid="{00000000-0005-0000-0000-0000AC320000}"/>
    <cellStyle name="Normal 38 5 5" xfId="11823" xr:uid="{00000000-0005-0000-0000-0000AD320000}"/>
    <cellStyle name="Normal 38 6" xfId="1543" xr:uid="{00000000-0005-0000-0000-0000AE320000}"/>
    <cellStyle name="Normal 38 6 2" xfId="3855" xr:uid="{00000000-0005-0000-0000-0000AF320000}"/>
    <cellStyle name="Normal 38 6 2 2" xfId="8806" xr:uid="{00000000-0005-0000-0000-0000B0320000}"/>
    <cellStyle name="Normal 38 6 2 2 2" xfId="19703" xr:uid="{00000000-0005-0000-0000-0000B1320000}"/>
    <cellStyle name="Normal 38 6 2 3" xfId="14752" xr:uid="{00000000-0005-0000-0000-0000B2320000}"/>
    <cellStyle name="Normal 38 6 3" xfId="6494" xr:uid="{00000000-0005-0000-0000-0000B3320000}"/>
    <cellStyle name="Normal 38 6 3 2" xfId="17391" xr:uid="{00000000-0005-0000-0000-0000B4320000}"/>
    <cellStyle name="Normal 38 6 4" xfId="12478" xr:uid="{00000000-0005-0000-0000-0000B5320000}"/>
    <cellStyle name="Normal 38 7" xfId="2654" xr:uid="{00000000-0005-0000-0000-0000B6320000}"/>
    <cellStyle name="Normal 38 7 2" xfId="7605" xr:uid="{00000000-0005-0000-0000-0000B7320000}"/>
    <cellStyle name="Normal 38 7 2 2" xfId="18502" xr:uid="{00000000-0005-0000-0000-0000B8320000}"/>
    <cellStyle name="Normal 38 7 3" xfId="13551" xr:uid="{00000000-0005-0000-0000-0000B9320000}"/>
    <cellStyle name="Normal 38 8" xfId="5293" xr:uid="{00000000-0005-0000-0000-0000BA320000}"/>
    <cellStyle name="Normal 38 8 2" xfId="16190" xr:uid="{00000000-0005-0000-0000-0000BB320000}"/>
    <cellStyle name="Normal 38 9" xfId="11298" xr:uid="{00000000-0005-0000-0000-0000BC320000}"/>
    <cellStyle name="Normal 39" xfId="301" xr:uid="{00000000-0005-0000-0000-0000BD320000}"/>
    <cellStyle name="Normal 39 2" xfId="393" xr:uid="{00000000-0005-0000-0000-0000BE320000}"/>
    <cellStyle name="Normal 39 2 2" xfId="523" xr:uid="{00000000-0005-0000-0000-0000BF320000}"/>
    <cellStyle name="Normal 39 2 2 2" xfId="788" xr:uid="{00000000-0005-0000-0000-0000C0320000}"/>
    <cellStyle name="Normal 39 2 2 2 2" xfId="1320" xr:uid="{00000000-0005-0000-0000-0000C1320000}"/>
    <cellStyle name="Normal 39 2 2 2 2 2" xfId="2477" xr:uid="{00000000-0005-0000-0000-0000C2320000}"/>
    <cellStyle name="Normal 39 2 2 2 2 2 2" xfId="4789" xr:uid="{00000000-0005-0000-0000-0000C3320000}"/>
    <cellStyle name="Normal 39 2 2 2 2 2 2 2" xfId="9740" xr:uid="{00000000-0005-0000-0000-0000C4320000}"/>
    <cellStyle name="Normal 39 2 2 2 2 2 2 2 2" xfId="20637" xr:uid="{00000000-0005-0000-0000-0000C5320000}"/>
    <cellStyle name="Normal 39 2 2 2 2 2 2 3" xfId="15686" xr:uid="{00000000-0005-0000-0000-0000C6320000}"/>
    <cellStyle name="Normal 39 2 2 2 2 2 3" xfId="7428" xr:uid="{00000000-0005-0000-0000-0000C7320000}"/>
    <cellStyle name="Normal 39 2 2 2 2 2 3 2" xfId="18325" xr:uid="{00000000-0005-0000-0000-0000C8320000}"/>
    <cellStyle name="Normal 39 2 2 2 2 2 4" xfId="13388" xr:uid="{00000000-0005-0000-0000-0000C9320000}"/>
    <cellStyle name="Normal 39 2 2 2 2 3" xfId="3644" xr:uid="{00000000-0005-0000-0000-0000CA320000}"/>
    <cellStyle name="Normal 39 2 2 2 2 3 2" xfId="8595" xr:uid="{00000000-0005-0000-0000-0000CB320000}"/>
    <cellStyle name="Normal 39 2 2 2 2 3 2 2" xfId="19492" xr:uid="{00000000-0005-0000-0000-0000CC320000}"/>
    <cellStyle name="Normal 39 2 2 2 2 3 3" xfId="14541" xr:uid="{00000000-0005-0000-0000-0000CD320000}"/>
    <cellStyle name="Normal 39 2 2 2 2 4" xfId="6283" xr:uid="{00000000-0005-0000-0000-0000CE320000}"/>
    <cellStyle name="Normal 39 2 2 2 2 4 2" xfId="17180" xr:uid="{00000000-0005-0000-0000-0000CF320000}"/>
    <cellStyle name="Normal 39 2 2 2 2 5" xfId="12270" xr:uid="{00000000-0005-0000-0000-0000D0320000}"/>
    <cellStyle name="Normal 39 2 2 2 3" xfId="1946" xr:uid="{00000000-0005-0000-0000-0000D1320000}"/>
    <cellStyle name="Normal 39 2 2 2 3 2" xfId="4258" xr:uid="{00000000-0005-0000-0000-0000D2320000}"/>
    <cellStyle name="Normal 39 2 2 2 3 2 2" xfId="9209" xr:uid="{00000000-0005-0000-0000-0000D3320000}"/>
    <cellStyle name="Normal 39 2 2 2 3 2 2 2" xfId="20106" xr:uid="{00000000-0005-0000-0000-0000D4320000}"/>
    <cellStyle name="Normal 39 2 2 2 3 2 3" xfId="15155" xr:uid="{00000000-0005-0000-0000-0000D5320000}"/>
    <cellStyle name="Normal 39 2 2 2 3 3" xfId="6897" xr:uid="{00000000-0005-0000-0000-0000D6320000}"/>
    <cellStyle name="Normal 39 2 2 2 3 3 2" xfId="17794" xr:uid="{00000000-0005-0000-0000-0000D7320000}"/>
    <cellStyle name="Normal 39 2 2 2 3 4" xfId="12870" xr:uid="{00000000-0005-0000-0000-0000D8320000}"/>
    <cellStyle name="Normal 39 2 2 2 4" xfId="3112" xr:uid="{00000000-0005-0000-0000-0000D9320000}"/>
    <cellStyle name="Normal 39 2 2 2 4 2" xfId="8063" xr:uid="{00000000-0005-0000-0000-0000DA320000}"/>
    <cellStyle name="Normal 39 2 2 2 4 2 2" xfId="18960" xr:uid="{00000000-0005-0000-0000-0000DB320000}"/>
    <cellStyle name="Normal 39 2 2 2 4 3" xfId="14009" xr:uid="{00000000-0005-0000-0000-0000DC320000}"/>
    <cellStyle name="Normal 39 2 2 2 5" xfId="5751" xr:uid="{00000000-0005-0000-0000-0000DD320000}"/>
    <cellStyle name="Normal 39 2 2 2 5 2" xfId="16648" xr:uid="{00000000-0005-0000-0000-0000DE320000}"/>
    <cellStyle name="Normal 39 2 2 2 6" xfId="11749" xr:uid="{00000000-0005-0000-0000-0000DF320000}"/>
    <cellStyle name="Normal 39 2 2 3" xfId="1055" xr:uid="{00000000-0005-0000-0000-0000E0320000}"/>
    <cellStyle name="Normal 39 2 2 3 2" xfId="2212" xr:uid="{00000000-0005-0000-0000-0000E1320000}"/>
    <cellStyle name="Normal 39 2 2 3 2 2" xfId="4524" xr:uid="{00000000-0005-0000-0000-0000E2320000}"/>
    <cellStyle name="Normal 39 2 2 3 2 2 2" xfId="9475" xr:uid="{00000000-0005-0000-0000-0000E3320000}"/>
    <cellStyle name="Normal 39 2 2 3 2 2 2 2" xfId="20372" xr:uid="{00000000-0005-0000-0000-0000E4320000}"/>
    <cellStyle name="Normal 39 2 2 3 2 2 3" xfId="15421" xr:uid="{00000000-0005-0000-0000-0000E5320000}"/>
    <cellStyle name="Normal 39 2 2 3 2 3" xfId="7163" xr:uid="{00000000-0005-0000-0000-0000E6320000}"/>
    <cellStyle name="Normal 39 2 2 3 2 3 2" xfId="18060" xr:uid="{00000000-0005-0000-0000-0000E7320000}"/>
    <cellStyle name="Normal 39 2 2 3 2 4" xfId="13129" xr:uid="{00000000-0005-0000-0000-0000E8320000}"/>
    <cellStyle name="Normal 39 2 2 3 3" xfId="3379" xr:uid="{00000000-0005-0000-0000-0000E9320000}"/>
    <cellStyle name="Normal 39 2 2 3 3 2" xfId="8330" xr:uid="{00000000-0005-0000-0000-0000EA320000}"/>
    <cellStyle name="Normal 39 2 2 3 3 2 2" xfId="19227" xr:uid="{00000000-0005-0000-0000-0000EB320000}"/>
    <cellStyle name="Normal 39 2 2 3 3 3" xfId="14276" xr:uid="{00000000-0005-0000-0000-0000EC320000}"/>
    <cellStyle name="Normal 39 2 2 3 4" xfId="6018" xr:uid="{00000000-0005-0000-0000-0000ED320000}"/>
    <cellStyle name="Normal 39 2 2 3 4 2" xfId="16915" xr:uid="{00000000-0005-0000-0000-0000EE320000}"/>
    <cellStyle name="Normal 39 2 2 3 5" xfId="12011" xr:uid="{00000000-0005-0000-0000-0000EF320000}"/>
    <cellStyle name="Normal 39 2 2 4" xfId="1713" xr:uid="{00000000-0005-0000-0000-0000F0320000}"/>
    <cellStyle name="Normal 39 2 2 4 2" xfId="4025" xr:uid="{00000000-0005-0000-0000-0000F1320000}"/>
    <cellStyle name="Normal 39 2 2 4 2 2" xfId="8976" xr:uid="{00000000-0005-0000-0000-0000F2320000}"/>
    <cellStyle name="Normal 39 2 2 4 2 2 2" xfId="19873" xr:uid="{00000000-0005-0000-0000-0000F3320000}"/>
    <cellStyle name="Normal 39 2 2 4 2 3" xfId="14922" xr:uid="{00000000-0005-0000-0000-0000F4320000}"/>
    <cellStyle name="Normal 39 2 2 4 3" xfId="6664" xr:uid="{00000000-0005-0000-0000-0000F5320000}"/>
    <cellStyle name="Normal 39 2 2 4 3 2" xfId="17561" xr:uid="{00000000-0005-0000-0000-0000F6320000}"/>
    <cellStyle name="Normal 39 2 2 4 4" xfId="12644" xr:uid="{00000000-0005-0000-0000-0000F7320000}"/>
    <cellStyle name="Normal 39 2 2 5" xfId="2847" xr:uid="{00000000-0005-0000-0000-0000F8320000}"/>
    <cellStyle name="Normal 39 2 2 5 2" xfId="7798" xr:uid="{00000000-0005-0000-0000-0000F9320000}"/>
    <cellStyle name="Normal 39 2 2 5 2 2" xfId="18695" xr:uid="{00000000-0005-0000-0000-0000FA320000}"/>
    <cellStyle name="Normal 39 2 2 5 3" xfId="13744" xr:uid="{00000000-0005-0000-0000-0000FB320000}"/>
    <cellStyle name="Normal 39 2 2 6" xfId="5486" xr:uid="{00000000-0005-0000-0000-0000FC320000}"/>
    <cellStyle name="Normal 39 2 2 6 2" xfId="16383" xr:uid="{00000000-0005-0000-0000-0000FD320000}"/>
    <cellStyle name="Normal 39 2 2 7" xfId="11488" xr:uid="{00000000-0005-0000-0000-0000FE320000}"/>
    <cellStyle name="Normal 39 2 3" xfId="659" xr:uid="{00000000-0005-0000-0000-0000FF320000}"/>
    <cellStyle name="Normal 39 2 3 2" xfId="1191" xr:uid="{00000000-0005-0000-0000-000000330000}"/>
    <cellStyle name="Normal 39 2 3 2 2" xfId="2348" xr:uid="{00000000-0005-0000-0000-000001330000}"/>
    <cellStyle name="Normal 39 2 3 2 2 2" xfId="4660" xr:uid="{00000000-0005-0000-0000-000002330000}"/>
    <cellStyle name="Normal 39 2 3 2 2 2 2" xfId="9611" xr:uid="{00000000-0005-0000-0000-000003330000}"/>
    <cellStyle name="Normal 39 2 3 2 2 2 2 2" xfId="20508" xr:uid="{00000000-0005-0000-0000-000004330000}"/>
    <cellStyle name="Normal 39 2 3 2 2 2 3" xfId="15557" xr:uid="{00000000-0005-0000-0000-000005330000}"/>
    <cellStyle name="Normal 39 2 3 2 2 3" xfId="7299" xr:uid="{00000000-0005-0000-0000-000006330000}"/>
    <cellStyle name="Normal 39 2 3 2 2 3 2" xfId="18196" xr:uid="{00000000-0005-0000-0000-000007330000}"/>
    <cellStyle name="Normal 39 2 3 2 2 4" xfId="13260" xr:uid="{00000000-0005-0000-0000-000008330000}"/>
    <cellStyle name="Normal 39 2 3 2 3" xfId="3515" xr:uid="{00000000-0005-0000-0000-000009330000}"/>
    <cellStyle name="Normal 39 2 3 2 3 2" xfId="8466" xr:uid="{00000000-0005-0000-0000-00000A330000}"/>
    <cellStyle name="Normal 39 2 3 2 3 2 2" xfId="19363" xr:uid="{00000000-0005-0000-0000-00000B330000}"/>
    <cellStyle name="Normal 39 2 3 2 3 3" xfId="14412" xr:uid="{00000000-0005-0000-0000-00000C330000}"/>
    <cellStyle name="Normal 39 2 3 2 4" xfId="6154" xr:uid="{00000000-0005-0000-0000-00000D330000}"/>
    <cellStyle name="Normal 39 2 3 2 4 2" xfId="17051" xr:uid="{00000000-0005-0000-0000-00000E330000}"/>
    <cellStyle name="Normal 39 2 3 2 5" xfId="12142" xr:uid="{00000000-0005-0000-0000-00000F330000}"/>
    <cellStyle name="Normal 39 2 3 3" xfId="1832" xr:uid="{00000000-0005-0000-0000-000010330000}"/>
    <cellStyle name="Normal 39 2 3 3 2" xfId="4144" xr:uid="{00000000-0005-0000-0000-000011330000}"/>
    <cellStyle name="Normal 39 2 3 3 2 2" xfId="9095" xr:uid="{00000000-0005-0000-0000-000012330000}"/>
    <cellStyle name="Normal 39 2 3 3 2 2 2" xfId="19992" xr:uid="{00000000-0005-0000-0000-000013330000}"/>
    <cellStyle name="Normal 39 2 3 3 2 3" xfId="15041" xr:uid="{00000000-0005-0000-0000-000014330000}"/>
    <cellStyle name="Normal 39 2 3 3 3" xfId="6783" xr:uid="{00000000-0005-0000-0000-000015330000}"/>
    <cellStyle name="Normal 39 2 3 3 3 2" xfId="17680" xr:uid="{00000000-0005-0000-0000-000016330000}"/>
    <cellStyle name="Normal 39 2 3 3 4" xfId="12757" xr:uid="{00000000-0005-0000-0000-000017330000}"/>
    <cellStyle name="Normal 39 2 3 4" xfId="2983" xr:uid="{00000000-0005-0000-0000-000018330000}"/>
    <cellStyle name="Normal 39 2 3 4 2" xfId="7934" xr:uid="{00000000-0005-0000-0000-000019330000}"/>
    <cellStyle name="Normal 39 2 3 4 2 2" xfId="18831" xr:uid="{00000000-0005-0000-0000-00001A330000}"/>
    <cellStyle name="Normal 39 2 3 4 3" xfId="13880" xr:uid="{00000000-0005-0000-0000-00001B330000}"/>
    <cellStyle name="Normal 39 2 3 5" xfId="5622" xr:uid="{00000000-0005-0000-0000-00001C330000}"/>
    <cellStyle name="Normal 39 2 3 5 2" xfId="16519" xr:uid="{00000000-0005-0000-0000-00001D330000}"/>
    <cellStyle name="Normal 39 2 3 6" xfId="11621" xr:uid="{00000000-0005-0000-0000-00001E330000}"/>
    <cellStyle name="Normal 39 2 4" xfId="926" xr:uid="{00000000-0005-0000-0000-00001F330000}"/>
    <cellStyle name="Normal 39 2 4 2" xfId="2083" xr:uid="{00000000-0005-0000-0000-000020330000}"/>
    <cellStyle name="Normal 39 2 4 2 2" xfId="4395" xr:uid="{00000000-0005-0000-0000-000021330000}"/>
    <cellStyle name="Normal 39 2 4 2 2 2" xfId="9346" xr:uid="{00000000-0005-0000-0000-000022330000}"/>
    <cellStyle name="Normal 39 2 4 2 2 2 2" xfId="20243" xr:uid="{00000000-0005-0000-0000-000023330000}"/>
    <cellStyle name="Normal 39 2 4 2 2 3" xfId="15292" xr:uid="{00000000-0005-0000-0000-000024330000}"/>
    <cellStyle name="Normal 39 2 4 2 3" xfId="7034" xr:uid="{00000000-0005-0000-0000-000025330000}"/>
    <cellStyle name="Normal 39 2 4 2 3 2" xfId="17931" xr:uid="{00000000-0005-0000-0000-000026330000}"/>
    <cellStyle name="Normal 39 2 4 2 4" xfId="13001" xr:uid="{00000000-0005-0000-0000-000027330000}"/>
    <cellStyle name="Normal 39 2 4 3" xfId="3250" xr:uid="{00000000-0005-0000-0000-000028330000}"/>
    <cellStyle name="Normal 39 2 4 3 2" xfId="8201" xr:uid="{00000000-0005-0000-0000-000029330000}"/>
    <cellStyle name="Normal 39 2 4 3 2 2" xfId="19098" xr:uid="{00000000-0005-0000-0000-00002A330000}"/>
    <cellStyle name="Normal 39 2 4 3 3" xfId="14147" xr:uid="{00000000-0005-0000-0000-00002B330000}"/>
    <cellStyle name="Normal 39 2 4 4" xfId="5889" xr:uid="{00000000-0005-0000-0000-00002C330000}"/>
    <cellStyle name="Normal 39 2 4 4 2" xfId="16786" xr:uid="{00000000-0005-0000-0000-00002D330000}"/>
    <cellStyle name="Normal 39 2 4 5" xfId="11883" xr:uid="{00000000-0005-0000-0000-00002E330000}"/>
    <cellStyle name="Normal 39 2 5" xfId="1599" xr:uid="{00000000-0005-0000-0000-00002F330000}"/>
    <cellStyle name="Normal 39 2 5 2" xfId="3911" xr:uid="{00000000-0005-0000-0000-000030330000}"/>
    <cellStyle name="Normal 39 2 5 2 2" xfId="8862" xr:uid="{00000000-0005-0000-0000-000031330000}"/>
    <cellStyle name="Normal 39 2 5 2 2 2" xfId="19759" xr:uid="{00000000-0005-0000-0000-000032330000}"/>
    <cellStyle name="Normal 39 2 5 2 3" xfId="14808" xr:uid="{00000000-0005-0000-0000-000033330000}"/>
    <cellStyle name="Normal 39 2 5 3" xfId="6550" xr:uid="{00000000-0005-0000-0000-000034330000}"/>
    <cellStyle name="Normal 39 2 5 3 2" xfId="17447" xr:uid="{00000000-0005-0000-0000-000035330000}"/>
    <cellStyle name="Normal 39 2 5 4" xfId="12531" xr:uid="{00000000-0005-0000-0000-000036330000}"/>
    <cellStyle name="Normal 39 2 6" xfId="2718" xr:uid="{00000000-0005-0000-0000-000037330000}"/>
    <cellStyle name="Normal 39 2 6 2" xfId="7669" xr:uid="{00000000-0005-0000-0000-000038330000}"/>
    <cellStyle name="Normal 39 2 6 2 2" xfId="18566" xr:uid="{00000000-0005-0000-0000-000039330000}"/>
    <cellStyle name="Normal 39 2 6 3" xfId="13615" xr:uid="{00000000-0005-0000-0000-00003A330000}"/>
    <cellStyle name="Normal 39 2 7" xfId="5357" xr:uid="{00000000-0005-0000-0000-00003B330000}"/>
    <cellStyle name="Normal 39 2 7 2" xfId="16254" xr:uid="{00000000-0005-0000-0000-00003C330000}"/>
    <cellStyle name="Normal 39 2 8" xfId="11360" xr:uid="{00000000-0005-0000-0000-00003D330000}"/>
    <cellStyle name="Normal 39 3" xfId="472" xr:uid="{00000000-0005-0000-0000-00003E330000}"/>
    <cellStyle name="Normal 39 3 2" xfId="737" xr:uid="{00000000-0005-0000-0000-00003F330000}"/>
    <cellStyle name="Normal 39 3 2 2" xfId="1269" xr:uid="{00000000-0005-0000-0000-000040330000}"/>
    <cellStyle name="Normal 39 3 2 2 2" xfId="2426" xr:uid="{00000000-0005-0000-0000-000041330000}"/>
    <cellStyle name="Normal 39 3 2 2 2 2" xfId="4738" xr:uid="{00000000-0005-0000-0000-000042330000}"/>
    <cellStyle name="Normal 39 3 2 2 2 2 2" xfId="9689" xr:uid="{00000000-0005-0000-0000-000043330000}"/>
    <cellStyle name="Normal 39 3 2 2 2 2 2 2" xfId="20586" xr:uid="{00000000-0005-0000-0000-000044330000}"/>
    <cellStyle name="Normal 39 3 2 2 2 2 3" xfId="15635" xr:uid="{00000000-0005-0000-0000-000045330000}"/>
    <cellStyle name="Normal 39 3 2 2 2 3" xfId="7377" xr:uid="{00000000-0005-0000-0000-000046330000}"/>
    <cellStyle name="Normal 39 3 2 2 2 3 2" xfId="18274" xr:uid="{00000000-0005-0000-0000-000047330000}"/>
    <cellStyle name="Normal 39 3 2 2 2 4" xfId="13337" xr:uid="{00000000-0005-0000-0000-000048330000}"/>
    <cellStyle name="Normal 39 3 2 2 3" xfId="3593" xr:uid="{00000000-0005-0000-0000-000049330000}"/>
    <cellStyle name="Normal 39 3 2 2 3 2" xfId="8544" xr:uid="{00000000-0005-0000-0000-00004A330000}"/>
    <cellStyle name="Normal 39 3 2 2 3 2 2" xfId="19441" xr:uid="{00000000-0005-0000-0000-00004B330000}"/>
    <cellStyle name="Normal 39 3 2 2 3 3" xfId="14490" xr:uid="{00000000-0005-0000-0000-00004C330000}"/>
    <cellStyle name="Normal 39 3 2 2 4" xfId="6232" xr:uid="{00000000-0005-0000-0000-00004D330000}"/>
    <cellStyle name="Normal 39 3 2 2 4 2" xfId="17129" xr:uid="{00000000-0005-0000-0000-00004E330000}"/>
    <cellStyle name="Normal 39 3 2 2 5" xfId="12219" xr:uid="{00000000-0005-0000-0000-00004F330000}"/>
    <cellStyle name="Normal 39 3 2 3" xfId="1895" xr:uid="{00000000-0005-0000-0000-000050330000}"/>
    <cellStyle name="Normal 39 3 2 3 2" xfId="4207" xr:uid="{00000000-0005-0000-0000-000051330000}"/>
    <cellStyle name="Normal 39 3 2 3 2 2" xfId="9158" xr:uid="{00000000-0005-0000-0000-000052330000}"/>
    <cellStyle name="Normal 39 3 2 3 2 2 2" xfId="20055" xr:uid="{00000000-0005-0000-0000-000053330000}"/>
    <cellStyle name="Normal 39 3 2 3 2 3" xfId="15104" xr:uid="{00000000-0005-0000-0000-000054330000}"/>
    <cellStyle name="Normal 39 3 2 3 3" xfId="6846" xr:uid="{00000000-0005-0000-0000-000055330000}"/>
    <cellStyle name="Normal 39 3 2 3 3 2" xfId="17743" xr:uid="{00000000-0005-0000-0000-000056330000}"/>
    <cellStyle name="Normal 39 3 2 3 4" xfId="12819" xr:uid="{00000000-0005-0000-0000-000057330000}"/>
    <cellStyle name="Normal 39 3 2 4" xfId="3061" xr:uid="{00000000-0005-0000-0000-000058330000}"/>
    <cellStyle name="Normal 39 3 2 4 2" xfId="8012" xr:uid="{00000000-0005-0000-0000-000059330000}"/>
    <cellStyle name="Normal 39 3 2 4 2 2" xfId="18909" xr:uid="{00000000-0005-0000-0000-00005A330000}"/>
    <cellStyle name="Normal 39 3 2 4 3" xfId="13958" xr:uid="{00000000-0005-0000-0000-00005B330000}"/>
    <cellStyle name="Normal 39 3 2 5" xfId="5700" xr:uid="{00000000-0005-0000-0000-00005C330000}"/>
    <cellStyle name="Normal 39 3 2 5 2" xfId="16597" xr:uid="{00000000-0005-0000-0000-00005D330000}"/>
    <cellStyle name="Normal 39 3 2 6" xfId="11698" xr:uid="{00000000-0005-0000-0000-00005E330000}"/>
    <cellStyle name="Normal 39 3 3" xfId="1004" xr:uid="{00000000-0005-0000-0000-00005F330000}"/>
    <cellStyle name="Normal 39 3 3 2" xfId="2161" xr:uid="{00000000-0005-0000-0000-000060330000}"/>
    <cellStyle name="Normal 39 3 3 2 2" xfId="4473" xr:uid="{00000000-0005-0000-0000-000061330000}"/>
    <cellStyle name="Normal 39 3 3 2 2 2" xfId="9424" xr:uid="{00000000-0005-0000-0000-000062330000}"/>
    <cellStyle name="Normal 39 3 3 2 2 2 2" xfId="20321" xr:uid="{00000000-0005-0000-0000-000063330000}"/>
    <cellStyle name="Normal 39 3 3 2 2 3" xfId="15370" xr:uid="{00000000-0005-0000-0000-000064330000}"/>
    <cellStyle name="Normal 39 3 3 2 3" xfId="7112" xr:uid="{00000000-0005-0000-0000-000065330000}"/>
    <cellStyle name="Normal 39 3 3 2 3 2" xfId="18009" xr:uid="{00000000-0005-0000-0000-000066330000}"/>
    <cellStyle name="Normal 39 3 3 2 4" xfId="13078" xr:uid="{00000000-0005-0000-0000-000067330000}"/>
    <cellStyle name="Normal 39 3 3 3" xfId="3328" xr:uid="{00000000-0005-0000-0000-000068330000}"/>
    <cellStyle name="Normal 39 3 3 3 2" xfId="8279" xr:uid="{00000000-0005-0000-0000-000069330000}"/>
    <cellStyle name="Normal 39 3 3 3 2 2" xfId="19176" xr:uid="{00000000-0005-0000-0000-00006A330000}"/>
    <cellStyle name="Normal 39 3 3 3 3" xfId="14225" xr:uid="{00000000-0005-0000-0000-00006B330000}"/>
    <cellStyle name="Normal 39 3 3 4" xfId="5967" xr:uid="{00000000-0005-0000-0000-00006C330000}"/>
    <cellStyle name="Normal 39 3 3 4 2" xfId="16864" xr:uid="{00000000-0005-0000-0000-00006D330000}"/>
    <cellStyle name="Normal 39 3 3 5" xfId="11960" xr:uid="{00000000-0005-0000-0000-00006E330000}"/>
    <cellStyle name="Normal 39 3 4" xfId="1662" xr:uid="{00000000-0005-0000-0000-00006F330000}"/>
    <cellStyle name="Normal 39 3 4 2" xfId="3974" xr:uid="{00000000-0005-0000-0000-000070330000}"/>
    <cellStyle name="Normal 39 3 4 2 2" xfId="8925" xr:uid="{00000000-0005-0000-0000-000071330000}"/>
    <cellStyle name="Normal 39 3 4 2 2 2" xfId="19822" xr:uid="{00000000-0005-0000-0000-000072330000}"/>
    <cellStyle name="Normal 39 3 4 2 3" xfId="14871" xr:uid="{00000000-0005-0000-0000-000073330000}"/>
    <cellStyle name="Normal 39 3 4 3" xfId="6613" xr:uid="{00000000-0005-0000-0000-000074330000}"/>
    <cellStyle name="Normal 39 3 4 3 2" xfId="17510" xr:uid="{00000000-0005-0000-0000-000075330000}"/>
    <cellStyle name="Normal 39 3 4 4" xfId="12593" xr:uid="{00000000-0005-0000-0000-000076330000}"/>
    <cellStyle name="Normal 39 3 5" xfId="2796" xr:uid="{00000000-0005-0000-0000-000077330000}"/>
    <cellStyle name="Normal 39 3 5 2" xfId="7747" xr:uid="{00000000-0005-0000-0000-000078330000}"/>
    <cellStyle name="Normal 39 3 5 2 2" xfId="18644" xr:uid="{00000000-0005-0000-0000-000079330000}"/>
    <cellStyle name="Normal 39 3 5 3" xfId="13693" xr:uid="{00000000-0005-0000-0000-00007A330000}"/>
    <cellStyle name="Normal 39 3 6" xfId="5435" xr:uid="{00000000-0005-0000-0000-00007B330000}"/>
    <cellStyle name="Normal 39 3 6 2" xfId="16332" xr:uid="{00000000-0005-0000-0000-00007C330000}"/>
    <cellStyle name="Normal 39 3 7" xfId="11437" xr:uid="{00000000-0005-0000-0000-00007D330000}"/>
    <cellStyle name="Normal 39 4" xfId="596" xr:uid="{00000000-0005-0000-0000-00007E330000}"/>
    <cellStyle name="Normal 39 4 2" xfId="1128" xr:uid="{00000000-0005-0000-0000-00007F330000}"/>
    <cellStyle name="Normal 39 4 2 2" xfId="2285" xr:uid="{00000000-0005-0000-0000-000080330000}"/>
    <cellStyle name="Normal 39 4 2 2 2" xfId="4597" xr:uid="{00000000-0005-0000-0000-000081330000}"/>
    <cellStyle name="Normal 39 4 2 2 2 2" xfId="9548" xr:uid="{00000000-0005-0000-0000-000082330000}"/>
    <cellStyle name="Normal 39 4 2 2 2 2 2" xfId="20445" xr:uid="{00000000-0005-0000-0000-000083330000}"/>
    <cellStyle name="Normal 39 4 2 2 2 3" xfId="15494" xr:uid="{00000000-0005-0000-0000-000084330000}"/>
    <cellStyle name="Normal 39 4 2 2 3" xfId="7236" xr:uid="{00000000-0005-0000-0000-000085330000}"/>
    <cellStyle name="Normal 39 4 2 2 3 2" xfId="18133" xr:uid="{00000000-0005-0000-0000-000086330000}"/>
    <cellStyle name="Normal 39 4 2 2 4" xfId="13200" xr:uid="{00000000-0005-0000-0000-000087330000}"/>
    <cellStyle name="Normal 39 4 2 3" xfId="3452" xr:uid="{00000000-0005-0000-0000-000088330000}"/>
    <cellStyle name="Normal 39 4 2 3 2" xfId="8403" xr:uid="{00000000-0005-0000-0000-000089330000}"/>
    <cellStyle name="Normal 39 4 2 3 2 2" xfId="19300" xr:uid="{00000000-0005-0000-0000-00008A330000}"/>
    <cellStyle name="Normal 39 4 2 3 3" xfId="14349" xr:uid="{00000000-0005-0000-0000-00008B330000}"/>
    <cellStyle name="Normal 39 4 2 4" xfId="6091" xr:uid="{00000000-0005-0000-0000-00008C330000}"/>
    <cellStyle name="Normal 39 4 2 4 2" xfId="16988" xr:uid="{00000000-0005-0000-0000-00008D330000}"/>
    <cellStyle name="Normal 39 4 2 5" xfId="12082" xr:uid="{00000000-0005-0000-0000-00008E330000}"/>
    <cellStyle name="Normal 39 4 3" xfId="1777" xr:uid="{00000000-0005-0000-0000-00008F330000}"/>
    <cellStyle name="Normal 39 4 3 2" xfId="4089" xr:uid="{00000000-0005-0000-0000-000090330000}"/>
    <cellStyle name="Normal 39 4 3 2 2" xfId="9040" xr:uid="{00000000-0005-0000-0000-000091330000}"/>
    <cellStyle name="Normal 39 4 3 2 2 2" xfId="19937" xr:uid="{00000000-0005-0000-0000-000092330000}"/>
    <cellStyle name="Normal 39 4 3 2 3" xfId="14986" xr:uid="{00000000-0005-0000-0000-000093330000}"/>
    <cellStyle name="Normal 39 4 3 3" xfId="6728" xr:uid="{00000000-0005-0000-0000-000094330000}"/>
    <cellStyle name="Normal 39 4 3 3 2" xfId="17625" xr:uid="{00000000-0005-0000-0000-000095330000}"/>
    <cellStyle name="Normal 39 4 3 4" xfId="12706" xr:uid="{00000000-0005-0000-0000-000096330000}"/>
    <cellStyle name="Normal 39 4 4" xfId="2920" xr:uid="{00000000-0005-0000-0000-000097330000}"/>
    <cellStyle name="Normal 39 4 4 2" xfId="7871" xr:uid="{00000000-0005-0000-0000-000098330000}"/>
    <cellStyle name="Normal 39 4 4 2 2" xfId="18768" xr:uid="{00000000-0005-0000-0000-000099330000}"/>
    <cellStyle name="Normal 39 4 4 3" xfId="13817" xr:uid="{00000000-0005-0000-0000-00009A330000}"/>
    <cellStyle name="Normal 39 4 5" xfId="5559" xr:uid="{00000000-0005-0000-0000-00009B330000}"/>
    <cellStyle name="Normal 39 4 5 2" xfId="16456" xr:uid="{00000000-0005-0000-0000-00009C330000}"/>
    <cellStyle name="Normal 39 4 6" xfId="11561" xr:uid="{00000000-0005-0000-0000-00009D330000}"/>
    <cellStyle name="Normal 39 5" xfId="863" xr:uid="{00000000-0005-0000-0000-00009E330000}"/>
    <cellStyle name="Normal 39 5 2" xfId="2020" xr:uid="{00000000-0005-0000-0000-00009F330000}"/>
    <cellStyle name="Normal 39 5 2 2" xfId="4332" xr:uid="{00000000-0005-0000-0000-0000A0330000}"/>
    <cellStyle name="Normal 39 5 2 2 2" xfId="9283" xr:uid="{00000000-0005-0000-0000-0000A1330000}"/>
    <cellStyle name="Normal 39 5 2 2 2 2" xfId="20180" xr:uid="{00000000-0005-0000-0000-0000A2330000}"/>
    <cellStyle name="Normal 39 5 2 2 3" xfId="15229" xr:uid="{00000000-0005-0000-0000-0000A3330000}"/>
    <cellStyle name="Normal 39 5 2 3" xfId="6971" xr:uid="{00000000-0005-0000-0000-0000A4330000}"/>
    <cellStyle name="Normal 39 5 2 3 2" xfId="17868" xr:uid="{00000000-0005-0000-0000-0000A5330000}"/>
    <cellStyle name="Normal 39 5 2 4" xfId="12942" xr:uid="{00000000-0005-0000-0000-0000A6330000}"/>
    <cellStyle name="Normal 39 5 3" xfId="3187" xr:uid="{00000000-0005-0000-0000-0000A7330000}"/>
    <cellStyle name="Normal 39 5 3 2" xfId="8138" xr:uid="{00000000-0005-0000-0000-0000A8330000}"/>
    <cellStyle name="Normal 39 5 3 2 2" xfId="19035" xr:uid="{00000000-0005-0000-0000-0000A9330000}"/>
    <cellStyle name="Normal 39 5 3 3" xfId="14084" xr:uid="{00000000-0005-0000-0000-0000AA330000}"/>
    <cellStyle name="Normal 39 5 4" xfId="5826" xr:uid="{00000000-0005-0000-0000-0000AB330000}"/>
    <cellStyle name="Normal 39 5 4 2" xfId="16723" xr:uid="{00000000-0005-0000-0000-0000AC330000}"/>
    <cellStyle name="Normal 39 5 5" xfId="11824" xr:uid="{00000000-0005-0000-0000-0000AD330000}"/>
    <cellStyle name="Normal 39 6" xfId="1544" xr:uid="{00000000-0005-0000-0000-0000AE330000}"/>
    <cellStyle name="Normal 39 6 2" xfId="3856" xr:uid="{00000000-0005-0000-0000-0000AF330000}"/>
    <cellStyle name="Normal 39 6 2 2" xfId="8807" xr:uid="{00000000-0005-0000-0000-0000B0330000}"/>
    <cellStyle name="Normal 39 6 2 2 2" xfId="19704" xr:uid="{00000000-0005-0000-0000-0000B1330000}"/>
    <cellStyle name="Normal 39 6 2 3" xfId="14753" xr:uid="{00000000-0005-0000-0000-0000B2330000}"/>
    <cellStyle name="Normal 39 6 3" xfId="6495" xr:uid="{00000000-0005-0000-0000-0000B3330000}"/>
    <cellStyle name="Normal 39 6 3 2" xfId="17392" xr:uid="{00000000-0005-0000-0000-0000B4330000}"/>
    <cellStyle name="Normal 39 6 4" xfId="12479" xr:uid="{00000000-0005-0000-0000-0000B5330000}"/>
    <cellStyle name="Normal 39 7" xfId="2655" xr:uid="{00000000-0005-0000-0000-0000B6330000}"/>
    <cellStyle name="Normal 39 7 2" xfId="7606" xr:uid="{00000000-0005-0000-0000-0000B7330000}"/>
    <cellStyle name="Normal 39 7 2 2" xfId="18503" xr:uid="{00000000-0005-0000-0000-0000B8330000}"/>
    <cellStyle name="Normal 39 7 3" xfId="13552" xr:uid="{00000000-0005-0000-0000-0000B9330000}"/>
    <cellStyle name="Normal 39 8" xfId="5294" xr:uid="{00000000-0005-0000-0000-0000BA330000}"/>
    <cellStyle name="Normal 39 8 2" xfId="16191" xr:uid="{00000000-0005-0000-0000-0000BB330000}"/>
    <cellStyle name="Normal 39 9" xfId="11299" xr:uid="{00000000-0005-0000-0000-0000BC330000}"/>
    <cellStyle name="Normal 4" xfId="302" xr:uid="{00000000-0005-0000-0000-0000BD330000}"/>
    <cellStyle name="Normal 4 2" xfId="303" xr:uid="{00000000-0005-0000-0000-0000BE330000}"/>
    <cellStyle name="Normal 40" xfId="304" xr:uid="{00000000-0005-0000-0000-0000BF330000}"/>
    <cellStyle name="Normal 40 2" xfId="394" xr:uid="{00000000-0005-0000-0000-0000C0330000}"/>
    <cellStyle name="Normal 40 2 2" xfId="524" xr:uid="{00000000-0005-0000-0000-0000C1330000}"/>
    <cellStyle name="Normal 40 2 2 2" xfId="789" xr:uid="{00000000-0005-0000-0000-0000C2330000}"/>
    <cellStyle name="Normal 40 2 2 2 2" xfId="1321" xr:uid="{00000000-0005-0000-0000-0000C3330000}"/>
    <cellStyle name="Normal 40 2 2 2 2 2" xfId="2478" xr:uid="{00000000-0005-0000-0000-0000C4330000}"/>
    <cellStyle name="Normal 40 2 2 2 2 2 2" xfId="4790" xr:uid="{00000000-0005-0000-0000-0000C5330000}"/>
    <cellStyle name="Normal 40 2 2 2 2 2 2 2" xfId="9741" xr:uid="{00000000-0005-0000-0000-0000C6330000}"/>
    <cellStyle name="Normal 40 2 2 2 2 2 2 2 2" xfId="20638" xr:uid="{00000000-0005-0000-0000-0000C7330000}"/>
    <cellStyle name="Normal 40 2 2 2 2 2 2 3" xfId="15687" xr:uid="{00000000-0005-0000-0000-0000C8330000}"/>
    <cellStyle name="Normal 40 2 2 2 2 2 3" xfId="7429" xr:uid="{00000000-0005-0000-0000-0000C9330000}"/>
    <cellStyle name="Normal 40 2 2 2 2 2 3 2" xfId="18326" xr:uid="{00000000-0005-0000-0000-0000CA330000}"/>
    <cellStyle name="Normal 40 2 2 2 2 2 4" xfId="13389" xr:uid="{00000000-0005-0000-0000-0000CB330000}"/>
    <cellStyle name="Normal 40 2 2 2 2 3" xfId="3645" xr:uid="{00000000-0005-0000-0000-0000CC330000}"/>
    <cellStyle name="Normal 40 2 2 2 2 3 2" xfId="8596" xr:uid="{00000000-0005-0000-0000-0000CD330000}"/>
    <cellStyle name="Normal 40 2 2 2 2 3 2 2" xfId="19493" xr:uid="{00000000-0005-0000-0000-0000CE330000}"/>
    <cellStyle name="Normal 40 2 2 2 2 3 3" xfId="14542" xr:uid="{00000000-0005-0000-0000-0000CF330000}"/>
    <cellStyle name="Normal 40 2 2 2 2 4" xfId="6284" xr:uid="{00000000-0005-0000-0000-0000D0330000}"/>
    <cellStyle name="Normal 40 2 2 2 2 4 2" xfId="17181" xr:uid="{00000000-0005-0000-0000-0000D1330000}"/>
    <cellStyle name="Normal 40 2 2 2 2 5" xfId="12271" xr:uid="{00000000-0005-0000-0000-0000D2330000}"/>
    <cellStyle name="Normal 40 2 2 2 3" xfId="1947" xr:uid="{00000000-0005-0000-0000-0000D3330000}"/>
    <cellStyle name="Normal 40 2 2 2 3 2" xfId="4259" xr:uid="{00000000-0005-0000-0000-0000D4330000}"/>
    <cellStyle name="Normal 40 2 2 2 3 2 2" xfId="9210" xr:uid="{00000000-0005-0000-0000-0000D5330000}"/>
    <cellStyle name="Normal 40 2 2 2 3 2 2 2" xfId="20107" xr:uid="{00000000-0005-0000-0000-0000D6330000}"/>
    <cellStyle name="Normal 40 2 2 2 3 2 3" xfId="15156" xr:uid="{00000000-0005-0000-0000-0000D7330000}"/>
    <cellStyle name="Normal 40 2 2 2 3 3" xfId="6898" xr:uid="{00000000-0005-0000-0000-0000D8330000}"/>
    <cellStyle name="Normal 40 2 2 2 3 3 2" xfId="17795" xr:uid="{00000000-0005-0000-0000-0000D9330000}"/>
    <cellStyle name="Normal 40 2 2 2 3 4" xfId="12871" xr:uid="{00000000-0005-0000-0000-0000DA330000}"/>
    <cellStyle name="Normal 40 2 2 2 4" xfId="3113" xr:uid="{00000000-0005-0000-0000-0000DB330000}"/>
    <cellStyle name="Normal 40 2 2 2 4 2" xfId="8064" xr:uid="{00000000-0005-0000-0000-0000DC330000}"/>
    <cellStyle name="Normal 40 2 2 2 4 2 2" xfId="18961" xr:uid="{00000000-0005-0000-0000-0000DD330000}"/>
    <cellStyle name="Normal 40 2 2 2 4 3" xfId="14010" xr:uid="{00000000-0005-0000-0000-0000DE330000}"/>
    <cellStyle name="Normal 40 2 2 2 5" xfId="5752" xr:uid="{00000000-0005-0000-0000-0000DF330000}"/>
    <cellStyle name="Normal 40 2 2 2 5 2" xfId="16649" xr:uid="{00000000-0005-0000-0000-0000E0330000}"/>
    <cellStyle name="Normal 40 2 2 2 6" xfId="11750" xr:uid="{00000000-0005-0000-0000-0000E1330000}"/>
    <cellStyle name="Normal 40 2 2 3" xfId="1056" xr:uid="{00000000-0005-0000-0000-0000E2330000}"/>
    <cellStyle name="Normal 40 2 2 3 2" xfId="2213" xr:uid="{00000000-0005-0000-0000-0000E3330000}"/>
    <cellStyle name="Normal 40 2 2 3 2 2" xfId="4525" xr:uid="{00000000-0005-0000-0000-0000E4330000}"/>
    <cellStyle name="Normal 40 2 2 3 2 2 2" xfId="9476" xr:uid="{00000000-0005-0000-0000-0000E5330000}"/>
    <cellStyle name="Normal 40 2 2 3 2 2 2 2" xfId="20373" xr:uid="{00000000-0005-0000-0000-0000E6330000}"/>
    <cellStyle name="Normal 40 2 2 3 2 2 3" xfId="15422" xr:uid="{00000000-0005-0000-0000-0000E7330000}"/>
    <cellStyle name="Normal 40 2 2 3 2 3" xfId="7164" xr:uid="{00000000-0005-0000-0000-0000E8330000}"/>
    <cellStyle name="Normal 40 2 2 3 2 3 2" xfId="18061" xr:uid="{00000000-0005-0000-0000-0000E9330000}"/>
    <cellStyle name="Normal 40 2 2 3 2 4" xfId="13130" xr:uid="{00000000-0005-0000-0000-0000EA330000}"/>
    <cellStyle name="Normal 40 2 2 3 3" xfId="3380" xr:uid="{00000000-0005-0000-0000-0000EB330000}"/>
    <cellStyle name="Normal 40 2 2 3 3 2" xfId="8331" xr:uid="{00000000-0005-0000-0000-0000EC330000}"/>
    <cellStyle name="Normal 40 2 2 3 3 2 2" xfId="19228" xr:uid="{00000000-0005-0000-0000-0000ED330000}"/>
    <cellStyle name="Normal 40 2 2 3 3 3" xfId="14277" xr:uid="{00000000-0005-0000-0000-0000EE330000}"/>
    <cellStyle name="Normal 40 2 2 3 4" xfId="6019" xr:uid="{00000000-0005-0000-0000-0000EF330000}"/>
    <cellStyle name="Normal 40 2 2 3 4 2" xfId="16916" xr:uid="{00000000-0005-0000-0000-0000F0330000}"/>
    <cellStyle name="Normal 40 2 2 3 5" xfId="12012" xr:uid="{00000000-0005-0000-0000-0000F1330000}"/>
    <cellStyle name="Normal 40 2 2 4" xfId="1714" xr:uid="{00000000-0005-0000-0000-0000F2330000}"/>
    <cellStyle name="Normal 40 2 2 4 2" xfId="4026" xr:uid="{00000000-0005-0000-0000-0000F3330000}"/>
    <cellStyle name="Normal 40 2 2 4 2 2" xfId="8977" xr:uid="{00000000-0005-0000-0000-0000F4330000}"/>
    <cellStyle name="Normal 40 2 2 4 2 2 2" xfId="19874" xr:uid="{00000000-0005-0000-0000-0000F5330000}"/>
    <cellStyle name="Normal 40 2 2 4 2 3" xfId="14923" xr:uid="{00000000-0005-0000-0000-0000F6330000}"/>
    <cellStyle name="Normal 40 2 2 4 3" xfId="6665" xr:uid="{00000000-0005-0000-0000-0000F7330000}"/>
    <cellStyle name="Normal 40 2 2 4 3 2" xfId="17562" xr:uid="{00000000-0005-0000-0000-0000F8330000}"/>
    <cellStyle name="Normal 40 2 2 4 4" xfId="12645" xr:uid="{00000000-0005-0000-0000-0000F9330000}"/>
    <cellStyle name="Normal 40 2 2 5" xfId="2848" xr:uid="{00000000-0005-0000-0000-0000FA330000}"/>
    <cellStyle name="Normal 40 2 2 5 2" xfId="7799" xr:uid="{00000000-0005-0000-0000-0000FB330000}"/>
    <cellStyle name="Normal 40 2 2 5 2 2" xfId="18696" xr:uid="{00000000-0005-0000-0000-0000FC330000}"/>
    <cellStyle name="Normal 40 2 2 5 3" xfId="13745" xr:uid="{00000000-0005-0000-0000-0000FD330000}"/>
    <cellStyle name="Normal 40 2 2 6" xfId="5487" xr:uid="{00000000-0005-0000-0000-0000FE330000}"/>
    <cellStyle name="Normal 40 2 2 6 2" xfId="16384" xr:uid="{00000000-0005-0000-0000-0000FF330000}"/>
    <cellStyle name="Normal 40 2 2 7" xfId="11489" xr:uid="{00000000-0005-0000-0000-000000340000}"/>
    <cellStyle name="Normal 40 2 3" xfId="660" xr:uid="{00000000-0005-0000-0000-000001340000}"/>
    <cellStyle name="Normal 40 2 3 2" xfId="1192" xr:uid="{00000000-0005-0000-0000-000002340000}"/>
    <cellStyle name="Normal 40 2 3 2 2" xfId="2349" xr:uid="{00000000-0005-0000-0000-000003340000}"/>
    <cellStyle name="Normal 40 2 3 2 2 2" xfId="4661" xr:uid="{00000000-0005-0000-0000-000004340000}"/>
    <cellStyle name="Normal 40 2 3 2 2 2 2" xfId="9612" xr:uid="{00000000-0005-0000-0000-000005340000}"/>
    <cellStyle name="Normal 40 2 3 2 2 2 2 2" xfId="20509" xr:uid="{00000000-0005-0000-0000-000006340000}"/>
    <cellStyle name="Normal 40 2 3 2 2 2 3" xfId="15558" xr:uid="{00000000-0005-0000-0000-000007340000}"/>
    <cellStyle name="Normal 40 2 3 2 2 3" xfId="7300" xr:uid="{00000000-0005-0000-0000-000008340000}"/>
    <cellStyle name="Normal 40 2 3 2 2 3 2" xfId="18197" xr:uid="{00000000-0005-0000-0000-000009340000}"/>
    <cellStyle name="Normal 40 2 3 2 2 4" xfId="13261" xr:uid="{00000000-0005-0000-0000-00000A340000}"/>
    <cellStyle name="Normal 40 2 3 2 3" xfId="3516" xr:uid="{00000000-0005-0000-0000-00000B340000}"/>
    <cellStyle name="Normal 40 2 3 2 3 2" xfId="8467" xr:uid="{00000000-0005-0000-0000-00000C340000}"/>
    <cellStyle name="Normal 40 2 3 2 3 2 2" xfId="19364" xr:uid="{00000000-0005-0000-0000-00000D340000}"/>
    <cellStyle name="Normal 40 2 3 2 3 3" xfId="14413" xr:uid="{00000000-0005-0000-0000-00000E340000}"/>
    <cellStyle name="Normal 40 2 3 2 4" xfId="6155" xr:uid="{00000000-0005-0000-0000-00000F340000}"/>
    <cellStyle name="Normal 40 2 3 2 4 2" xfId="17052" xr:uid="{00000000-0005-0000-0000-000010340000}"/>
    <cellStyle name="Normal 40 2 3 2 5" xfId="12143" xr:uid="{00000000-0005-0000-0000-000011340000}"/>
    <cellStyle name="Normal 40 2 3 3" xfId="1833" xr:uid="{00000000-0005-0000-0000-000012340000}"/>
    <cellStyle name="Normal 40 2 3 3 2" xfId="4145" xr:uid="{00000000-0005-0000-0000-000013340000}"/>
    <cellStyle name="Normal 40 2 3 3 2 2" xfId="9096" xr:uid="{00000000-0005-0000-0000-000014340000}"/>
    <cellStyle name="Normal 40 2 3 3 2 2 2" xfId="19993" xr:uid="{00000000-0005-0000-0000-000015340000}"/>
    <cellStyle name="Normal 40 2 3 3 2 3" xfId="15042" xr:uid="{00000000-0005-0000-0000-000016340000}"/>
    <cellStyle name="Normal 40 2 3 3 3" xfId="6784" xr:uid="{00000000-0005-0000-0000-000017340000}"/>
    <cellStyle name="Normal 40 2 3 3 3 2" xfId="17681" xr:uid="{00000000-0005-0000-0000-000018340000}"/>
    <cellStyle name="Normal 40 2 3 3 4" xfId="12758" xr:uid="{00000000-0005-0000-0000-000019340000}"/>
    <cellStyle name="Normal 40 2 3 4" xfId="2984" xr:uid="{00000000-0005-0000-0000-00001A340000}"/>
    <cellStyle name="Normal 40 2 3 4 2" xfId="7935" xr:uid="{00000000-0005-0000-0000-00001B340000}"/>
    <cellStyle name="Normal 40 2 3 4 2 2" xfId="18832" xr:uid="{00000000-0005-0000-0000-00001C340000}"/>
    <cellStyle name="Normal 40 2 3 4 3" xfId="13881" xr:uid="{00000000-0005-0000-0000-00001D340000}"/>
    <cellStyle name="Normal 40 2 3 5" xfId="5623" xr:uid="{00000000-0005-0000-0000-00001E340000}"/>
    <cellStyle name="Normal 40 2 3 5 2" xfId="16520" xr:uid="{00000000-0005-0000-0000-00001F340000}"/>
    <cellStyle name="Normal 40 2 3 6" xfId="11622" xr:uid="{00000000-0005-0000-0000-000020340000}"/>
    <cellStyle name="Normal 40 2 4" xfId="927" xr:uid="{00000000-0005-0000-0000-000021340000}"/>
    <cellStyle name="Normal 40 2 4 2" xfId="2084" xr:uid="{00000000-0005-0000-0000-000022340000}"/>
    <cellStyle name="Normal 40 2 4 2 2" xfId="4396" xr:uid="{00000000-0005-0000-0000-000023340000}"/>
    <cellStyle name="Normal 40 2 4 2 2 2" xfId="9347" xr:uid="{00000000-0005-0000-0000-000024340000}"/>
    <cellStyle name="Normal 40 2 4 2 2 2 2" xfId="20244" xr:uid="{00000000-0005-0000-0000-000025340000}"/>
    <cellStyle name="Normal 40 2 4 2 2 3" xfId="15293" xr:uid="{00000000-0005-0000-0000-000026340000}"/>
    <cellStyle name="Normal 40 2 4 2 3" xfId="7035" xr:uid="{00000000-0005-0000-0000-000027340000}"/>
    <cellStyle name="Normal 40 2 4 2 3 2" xfId="17932" xr:uid="{00000000-0005-0000-0000-000028340000}"/>
    <cellStyle name="Normal 40 2 4 2 4" xfId="13002" xr:uid="{00000000-0005-0000-0000-000029340000}"/>
    <cellStyle name="Normal 40 2 4 3" xfId="3251" xr:uid="{00000000-0005-0000-0000-00002A340000}"/>
    <cellStyle name="Normal 40 2 4 3 2" xfId="8202" xr:uid="{00000000-0005-0000-0000-00002B340000}"/>
    <cellStyle name="Normal 40 2 4 3 2 2" xfId="19099" xr:uid="{00000000-0005-0000-0000-00002C340000}"/>
    <cellStyle name="Normal 40 2 4 3 3" xfId="14148" xr:uid="{00000000-0005-0000-0000-00002D340000}"/>
    <cellStyle name="Normal 40 2 4 4" xfId="5890" xr:uid="{00000000-0005-0000-0000-00002E340000}"/>
    <cellStyle name="Normal 40 2 4 4 2" xfId="16787" xr:uid="{00000000-0005-0000-0000-00002F340000}"/>
    <cellStyle name="Normal 40 2 4 5" xfId="11884" xr:uid="{00000000-0005-0000-0000-000030340000}"/>
    <cellStyle name="Normal 40 2 5" xfId="1600" xr:uid="{00000000-0005-0000-0000-000031340000}"/>
    <cellStyle name="Normal 40 2 5 2" xfId="3912" xr:uid="{00000000-0005-0000-0000-000032340000}"/>
    <cellStyle name="Normal 40 2 5 2 2" xfId="8863" xr:uid="{00000000-0005-0000-0000-000033340000}"/>
    <cellStyle name="Normal 40 2 5 2 2 2" xfId="19760" xr:uid="{00000000-0005-0000-0000-000034340000}"/>
    <cellStyle name="Normal 40 2 5 2 3" xfId="14809" xr:uid="{00000000-0005-0000-0000-000035340000}"/>
    <cellStyle name="Normal 40 2 5 3" xfId="6551" xr:uid="{00000000-0005-0000-0000-000036340000}"/>
    <cellStyle name="Normal 40 2 5 3 2" xfId="17448" xr:uid="{00000000-0005-0000-0000-000037340000}"/>
    <cellStyle name="Normal 40 2 5 4" xfId="12532" xr:uid="{00000000-0005-0000-0000-000038340000}"/>
    <cellStyle name="Normal 40 2 6" xfId="2719" xr:uid="{00000000-0005-0000-0000-000039340000}"/>
    <cellStyle name="Normal 40 2 6 2" xfId="7670" xr:uid="{00000000-0005-0000-0000-00003A340000}"/>
    <cellStyle name="Normal 40 2 6 2 2" xfId="18567" xr:uid="{00000000-0005-0000-0000-00003B340000}"/>
    <cellStyle name="Normal 40 2 6 3" xfId="13616" xr:uid="{00000000-0005-0000-0000-00003C340000}"/>
    <cellStyle name="Normal 40 2 7" xfId="5358" xr:uid="{00000000-0005-0000-0000-00003D340000}"/>
    <cellStyle name="Normal 40 2 7 2" xfId="16255" xr:uid="{00000000-0005-0000-0000-00003E340000}"/>
    <cellStyle name="Normal 40 2 8" xfId="11361" xr:uid="{00000000-0005-0000-0000-00003F340000}"/>
    <cellStyle name="Normal 40 3" xfId="473" xr:uid="{00000000-0005-0000-0000-000040340000}"/>
    <cellStyle name="Normal 40 3 2" xfId="738" xr:uid="{00000000-0005-0000-0000-000041340000}"/>
    <cellStyle name="Normal 40 3 2 2" xfId="1270" xr:uid="{00000000-0005-0000-0000-000042340000}"/>
    <cellStyle name="Normal 40 3 2 2 2" xfId="2427" xr:uid="{00000000-0005-0000-0000-000043340000}"/>
    <cellStyle name="Normal 40 3 2 2 2 2" xfId="4739" xr:uid="{00000000-0005-0000-0000-000044340000}"/>
    <cellStyle name="Normal 40 3 2 2 2 2 2" xfId="9690" xr:uid="{00000000-0005-0000-0000-000045340000}"/>
    <cellStyle name="Normal 40 3 2 2 2 2 2 2" xfId="20587" xr:uid="{00000000-0005-0000-0000-000046340000}"/>
    <cellStyle name="Normal 40 3 2 2 2 2 3" xfId="15636" xr:uid="{00000000-0005-0000-0000-000047340000}"/>
    <cellStyle name="Normal 40 3 2 2 2 3" xfId="7378" xr:uid="{00000000-0005-0000-0000-000048340000}"/>
    <cellStyle name="Normal 40 3 2 2 2 3 2" xfId="18275" xr:uid="{00000000-0005-0000-0000-000049340000}"/>
    <cellStyle name="Normal 40 3 2 2 2 4" xfId="13338" xr:uid="{00000000-0005-0000-0000-00004A340000}"/>
    <cellStyle name="Normal 40 3 2 2 3" xfId="3594" xr:uid="{00000000-0005-0000-0000-00004B340000}"/>
    <cellStyle name="Normal 40 3 2 2 3 2" xfId="8545" xr:uid="{00000000-0005-0000-0000-00004C340000}"/>
    <cellStyle name="Normal 40 3 2 2 3 2 2" xfId="19442" xr:uid="{00000000-0005-0000-0000-00004D340000}"/>
    <cellStyle name="Normal 40 3 2 2 3 3" xfId="14491" xr:uid="{00000000-0005-0000-0000-00004E340000}"/>
    <cellStyle name="Normal 40 3 2 2 4" xfId="6233" xr:uid="{00000000-0005-0000-0000-00004F340000}"/>
    <cellStyle name="Normal 40 3 2 2 4 2" xfId="17130" xr:uid="{00000000-0005-0000-0000-000050340000}"/>
    <cellStyle name="Normal 40 3 2 2 5" xfId="12220" xr:uid="{00000000-0005-0000-0000-000051340000}"/>
    <cellStyle name="Normal 40 3 2 3" xfId="1896" xr:uid="{00000000-0005-0000-0000-000052340000}"/>
    <cellStyle name="Normal 40 3 2 3 2" xfId="4208" xr:uid="{00000000-0005-0000-0000-000053340000}"/>
    <cellStyle name="Normal 40 3 2 3 2 2" xfId="9159" xr:uid="{00000000-0005-0000-0000-000054340000}"/>
    <cellStyle name="Normal 40 3 2 3 2 2 2" xfId="20056" xr:uid="{00000000-0005-0000-0000-000055340000}"/>
    <cellStyle name="Normal 40 3 2 3 2 3" xfId="15105" xr:uid="{00000000-0005-0000-0000-000056340000}"/>
    <cellStyle name="Normal 40 3 2 3 3" xfId="6847" xr:uid="{00000000-0005-0000-0000-000057340000}"/>
    <cellStyle name="Normal 40 3 2 3 3 2" xfId="17744" xr:uid="{00000000-0005-0000-0000-000058340000}"/>
    <cellStyle name="Normal 40 3 2 3 4" xfId="12820" xr:uid="{00000000-0005-0000-0000-000059340000}"/>
    <cellStyle name="Normal 40 3 2 4" xfId="3062" xr:uid="{00000000-0005-0000-0000-00005A340000}"/>
    <cellStyle name="Normal 40 3 2 4 2" xfId="8013" xr:uid="{00000000-0005-0000-0000-00005B340000}"/>
    <cellStyle name="Normal 40 3 2 4 2 2" xfId="18910" xr:uid="{00000000-0005-0000-0000-00005C340000}"/>
    <cellStyle name="Normal 40 3 2 4 3" xfId="13959" xr:uid="{00000000-0005-0000-0000-00005D340000}"/>
    <cellStyle name="Normal 40 3 2 5" xfId="5701" xr:uid="{00000000-0005-0000-0000-00005E340000}"/>
    <cellStyle name="Normal 40 3 2 5 2" xfId="16598" xr:uid="{00000000-0005-0000-0000-00005F340000}"/>
    <cellStyle name="Normal 40 3 2 6" xfId="11699" xr:uid="{00000000-0005-0000-0000-000060340000}"/>
    <cellStyle name="Normal 40 3 3" xfId="1005" xr:uid="{00000000-0005-0000-0000-000061340000}"/>
    <cellStyle name="Normal 40 3 3 2" xfId="2162" xr:uid="{00000000-0005-0000-0000-000062340000}"/>
    <cellStyle name="Normal 40 3 3 2 2" xfId="4474" xr:uid="{00000000-0005-0000-0000-000063340000}"/>
    <cellStyle name="Normal 40 3 3 2 2 2" xfId="9425" xr:uid="{00000000-0005-0000-0000-000064340000}"/>
    <cellStyle name="Normal 40 3 3 2 2 2 2" xfId="20322" xr:uid="{00000000-0005-0000-0000-000065340000}"/>
    <cellStyle name="Normal 40 3 3 2 2 3" xfId="15371" xr:uid="{00000000-0005-0000-0000-000066340000}"/>
    <cellStyle name="Normal 40 3 3 2 3" xfId="7113" xr:uid="{00000000-0005-0000-0000-000067340000}"/>
    <cellStyle name="Normal 40 3 3 2 3 2" xfId="18010" xr:uid="{00000000-0005-0000-0000-000068340000}"/>
    <cellStyle name="Normal 40 3 3 2 4" xfId="13079" xr:uid="{00000000-0005-0000-0000-000069340000}"/>
    <cellStyle name="Normal 40 3 3 3" xfId="3329" xr:uid="{00000000-0005-0000-0000-00006A340000}"/>
    <cellStyle name="Normal 40 3 3 3 2" xfId="8280" xr:uid="{00000000-0005-0000-0000-00006B340000}"/>
    <cellStyle name="Normal 40 3 3 3 2 2" xfId="19177" xr:uid="{00000000-0005-0000-0000-00006C340000}"/>
    <cellStyle name="Normal 40 3 3 3 3" xfId="14226" xr:uid="{00000000-0005-0000-0000-00006D340000}"/>
    <cellStyle name="Normal 40 3 3 4" xfId="5968" xr:uid="{00000000-0005-0000-0000-00006E340000}"/>
    <cellStyle name="Normal 40 3 3 4 2" xfId="16865" xr:uid="{00000000-0005-0000-0000-00006F340000}"/>
    <cellStyle name="Normal 40 3 3 5" xfId="11961" xr:uid="{00000000-0005-0000-0000-000070340000}"/>
    <cellStyle name="Normal 40 3 4" xfId="1663" xr:uid="{00000000-0005-0000-0000-000071340000}"/>
    <cellStyle name="Normal 40 3 4 2" xfId="3975" xr:uid="{00000000-0005-0000-0000-000072340000}"/>
    <cellStyle name="Normal 40 3 4 2 2" xfId="8926" xr:uid="{00000000-0005-0000-0000-000073340000}"/>
    <cellStyle name="Normal 40 3 4 2 2 2" xfId="19823" xr:uid="{00000000-0005-0000-0000-000074340000}"/>
    <cellStyle name="Normal 40 3 4 2 3" xfId="14872" xr:uid="{00000000-0005-0000-0000-000075340000}"/>
    <cellStyle name="Normal 40 3 4 3" xfId="6614" xr:uid="{00000000-0005-0000-0000-000076340000}"/>
    <cellStyle name="Normal 40 3 4 3 2" xfId="17511" xr:uid="{00000000-0005-0000-0000-000077340000}"/>
    <cellStyle name="Normal 40 3 4 4" xfId="12594" xr:uid="{00000000-0005-0000-0000-000078340000}"/>
    <cellStyle name="Normal 40 3 5" xfId="2797" xr:uid="{00000000-0005-0000-0000-000079340000}"/>
    <cellStyle name="Normal 40 3 5 2" xfId="7748" xr:uid="{00000000-0005-0000-0000-00007A340000}"/>
    <cellStyle name="Normal 40 3 5 2 2" xfId="18645" xr:uid="{00000000-0005-0000-0000-00007B340000}"/>
    <cellStyle name="Normal 40 3 5 3" xfId="13694" xr:uid="{00000000-0005-0000-0000-00007C340000}"/>
    <cellStyle name="Normal 40 3 6" xfId="5436" xr:uid="{00000000-0005-0000-0000-00007D340000}"/>
    <cellStyle name="Normal 40 3 6 2" xfId="16333" xr:uid="{00000000-0005-0000-0000-00007E340000}"/>
    <cellStyle name="Normal 40 3 7" xfId="11438" xr:uid="{00000000-0005-0000-0000-00007F340000}"/>
    <cellStyle name="Normal 40 4" xfId="597" xr:uid="{00000000-0005-0000-0000-000080340000}"/>
    <cellStyle name="Normal 40 4 2" xfId="1129" xr:uid="{00000000-0005-0000-0000-000081340000}"/>
    <cellStyle name="Normal 40 4 2 2" xfId="2286" xr:uid="{00000000-0005-0000-0000-000082340000}"/>
    <cellStyle name="Normal 40 4 2 2 2" xfId="4598" xr:uid="{00000000-0005-0000-0000-000083340000}"/>
    <cellStyle name="Normal 40 4 2 2 2 2" xfId="9549" xr:uid="{00000000-0005-0000-0000-000084340000}"/>
    <cellStyle name="Normal 40 4 2 2 2 2 2" xfId="20446" xr:uid="{00000000-0005-0000-0000-000085340000}"/>
    <cellStyle name="Normal 40 4 2 2 2 3" xfId="15495" xr:uid="{00000000-0005-0000-0000-000086340000}"/>
    <cellStyle name="Normal 40 4 2 2 3" xfId="7237" xr:uid="{00000000-0005-0000-0000-000087340000}"/>
    <cellStyle name="Normal 40 4 2 2 3 2" xfId="18134" xr:uid="{00000000-0005-0000-0000-000088340000}"/>
    <cellStyle name="Normal 40 4 2 2 4" xfId="13201" xr:uid="{00000000-0005-0000-0000-000089340000}"/>
    <cellStyle name="Normal 40 4 2 3" xfId="3453" xr:uid="{00000000-0005-0000-0000-00008A340000}"/>
    <cellStyle name="Normal 40 4 2 3 2" xfId="8404" xr:uid="{00000000-0005-0000-0000-00008B340000}"/>
    <cellStyle name="Normal 40 4 2 3 2 2" xfId="19301" xr:uid="{00000000-0005-0000-0000-00008C340000}"/>
    <cellStyle name="Normal 40 4 2 3 3" xfId="14350" xr:uid="{00000000-0005-0000-0000-00008D340000}"/>
    <cellStyle name="Normal 40 4 2 4" xfId="6092" xr:uid="{00000000-0005-0000-0000-00008E340000}"/>
    <cellStyle name="Normal 40 4 2 4 2" xfId="16989" xr:uid="{00000000-0005-0000-0000-00008F340000}"/>
    <cellStyle name="Normal 40 4 2 5" xfId="12083" xr:uid="{00000000-0005-0000-0000-000090340000}"/>
    <cellStyle name="Normal 40 4 3" xfId="1778" xr:uid="{00000000-0005-0000-0000-000091340000}"/>
    <cellStyle name="Normal 40 4 3 2" xfId="4090" xr:uid="{00000000-0005-0000-0000-000092340000}"/>
    <cellStyle name="Normal 40 4 3 2 2" xfId="9041" xr:uid="{00000000-0005-0000-0000-000093340000}"/>
    <cellStyle name="Normal 40 4 3 2 2 2" xfId="19938" xr:uid="{00000000-0005-0000-0000-000094340000}"/>
    <cellStyle name="Normal 40 4 3 2 3" xfId="14987" xr:uid="{00000000-0005-0000-0000-000095340000}"/>
    <cellStyle name="Normal 40 4 3 3" xfId="6729" xr:uid="{00000000-0005-0000-0000-000096340000}"/>
    <cellStyle name="Normal 40 4 3 3 2" xfId="17626" xr:uid="{00000000-0005-0000-0000-000097340000}"/>
    <cellStyle name="Normal 40 4 3 4" xfId="12707" xr:uid="{00000000-0005-0000-0000-000098340000}"/>
    <cellStyle name="Normal 40 4 4" xfId="2921" xr:uid="{00000000-0005-0000-0000-000099340000}"/>
    <cellStyle name="Normal 40 4 4 2" xfId="7872" xr:uid="{00000000-0005-0000-0000-00009A340000}"/>
    <cellStyle name="Normal 40 4 4 2 2" xfId="18769" xr:uid="{00000000-0005-0000-0000-00009B340000}"/>
    <cellStyle name="Normal 40 4 4 3" xfId="13818" xr:uid="{00000000-0005-0000-0000-00009C340000}"/>
    <cellStyle name="Normal 40 4 5" xfId="5560" xr:uid="{00000000-0005-0000-0000-00009D340000}"/>
    <cellStyle name="Normal 40 4 5 2" xfId="16457" xr:uid="{00000000-0005-0000-0000-00009E340000}"/>
    <cellStyle name="Normal 40 4 6" xfId="11562" xr:uid="{00000000-0005-0000-0000-00009F340000}"/>
    <cellStyle name="Normal 40 5" xfId="864" xr:uid="{00000000-0005-0000-0000-0000A0340000}"/>
    <cellStyle name="Normal 40 5 2" xfId="2021" xr:uid="{00000000-0005-0000-0000-0000A1340000}"/>
    <cellStyle name="Normal 40 5 2 2" xfId="4333" xr:uid="{00000000-0005-0000-0000-0000A2340000}"/>
    <cellStyle name="Normal 40 5 2 2 2" xfId="9284" xr:uid="{00000000-0005-0000-0000-0000A3340000}"/>
    <cellStyle name="Normal 40 5 2 2 2 2" xfId="20181" xr:uid="{00000000-0005-0000-0000-0000A4340000}"/>
    <cellStyle name="Normal 40 5 2 2 3" xfId="15230" xr:uid="{00000000-0005-0000-0000-0000A5340000}"/>
    <cellStyle name="Normal 40 5 2 3" xfId="6972" xr:uid="{00000000-0005-0000-0000-0000A6340000}"/>
    <cellStyle name="Normal 40 5 2 3 2" xfId="17869" xr:uid="{00000000-0005-0000-0000-0000A7340000}"/>
    <cellStyle name="Normal 40 5 2 4" xfId="12943" xr:uid="{00000000-0005-0000-0000-0000A8340000}"/>
    <cellStyle name="Normal 40 5 3" xfId="3188" xr:uid="{00000000-0005-0000-0000-0000A9340000}"/>
    <cellStyle name="Normal 40 5 3 2" xfId="8139" xr:uid="{00000000-0005-0000-0000-0000AA340000}"/>
    <cellStyle name="Normal 40 5 3 2 2" xfId="19036" xr:uid="{00000000-0005-0000-0000-0000AB340000}"/>
    <cellStyle name="Normal 40 5 3 3" xfId="14085" xr:uid="{00000000-0005-0000-0000-0000AC340000}"/>
    <cellStyle name="Normal 40 5 4" xfId="5827" xr:uid="{00000000-0005-0000-0000-0000AD340000}"/>
    <cellStyle name="Normal 40 5 4 2" xfId="16724" xr:uid="{00000000-0005-0000-0000-0000AE340000}"/>
    <cellStyle name="Normal 40 5 5" xfId="11825" xr:uid="{00000000-0005-0000-0000-0000AF340000}"/>
    <cellStyle name="Normal 40 6" xfId="1545" xr:uid="{00000000-0005-0000-0000-0000B0340000}"/>
    <cellStyle name="Normal 40 6 2" xfId="3857" xr:uid="{00000000-0005-0000-0000-0000B1340000}"/>
    <cellStyle name="Normal 40 6 2 2" xfId="8808" xr:uid="{00000000-0005-0000-0000-0000B2340000}"/>
    <cellStyle name="Normal 40 6 2 2 2" xfId="19705" xr:uid="{00000000-0005-0000-0000-0000B3340000}"/>
    <cellStyle name="Normal 40 6 2 3" xfId="14754" xr:uid="{00000000-0005-0000-0000-0000B4340000}"/>
    <cellStyle name="Normal 40 6 3" xfId="6496" xr:uid="{00000000-0005-0000-0000-0000B5340000}"/>
    <cellStyle name="Normal 40 6 3 2" xfId="17393" xr:uid="{00000000-0005-0000-0000-0000B6340000}"/>
    <cellStyle name="Normal 40 6 4" xfId="12480" xr:uid="{00000000-0005-0000-0000-0000B7340000}"/>
    <cellStyle name="Normal 40 7" xfId="2656" xr:uid="{00000000-0005-0000-0000-0000B8340000}"/>
    <cellStyle name="Normal 40 7 2" xfId="7607" xr:uid="{00000000-0005-0000-0000-0000B9340000}"/>
    <cellStyle name="Normal 40 7 2 2" xfId="18504" xr:uid="{00000000-0005-0000-0000-0000BA340000}"/>
    <cellStyle name="Normal 40 7 3" xfId="13553" xr:uid="{00000000-0005-0000-0000-0000BB340000}"/>
    <cellStyle name="Normal 40 8" xfId="5295" xr:uid="{00000000-0005-0000-0000-0000BC340000}"/>
    <cellStyle name="Normal 40 8 2" xfId="16192" xr:uid="{00000000-0005-0000-0000-0000BD340000}"/>
    <cellStyle name="Normal 40 9" xfId="11300" xr:uid="{00000000-0005-0000-0000-0000BE340000}"/>
    <cellStyle name="Normal 41" xfId="305" xr:uid="{00000000-0005-0000-0000-0000BF340000}"/>
    <cellStyle name="Normal 41 2" xfId="395" xr:uid="{00000000-0005-0000-0000-0000C0340000}"/>
    <cellStyle name="Normal 41 2 2" xfId="525" xr:uid="{00000000-0005-0000-0000-0000C1340000}"/>
    <cellStyle name="Normal 41 2 2 2" xfId="790" xr:uid="{00000000-0005-0000-0000-0000C2340000}"/>
    <cellStyle name="Normal 41 2 2 2 2" xfId="1322" xr:uid="{00000000-0005-0000-0000-0000C3340000}"/>
    <cellStyle name="Normal 41 2 2 2 2 2" xfId="2479" xr:uid="{00000000-0005-0000-0000-0000C4340000}"/>
    <cellStyle name="Normal 41 2 2 2 2 2 2" xfId="4791" xr:uid="{00000000-0005-0000-0000-0000C5340000}"/>
    <cellStyle name="Normal 41 2 2 2 2 2 2 2" xfId="9742" xr:uid="{00000000-0005-0000-0000-0000C6340000}"/>
    <cellStyle name="Normal 41 2 2 2 2 2 2 2 2" xfId="20639" xr:uid="{00000000-0005-0000-0000-0000C7340000}"/>
    <cellStyle name="Normal 41 2 2 2 2 2 2 3" xfId="15688" xr:uid="{00000000-0005-0000-0000-0000C8340000}"/>
    <cellStyle name="Normal 41 2 2 2 2 2 3" xfId="7430" xr:uid="{00000000-0005-0000-0000-0000C9340000}"/>
    <cellStyle name="Normal 41 2 2 2 2 2 3 2" xfId="18327" xr:uid="{00000000-0005-0000-0000-0000CA340000}"/>
    <cellStyle name="Normal 41 2 2 2 2 2 4" xfId="13390" xr:uid="{00000000-0005-0000-0000-0000CB340000}"/>
    <cellStyle name="Normal 41 2 2 2 2 3" xfId="3646" xr:uid="{00000000-0005-0000-0000-0000CC340000}"/>
    <cellStyle name="Normal 41 2 2 2 2 3 2" xfId="8597" xr:uid="{00000000-0005-0000-0000-0000CD340000}"/>
    <cellStyle name="Normal 41 2 2 2 2 3 2 2" xfId="19494" xr:uid="{00000000-0005-0000-0000-0000CE340000}"/>
    <cellStyle name="Normal 41 2 2 2 2 3 3" xfId="14543" xr:uid="{00000000-0005-0000-0000-0000CF340000}"/>
    <cellStyle name="Normal 41 2 2 2 2 4" xfId="6285" xr:uid="{00000000-0005-0000-0000-0000D0340000}"/>
    <cellStyle name="Normal 41 2 2 2 2 4 2" xfId="17182" xr:uid="{00000000-0005-0000-0000-0000D1340000}"/>
    <cellStyle name="Normal 41 2 2 2 2 5" xfId="12272" xr:uid="{00000000-0005-0000-0000-0000D2340000}"/>
    <cellStyle name="Normal 41 2 2 2 3" xfId="1948" xr:uid="{00000000-0005-0000-0000-0000D3340000}"/>
    <cellStyle name="Normal 41 2 2 2 3 2" xfId="4260" xr:uid="{00000000-0005-0000-0000-0000D4340000}"/>
    <cellStyle name="Normal 41 2 2 2 3 2 2" xfId="9211" xr:uid="{00000000-0005-0000-0000-0000D5340000}"/>
    <cellStyle name="Normal 41 2 2 2 3 2 2 2" xfId="20108" xr:uid="{00000000-0005-0000-0000-0000D6340000}"/>
    <cellStyle name="Normal 41 2 2 2 3 2 3" xfId="15157" xr:uid="{00000000-0005-0000-0000-0000D7340000}"/>
    <cellStyle name="Normal 41 2 2 2 3 3" xfId="6899" xr:uid="{00000000-0005-0000-0000-0000D8340000}"/>
    <cellStyle name="Normal 41 2 2 2 3 3 2" xfId="17796" xr:uid="{00000000-0005-0000-0000-0000D9340000}"/>
    <cellStyle name="Normal 41 2 2 2 3 4" xfId="12872" xr:uid="{00000000-0005-0000-0000-0000DA340000}"/>
    <cellStyle name="Normal 41 2 2 2 4" xfId="3114" xr:uid="{00000000-0005-0000-0000-0000DB340000}"/>
    <cellStyle name="Normal 41 2 2 2 4 2" xfId="8065" xr:uid="{00000000-0005-0000-0000-0000DC340000}"/>
    <cellStyle name="Normal 41 2 2 2 4 2 2" xfId="18962" xr:uid="{00000000-0005-0000-0000-0000DD340000}"/>
    <cellStyle name="Normal 41 2 2 2 4 3" xfId="14011" xr:uid="{00000000-0005-0000-0000-0000DE340000}"/>
    <cellStyle name="Normal 41 2 2 2 5" xfId="5753" xr:uid="{00000000-0005-0000-0000-0000DF340000}"/>
    <cellStyle name="Normal 41 2 2 2 5 2" xfId="16650" xr:uid="{00000000-0005-0000-0000-0000E0340000}"/>
    <cellStyle name="Normal 41 2 2 2 6" xfId="11751" xr:uid="{00000000-0005-0000-0000-0000E1340000}"/>
    <cellStyle name="Normal 41 2 2 3" xfId="1057" xr:uid="{00000000-0005-0000-0000-0000E2340000}"/>
    <cellStyle name="Normal 41 2 2 3 2" xfId="2214" xr:uid="{00000000-0005-0000-0000-0000E3340000}"/>
    <cellStyle name="Normal 41 2 2 3 2 2" xfId="4526" xr:uid="{00000000-0005-0000-0000-0000E4340000}"/>
    <cellStyle name="Normal 41 2 2 3 2 2 2" xfId="9477" xr:uid="{00000000-0005-0000-0000-0000E5340000}"/>
    <cellStyle name="Normal 41 2 2 3 2 2 2 2" xfId="20374" xr:uid="{00000000-0005-0000-0000-0000E6340000}"/>
    <cellStyle name="Normal 41 2 2 3 2 2 3" xfId="15423" xr:uid="{00000000-0005-0000-0000-0000E7340000}"/>
    <cellStyle name="Normal 41 2 2 3 2 3" xfId="7165" xr:uid="{00000000-0005-0000-0000-0000E8340000}"/>
    <cellStyle name="Normal 41 2 2 3 2 3 2" xfId="18062" xr:uid="{00000000-0005-0000-0000-0000E9340000}"/>
    <cellStyle name="Normal 41 2 2 3 2 4" xfId="13131" xr:uid="{00000000-0005-0000-0000-0000EA340000}"/>
    <cellStyle name="Normal 41 2 2 3 3" xfId="3381" xr:uid="{00000000-0005-0000-0000-0000EB340000}"/>
    <cellStyle name="Normal 41 2 2 3 3 2" xfId="8332" xr:uid="{00000000-0005-0000-0000-0000EC340000}"/>
    <cellStyle name="Normal 41 2 2 3 3 2 2" xfId="19229" xr:uid="{00000000-0005-0000-0000-0000ED340000}"/>
    <cellStyle name="Normal 41 2 2 3 3 3" xfId="14278" xr:uid="{00000000-0005-0000-0000-0000EE340000}"/>
    <cellStyle name="Normal 41 2 2 3 4" xfId="6020" xr:uid="{00000000-0005-0000-0000-0000EF340000}"/>
    <cellStyle name="Normal 41 2 2 3 4 2" xfId="16917" xr:uid="{00000000-0005-0000-0000-0000F0340000}"/>
    <cellStyle name="Normal 41 2 2 3 5" xfId="12013" xr:uid="{00000000-0005-0000-0000-0000F1340000}"/>
    <cellStyle name="Normal 41 2 2 4" xfId="1715" xr:uid="{00000000-0005-0000-0000-0000F2340000}"/>
    <cellStyle name="Normal 41 2 2 4 2" xfId="4027" xr:uid="{00000000-0005-0000-0000-0000F3340000}"/>
    <cellStyle name="Normal 41 2 2 4 2 2" xfId="8978" xr:uid="{00000000-0005-0000-0000-0000F4340000}"/>
    <cellStyle name="Normal 41 2 2 4 2 2 2" xfId="19875" xr:uid="{00000000-0005-0000-0000-0000F5340000}"/>
    <cellStyle name="Normal 41 2 2 4 2 3" xfId="14924" xr:uid="{00000000-0005-0000-0000-0000F6340000}"/>
    <cellStyle name="Normal 41 2 2 4 3" xfId="6666" xr:uid="{00000000-0005-0000-0000-0000F7340000}"/>
    <cellStyle name="Normal 41 2 2 4 3 2" xfId="17563" xr:uid="{00000000-0005-0000-0000-0000F8340000}"/>
    <cellStyle name="Normal 41 2 2 4 4" xfId="12646" xr:uid="{00000000-0005-0000-0000-0000F9340000}"/>
    <cellStyle name="Normal 41 2 2 5" xfId="2849" xr:uid="{00000000-0005-0000-0000-0000FA340000}"/>
    <cellStyle name="Normal 41 2 2 5 2" xfId="7800" xr:uid="{00000000-0005-0000-0000-0000FB340000}"/>
    <cellStyle name="Normal 41 2 2 5 2 2" xfId="18697" xr:uid="{00000000-0005-0000-0000-0000FC340000}"/>
    <cellStyle name="Normal 41 2 2 5 3" xfId="13746" xr:uid="{00000000-0005-0000-0000-0000FD340000}"/>
    <cellStyle name="Normal 41 2 2 6" xfId="5488" xr:uid="{00000000-0005-0000-0000-0000FE340000}"/>
    <cellStyle name="Normal 41 2 2 6 2" xfId="16385" xr:uid="{00000000-0005-0000-0000-0000FF340000}"/>
    <cellStyle name="Normal 41 2 2 7" xfId="11490" xr:uid="{00000000-0005-0000-0000-000000350000}"/>
    <cellStyle name="Normal 41 2 3" xfId="661" xr:uid="{00000000-0005-0000-0000-000001350000}"/>
    <cellStyle name="Normal 41 2 3 2" xfId="1193" xr:uid="{00000000-0005-0000-0000-000002350000}"/>
    <cellStyle name="Normal 41 2 3 2 2" xfId="2350" xr:uid="{00000000-0005-0000-0000-000003350000}"/>
    <cellStyle name="Normal 41 2 3 2 2 2" xfId="4662" xr:uid="{00000000-0005-0000-0000-000004350000}"/>
    <cellStyle name="Normal 41 2 3 2 2 2 2" xfId="9613" xr:uid="{00000000-0005-0000-0000-000005350000}"/>
    <cellStyle name="Normal 41 2 3 2 2 2 2 2" xfId="20510" xr:uid="{00000000-0005-0000-0000-000006350000}"/>
    <cellStyle name="Normal 41 2 3 2 2 2 3" xfId="15559" xr:uid="{00000000-0005-0000-0000-000007350000}"/>
    <cellStyle name="Normal 41 2 3 2 2 3" xfId="7301" xr:uid="{00000000-0005-0000-0000-000008350000}"/>
    <cellStyle name="Normal 41 2 3 2 2 3 2" xfId="18198" xr:uid="{00000000-0005-0000-0000-000009350000}"/>
    <cellStyle name="Normal 41 2 3 2 2 4" xfId="13262" xr:uid="{00000000-0005-0000-0000-00000A350000}"/>
    <cellStyle name="Normal 41 2 3 2 3" xfId="3517" xr:uid="{00000000-0005-0000-0000-00000B350000}"/>
    <cellStyle name="Normal 41 2 3 2 3 2" xfId="8468" xr:uid="{00000000-0005-0000-0000-00000C350000}"/>
    <cellStyle name="Normal 41 2 3 2 3 2 2" xfId="19365" xr:uid="{00000000-0005-0000-0000-00000D350000}"/>
    <cellStyle name="Normal 41 2 3 2 3 3" xfId="14414" xr:uid="{00000000-0005-0000-0000-00000E350000}"/>
    <cellStyle name="Normal 41 2 3 2 4" xfId="6156" xr:uid="{00000000-0005-0000-0000-00000F350000}"/>
    <cellStyle name="Normal 41 2 3 2 4 2" xfId="17053" xr:uid="{00000000-0005-0000-0000-000010350000}"/>
    <cellStyle name="Normal 41 2 3 2 5" xfId="12144" xr:uid="{00000000-0005-0000-0000-000011350000}"/>
    <cellStyle name="Normal 41 2 3 3" xfId="1834" xr:uid="{00000000-0005-0000-0000-000012350000}"/>
    <cellStyle name="Normal 41 2 3 3 2" xfId="4146" xr:uid="{00000000-0005-0000-0000-000013350000}"/>
    <cellStyle name="Normal 41 2 3 3 2 2" xfId="9097" xr:uid="{00000000-0005-0000-0000-000014350000}"/>
    <cellStyle name="Normal 41 2 3 3 2 2 2" xfId="19994" xr:uid="{00000000-0005-0000-0000-000015350000}"/>
    <cellStyle name="Normal 41 2 3 3 2 3" xfId="15043" xr:uid="{00000000-0005-0000-0000-000016350000}"/>
    <cellStyle name="Normal 41 2 3 3 3" xfId="6785" xr:uid="{00000000-0005-0000-0000-000017350000}"/>
    <cellStyle name="Normal 41 2 3 3 3 2" xfId="17682" xr:uid="{00000000-0005-0000-0000-000018350000}"/>
    <cellStyle name="Normal 41 2 3 3 4" xfId="12759" xr:uid="{00000000-0005-0000-0000-000019350000}"/>
    <cellStyle name="Normal 41 2 3 4" xfId="2985" xr:uid="{00000000-0005-0000-0000-00001A350000}"/>
    <cellStyle name="Normal 41 2 3 4 2" xfId="7936" xr:uid="{00000000-0005-0000-0000-00001B350000}"/>
    <cellStyle name="Normal 41 2 3 4 2 2" xfId="18833" xr:uid="{00000000-0005-0000-0000-00001C350000}"/>
    <cellStyle name="Normal 41 2 3 4 3" xfId="13882" xr:uid="{00000000-0005-0000-0000-00001D350000}"/>
    <cellStyle name="Normal 41 2 3 5" xfId="5624" xr:uid="{00000000-0005-0000-0000-00001E350000}"/>
    <cellStyle name="Normal 41 2 3 5 2" xfId="16521" xr:uid="{00000000-0005-0000-0000-00001F350000}"/>
    <cellStyle name="Normal 41 2 3 6" xfId="11623" xr:uid="{00000000-0005-0000-0000-000020350000}"/>
    <cellStyle name="Normal 41 2 4" xfId="928" xr:uid="{00000000-0005-0000-0000-000021350000}"/>
    <cellStyle name="Normal 41 2 4 2" xfId="2085" xr:uid="{00000000-0005-0000-0000-000022350000}"/>
    <cellStyle name="Normal 41 2 4 2 2" xfId="4397" xr:uid="{00000000-0005-0000-0000-000023350000}"/>
    <cellStyle name="Normal 41 2 4 2 2 2" xfId="9348" xr:uid="{00000000-0005-0000-0000-000024350000}"/>
    <cellStyle name="Normal 41 2 4 2 2 2 2" xfId="20245" xr:uid="{00000000-0005-0000-0000-000025350000}"/>
    <cellStyle name="Normal 41 2 4 2 2 3" xfId="15294" xr:uid="{00000000-0005-0000-0000-000026350000}"/>
    <cellStyle name="Normal 41 2 4 2 3" xfId="7036" xr:uid="{00000000-0005-0000-0000-000027350000}"/>
    <cellStyle name="Normal 41 2 4 2 3 2" xfId="17933" xr:uid="{00000000-0005-0000-0000-000028350000}"/>
    <cellStyle name="Normal 41 2 4 2 4" xfId="13003" xr:uid="{00000000-0005-0000-0000-000029350000}"/>
    <cellStyle name="Normal 41 2 4 3" xfId="3252" xr:uid="{00000000-0005-0000-0000-00002A350000}"/>
    <cellStyle name="Normal 41 2 4 3 2" xfId="8203" xr:uid="{00000000-0005-0000-0000-00002B350000}"/>
    <cellStyle name="Normal 41 2 4 3 2 2" xfId="19100" xr:uid="{00000000-0005-0000-0000-00002C350000}"/>
    <cellStyle name="Normal 41 2 4 3 3" xfId="14149" xr:uid="{00000000-0005-0000-0000-00002D350000}"/>
    <cellStyle name="Normal 41 2 4 4" xfId="5891" xr:uid="{00000000-0005-0000-0000-00002E350000}"/>
    <cellStyle name="Normal 41 2 4 4 2" xfId="16788" xr:uid="{00000000-0005-0000-0000-00002F350000}"/>
    <cellStyle name="Normal 41 2 4 5" xfId="11885" xr:uid="{00000000-0005-0000-0000-000030350000}"/>
    <cellStyle name="Normal 41 2 5" xfId="1601" xr:uid="{00000000-0005-0000-0000-000031350000}"/>
    <cellStyle name="Normal 41 2 5 2" xfId="3913" xr:uid="{00000000-0005-0000-0000-000032350000}"/>
    <cellStyle name="Normal 41 2 5 2 2" xfId="8864" xr:uid="{00000000-0005-0000-0000-000033350000}"/>
    <cellStyle name="Normal 41 2 5 2 2 2" xfId="19761" xr:uid="{00000000-0005-0000-0000-000034350000}"/>
    <cellStyle name="Normal 41 2 5 2 3" xfId="14810" xr:uid="{00000000-0005-0000-0000-000035350000}"/>
    <cellStyle name="Normal 41 2 5 3" xfId="6552" xr:uid="{00000000-0005-0000-0000-000036350000}"/>
    <cellStyle name="Normal 41 2 5 3 2" xfId="17449" xr:uid="{00000000-0005-0000-0000-000037350000}"/>
    <cellStyle name="Normal 41 2 5 4" xfId="12533" xr:uid="{00000000-0005-0000-0000-000038350000}"/>
    <cellStyle name="Normal 41 2 6" xfId="2720" xr:uid="{00000000-0005-0000-0000-000039350000}"/>
    <cellStyle name="Normal 41 2 6 2" xfId="7671" xr:uid="{00000000-0005-0000-0000-00003A350000}"/>
    <cellStyle name="Normal 41 2 6 2 2" xfId="18568" xr:uid="{00000000-0005-0000-0000-00003B350000}"/>
    <cellStyle name="Normal 41 2 6 3" xfId="13617" xr:uid="{00000000-0005-0000-0000-00003C350000}"/>
    <cellStyle name="Normal 41 2 7" xfId="5359" xr:uid="{00000000-0005-0000-0000-00003D350000}"/>
    <cellStyle name="Normal 41 2 7 2" xfId="16256" xr:uid="{00000000-0005-0000-0000-00003E350000}"/>
    <cellStyle name="Normal 41 2 8" xfId="11362" xr:uid="{00000000-0005-0000-0000-00003F350000}"/>
    <cellStyle name="Normal 41 3" xfId="474" xr:uid="{00000000-0005-0000-0000-000040350000}"/>
    <cellStyle name="Normal 41 3 2" xfId="739" xr:uid="{00000000-0005-0000-0000-000041350000}"/>
    <cellStyle name="Normal 41 3 2 2" xfId="1271" xr:uid="{00000000-0005-0000-0000-000042350000}"/>
    <cellStyle name="Normal 41 3 2 2 2" xfId="2428" xr:uid="{00000000-0005-0000-0000-000043350000}"/>
    <cellStyle name="Normal 41 3 2 2 2 2" xfId="4740" xr:uid="{00000000-0005-0000-0000-000044350000}"/>
    <cellStyle name="Normal 41 3 2 2 2 2 2" xfId="9691" xr:uid="{00000000-0005-0000-0000-000045350000}"/>
    <cellStyle name="Normal 41 3 2 2 2 2 2 2" xfId="20588" xr:uid="{00000000-0005-0000-0000-000046350000}"/>
    <cellStyle name="Normal 41 3 2 2 2 2 3" xfId="15637" xr:uid="{00000000-0005-0000-0000-000047350000}"/>
    <cellStyle name="Normal 41 3 2 2 2 3" xfId="7379" xr:uid="{00000000-0005-0000-0000-000048350000}"/>
    <cellStyle name="Normal 41 3 2 2 2 3 2" xfId="18276" xr:uid="{00000000-0005-0000-0000-000049350000}"/>
    <cellStyle name="Normal 41 3 2 2 2 4" xfId="13339" xr:uid="{00000000-0005-0000-0000-00004A350000}"/>
    <cellStyle name="Normal 41 3 2 2 3" xfId="3595" xr:uid="{00000000-0005-0000-0000-00004B350000}"/>
    <cellStyle name="Normal 41 3 2 2 3 2" xfId="8546" xr:uid="{00000000-0005-0000-0000-00004C350000}"/>
    <cellStyle name="Normal 41 3 2 2 3 2 2" xfId="19443" xr:uid="{00000000-0005-0000-0000-00004D350000}"/>
    <cellStyle name="Normal 41 3 2 2 3 3" xfId="14492" xr:uid="{00000000-0005-0000-0000-00004E350000}"/>
    <cellStyle name="Normal 41 3 2 2 4" xfId="6234" xr:uid="{00000000-0005-0000-0000-00004F350000}"/>
    <cellStyle name="Normal 41 3 2 2 4 2" xfId="17131" xr:uid="{00000000-0005-0000-0000-000050350000}"/>
    <cellStyle name="Normal 41 3 2 2 5" xfId="12221" xr:uid="{00000000-0005-0000-0000-000051350000}"/>
    <cellStyle name="Normal 41 3 2 3" xfId="1897" xr:uid="{00000000-0005-0000-0000-000052350000}"/>
    <cellStyle name="Normal 41 3 2 3 2" xfId="4209" xr:uid="{00000000-0005-0000-0000-000053350000}"/>
    <cellStyle name="Normal 41 3 2 3 2 2" xfId="9160" xr:uid="{00000000-0005-0000-0000-000054350000}"/>
    <cellStyle name="Normal 41 3 2 3 2 2 2" xfId="20057" xr:uid="{00000000-0005-0000-0000-000055350000}"/>
    <cellStyle name="Normal 41 3 2 3 2 3" xfId="15106" xr:uid="{00000000-0005-0000-0000-000056350000}"/>
    <cellStyle name="Normal 41 3 2 3 3" xfId="6848" xr:uid="{00000000-0005-0000-0000-000057350000}"/>
    <cellStyle name="Normal 41 3 2 3 3 2" xfId="17745" xr:uid="{00000000-0005-0000-0000-000058350000}"/>
    <cellStyle name="Normal 41 3 2 3 4" xfId="12821" xr:uid="{00000000-0005-0000-0000-000059350000}"/>
    <cellStyle name="Normal 41 3 2 4" xfId="3063" xr:uid="{00000000-0005-0000-0000-00005A350000}"/>
    <cellStyle name="Normal 41 3 2 4 2" xfId="8014" xr:uid="{00000000-0005-0000-0000-00005B350000}"/>
    <cellStyle name="Normal 41 3 2 4 2 2" xfId="18911" xr:uid="{00000000-0005-0000-0000-00005C350000}"/>
    <cellStyle name="Normal 41 3 2 4 3" xfId="13960" xr:uid="{00000000-0005-0000-0000-00005D350000}"/>
    <cellStyle name="Normal 41 3 2 5" xfId="5702" xr:uid="{00000000-0005-0000-0000-00005E350000}"/>
    <cellStyle name="Normal 41 3 2 5 2" xfId="16599" xr:uid="{00000000-0005-0000-0000-00005F350000}"/>
    <cellStyle name="Normal 41 3 2 6" xfId="11700" xr:uid="{00000000-0005-0000-0000-000060350000}"/>
    <cellStyle name="Normal 41 3 3" xfId="1006" xr:uid="{00000000-0005-0000-0000-000061350000}"/>
    <cellStyle name="Normal 41 3 3 2" xfId="2163" xr:uid="{00000000-0005-0000-0000-000062350000}"/>
    <cellStyle name="Normal 41 3 3 2 2" xfId="4475" xr:uid="{00000000-0005-0000-0000-000063350000}"/>
    <cellStyle name="Normal 41 3 3 2 2 2" xfId="9426" xr:uid="{00000000-0005-0000-0000-000064350000}"/>
    <cellStyle name="Normal 41 3 3 2 2 2 2" xfId="20323" xr:uid="{00000000-0005-0000-0000-000065350000}"/>
    <cellStyle name="Normal 41 3 3 2 2 3" xfId="15372" xr:uid="{00000000-0005-0000-0000-000066350000}"/>
    <cellStyle name="Normal 41 3 3 2 3" xfId="7114" xr:uid="{00000000-0005-0000-0000-000067350000}"/>
    <cellStyle name="Normal 41 3 3 2 3 2" xfId="18011" xr:uid="{00000000-0005-0000-0000-000068350000}"/>
    <cellStyle name="Normal 41 3 3 2 4" xfId="13080" xr:uid="{00000000-0005-0000-0000-000069350000}"/>
    <cellStyle name="Normal 41 3 3 3" xfId="3330" xr:uid="{00000000-0005-0000-0000-00006A350000}"/>
    <cellStyle name="Normal 41 3 3 3 2" xfId="8281" xr:uid="{00000000-0005-0000-0000-00006B350000}"/>
    <cellStyle name="Normal 41 3 3 3 2 2" xfId="19178" xr:uid="{00000000-0005-0000-0000-00006C350000}"/>
    <cellStyle name="Normal 41 3 3 3 3" xfId="14227" xr:uid="{00000000-0005-0000-0000-00006D350000}"/>
    <cellStyle name="Normal 41 3 3 4" xfId="5969" xr:uid="{00000000-0005-0000-0000-00006E350000}"/>
    <cellStyle name="Normal 41 3 3 4 2" xfId="16866" xr:uid="{00000000-0005-0000-0000-00006F350000}"/>
    <cellStyle name="Normal 41 3 3 5" xfId="11962" xr:uid="{00000000-0005-0000-0000-000070350000}"/>
    <cellStyle name="Normal 41 3 4" xfId="1664" xr:uid="{00000000-0005-0000-0000-000071350000}"/>
    <cellStyle name="Normal 41 3 4 2" xfId="3976" xr:uid="{00000000-0005-0000-0000-000072350000}"/>
    <cellStyle name="Normal 41 3 4 2 2" xfId="8927" xr:uid="{00000000-0005-0000-0000-000073350000}"/>
    <cellStyle name="Normal 41 3 4 2 2 2" xfId="19824" xr:uid="{00000000-0005-0000-0000-000074350000}"/>
    <cellStyle name="Normal 41 3 4 2 3" xfId="14873" xr:uid="{00000000-0005-0000-0000-000075350000}"/>
    <cellStyle name="Normal 41 3 4 3" xfId="6615" xr:uid="{00000000-0005-0000-0000-000076350000}"/>
    <cellStyle name="Normal 41 3 4 3 2" xfId="17512" xr:uid="{00000000-0005-0000-0000-000077350000}"/>
    <cellStyle name="Normal 41 3 4 4" xfId="12595" xr:uid="{00000000-0005-0000-0000-000078350000}"/>
    <cellStyle name="Normal 41 3 5" xfId="2798" xr:uid="{00000000-0005-0000-0000-000079350000}"/>
    <cellStyle name="Normal 41 3 5 2" xfId="7749" xr:uid="{00000000-0005-0000-0000-00007A350000}"/>
    <cellStyle name="Normal 41 3 5 2 2" xfId="18646" xr:uid="{00000000-0005-0000-0000-00007B350000}"/>
    <cellStyle name="Normal 41 3 5 3" xfId="13695" xr:uid="{00000000-0005-0000-0000-00007C350000}"/>
    <cellStyle name="Normal 41 3 6" xfId="5437" xr:uid="{00000000-0005-0000-0000-00007D350000}"/>
    <cellStyle name="Normal 41 3 6 2" xfId="16334" xr:uid="{00000000-0005-0000-0000-00007E350000}"/>
    <cellStyle name="Normal 41 3 7" xfId="11439" xr:uid="{00000000-0005-0000-0000-00007F350000}"/>
    <cellStyle name="Normal 41 4" xfId="598" xr:uid="{00000000-0005-0000-0000-000080350000}"/>
    <cellStyle name="Normal 41 4 2" xfId="1130" xr:uid="{00000000-0005-0000-0000-000081350000}"/>
    <cellStyle name="Normal 41 4 2 2" xfId="2287" xr:uid="{00000000-0005-0000-0000-000082350000}"/>
    <cellStyle name="Normal 41 4 2 2 2" xfId="4599" xr:uid="{00000000-0005-0000-0000-000083350000}"/>
    <cellStyle name="Normal 41 4 2 2 2 2" xfId="9550" xr:uid="{00000000-0005-0000-0000-000084350000}"/>
    <cellStyle name="Normal 41 4 2 2 2 2 2" xfId="20447" xr:uid="{00000000-0005-0000-0000-000085350000}"/>
    <cellStyle name="Normal 41 4 2 2 2 3" xfId="15496" xr:uid="{00000000-0005-0000-0000-000086350000}"/>
    <cellStyle name="Normal 41 4 2 2 3" xfId="7238" xr:uid="{00000000-0005-0000-0000-000087350000}"/>
    <cellStyle name="Normal 41 4 2 2 3 2" xfId="18135" xr:uid="{00000000-0005-0000-0000-000088350000}"/>
    <cellStyle name="Normal 41 4 2 2 4" xfId="13202" xr:uid="{00000000-0005-0000-0000-000089350000}"/>
    <cellStyle name="Normal 41 4 2 3" xfId="3454" xr:uid="{00000000-0005-0000-0000-00008A350000}"/>
    <cellStyle name="Normal 41 4 2 3 2" xfId="8405" xr:uid="{00000000-0005-0000-0000-00008B350000}"/>
    <cellStyle name="Normal 41 4 2 3 2 2" xfId="19302" xr:uid="{00000000-0005-0000-0000-00008C350000}"/>
    <cellStyle name="Normal 41 4 2 3 3" xfId="14351" xr:uid="{00000000-0005-0000-0000-00008D350000}"/>
    <cellStyle name="Normal 41 4 2 4" xfId="6093" xr:uid="{00000000-0005-0000-0000-00008E350000}"/>
    <cellStyle name="Normal 41 4 2 4 2" xfId="16990" xr:uid="{00000000-0005-0000-0000-00008F350000}"/>
    <cellStyle name="Normal 41 4 2 5" xfId="12084" xr:uid="{00000000-0005-0000-0000-000090350000}"/>
    <cellStyle name="Normal 41 4 3" xfId="1779" xr:uid="{00000000-0005-0000-0000-000091350000}"/>
    <cellStyle name="Normal 41 4 3 2" xfId="4091" xr:uid="{00000000-0005-0000-0000-000092350000}"/>
    <cellStyle name="Normal 41 4 3 2 2" xfId="9042" xr:uid="{00000000-0005-0000-0000-000093350000}"/>
    <cellStyle name="Normal 41 4 3 2 2 2" xfId="19939" xr:uid="{00000000-0005-0000-0000-000094350000}"/>
    <cellStyle name="Normal 41 4 3 2 3" xfId="14988" xr:uid="{00000000-0005-0000-0000-000095350000}"/>
    <cellStyle name="Normal 41 4 3 3" xfId="6730" xr:uid="{00000000-0005-0000-0000-000096350000}"/>
    <cellStyle name="Normal 41 4 3 3 2" xfId="17627" xr:uid="{00000000-0005-0000-0000-000097350000}"/>
    <cellStyle name="Normal 41 4 3 4" xfId="12708" xr:uid="{00000000-0005-0000-0000-000098350000}"/>
    <cellStyle name="Normal 41 4 4" xfId="2922" xr:uid="{00000000-0005-0000-0000-000099350000}"/>
    <cellStyle name="Normal 41 4 4 2" xfId="7873" xr:uid="{00000000-0005-0000-0000-00009A350000}"/>
    <cellStyle name="Normal 41 4 4 2 2" xfId="18770" xr:uid="{00000000-0005-0000-0000-00009B350000}"/>
    <cellStyle name="Normal 41 4 4 3" xfId="13819" xr:uid="{00000000-0005-0000-0000-00009C350000}"/>
    <cellStyle name="Normal 41 4 5" xfId="5561" xr:uid="{00000000-0005-0000-0000-00009D350000}"/>
    <cellStyle name="Normal 41 4 5 2" xfId="16458" xr:uid="{00000000-0005-0000-0000-00009E350000}"/>
    <cellStyle name="Normal 41 4 6" xfId="11563" xr:uid="{00000000-0005-0000-0000-00009F350000}"/>
    <cellStyle name="Normal 41 5" xfId="865" xr:uid="{00000000-0005-0000-0000-0000A0350000}"/>
    <cellStyle name="Normal 41 5 2" xfId="2022" xr:uid="{00000000-0005-0000-0000-0000A1350000}"/>
    <cellStyle name="Normal 41 5 2 2" xfId="4334" xr:uid="{00000000-0005-0000-0000-0000A2350000}"/>
    <cellStyle name="Normal 41 5 2 2 2" xfId="9285" xr:uid="{00000000-0005-0000-0000-0000A3350000}"/>
    <cellStyle name="Normal 41 5 2 2 2 2" xfId="20182" xr:uid="{00000000-0005-0000-0000-0000A4350000}"/>
    <cellStyle name="Normal 41 5 2 2 3" xfId="15231" xr:uid="{00000000-0005-0000-0000-0000A5350000}"/>
    <cellStyle name="Normal 41 5 2 3" xfId="6973" xr:uid="{00000000-0005-0000-0000-0000A6350000}"/>
    <cellStyle name="Normal 41 5 2 3 2" xfId="17870" xr:uid="{00000000-0005-0000-0000-0000A7350000}"/>
    <cellStyle name="Normal 41 5 2 4" xfId="12944" xr:uid="{00000000-0005-0000-0000-0000A8350000}"/>
    <cellStyle name="Normal 41 5 3" xfId="3189" xr:uid="{00000000-0005-0000-0000-0000A9350000}"/>
    <cellStyle name="Normal 41 5 3 2" xfId="8140" xr:uid="{00000000-0005-0000-0000-0000AA350000}"/>
    <cellStyle name="Normal 41 5 3 2 2" xfId="19037" xr:uid="{00000000-0005-0000-0000-0000AB350000}"/>
    <cellStyle name="Normal 41 5 3 3" xfId="14086" xr:uid="{00000000-0005-0000-0000-0000AC350000}"/>
    <cellStyle name="Normal 41 5 4" xfId="5828" xr:uid="{00000000-0005-0000-0000-0000AD350000}"/>
    <cellStyle name="Normal 41 5 4 2" xfId="16725" xr:uid="{00000000-0005-0000-0000-0000AE350000}"/>
    <cellStyle name="Normal 41 5 5" xfId="11826" xr:uid="{00000000-0005-0000-0000-0000AF350000}"/>
    <cellStyle name="Normal 41 6" xfId="1546" xr:uid="{00000000-0005-0000-0000-0000B0350000}"/>
    <cellStyle name="Normal 41 6 2" xfId="3858" xr:uid="{00000000-0005-0000-0000-0000B1350000}"/>
    <cellStyle name="Normal 41 6 2 2" xfId="8809" xr:uid="{00000000-0005-0000-0000-0000B2350000}"/>
    <cellStyle name="Normal 41 6 2 2 2" xfId="19706" xr:uid="{00000000-0005-0000-0000-0000B3350000}"/>
    <cellStyle name="Normal 41 6 2 3" xfId="14755" xr:uid="{00000000-0005-0000-0000-0000B4350000}"/>
    <cellStyle name="Normal 41 6 3" xfId="6497" xr:uid="{00000000-0005-0000-0000-0000B5350000}"/>
    <cellStyle name="Normal 41 6 3 2" xfId="17394" xr:uid="{00000000-0005-0000-0000-0000B6350000}"/>
    <cellStyle name="Normal 41 6 4" xfId="12481" xr:uid="{00000000-0005-0000-0000-0000B7350000}"/>
    <cellStyle name="Normal 41 7" xfId="2657" xr:uid="{00000000-0005-0000-0000-0000B8350000}"/>
    <cellStyle name="Normal 41 7 2" xfId="7608" xr:uid="{00000000-0005-0000-0000-0000B9350000}"/>
    <cellStyle name="Normal 41 7 2 2" xfId="18505" xr:uid="{00000000-0005-0000-0000-0000BA350000}"/>
    <cellStyle name="Normal 41 7 3" xfId="13554" xr:uid="{00000000-0005-0000-0000-0000BB350000}"/>
    <cellStyle name="Normal 41 8" xfId="5296" xr:uid="{00000000-0005-0000-0000-0000BC350000}"/>
    <cellStyle name="Normal 41 8 2" xfId="16193" xr:uid="{00000000-0005-0000-0000-0000BD350000}"/>
    <cellStyle name="Normal 41 9" xfId="11301" xr:uid="{00000000-0005-0000-0000-0000BE350000}"/>
    <cellStyle name="Normal 42" xfId="306" xr:uid="{00000000-0005-0000-0000-0000BF350000}"/>
    <cellStyle name="Normal 42 2" xfId="396" xr:uid="{00000000-0005-0000-0000-0000C0350000}"/>
    <cellStyle name="Normal 42 2 2" xfId="526" xr:uid="{00000000-0005-0000-0000-0000C1350000}"/>
    <cellStyle name="Normal 42 2 2 2" xfId="791" xr:uid="{00000000-0005-0000-0000-0000C2350000}"/>
    <cellStyle name="Normal 42 2 2 2 2" xfId="1323" xr:uid="{00000000-0005-0000-0000-0000C3350000}"/>
    <cellStyle name="Normal 42 2 2 2 2 2" xfId="2480" xr:uid="{00000000-0005-0000-0000-0000C4350000}"/>
    <cellStyle name="Normal 42 2 2 2 2 2 2" xfId="4792" xr:uid="{00000000-0005-0000-0000-0000C5350000}"/>
    <cellStyle name="Normal 42 2 2 2 2 2 2 2" xfId="9743" xr:uid="{00000000-0005-0000-0000-0000C6350000}"/>
    <cellStyle name="Normal 42 2 2 2 2 2 2 2 2" xfId="20640" xr:uid="{00000000-0005-0000-0000-0000C7350000}"/>
    <cellStyle name="Normal 42 2 2 2 2 2 2 3" xfId="15689" xr:uid="{00000000-0005-0000-0000-0000C8350000}"/>
    <cellStyle name="Normal 42 2 2 2 2 2 3" xfId="7431" xr:uid="{00000000-0005-0000-0000-0000C9350000}"/>
    <cellStyle name="Normal 42 2 2 2 2 2 3 2" xfId="18328" xr:uid="{00000000-0005-0000-0000-0000CA350000}"/>
    <cellStyle name="Normal 42 2 2 2 2 2 4" xfId="13391" xr:uid="{00000000-0005-0000-0000-0000CB350000}"/>
    <cellStyle name="Normal 42 2 2 2 2 3" xfId="3647" xr:uid="{00000000-0005-0000-0000-0000CC350000}"/>
    <cellStyle name="Normal 42 2 2 2 2 3 2" xfId="8598" xr:uid="{00000000-0005-0000-0000-0000CD350000}"/>
    <cellStyle name="Normal 42 2 2 2 2 3 2 2" xfId="19495" xr:uid="{00000000-0005-0000-0000-0000CE350000}"/>
    <cellStyle name="Normal 42 2 2 2 2 3 3" xfId="14544" xr:uid="{00000000-0005-0000-0000-0000CF350000}"/>
    <cellStyle name="Normal 42 2 2 2 2 4" xfId="6286" xr:uid="{00000000-0005-0000-0000-0000D0350000}"/>
    <cellStyle name="Normal 42 2 2 2 2 4 2" xfId="17183" xr:uid="{00000000-0005-0000-0000-0000D1350000}"/>
    <cellStyle name="Normal 42 2 2 2 2 5" xfId="12273" xr:uid="{00000000-0005-0000-0000-0000D2350000}"/>
    <cellStyle name="Normal 42 2 2 2 3" xfId="1949" xr:uid="{00000000-0005-0000-0000-0000D3350000}"/>
    <cellStyle name="Normal 42 2 2 2 3 2" xfId="4261" xr:uid="{00000000-0005-0000-0000-0000D4350000}"/>
    <cellStyle name="Normal 42 2 2 2 3 2 2" xfId="9212" xr:uid="{00000000-0005-0000-0000-0000D5350000}"/>
    <cellStyle name="Normal 42 2 2 2 3 2 2 2" xfId="20109" xr:uid="{00000000-0005-0000-0000-0000D6350000}"/>
    <cellStyle name="Normal 42 2 2 2 3 2 3" xfId="15158" xr:uid="{00000000-0005-0000-0000-0000D7350000}"/>
    <cellStyle name="Normal 42 2 2 2 3 3" xfId="6900" xr:uid="{00000000-0005-0000-0000-0000D8350000}"/>
    <cellStyle name="Normal 42 2 2 2 3 3 2" xfId="17797" xr:uid="{00000000-0005-0000-0000-0000D9350000}"/>
    <cellStyle name="Normal 42 2 2 2 3 4" xfId="12873" xr:uid="{00000000-0005-0000-0000-0000DA350000}"/>
    <cellStyle name="Normal 42 2 2 2 4" xfId="3115" xr:uid="{00000000-0005-0000-0000-0000DB350000}"/>
    <cellStyle name="Normal 42 2 2 2 4 2" xfId="8066" xr:uid="{00000000-0005-0000-0000-0000DC350000}"/>
    <cellStyle name="Normal 42 2 2 2 4 2 2" xfId="18963" xr:uid="{00000000-0005-0000-0000-0000DD350000}"/>
    <cellStyle name="Normal 42 2 2 2 4 3" xfId="14012" xr:uid="{00000000-0005-0000-0000-0000DE350000}"/>
    <cellStyle name="Normal 42 2 2 2 5" xfId="5754" xr:uid="{00000000-0005-0000-0000-0000DF350000}"/>
    <cellStyle name="Normal 42 2 2 2 5 2" xfId="16651" xr:uid="{00000000-0005-0000-0000-0000E0350000}"/>
    <cellStyle name="Normal 42 2 2 2 6" xfId="11752" xr:uid="{00000000-0005-0000-0000-0000E1350000}"/>
    <cellStyle name="Normal 42 2 2 3" xfId="1058" xr:uid="{00000000-0005-0000-0000-0000E2350000}"/>
    <cellStyle name="Normal 42 2 2 3 2" xfId="2215" xr:uid="{00000000-0005-0000-0000-0000E3350000}"/>
    <cellStyle name="Normal 42 2 2 3 2 2" xfId="4527" xr:uid="{00000000-0005-0000-0000-0000E4350000}"/>
    <cellStyle name="Normal 42 2 2 3 2 2 2" xfId="9478" xr:uid="{00000000-0005-0000-0000-0000E5350000}"/>
    <cellStyle name="Normal 42 2 2 3 2 2 2 2" xfId="20375" xr:uid="{00000000-0005-0000-0000-0000E6350000}"/>
    <cellStyle name="Normal 42 2 2 3 2 2 3" xfId="15424" xr:uid="{00000000-0005-0000-0000-0000E7350000}"/>
    <cellStyle name="Normal 42 2 2 3 2 3" xfId="7166" xr:uid="{00000000-0005-0000-0000-0000E8350000}"/>
    <cellStyle name="Normal 42 2 2 3 2 3 2" xfId="18063" xr:uid="{00000000-0005-0000-0000-0000E9350000}"/>
    <cellStyle name="Normal 42 2 2 3 2 4" xfId="13132" xr:uid="{00000000-0005-0000-0000-0000EA350000}"/>
    <cellStyle name="Normal 42 2 2 3 3" xfId="3382" xr:uid="{00000000-0005-0000-0000-0000EB350000}"/>
    <cellStyle name="Normal 42 2 2 3 3 2" xfId="8333" xr:uid="{00000000-0005-0000-0000-0000EC350000}"/>
    <cellStyle name="Normal 42 2 2 3 3 2 2" xfId="19230" xr:uid="{00000000-0005-0000-0000-0000ED350000}"/>
    <cellStyle name="Normal 42 2 2 3 3 3" xfId="14279" xr:uid="{00000000-0005-0000-0000-0000EE350000}"/>
    <cellStyle name="Normal 42 2 2 3 4" xfId="6021" xr:uid="{00000000-0005-0000-0000-0000EF350000}"/>
    <cellStyle name="Normal 42 2 2 3 4 2" xfId="16918" xr:uid="{00000000-0005-0000-0000-0000F0350000}"/>
    <cellStyle name="Normal 42 2 2 3 5" xfId="12014" xr:uid="{00000000-0005-0000-0000-0000F1350000}"/>
    <cellStyle name="Normal 42 2 2 4" xfId="1716" xr:uid="{00000000-0005-0000-0000-0000F2350000}"/>
    <cellStyle name="Normal 42 2 2 4 2" xfId="4028" xr:uid="{00000000-0005-0000-0000-0000F3350000}"/>
    <cellStyle name="Normal 42 2 2 4 2 2" xfId="8979" xr:uid="{00000000-0005-0000-0000-0000F4350000}"/>
    <cellStyle name="Normal 42 2 2 4 2 2 2" xfId="19876" xr:uid="{00000000-0005-0000-0000-0000F5350000}"/>
    <cellStyle name="Normal 42 2 2 4 2 3" xfId="14925" xr:uid="{00000000-0005-0000-0000-0000F6350000}"/>
    <cellStyle name="Normal 42 2 2 4 3" xfId="6667" xr:uid="{00000000-0005-0000-0000-0000F7350000}"/>
    <cellStyle name="Normal 42 2 2 4 3 2" xfId="17564" xr:uid="{00000000-0005-0000-0000-0000F8350000}"/>
    <cellStyle name="Normal 42 2 2 4 4" xfId="12647" xr:uid="{00000000-0005-0000-0000-0000F9350000}"/>
    <cellStyle name="Normal 42 2 2 5" xfId="2850" xr:uid="{00000000-0005-0000-0000-0000FA350000}"/>
    <cellStyle name="Normal 42 2 2 5 2" xfId="7801" xr:uid="{00000000-0005-0000-0000-0000FB350000}"/>
    <cellStyle name="Normal 42 2 2 5 2 2" xfId="18698" xr:uid="{00000000-0005-0000-0000-0000FC350000}"/>
    <cellStyle name="Normal 42 2 2 5 3" xfId="13747" xr:uid="{00000000-0005-0000-0000-0000FD350000}"/>
    <cellStyle name="Normal 42 2 2 6" xfId="5489" xr:uid="{00000000-0005-0000-0000-0000FE350000}"/>
    <cellStyle name="Normal 42 2 2 6 2" xfId="16386" xr:uid="{00000000-0005-0000-0000-0000FF350000}"/>
    <cellStyle name="Normal 42 2 2 7" xfId="11491" xr:uid="{00000000-0005-0000-0000-000000360000}"/>
    <cellStyle name="Normal 42 2 3" xfId="662" xr:uid="{00000000-0005-0000-0000-000001360000}"/>
    <cellStyle name="Normal 42 2 3 2" xfId="1194" xr:uid="{00000000-0005-0000-0000-000002360000}"/>
    <cellStyle name="Normal 42 2 3 2 2" xfId="2351" xr:uid="{00000000-0005-0000-0000-000003360000}"/>
    <cellStyle name="Normal 42 2 3 2 2 2" xfId="4663" xr:uid="{00000000-0005-0000-0000-000004360000}"/>
    <cellStyle name="Normal 42 2 3 2 2 2 2" xfId="9614" xr:uid="{00000000-0005-0000-0000-000005360000}"/>
    <cellStyle name="Normal 42 2 3 2 2 2 2 2" xfId="20511" xr:uid="{00000000-0005-0000-0000-000006360000}"/>
    <cellStyle name="Normal 42 2 3 2 2 2 3" xfId="15560" xr:uid="{00000000-0005-0000-0000-000007360000}"/>
    <cellStyle name="Normal 42 2 3 2 2 3" xfId="7302" xr:uid="{00000000-0005-0000-0000-000008360000}"/>
    <cellStyle name="Normal 42 2 3 2 2 3 2" xfId="18199" xr:uid="{00000000-0005-0000-0000-000009360000}"/>
    <cellStyle name="Normal 42 2 3 2 2 4" xfId="13263" xr:uid="{00000000-0005-0000-0000-00000A360000}"/>
    <cellStyle name="Normal 42 2 3 2 3" xfId="3518" xr:uid="{00000000-0005-0000-0000-00000B360000}"/>
    <cellStyle name="Normal 42 2 3 2 3 2" xfId="8469" xr:uid="{00000000-0005-0000-0000-00000C360000}"/>
    <cellStyle name="Normal 42 2 3 2 3 2 2" xfId="19366" xr:uid="{00000000-0005-0000-0000-00000D360000}"/>
    <cellStyle name="Normal 42 2 3 2 3 3" xfId="14415" xr:uid="{00000000-0005-0000-0000-00000E360000}"/>
    <cellStyle name="Normal 42 2 3 2 4" xfId="6157" xr:uid="{00000000-0005-0000-0000-00000F360000}"/>
    <cellStyle name="Normal 42 2 3 2 4 2" xfId="17054" xr:uid="{00000000-0005-0000-0000-000010360000}"/>
    <cellStyle name="Normal 42 2 3 2 5" xfId="12145" xr:uid="{00000000-0005-0000-0000-000011360000}"/>
    <cellStyle name="Normal 42 2 3 3" xfId="1835" xr:uid="{00000000-0005-0000-0000-000012360000}"/>
    <cellStyle name="Normal 42 2 3 3 2" xfId="4147" xr:uid="{00000000-0005-0000-0000-000013360000}"/>
    <cellStyle name="Normal 42 2 3 3 2 2" xfId="9098" xr:uid="{00000000-0005-0000-0000-000014360000}"/>
    <cellStyle name="Normal 42 2 3 3 2 2 2" xfId="19995" xr:uid="{00000000-0005-0000-0000-000015360000}"/>
    <cellStyle name="Normal 42 2 3 3 2 3" xfId="15044" xr:uid="{00000000-0005-0000-0000-000016360000}"/>
    <cellStyle name="Normal 42 2 3 3 3" xfId="6786" xr:uid="{00000000-0005-0000-0000-000017360000}"/>
    <cellStyle name="Normal 42 2 3 3 3 2" xfId="17683" xr:uid="{00000000-0005-0000-0000-000018360000}"/>
    <cellStyle name="Normal 42 2 3 3 4" xfId="12760" xr:uid="{00000000-0005-0000-0000-000019360000}"/>
    <cellStyle name="Normal 42 2 3 4" xfId="2986" xr:uid="{00000000-0005-0000-0000-00001A360000}"/>
    <cellStyle name="Normal 42 2 3 4 2" xfId="7937" xr:uid="{00000000-0005-0000-0000-00001B360000}"/>
    <cellStyle name="Normal 42 2 3 4 2 2" xfId="18834" xr:uid="{00000000-0005-0000-0000-00001C360000}"/>
    <cellStyle name="Normal 42 2 3 4 3" xfId="13883" xr:uid="{00000000-0005-0000-0000-00001D360000}"/>
    <cellStyle name="Normal 42 2 3 5" xfId="5625" xr:uid="{00000000-0005-0000-0000-00001E360000}"/>
    <cellStyle name="Normal 42 2 3 5 2" xfId="16522" xr:uid="{00000000-0005-0000-0000-00001F360000}"/>
    <cellStyle name="Normal 42 2 3 6" xfId="11624" xr:uid="{00000000-0005-0000-0000-000020360000}"/>
    <cellStyle name="Normal 42 2 4" xfId="929" xr:uid="{00000000-0005-0000-0000-000021360000}"/>
    <cellStyle name="Normal 42 2 4 2" xfId="2086" xr:uid="{00000000-0005-0000-0000-000022360000}"/>
    <cellStyle name="Normal 42 2 4 2 2" xfId="4398" xr:uid="{00000000-0005-0000-0000-000023360000}"/>
    <cellStyle name="Normal 42 2 4 2 2 2" xfId="9349" xr:uid="{00000000-0005-0000-0000-000024360000}"/>
    <cellStyle name="Normal 42 2 4 2 2 2 2" xfId="20246" xr:uid="{00000000-0005-0000-0000-000025360000}"/>
    <cellStyle name="Normal 42 2 4 2 2 3" xfId="15295" xr:uid="{00000000-0005-0000-0000-000026360000}"/>
    <cellStyle name="Normal 42 2 4 2 3" xfId="7037" xr:uid="{00000000-0005-0000-0000-000027360000}"/>
    <cellStyle name="Normal 42 2 4 2 3 2" xfId="17934" xr:uid="{00000000-0005-0000-0000-000028360000}"/>
    <cellStyle name="Normal 42 2 4 2 4" xfId="13004" xr:uid="{00000000-0005-0000-0000-000029360000}"/>
    <cellStyle name="Normal 42 2 4 3" xfId="3253" xr:uid="{00000000-0005-0000-0000-00002A360000}"/>
    <cellStyle name="Normal 42 2 4 3 2" xfId="8204" xr:uid="{00000000-0005-0000-0000-00002B360000}"/>
    <cellStyle name="Normal 42 2 4 3 2 2" xfId="19101" xr:uid="{00000000-0005-0000-0000-00002C360000}"/>
    <cellStyle name="Normal 42 2 4 3 3" xfId="14150" xr:uid="{00000000-0005-0000-0000-00002D360000}"/>
    <cellStyle name="Normal 42 2 4 4" xfId="5892" xr:uid="{00000000-0005-0000-0000-00002E360000}"/>
    <cellStyle name="Normal 42 2 4 4 2" xfId="16789" xr:uid="{00000000-0005-0000-0000-00002F360000}"/>
    <cellStyle name="Normal 42 2 4 5" xfId="11886" xr:uid="{00000000-0005-0000-0000-000030360000}"/>
    <cellStyle name="Normal 42 2 5" xfId="1602" xr:uid="{00000000-0005-0000-0000-000031360000}"/>
    <cellStyle name="Normal 42 2 5 2" xfId="3914" xr:uid="{00000000-0005-0000-0000-000032360000}"/>
    <cellStyle name="Normal 42 2 5 2 2" xfId="8865" xr:uid="{00000000-0005-0000-0000-000033360000}"/>
    <cellStyle name="Normal 42 2 5 2 2 2" xfId="19762" xr:uid="{00000000-0005-0000-0000-000034360000}"/>
    <cellStyle name="Normal 42 2 5 2 3" xfId="14811" xr:uid="{00000000-0005-0000-0000-000035360000}"/>
    <cellStyle name="Normal 42 2 5 3" xfId="6553" xr:uid="{00000000-0005-0000-0000-000036360000}"/>
    <cellStyle name="Normal 42 2 5 3 2" xfId="17450" xr:uid="{00000000-0005-0000-0000-000037360000}"/>
    <cellStyle name="Normal 42 2 5 4" xfId="12534" xr:uid="{00000000-0005-0000-0000-000038360000}"/>
    <cellStyle name="Normal 42 2 6" xfId="2721" xr:uid="{00000000-0005-0000-0000-000039360000}"/>
    <cellStyle name="Normal 42 2 6 2" xfId="7672" xr:uid="{00000000-0005-0000-0000-00003A360000}"/>
    <cellStyle name="Normal 42 2 6 2 2" xfId="18569" xr:uid="{00000000-0005-0000-0000-00003B360000}"/>
    <cellStyle name="Normal 42 2 6 3" xfId="13618" xr:uid="{00000000-0005-0000-0000-00003C360000}"/>
    <cellStyle name="Normal 42 2 7" xfId="5360" xr:uid="{00000000-0005-0000-0000-00003D360000}"/>
    <cellStyle name="Normal 42 2 7 2" xfId="16257" xr:uid="{00000000-0005-0000-0000-00003E360000}"/>
    <cellStyle name="Normal 42 2 8" xfId="11363" xr:uid="{00000000-0005-0000-0000-00003F360000}"/>
    <cellStyle name="Normal 42 3" xfId="475" xr:uid="{00000000-0005-0000-0000-000040360000}"/>
    <cellStyle name="Normal 42 3 2" xfId="740" xr:uid="{00000000-0005-0000-0000-000041360000}"/>
    <cellStyle name="Normal 42 3 2 2" xfId="1272" xr:uid="{00000000-0005-0000-0000-000042360000}"/>
    <cellStyle name="Normal 42 3 2 2 2" xfId="2429" xr:uid="{00000000-0005-0000-0000-000043360000}"/>
    <cellStyle name="Normal 42 3 2 2 2 2" xfId="4741" xr:uid="{00000000-0005-0000-0000-000044360000}"/>
    <cellStyle name="Normal 42 3 2 2 2 2 2" xfId="9692" xr:uid="{00000000-0005-0000-0000-000045360000}"/>
    <cellStyle name="Normal 42 3 2 2 2 2 2 2" xfId="20589" xr:uid="{00000000-0005-0000-0000-000046360000}"/>
    <cellStyle name="Normal 42 3 2 2 2 2 3" xfId="15638" xr:uid="{00000000-0005-0000-0000-000047360000}"/>
    <cellStyle name="Normal 42 3 2 2 2 3" xfId="7380" xr:uid="{00000000-0005-0000-0000-000048360000}"/>
    <cellStyle name="Normal 42 3 2 2 2 3 2" xfId="18277" xr:uid="{00000000-0005-0000-0000-000049360000}"/>
    <cellStyle name="Normal 42 3 2 2 2 4" xfId="13340" xr:uid="{00000000-0005-0000-0000-00004A360000}"/>
    <cellStyle name="Normal 42 3 2 2 3" xfId="3596" xr:uid="{00000000-0005-0000-0000-00004B360000}"/>
    <cellStyle name="Normal 42 3 2 2 3 2" xfId="8547" xr:uid="{00000000-0005-0000-0000-00004C360000}"/>
    <cellStyle name="Normal 42 3 2 2 3 2 2" xfId="19444" xr:uid="{00000000-0005-0000-0000-00004D360000}"/>
    <cellStyle name="Normal 42 3 2 2 3 3" xfId="14493" xr:uid="{00000000-0005-0000-0000-00004E360000}"/>
    <cellStyle name="Normal 42 3 2 2 4" xfId="6235" xr:uid="{00000000-0005-0000-0000-00004F360000}"/>
    <cellStyle name="Normal 42 3 2 2 4 2" xfId="17132" xr:uid="{00000000-0005-0000-0000-000050360000}"/>
    <cellStyle name="Normal 42 3 2 2 5" xfId="12222" xr:uid="{00000000-0005-0000-0000-000051360000}"/>
    <cellStyle name="Normal 42 3 2 3" xfId="1898" xr:uid="{00000000-0005-0000-0000-000052360000}"/>
    <cellStyle name="Normal 42 3 2 3 2" xfId="4210" xr:uid="{00000000-0005-0000-0000-000053360000}"/>
    <cellStyle name="Normal 42 3 2 3 2 2" xfId="9161" xr:uid="{00000000-0005-0000-0000-000054360000}"/>
    <cellStyle name="Normal 42 3 2 3 2 2 2" xfId="20058" xr:uid="{00000000-0005-0000-0000-000055360000}"/>
    <cellStyle name="Normal 42 3 2 3 2 3" xfId="15107" xr:uid="{00000000-0005-0000-0000-000056360000}"/>
    <cellStyle name="Normal 42 3 2 3 3" xfId="6849" xr:uid="{00000000-0005-0000-0000-000057360000}"/>
    <cellStyle name="Normal 42 3 2 3 3 2" xfId="17746" xr:uid="{00000000-0005-0000-0000-000058360000}"/>
    <cellStyle name="Normal 42 3 2 3 4" xfId="12822" xr:uid="{00000000-0005-0000-0000-000059360000}"/>
    <cellStyle name="Normal 42 3 2 4" xfId="3064" xr:uid="{00000000-0005-0000-0000-00005A360000}"/>
    <cellStyle name="Normal 42 3 2 4 2" xfId="8015" xr:uid="{00000000-0005-0000-0000-00005B360000}"/>
    <cellStyle name="Normal 42 3 2 4 2 2" xfId="18912" xr:uid="{00000000-0005-0000-0000-00005C360000}"/>
    <cellStyle name="Normal 42 3 2 4 3" xfId="13961" xr:uid="{00000000-0005-0000-0000-00005D360000}"/>
    <cellStyle name="Normal 42 3 2 5" xfId="5703" xr:uid="{00000000-0005-0000-0000-00005E360000}"/>
    <cellStyle name="Normal 42 3 2 5 2" xfId="16600" xr:uid="{00000000-0005-0000-0000-00005F360000}"/>
    <cellStyle name="Normal 42 3 2 6" xfId="11701" xr:uid="{00000000-0005-0000-0000-000060360000}"/>
    <cellStyle name="Normal 42 3 3" xfId="1007" xr:uid="{00000000-0005-0000-0000-000061360000}"/>
    <cellStyle name="Normal 42 3 3 2" xfId="2164" xr:uid="{00000000-0005-0000-0000-000062360000}"/>
    <cellStyle name="Normal 42 3 3 2 2" xfId="4476" xr:uid="{00000000-0005-0000-0000-000063360000}"/>
    <cellStyle name="Normal 42 3 3 2 2 2" xfId="9427" xr:uid="{00000000-0005-0000-0000-000064360000}"/>
    <cellStyle name="Normal 42 3 3 2 2 2 2" xfId="20324" xr:uid="{00000000-0005-0000-0000-000065360000}"/>
    <cellStyle name="Normal 42 3 3 2 2 3" xfId="15373" xr:uid="{00000000-0005-0000-0000-000066360000}"/>
    <cellStyle name="Normal 42 3 3 2 3" xfId="7115" xr:uid="{00000000-0005-0000-0000-000067360000}"/>
    <cellStyle name="Normal 42 3 3 2 3 2" xfId="18012" xr:uid="{00000000-0005-0000-0000-000068360000}"/>
    <cellStyle name="Normal 42 3 3 2 4" xfId="13081" xr:uid="{00000000-0005-0000-0000-000069360000}"/>
    <cellStyle name="Normal 42 3 3 3" xfId="3331" xr:uid="{00000000-0005-0000-0000-00006A360000}"/>
    <cellStyle name="Normal 42 3 3 3 2" xfId="8282" xr:uid="{00000000-0005-0000-0000-00006B360000}"/>
    <cellStyle name="Normal 42 3 3 3 2 2" xfId="19179" xr:uid="{00000000-0005-0000-0000-00006C360000}"/>
    <cellStyle name="Normal 42 3 3 3 3" xfId="14228" xr:uid="{00000000-0005-0000-0000-00006D360000}"/>
    <cellStyle name="Normal 42 3 3 4" xfId="5970" xr:uid="{00000000-0005-0000-0000-00006E360000}"/>
    <cellStyle name="Normal 42 3 3 4 2" xfId="16867" xr:uid="{00000000-0005-0000-0000-00006F360000}"/>
    <cellStyle name="Normal 42 3 3 5" xfId="11963" xr:uid="{00000000-0005-0000-0000-000070360000}"/>
    <cellStyle name="Normal 42 3 4" xfId="1665" xr:uid="{00000000-0005-0000-0000-000071360000}"/>
    <cellStyle name="Normal 42 3 4 2" xfId="3977" xr:uid="{00000000-0005-0000-0000-000072360000}"/>
    <cellStyle name="Normal 42 3 4 2 2" xfId="8928" xr:uid="{00000000-0005-0000-0000-000073360000}"/>
    <cellStyle name="Normal 42 3 4 2 2 2" xfId="19825" xr:uid="{00000000-0005-0000-0000-000074360000}"/>
    <cellStyle name="Normal 42 3 4 2 3" xfId="14874" xr:uid="{00000000-0005-0000-0000-000075360000}"/>
    <cellStyle name="Normal 42 3 4 3" xfId="6616" xr:uid="{00000000-0005-0000-0000-000076360000}"/>
    <cellStyle name="Normal 42 3 4 3 2" xfId="17513" xr:uid="{00000000-0005-0000-0000-000077360000}"/>
    <cellStyle name="Normal 42 3 4 4" xfId="12596" xr:uid="{00000000-0005-0000-0000-000078360000}"/>
    <cellStyle name="Normal 42 3 5" xfId="2799" xr:uid="{00000000-0005-0000-0000-000079360000}"/>
    <cellStyle name="Normal 42 3 5 2" xfId="7750" xr:uid="{00000000-0005-0000-0000-00007A360000}"/>
    <cellStyle name="Normal 42 3 5 2 2" xfId="18647" xr:uid="{00000000-0005-0000-0000-00007B360000}"/>
    <cellStyle name="Normal 42 3 5 3" xfId="13696" xr:uid="{00000000-0005-0000-0000-00007C360000}"/>
    <cellStyle name="Normal 42 3 6" xfId="5438" xr:uid="{00000000-0005-0000-0000-00007D360000}"/>
    <cellStyle name="Normal 42 3 6 2" xfId="16335" xr:uid="{00000000-0005-0000-0000-00007E360000}"/>
    <cellStyle name="Normal 42 3 7" xfId="11440" xr:uid="{00000000-0005-0000-0000-00007F360000}"/>
    <cellStyle name="Normal 42 4" xfId="599" xr:uid="{00000000-0005-0000-0000-000080360000}"/>
    <cellStyle name="Normal 42 4 2" xfId="1131" xr:uid="{00000000-0005-0000-0000-000081360000}"/>
    <cellStyle name="Normal 42 4 2 2" xfId="2288" xr:uid="{00000000-0005-0000-0000-000082360000}"/>
    <cellStyle name="Normal 42 4 2 2 2" xfId="4600" xr:uid="{00000000-0005-0000-0000-000083360000}"/>
    <cellStyle name="Normal 42 4 2 2 2 2" xfId="9551" xr:uid="{00000000-0005-0000-0000-000084360000}"/>
    <cellStyle name="Normal 42 4 2 2 2 2 2" xfId="20448" xr:uid="{00000000-0005-0000-0000-000085360000}"/>
    <cellStyle name="Normal 42 4 2 2 2 3" xfId="15497" xr:uid="{00000000-0005-0000-0000-000086360000}"/>
    <cellStyle name="Normal 42 4 2 2 3" xfId="7239" xr:uid="{00000000-0005-0000-0000-000087360000}"/>
    <cellStyle name="Normal 42 4 2 2 3 2" xfId="18136" xr:uid="{00000000-0005-0000-0000-000088360000}"/>
    <cellStyle name="Normal 42 4 2 2 4" xfId="13203" xr:uid="{00000000-0005-0000-0000-000089360000}"/>
    <cellStyle name="Normal 42 4 2 3" xfId="3455" xr:uid="{00000000-0005-0000-0000-00008A360000}"/>
    <cellStyle name="Normal 42 4 2 3 2" xfId="8406" xr:uid="{00000000-0005-0000-0000-00008B360000}"/>
    <cellStyle name="Normal 42 4 2 3 2 2" xfId="19303" xr:uid="{00000000-0005-0000-0000-00008C360000}"/>
    <cellStyle name="Normal 42 4 2 3 3" xfId="14352" xr:uid="{00000000-0005-0000-0000-00008D360000}"/>
    <cellStyle name="Normal 42 4 2 4" xfId="6094" xr:uid="{00000000-0005-0000-0000-00008E360000}"/>
    <cellStyle name="Normal 42 4 2 4 2" xfId="16991" xr:uid="{00000000-0005-0000-0000-00008F360000}"/>
    <cellStyle name="Normal 42 4 2 5" xfId="12085" xr:uid="{00000000-0005-0000-0000-000090360000}"/>
    <cellStyle name="Normal 42 4 3" xfId="1780" xr:uid="{00000000-0005-0000-0000-000091360000}"/>
    <cellStyle name="Normal 42 4 3 2" xfId="4092" xr:uid="{00000000-0005-0000-0000-000092360000}"/>
    <cellStyle name="Normal 42 4 3 2 2" xfId="9043" xr:uid="{00000000-0005-0000-0000-000093360000}"/>
    <cellStyle name="Normal 42 4 3 2 2 2" xfId="19940" xr:uid="{00000000-0005-0000-0000-000094360000}"/>
    <cellStyle name="Normal 42 4 3 2 3" xfId="14989" xr:uid="{00000000-0005-0000-0000-000095360000}"/>
    <cellStyle name="Normal 42 4 3 3" xfId="6731" xr:uid="{00000000-0005-0000-0000-000096360000}"/>
    <cellStyle name="Normal 42 4 3 3 2" xfId="17628" xr:uid="{00000000-0005-0000-0000-000097360000}"/>
    <cellStyle name="Normal 42 4 3 4" xfId="12709" xr:uid="{00000000-0005-0000-0000-000098360000}"/>
    <cellStyle name="Normal 42 4 4" xfId="2923" xr:uid="{00000000-0005-0000-0000-000099360000}"/>
    <cellStyle name="Normal 42 4 4 2" xfId="7874" xr:uid="{00000000-0005-0000-0000-00009A360000}"/>
    <cellStyle name="Normal 42 4 4 2 2" xfId="18771" xr:uid="{00000000-0005-0000-0000-00009B360000}"/>
    <cellStyle name="Normal 42 4 4 3" xfId="13820" xr:uid="{00000000-0005-0000-0000-00009C360000}"/>
    <cellStyle name="Normal 42 4 5" xfId="5562" xr:uid="{00000000-0005-0000-0000-00009D360000}"/>
    <cellStyle name="Normal 42 4 5 2" xfId="16459" xr:uid="{00000000-0005-0000-0000-00009E360000}"/>
    <cellStyle name="Normal 42 4 6" xfId="11564" xr:uid="{00000000-0005-0000-0000-00009F360000}"/>
    <cellStyle name="Normal 42 5" xfId="866" xr:uid="{00000000-0005-0000-0000-0000A0360000}"/>
    <cellStyle name="Normal 42 5 2" xfId="2023" xr:uid="{00000000-0005-0000-0000-0000A1360000}"/>
    <cellStyle name="Normal 42 5 2 2" xfId="4335" xr:uid="{00000000-0005-0000-0000-0000A2360000}"/>
    <cellStyle name="Normal 42 5 2 2 2" xfId="9286" xr:uid="{00000000-0005-0000-0000-0000A3360000}"/>
    <cellStyle name="Normal 42 5 2 2 2 2" xfId="20183" xr:uid="{00000000-0005-0000-0000-0000A4360000}"/>
    <cellStyle name="Normal 42 5 2 2 3" xfId="15232" xr:uid="{00000000-0005-0000-0000-0000A5360000}"/>
    <cellStyle name="Normal 42 5 2 3" xfId="6974" xr:uid="{00000000-0005-0000-0000-0000A6360000}"/>
    <cellStyle name="Normal 42 5 2 3 2" xfId="17871" xr:uid="{00000000-0005-0000-0000-0000A7360000}"/>
    <cellStyle name="Normal 42 5 2 4" xfId="12945" xr:uid="{00000000-0005-0000-0000-0000A8360000}"/>
    <cellStyle name="Normal 42 5 3" xfId="3190" xr:uid="{00000000-0005-0000-0000-0000A9360000}"/>
    <cellStyle name="Normal 42 5 3 2" xfId="8141" xr:uid="{00000000-0005-0000-0000-0000AA360000}"/>
    <cellStyle name="Normal 42 5 3 2 2" xfId="19038" xr:uid="{00000000-0005-0000-0000-0000AB360000}"/>
    <cellStyle name="Normal 42 5 3 3" xfId="14087" xr:uid="{00000000-0005-0000-0000-0000AC360000}"/>
    <cellStyle name="Normal 42 5 4" xfId="5829" xr:uid="{00000000-0005-0000-0000-0000AD360000}"/>
    <cellStyle name="Normal 42 5 4 2" xfId="16726" xr:uid="{00000000-0005-0000-0000-0000AE360000}"/>
    <cellStyle name="Normal 42 5 5" xfId="11827" xr:uid="{00000000-0005-0000-0000-0000AF360000}"/>
    <cellStyle name="Normal 42 6" xfId="1547" xr:uid="{00000000-0005-0000-0000-0000B0360000}"/>
    <cellStyle name="Normal 42 6 2" xfId="3859" xr:uid="{00000000-0005-0000-0000-0000B1360000}"/>
    <cellStyle name="Normal 42 6 2 2" xfId="8810" xr:uid="{00000000-0005-0000-0000-0000B2360000}"/>
    <cellStyle name="Normal 42 6 2 2 2" xfId="19707" xr:uid="{00000000-0005-0000-0000-0000B3360000}"/>
    <cellStyle name="Normal 42 6 2 3" xfId="14756" xr:uid="{00000000-0005-0000-0000-0000B4360000}"/>
    <cellStyle name="Normal 42 6 3" xfId="6498" xr:uid="{00000000-0005-0000-0000-0000B5360000}"/>
    <cellStyle name="Normal 42 6 3 2" xfId="17395" xr:uid="{00000000-0005-0000-0000-0000B6360000}"/>
    <cellStyle name="Normal 42 6 4" xfId="12482" xr:uid="{00000000-0005-0000-0000-0000B7360000}"/>
    <cellStyle name="Normal 42 7" xfId="2658" xr:uid="{00000000-0005-0000-0000-0000B8360000}"/>
    <cellStyle name="Normal 42 7 2" xfId="7609" xr:uid="{00000000-0005-0000-0000-0000B9360000}"/>
    <cellStyle name="Normal 42 7 2 2" xfId="18506" xr:uid="{00000000-0005-0000-0000-0000BA360000}"/>
    <cellStyle name="Normal 42 7 3" xfId="13555" xr:uid="{00000000-0005-0000-0000-0000BB360000}"/>
    <cellStyle name="Normal 42 8" xfId="5297" xr:uid="{00000000-0005-0000-0000-0000BC360000}"/>
    <cellStyle name="Normal 42 8 2" xfId="16194" xr:uid="{00000000-0005-0000-0000-0000BD360000}"/>
    <cellStyle name="Normal 42 9" xfId="11302" xr:uid="{00000000-0005-0000-0000-0000BE360000}"/>
    <cellStyle name="Normal 43" xfId="307" xr:uid="{00000000-0005-0000-0000-0000BF360000}"/>
    <cellStyle name="Normal 43 2" xfId="397" xr:uid="{00000000-0005-0000-0000-0000C0360000}"/>
    <cellStyle name="Normal 43 2 2" xfId="527" xr:uid="{00000000-0005-0000-0000-0000C1360000}"/>
    <cellStyle name="Normal 43 2 2 2" xfId="792" xr:uid="{00000000-0005-0000-0000-0000C2360000}"/>
    <cellStyle name="Normal 43 2 2 2 2" xfId="1324" xr:uid="{00000000-0005-0000-0000-0000C3360000}"/>
    <cellStyle name="Normal 43 2 2 2 2 2" xfId="2481" xr:uid="{00000000-0005-0000-0000-0000C4360000}"/>
    <cellStyle name="Normal 43 2 2 2 2 2 2" xfId="4793" xr:uid="{00000000-0005-0000-0000-0000C5360000}"/>
    <cellStyle name="Normal 43 2 2 2 2 2 2 2" xfId="9744" xr:uid="{00000000-0005-0000-0000-0000C6360000}"/>
    <cellStyle name="Normal 43 2 2 2 2 2 2 2 2" xfId="20641" xr:uid="{00000000-0005-0000-0000-0000C7360000}"/>
    <cellStyle name="Normal 43 2 2 2 2 2 2 3" xfId="15690" xr:uid="{00000000-0005-0000-0000-0000C8360000}"/>
    <cellStyle name="Normal 43 2 2 2 2 2 3" xfId="7432" xr:uid="{00000000-0005-0000-0000-0000C9360000}"/>
    <cellStyle name="Normal 43 2 2 2 2 2 3 2" xfId="18329" xr:uid="{00000000-0005-0000-0000-0000CA360000}"/>
    <cellStyle name="Normal 43 2 2 2 2 2 4" xfId="13392" xr:uid="{00000000-0005-0000-0000-0000CB360000}"/>
    <cellStyle name="Normal 43 2 2 2 2 3" xfId="3648" xr:uid="{00000000-0005-0000-0000-0000CC360000}"/>
    <cellStyle name="Normal 43 2 2 2 2 3 2" xfId="8599" xr:uid="{00000000-0005-0000-0000-0000CD360000}"/>
    <cellStyle name="Normal 43 2 2 2 2 3 2 2" xfId="19496" xr:uid="{00000000-0005-0000-0000-0000CE360000}"/>
    <cellStyle name="Normal 43 2 2 2 2 3 3" xfId="14545" xr:uid="{00000000-0005-0000-0000-0000CF360000}"/>
    <cellStyle name="Normal 43 2 2 2 2 4" xfId="6287" xr:uid="{00000000-0005-0000-0000-0000D0360000}"/>
    <cellStyle name="Normal 43 2 2 2 2 4 2" xfId="17184" xr:uid="{00000000-0005-0000-0000-0000D1360000}"/>
    <cellStyle name="Normal 43 2 2 2 2 5" xfId="12274" xr:uid="{00000000-0005-0000-0000-0000D2360000}"/>
    <cellStyle name="Normal 43 2 2 2 3" xfId="1950" xr:uid="{00000000-0005-0000-0000-0000D3360000}"/>
    <cellStyle name="Normal 43 2 2 2 3 2" xfId="4262" xr:uid="{00000000-0005-0000-0000-0000D4360000}"/>
    <cellStyle name="Normal 43 2 2 2 3 2 2" xfId="9213" xr:uid="{00000000-0005-0000-0000-0000D5360000}"/>
    <cellStyle name="Normal 43 2 2 2 3 2 2 2" xfId="20110" xr:uid="{00000000-0005-0000-0000-0000D6360000}"/>
    <cellStyle name="Normal 43 2 2 2 3 2 3" xfId="15159" xr:uid="{00000000-0005-0000-0000-0000D7360000}"/>
    <cellStyle name="Normal 43 2 2 2 3 3" xfId="6901" xr:uid="{00000000-0005-0000-0000-0000D8360000}"/>
    <cellStyle name="Normal 43 2 2 2 3 3 2" xfId="17798" xr:uid="{00000000-0005-0000-0000-0000D9360000}"/>
    <cellStyle name="Normal 43 2 2 2 3 4" xfId="12874" xr:uid="{00000000-0005-0000-0000-0000DA360000}"/>
    <cellStyle name="Normal 43 2 2 2 4" xfId="3116" xr:uid="{00000000-0005-0000-0000-0000DB360000}"/>
    <cellStyle name="Normal 43 2 2 2 4 2" xfId="8067" xr:uid="{00000000-0005-0000-0000-0000DC360000}"/>
    <cellStyle name="Normal 43 2 2 2 4 2 2" xfId="18964" xr:uid="{00000000-0005-0000-0000-0000DD360000}"/>
    <cellStyle name="Normal 43 2 2 2 4 3" xfId="14013" xr:uid="{00000000-0005-0000-0000-0000DE360000}"/>
    <cellStyle name="Normal 43 2 2 2 5" xfId="5755" xr:uid="{00000000-0005-0000-0000-0000DF360000}"/>
    <cellStyle name="Normal 43 2 2 2 5 2" xfId="16652" xr:uid="{00000000-0005-0000-0000-0000E0360000}"/>
    <cellStyle name="Normal 43 2 2 2 6" xfId="11753" xr:uid="{00000000-0005-0000-0000-0000E1360000}"/>
    <cellStyle name="Normal 43 2 2 3" xfId="1059" xr:uid="{00000000-0005-0000-0000-0000E2360000}"/>
    <cellStyle name="Normal 43 2 2 3 2" xfId="2216" xr:uid="{00000000-0005-0000-0000-0000E3360000}"/>
    <cellStyle name="Normal 43 2 2 3 2 2" xfId="4528" xr:uid="{00000000-0005-0000-0000-0000E4360000}"/>
    <cellStyle name="Normal 43 2 2 3 2 2 2" xfId="9479" xr:uid="{00000000-0005-0000-0000-0000E5360000}"/>
    <cellStyle name="Normal 43 2 2 3 2 2 2 2" xfId="20376" xr:uid="{00000000-0005-0000-0000-0000E6360000}"/>
    <cellStyle name="Normal 43 2 2 3 2 2 3" xfId="15425" xr:uid="{00000000-0005-0000-0000-0000E7360000}"/>
    <cellStyle name="Normal 43 2 2 3 2 3" xfId="7167" xr:uid="{00000000-0005-0000-0000-0000E8360000}"/>
    <cellStyle name="Normal 43 2 2 3 2 3 2" xfId="18064" xr:uid="{00000000-0005-0000-0000-0000E9360000}"/>
    <cellStyle name="Normal 43 2 2 3 2 4" xfId="13133" xr:uid="{00000000-0005-0000-0000-0000EA360000}"/>
    <cellStyle name="Normal 43 2 2 3 3" xfId="3383" xr:uid="{00000000-0005-0000-0000-0000EB360000}"/>
    <cellStyle name="Normal 43 2 2 3 3 2" xfId="8334" xr:uid="{00000000-0005-0000-0000-0000EC360000}"/>
    <cellStyle name="Normal 43 2 2 3 3 2 2" xfId="19231" xr:uid="{00000000-0005-0000-0000-0000ED360000}"/>
    <cellStyle name="Normal 43 2 2 3 3 3" xfId="14280" xr:uid="{00000000-0005-0000-0000-0000EE360000}"/>
    <cellStyle name="Normal 43 2 2 3 4" xfId="6022" xr:uid="{00000000-0005-0000-0000-0000EF360000}"/>
    <cellStyle name="Normal 43 2 2 3 4 2" xfId="16919" xr:uid="{00000000-0005-0000-0000-0000F0360000}"/>
    <cellStyle name="Normal 43 2 2 3 5" xfId="12015" xr:uid="{00000000-0005-0000-0000-0000F1360000}"/>
    <cellStyle name="Normal 43 2 2 4" xfId="1717" xr:uid="{00000000-0005-0000-0000-0000F2360000}"/>
    <cellStyle name="Normal 43 2 2 4 2" xfId="4029" xr:uid="{00000000-0005-0000-0000-0000F3360000}"/>
    <cellStyle name="Normal 43 2 2 4 2 2" xfId="8980" xr:uid="{00000000-0005-0000-0000-0000F4360000}"/>
    <cellStyle name="Normal 43 2 2 4 2 2 2" xfId="19877" xr:uid="{00000000-0005-0000-0000-0000F5360000}"/>
    <cellStyle name="Normal 43 2 2 4 2 3" xfId="14926" xr:uid="{00000000-0005-0000-0000-0000F6360000}"/>
    <cellStyle name="Normal 43 2 2 4 3" xfId="6668" xr:uid="{00000000-0005-0000-0000-0000F7360000}"/>
    <cellStyle name="Normal 43 2 2 4 3 2" xfId="17565" xr:uid="{00000000-0005-0000-0000-0000F8360000}"/>
    <cellStyle name="Normal 43 2 2 4 4" xfId="12648" xr:uid="{00000000-0005-0000-0000-0000F9360000}"/>
    <cellStyle name="Normal 43 2 2 5" xfId="2851" xr:uid="{00000000-0005-0000-0000-0000FA360000}"/>
    <cellStyle name="Normal 43 2 2 5 2" xfId="7802" xr:uid="{00000000-0005-0000-0000-0000FB360000}"/>
    <cellStyle name="Normal 43 2 2 5 2 2" xfId="18699" xr:uid="{00000000-0005-0000-0000-0000FC360000}"/>
    <cellStyle name="Normal 43 2 2 5 3" xfId="13748" xr:uid="{00000000-0005-0000-0000-0000FD360000}"/>
    <cellStyle name="Normal 43 2 2 6" xfId="5490" xr:uid="{00000000-0005-0000-0000-0000FE360000}"/>
    <cellStyle name="Normal 43 2 2 6 2" xfId="16387" xr:uid="{00000000-0005-0000-0000-0000FF360000}"/>
    <cellStyle name="Normal 43 2 2 7" xfId="11492" xr:uid="{00000000-0005-0000-0000-000000370000}"/>
    <cellStyle name="Normal 43 2 3" xfId="663" xr:uid="{00000000-0005-0000-0000-000001370000}"/>
    <cellStyle name="Normal 43 2 3 2" xfId="1195" xr:uid="{00000000-0005-0000-0000-000002370000}"/>
    <cellStyle name="Normal 43 2 3 2 2" xfId="2352" xr:uid="{00000000-0005-0000-0000-000003370000}"/>
    <cellStyle name="Normal 43 2 3 2 2 2" xfId="4664" xr:uid="{00000000-0005-0000-0000-000004370000}"/>
    <cellStyle name="Normal 43 2 3 2 2 2 2" xfId="9615" xr:uid="{00000000-0005-0000-0000-000005370000}"/>
    <cellStyle name="Normal 43 2 3 2 2 2 2 2" xfId="20512" xr:uid="{00000000-0005-0000-0000-000006370000}"/>
    <cellStyle name="Normal 43 2 3 2 2 2 3" xfId="15561" xr:uid="{00000000-0005-0000-0000-000007370000}"/>
    <cellStyle name="Normal 43 2 3 2 2 3" xfId="7303" xr:uid="{00000000-0005-0000-0000-000008370000}"/>
    <cellStyle name="Normal 43 2 3 2 2 3 2" xfId="18200" xr:uid="{00000000-0005-0000-0000-000009370000}"/>
    <cellStyle name="Normal 43 2 3 2 2 4" xfId="13264" xr:uid="{00000000-0005-0000-0000-00000A370000}"/>
    <cellStyle name="Normal 43 2 3 2 3" xfId="3519" xr:uid="{00000000-0005-0000-0000-00000B370000}"/>
    <cellStyle name="Normal 43 2 3 2 3 2" xfId="8470" xr:uid="{00000000-0005-0000-0000-00000C370000}"/>
    <cellStyle name="Normal 43 2 3 2 3 2 2" xfId="19367" xr:uid="{00000000-0005-0000-0000-00000D370000}"/>
    <cellStyle name="Normal 43 2 3 2 3 3" xfId="14416" xr:uid="{00000000-0005-0000-0000-00000E370000}"/>
    <cellStyle name="Normal 43 2 3 2 4" xfId="6158" xr:uid="{00000000-0005-0000-0000-00000F370000}"/>
    <cellStyle name="Normal 43 2 3 2 4 2" xfId="17055" xr:uid="{00000000-0005-0000-0000-000010370000}"/>
    <cellStyle name="Normal 43 2 3 2 5" xfId="12146" xr:uid="{00000000-0005-0000-0000-000011370000}"/>
    <cellStyle name="Normal 43 2 3 3" xfId="1836" xr:uid="{00000000-0005-0000-0000-000012370000}"/>
    <cellStyle name="Normal 43 2 3 3 2" xfId="4148" xr:uid="{00000000-0005-0000-0000-000013370000}"/>
    <cellStyle name="Normal 43 2 3 3 2 2" xfId="9099" xr:uid="{00000000-0005-0000-0000-000014370000}"/>
    <cellStyle name="Normal 43 2 3 3 2 2 2" xfId="19996" xr:uid="{00000000-0005-0000-0000-000015370000}"/>
    <cellStyle name="Normal 43 2 3 3 2 3" xfId="15045" xr:uid="{00000000-0005-0000-0000-000016370000}"/>
    <cellStyle name="Normal 43 2 3 3 3" xfId="6787" xr:uid="{00000000-0005-0000-0000-000017370000}"/>
    <cellStyle name="Normal 43 2 3 3 3 2" xfId="17684" xr:uid="{00000000-0005-0000-0000-000018370000}"/>
    <cellStyle name="Normal 43 2 3 3 4" xfId="12761" xr:uid="{00000000-0005-0000-0000-000019370000}"/>
    <cellStyle name="Normal 43 2 3 4" xfId="2987" xr:uid="{00000000-0005-0000-0000-00001A370000}"/>
    <cellStyle name="Normal 43 2 3 4 2" xfId="7938" xr:uid="{00000000-0005-0000-0000-00001B370000}"/>
    <cellStyle name="Normal 43 2 3 4 2 2" xfId="18835" xr:uid="{00000000-0005-0000-0000-00001C370000}"/>
    <cellStyle name="Normal 43 2 3 4 3" xfId="13884" xr:uid="{00000000-0005-0000-0000-00001D370000}"/>
    <cellStyle name="Normal 43 2 3 5" xfId="5626" xr:uid="{00000000-0005-0000-0000-00001E370000}"/>
    <cellStyle name="Normal 43 2 3 5 2" xfId="16523" xr:uid="{00000000-0005-0000-0000-00001F370000}"/>
    <cellStyle name="Normal 43 2 3 6" xfId="11625" xr:uid="{00000000-0005-0000-0000-000020370000}"/>
    <cellStyle name="Normal 43 2 4" xfId="930" xr:uid="{00000000-0005-0000-0000-000021370000}"/>
    <cellStyle name="Normal 43 2 4 2" xfId="2087" xr:uid="{00000000-0005-0000-0000-000022370000}"/>
    <cellStyle name="Normal 43 2 4 2 2" xfId="4399" xr:uid="{00000000-0005-0000-0000-000023370000}"/>
    <cellStyle name="Normal 43 2 4 2 2 2" xfId="9350" xr:uid="{00000000-0005-0000-0000-000024370000}"/>
    <cellStyle name="Normal 43 2 4 2 2 2 2" xfId="20247" xr:uid="{00000000-0005-0000-0000-000025370000}"/>
    <cellStyle name="Normal 43 2 4 2 2 3" xfId="15296" xr:uid="{00000000-0005-0000-0000-000026370000}"/>
    <cellStyle name="Normal 43 2 4 2 3" xfId="7038" xr:uid="{00000000-0005-0000-0000-000027370000}"/>
    <cellStyle name="Normal 43 2 4 2 3 2" xfId="17935" xr:uid="{00000000-0005-0000-0000-000028370000}"/>
    <cellStyle name="Normal 43 2 4 2 4" xfId="13005" xr:uid="{00000000-0005-0000-0000-000029370000}"/>
    <cellStyle name="Normal 43 2 4 3" xfId="3254" xr:uid="{00000000-0005-0000-0000-00002A370000}"/>
    <cellStyle name="Normal 43 2 4 3 2" xfId="8205" xr:uid="{00000000-0005-0000-0000-00002B370000}"/>
    <cellStyle name="Normal 43 2 4 3 2 2" xfId="19102" xr:uid="{00000000-0005-0000-0000-00002C370000}"/>
    <cellStyle name="Normal 43 2 4 3 3" xfId="14151" xr:uid="{00000000-0005-0000-0000-00002D370000}"/>
    <cellStyle name="Normal 43 2 4 4" xfId="5893" xr:uid="{00000000-0005-0000-0000-00002E370000}"/>
    <cellStyle name="Normal 43 2 4 4 2" xfId="16790" xr:uid="{00000000-0005-0000-0000-00002F370000}"/>
    <cellStyle name="Normal 43 2 4 5" xfId="11887" xr:uid="{00000000-0005-0000-0000-000030370000}"/>
    <cellStyle name="Normal 43 2 5" xfId="1603" xr:uid="{00000000-0005-0000-0000-000031370000}"/>
    <cellStyle name="Normal 43 2 5 2" xfId="3915" xr:uid="{00000000-0005-0000-0000-000032370000}"/>
    <cellStyle name="Normal 43 2 5 2 2" xfId="8866" xr:uid="{00000000-0005-0000-0000-000033370000}"/>
    <cellStyle name="Normal 43 2 5 2 2 2" xfId="19763" xr:uid="{00000000-0005-0000-0000-000034370000}"/>
    <cellStyle name="Normal 43 2 5 2 3" xfId="14812" xr:uid="{00000000-0005-0000-0000-000035370000}"/>
    <cellStyle name="Normal 43 2 5 3" xfId="6554" xr:uid="{00000000-0005-0000-0000-000036370000}"/>
    <cellStyle name="Normal 43 2 5 3 2" xfId="17451" xr:uid="{00000000-0005-0000-0000-000037370000}"/>
    <cellStyle name="Normal 43 2 5 4" xfId="12535" xr:uid="{00000000-0005-0000-0000-000038370000}"/>
    <cellStyle name="Normal 43 2 6" xfId="2722" xr:uid="{00000000-0005-0000-0000-000039370000}"/>
    <cellStyle name="Normal 43 2 6 2" xfId="7673" xr:uid="{00000000-0005-0000-0000-00003A370000}"/>
    <cellStyle name="Normal 43 2 6 2 2" xfId="18570" xr:uid="{00000000-0005-0000-0000-00003B370000}"/>
    <cellStyle name="Normal 43 2 6 3" xfId="13619" xr:uid="{00000000-0005-0000-0000-00003C370000}"/>
    <cellStyle name="Normal 43 2 7" xfId="5361" xr:uid="{00000000-0005-0000-0000-00003D370000}"/>
    <cellStyle name="Normal 43 2 7 2" xfId="16258" xr:uid="{00000000-0005-0000-0000-00003E370000}"/>
    <cellStyle name="Normal 43 2 8" xfId="11364" xr:uid="{00000000-0005-0000-0000-00003F370000}"/>
    <cellStyle name="Normal 43 3" xfId="476" xr:uid="{00000000-0005-0000-0000-000040370000}"/>
    <cellStyle name="Normal 43 3 2" xfId="741" xr:uid="{00000000-0005-0000-0000-000041370000}"/>
    <cellStyle name="Normal 43 3 2 2" xfId="1273" xr:uid="{00000000-0005-0000-0000-000042370000}"/>
    <cellStyle name="Normal 43 3 2 2 2" xfId="2430" xr:uid="{00000000-0005-0000-0000-000043370000}"/>
    <cellStyle name="Normal 43 3 2 2 2 2" xfId="4742" xr:uid="{00000000-0005-0000-0000-000044370000}"/>
    <cellStyle name="Normal 43 3 2 2 2 2 2" xfId="9693" xr:uid="{00000000-0005-0000-0000-000045370000}"/>
    <cellStyle name="Normal 43 3 2 2 2 2 2 2" xfId="20590" xr:uid="{00000000-0005-0000-0000-000046370000}"/>
    <cellStyle name="Normal 43 3 2 2 2 2 3" xfId="15639" xr:uid="{00000000-0005-0000-0000-000047370000}"/>
    <cellStyle name="Normal 43 3 2 2 2 3" xfId="7381" xr:uid="{00000000-0005-0000-0000-000048370000}"/>
    <cellStyle name="Normal 43 3 2 2 2 3 2" xfId="18278" xr:uid="{00000000-0005-0000-0000-000049370000}"/>
    <cellStyle name="Normal 43 3 2 2 2 4" xfId="13341" xr:uid="{00000000-0005-0000-0000-00004A370000}"/>
    <cellStyle name="Normal 43 3 2 2 3" xfId="3597" xr:uid="{00000000-0005-0000-0000-00004B370000}"/>
    <cellStyle name="Normal 43 3 2 2 3 2" xfId="8548" xr:uid="{00000000-0005-0000-0000-00004C370000}"/>
    <cellStyle name="Normal 43 3 2 2 3 2 2" xfId="19445" xr:uid="{00000000-0005-0000-0000-00004D370000}"/>
    <cellStyle name="Normal 43 3 2 2 3 3" xfId="14494" xr:uid="{00000000-0005-0000-0000-00004E370000}"/>
    <cellStyle name="Normal 43 3 2 2 4" xfId="6236" xr:uid="{00000000-0005-0000-0000-00004F370000}"/>
    <cellStyle name="Normal 43 3 2 2 4 2" xfId="17133" xr:uid="{00000000-0005-0000-0000-000050370000}"/>
    <cellStyle name="Normal 43 3 2 2 5" xfId="12223" xr:uid="{00000000-0005-0000-0000-000051370000}"/>
    <cellStyle name="Normal 43 3 2 3" xfId="1899" xr:uid="{00000000-0005-0000-0000-000052370000}"/>
    <cellStyle name="Normal 43 3 2 3 2" xfId="4211" xr:uid="{00000000-0005-0000-0000-000053370000}"/>
    <cellStyle name="Normal 43 3 2 3 2 2" xfId="9162" xr:uid="{00000000-0005-0000-0000-000054370000}"/>
    <cellStyle name="Normal 43 3 2 3 2 2 2" xfId="20059" xr:uid="{00000000-0005-0000-0000-000055370000}"/>
    <cellStyle name="Normal 43 3 2 3 2 3" xfId="15108" xr:uid="{00000000-0005-0000-0000-000056370000}"/>
    <cellStyle name="Normal 43 3 2 3 3" xfId="6850" xr:uid="{00000000-0005-0000-0000-000057370000}"/>
    <cellStyle name="Normal 43 3 2 3 3 2" xfId="17747" xr:uid="{00000000-0005-0000-0000-000058370000}"/>
    <cellStyle name="Normal 43 3 2 3 4" xfId="12823" xr:uid="{00000000-0005-0000-0000-000059370000}"/>
    <cellStyle name="Normal 43 3 2 4" xfId="3065" xr:uid="{00000000-0005-0000-0000-00005A370000}"/>
    <cellStyle name="Normal 43 3 2 4 2" xfId="8016" xr:uid="{00000000-0005-0000-0000-00005B370000}"/>
    <cellStyle name="Normal 43 3 2 4 2 2" xfId="18913" xr:uid="{00000000-0005-0000-0000-00005C370000}"/>
    <cellStyle name="Normal 43 3 2 4 3" xfId="13962" xr:uid="{00000000-0005-0000-0000-00005D370000}"/>
    <cellStyle name="Normal 43 3 2 5" xfId="5704" xr:uid="{00000000-0005-0000-0000-00005E370000}"/>
    <cellStyle name="Normal 43 3 2 5 2" xfId="16601" xr:uid="{00000000-0005-0000-0000-00005F370000}"/>
    <cellStyle name="Normal 43 3 2 6" xfId="11702" xr:uid="{00000000-0005-0000-0000-000060370000}"/>
    <cellStyle name="Normal 43 3 3" xfId="1008" xr:uid="{00000000-0005-0000-0000-000061370000}"/>
    <cellStyle name="Normal 43 3 3 2" xfId="2165" xr:uid="{00000000-0005-0000-0000-000062370000}"/>
    <cellStyle name="Normal 43 3 3 2 2" xfId="4477" xr:uid="{00000000-0005-0000-0000-000063370000}"/>
    <cellStyle name="Normal 43 3 3 2 2 2" xfId="9428" xr:uid="{00000000-0005-0000-0000-000064370000}"/>
    <cellStyle name="Normal 43 3 3 2 2 2 2" xfId="20325" xr:uid="{00000000-0005-0000-0000-000065370000}"/>
    <cellStyle name="Normal 43 3 3 2 2 3" xfId="15374" xr:uid="{00000000-0005-0000-0000-000066370000}"/>
    <cellStyle name="Normal 43 3 3 2 3" xfId="7116" xr:uid="{00000000-0005-0000-0000-000067370000}"/>
    <cellStyle name="Normal 43 3 3 2 3 2" xfId="18013" xr:uid="{00000000-0005-0000-0000-000068370000}"/>
    <cellStyle name="Normal 43 3 3 2 4" xfId="13082" xr:uid="{00000000-0005-0000-0000-000069370000}"/>
    <cellStyle name="Normal 43 3 3 3" xfId="3332" xr:uid="{00000000-0005-0000-0000-00006A370000}"/>
    <cellStyle name="Normal 43 3 3 3 2" xfId="8283" xr:uid="{00000000-0005-0000-0000-00006B370000}"/>
    <cellStyle name="Normal 43 3 3 3 2 2" xfId="19180" xr:uid="{00000000-0005-0000-0000-00006C370000}"/>
    <cellStyle name="Normal 43 3 3 3 3" xfId="14229" xr:uid="{00000000-0005-0000-0000-00006D370000}"/>
    <cellStyle name="Normal 43 3 3 4" xfId="5971" xr:uid="{00000000-0005-0000-0000-00006E370000}"/>
    <cellStyle name="Normal 43 3 3 4 2" xfId="16868" xr:uid="{00000000-0005-0000-0000-00006F370000}"/>
    <cellStyle name="Normal 43 3 3 5" xfId="11964" xr:uid="{00000000-0005-0000-0000-000070370000}"/>
    <cellStyle name="Normal 43 3 4" xfId="1666" xr:uid="{00000000-0005-0000-0000-000071370000}"/>
    <cellStyle name="Normal 43 3 4 2" xfId="3978" xr:uid="{00000000-0005-0000-0000-000072370000}"/>
    <cellStyle name="Normal 43 3 4 2 2" xfId="8929" xr:uid="{00000000-0005-0000-0000-000073370000}"/>
    <cellStyle name="Normal 43 3 4 2 2 2" xfId="19826" xr:uid="{00000000-0005-0000-0000-000074370000}"/>
    <cellStyle name="Normal 43 3 4 2 3" xfId="14875" xr:uid="{00000000-0005-0000-0000-000075370000}"/>
    <cellStyle name="Normal 43 3 4 3" xfId="6617" xr:uid="{00000000-0005-0000-0000-000076370000}"/>
    <cellStyle name="Normal 43 3 4 3 2" xfId="17514" xr:uid="{00000000-0005-0000-0000-000077370000}"/>
    <cellStyle name="Normal 43 3 4 4" xfId="12597" xr:uid="{00000000-0005-0000-0000-000078370000}"/>
    <cellStyle name="Normal 43 3 5" xfId="2800" xr:uid="{00000000-0005-0000-0000-000079370000}"/>
    <cellStyle name="Normal 43 3 5 2" xfId="7751" xr:uid="{00000000-0005-0000-0000-00007A370000}"/>
    <cellStyle name="Normal 43 3 5 2 2" xfId="18648" xr:uid="{00000000-0005-0000-0000-00007B370000}"/>
    <cellStyle name="Normal 43 3 5 3" xfId="13697" xr:uid="{00000000-0005-0000-0000-00007C370000}"/>
    <cellStyle name="Normal 43 3 6" xfId="5439" xr:uid="{00000000-0005-0000-0000-00007D370000}"/>
    <cellStyle name="Normal 43 3 6 2" xfId="16336" xr:uid="{00000000-0005-0000-0000-00007E370000}"/>
    <cellStyle name="Normal 43 3 7" xfId="11441" xr:uid="{00000000-0005-0000-0000-00007F370000}"/>
    <cellStyle name="Normal 43 4" xfId="600" xr:uid="{00000000-0005-0000-0000-000080370000}"/>
    <cellStyle name="Normal 43 4 2" xfId="1132" xr:uid="{00000000-0005-0000-0000-000081370000}"/>
    <cellStyle name="Normal 43 4 2 2" xfId="2289" xr:uid="{00000000-0005-0000-0000-000082370000}"/>
    <cellStyle name="Normal 43 4 2 2 2" xfId="4601" xr:uid="{00000000-0005-0000-0000-000083370000}"/>
    <cellStyle name="Normal 43 4 2 2 2 2" xfId="9552" xr:uid="{00000000-0005-0000-0000-000084370000}"/>
    <cellStyle name="Normal 43 4 2 2 2 2 2" xfId="20449" xr:uid="{00000000-0005-0000-0000-000085370000}"/>
    <cellStyle name="Normal 43 4 2 2 2 3" xfId="15498" xr:uid="{00000000-0005-0000-0000-000086370000}"/>
    <cellStyle name="Normal 43 4 2 2 3" xfId="7240" xr:uid="{00000000-0005-0000-0000-000087370000}"/>
    <cellStyle name="Normal 43 4 2 2 3 2" xfId="18137" xr:uid="{00000000-0005-0000-0000-000088370000}"/>
    <cellStyle name="Normal 43 4 2 2 4" xfId="13204" xr:uid="{00000000-0005-0000-0000-000089370000}"/>
    <cellStyle name="Normal 43 4 2 3" xfId="3456" xr:uid="{00000000-0005-0000-0000-00008A370000}"/>
    <cellStyle name="Normal 43 4 2 3 2" xfId="8407" xr:uid="{00000000-0005-0000-0000-00008B370000}"/>
    <cellStyle name="Normal 43 4 2 3 2 2" xfId="19304" xr:uid="{00000000-0005-0000-0000-00008C370000}"/>
    <cellStyle name="Normal 43 4 2 3 3" xfId="14353" xr:uid="{00000000-0005-0000-0000-00008D370000}"/>
    <cellStyle name="Normal 43 4 2 4" xfId="6095" xr:uid="{00000000-0005-0000-0000-00008E370000}"/>
    <cellStyle name="Normal 43 4 2 4 2" xfId="16992" xr:uid="{00000000-0005-0000-0000-00008F370000}"/>
    <cellStyle name="Normal 43 4 2 5" xfId="12086" xr:uid="{00000000-0005-0000-0000-000090370000}"/>
    <cellStyle name="Normal 43 4 3" xfId="1781" xr:uid="{00000000-0005-0000-0000-000091370000}"/>
    <cellStyle name="Normal 43 4 3 2" xfId="4093" xr:uid="{00000000-0005-0000-0000-000092370000}"/>
    <cellStyle name="Normal 43 4 3 2 2" xfId="9044" xr:uid="{00000000-0005-0000-0000-000093370000}"/>
    <cellStyle name="Normal 43 4 3 2 2 2" xfId="19941" xr:uid="{00000000-0005-0000-0000-000094370000}"/>
    <cellStyle name="Normal 43 4 3 2 3" xfId="14990" xr:uid="{00000000-0005-0000-0000-000095370000}"/>
    <cellStyle name="Normal 43 4 3 3" xfId="6732" xr:uid="{00000000-0005-0000-0000-000096370000}"/>
    <cellStyle name="Normal 43 4 3 3 2" xfId="17629" xr:uid="{00000000-0005-0000-0000-000097370000}"/>
    <cellStyle name="Normal 43 4 3 4" xfId="12710" xr:uid="{00000000-0005-0000-0000-000098370000}"/>
    <cellStyle name="Normal 43 4 4" xfId="2924" xr:uid="{00000000-0005-0000-0000-000099370000}"/>
    <cellStyle name="Normal 43 4 4 2" xfId="7875" xr:uid="{00000000-0005-0000-0000-00009A370000}"/>
    <cellStyle name="Normal 43 4 4 2 2" xfId="18772" xr:uid="{00000000-0005-0000-0000-00009B370000}"/>
    <cellStyle name="Normal 43 4 4 3" xfId="13821" xr:uid="{00000000-0005-0000-0000-00009C370000}"/>
    <cellStyle name="Normal 43 4 5" xfId="5563" xr:uid="{00000000-0005-0000-0000-00009D370000}"/>
    <cellStyle name="Normal 43 4 5 2" xfId="16460" xr:uid="{00000000-0005-0000-0000-00009E370000}"/>
    <cellStyle name="Normal 43 4 6" xfId="11565" xr:uid="{00000000-0005-0000-0000-00009F370000}"/>
    <cellStyle name="Normal 43 5" xfId="867" xr:uid="{00000000-0005-0000-0000-0000A0370000}"/>
    <cellStyle name="Normal 43 5 2" xfId="2024" xr:uid="{00000000-0005-0000-0000-0000A1370000}"/>
    <cellStyle name="Normal 43 5 2 2" xfId="4336" xr:uid="{00000000-0005-0000-0000-0000A2370000}"/>
    <cellStyle name="Normal 43 5 2 2 2" xfId="9287" xr:uid="{00000000-0005-0000-0000-0000A3370000}"/>
    <cellStyle name="Normal 43 5 2 2 2 2" xfId="20184" xr:uid="{00000000-0005-0000-0000-0000A4370000}"/>
    <cellStyle name="Normal 43 5 2 2 3" xfId="15233" xr:uid="{00000000-0005-0000-0000-0000A5370000}"/>
    <cellStyle name="Normal 43 5 2 3" xfId="6975" xr:uid="{00000000-0005-0000-0000-0000A6370000}"/>
    <cellStyle name="Normal 43 5 2 3 2" xfId="17872" xr:uid="{00000000-0005-0000-0000-0000A7370000}"/>
    <cellStyle name="Normal 43 5 2 4" xfId="12946" xr:uid="{00000000-0005-0000-0000-0000A8370000}"/>
    <cellStyle name="Normal 43 5 3" xfId="3191" xr:uid="{00000000-0005-0000-0000-0000A9370000}"/>
    <cellStyle name="Normal 43 5 3 2" xfId="8142" xr:uid="{00000000-0005-0000-0000-0000AA370000}"/>
    <cellStyle name="Normal 43 5 3 2 2" xfId="19039" xr:uid="{00000000-0005-0000-0000-0000AB370000}"/>
    <cellStyle name="Normal 43 5 3 3" xfId="14088" xr:uid="{00000000-0005-0000-0000-0000AC370000}"/>
    <cellStyle name="Normal 43 5 4" xfId="5830" xr:uid="{00000000-0005-0000-0000-0000AD370000}"/>
    <cellStyle name="Normal 43 5 4 2" xfId="16727" xr:uid="{00000000-0005-0000-0000-0000AE370000}"/>
    <cellStyle name="Normal 43 5 5" xfId="11828" xr:uid="{00000000-0005-0000-0000-0000AF370000}"/>
    <cellStyle name="Normal 43 6" xfId="1548" xr:uid="{00000000-0005-0000-0000-0000B0370000}"/>
    <cellStyle name="Normal 43 6 2" xfId="3860" xr:uid="{00000000-0005-0000-0000-0000B1370000}"/>
    <cellStyle name="Normal 43 6 2 2" xfId="8811" xr:uid="{00000000-0005-0000-0000-0000B2370000}"/>
    <cellStyle name="Normal 43 6 2 2 2" xfId="19708" xr:uid="{00000000-0005-0000-0000-0000B3370000}"/>
    <cellStyle name="Normal 43 6 2 3" xfId="14757" xr:uid="{00000000-0005-0000-0000-0000B4370000}"/>
    <cellStyle name="Normal 43 6 3" xfId="6499" xr:uid="{00000000-0005-0000-0000-0000B5370000}"/>
    <cellStyle name="Normal 43 6 3 2" xfId="17396" xr:uid="{00000000-0005-0000-0000-0000B6370000}"/>
    <cellStyle name="Normal 43 6 4" xfId="12483" xr:uid="{00000000-0005-0000-0000-0000B7370000}"/>
    <cellStyle name="Normal 43 7" xfId="2659" xr:uid="{00000000-0005-0000-0000-0000B8370000}"/>
    <cellStyle name="Normal 43 7 2" xfId="7610" xr:uid="{00000000-0005-0000-0000-0000B9370000}"/>
    <cellStyle name="Normal 43 7 2 2" xfId="18507" xr:uid="{00000000-0005-0000-0000-0000BA370000}"/>
    <cellStyle name="Normal 43 7 3" xfId="13556" xr:uid="{00000000-0005-0000-0000-0000BB370000}"/>
    <cellStyle name="Normal 43 8" xfId="5298" xr:uid="{00000000-0005-0000-0000-0000BC370000}"/>
    <cellStyle name="Normal 43 8 2" xfId="16195" xr:uid="{00000000-0005-0000-0000-0000BD370000}"/>
    <cellStyle name="Normal 43 9" xfId="11303" xr:uid="{00000000-0005-0000-0000-0000BE370000}"/>
    <cellStyle name="Normal 44" xfId="308" xr:uid="{00000000-0005-0000-0000-0000BF370000}"/>
    <cellStyle name="Normal 44 2" xfId="398" xr:uid="{00000000-0005-0000-0000-0000C0370000}"/>
    <cellStyle name="Normal 44 2 2" xfId="528" xr:uid="{00000000-0005-0000-0000-0000C1370000}"/>
    <cellStyle name="Normal 44 2 2 2" xfId="793" xr:uid="{00000000-0005-0000-0000-0000C2370000}"/>
    <cellStyle name="Normal 44 2 2 2 2" xfId="1325" xr:uid="{00000000-0005-0000-0000-0000C3370000}"/>
    <cellStyle name="Normal 44 2 2 2 2 2" xfId="2482" xr:uid="{00000000-0005-0000-0000-0000C4370000}"/>
    <cellStyle name="Normal 44 2 2 2 2 2 2" xfId="4794" xr:uid="{00000000-0005-0000-0000-0000C5370000}"/>
    <cellStyle name="Normal 44 2 2 2 2 2 2 2" xfId="9745" xr:uid="{00000000-0005-0000-0000-0000C6370000}"/>
    <cellStyle name="Normal 44 2 2 2 2 2 2 2 2" xfId="20642" xr:uid="{00000000-0005-0000-0000-0000C7370000}"/>
    <cellStyle name="Normal 44 2 2 2 2 2 2 3" xfId="15691" xr:uid="{00000000-0005-0000-0000-0000C8370000}"/>
    <cellStyle name="Normal 44 2 2 2 2 2 3" xfId="7433" xr:uid="{00000000-0005-0000-0000-0000C9370000}"/>
    <cellStyle name="Normal 44 2 2 2 2 2 3 2" xfId="18330" xr:uid="{00000000-0005-0000-0000-0000CA370000}"/>
    <cellStyle name="Normal 44 2 2 2 2 2 4" xfId="13393" xr:uid="{00000000-0005-0000-0000-0000CB370000}"/>
    <cellStyle name="Normal 44 2 2 2 2 3" xfId="3649" xr:uid="{00000000-0005-0000-0000-0000CC370000}"/>
    <cellStyle name="Normal 44 2 2 2 2 3 2" xfId="8600" xr:uid="{00000000-0005-0000-0000-0000CD370000}"/>
    <cellStyle name="Normal 44 2 2 2 2 3 2 2" xfId="19497" xr:uid="{00000000-0005-0000-0000-0000CE370000}"/>
    <cellStyle name="Normal 44 2 2 2 2 3 3" xfId="14546" xr:uid="{00000000-0005-0000-0000-0000CF370000}"/>
    <cellStyle name="Normal 44 2 2 2 2 4" xfId="6288" xr:uid="{00000000-0005-0000-0000-0000D0370000}"/>
    <cellStyle name="Normal 44 2 2 2 2 4 2" xfId="17185" xr:uid="{00000000-0005-0000-0000-0000D1370000}"/>
    <cellStyle name="Normal 44 2 2 2 2 5" xfId="12275" xr:uid="{00000000-0005-0000-0000-0000D2370000}"/>
    <cellStyle name="Normal 44 2 2 2 3" xfId="1951" xr:uid="{00000000-0005-0000-0000-0000D3370000}"/>
    <cellStyle name="Normal 44 2 2 2 3 2" xfId="4263" xr:uid="{00000000-0005-0000-0000-0000D4370000}"/>
    <cellStyle name="Normal 44 2 2 2 3 2 2" xfId="9214" xr:uid="{00000000-0005-0000-0000-0000D5370000}"/>
    <cellStyle name="Normal 44 2 2 2 3 2 2 2" xfId="20111" xr:uid="{00000000-0005-0000-0000-0000D6370000}"/>
    <cellStyle name="Normal 44 2 2 2 3 2 3" xfId="15160" xr:uid="{00000000-0005-0000-0000-0000D7370000}"/>
    <cellStyle name="Normal 44 2 2 2 3 3" xfId="6902" xr:uid="{00000000-0005-0000-0000-0000D8370000}"/>
    <cellStyle name="Normal 44 2 2 2 3 3 2" xfId="17799" xr:uid="{00000000-0005-0000-0000-0000D9370000}"/>
    <cellStyle name="Normal 44 2 2 2 3 4" xfId="12875" xr:uid="{00000000-0005-0000-0000-0000DA370000}"/>
    <cellStyle name="Normal 44 2 2 2 4" xfId="3117" xr:uid="{00000000-0005-0000-0000-0000DB370000}"/>
    <cellStyle name="Normal 44 2 2 2 4 2" xfId="8068" xr:uid="{00000000-0005-0000-0000-0000DC370000}"/>
    <cellStyle name="Normal 44 2 2 2 4 2 2" xfId="18965" xr:uid="{00000000-0005-0000-0000-0000DD370000}"/>
    <cellStyle name="Normal 44 2 2 2 4 3" xfId="14014" xr:uid="{00000000-0005-0000-0000-0000DE370000}"/>
    <cellStyle name="Normal 44 2 2 2 5" xfId="5756" xr:uid="{00000000-0005-0000-0000-0000DF370000}"/>
    <cellStyle name="Normal 44 2 2 2 5 2" xfId="16653" xr:uid="{00000000-0005-0000-0000-0000E0370000}"/>
    <cellStyle name="Normal 44 2 2 2 6" xfId="11754" xr:uid="{00000000-0005-0000-0000-0000E1370000}"/>
    <cellStyle name="Normal 44 2 2 3" xfId="1060" xr:uid="{00000000-0005-0000-0000-0000E2370000}"/>
    <cellStyle name="Normal 44 2 2 3 2" xfId="2217" xr:uid="{00000000-0005-0000-0000-0000E3370000}"/>
    <cellStyle name="Normal 44 2 2 3 2 2" xfId="4529" xr:uid="{00000000-0005-0000-0000-0000E4370000}"/>
    <cellStyle name="Normal 44 2 2 3 2 2 2" xfId="9480" xr:uid="{00000000-0005-0000-0000-0000E5370000}"/>
    <cellStyle name="Normal 44 2 2 3 2 2 2 2" xfId="20377" xr:uid="{00000000-0005-0000-0000-0000E6370000}"/>
    <cellStyle name="Normal 44 2 2 3 2 2 3" xfId="15426" xr:uid="{00000000-0005-0000-0000-0000E7370000}"/>
    <cellStyle name="Normal 44 2 2 3 2 3" xfId="7168" xr:uid="{00000000-0005-0000-0000-0000E8370000}"/>
    <cellStyle name="Normal 44 2 2 3 2 3 2" xfId="18065" xr:uid="{00000000-0005-0000-0000-0000E9370000}"/>
    <cellStyle name="Normal 44 2 2 3 2 4" xfId="13134" xr:uid="{00000000-0005-0000-0000-0000EA370000}"/>
    <cellStyle name="Normal 44 2 2 3 3" xfId="3384" xr:uid="{00000000-0005-0000-0000-0000EB370000}"/>
    <cellStyle name="Normal 44 2 2 3 3 2" xfId="8335" xr:uid="{00000000-0005-0000-0000-0000EC370000}"/>
    <cellStyle name="Normal 44 2 2 3 3 2 2" xfId="19232" xr:uid="{00000000-0005-0000-0000-0000ED370000}"/>
    <cellStyle name="Normal 44 2 2 3 3 3" xfId="14281" xr:uid="{00000000-0005-0000-0000-0000EE370000}"/>
    <cellStyle name="Normal 44 2 2 3 4" xfId="6023" xr:uid="{00000000-0005-0000-0000-0000EF370000}"/>
    <cellStyle name="Normal 44 2 2 3 4 2" xfId="16920" xr:uid="{00000000-0005-0000-0000-0000F0370000}"/>
    <cellStyle name="Normal 44 2 2 3 5" xfId="12016" xr:uid="{00000000-0005-0000-0000-0000F1370000}"/>
    <cellStyle name="Normal 44 2 2 4" xfId="1718" xr:uid="{00000000-0005-0000-0000-0000F2370000}"/>
    <cellStyle name="Normal 44 2 2 4 2" xfId="4030" xr:uid="{00000000-0005-0000-0000-0000F3370000}"/>
    <cellStyle name="Normal 44 2 2 4 2 2" xfId="8981" xr:uid="{00000000-0005-0000-0000-0000F4370000}"/>
    <cellStyle name="Normal 44 2 2 4 2 2 2" xfId="19878" xr:uid="{00000000-0005-0000-0000-0000F5370000}"/>
    <cellStyle name="Normal 44 2 2 4 2 3" xfId="14927" xr:uid="{00000000-0005-0000-0000-0000F6370000}"/>
    <cellStyle name="Normal 44 2 2 4 3" xfId="6669" xr:uid="{00000000-0005-0000-0000-0000F7370000}"/>
    <cellStyle name="Normal 44 2 2 4 3 2" xfId="17566" xr:uid="{00000000-0005-0000-0000-0000F8370000}"/>
    <cellStyle name="Normal 44 2 2 4 4" xfId="12649" xr:uid="{00000000-0005-0000-0000-0000F9370000}"/>
    <cellStyle name="Normal 44 2 2 5" xfId="2852" xr:uid="{00000000-0005-0000-0000-0000FA370000}"/>
    <cellStyle name="Normal 44 2 2 5 2" xfId="7803" xr:uid="{00000000-0005-0000-0000-0000FB370000}"/>
    <cellStyle name="Normal 44 2 2 5 2 2" xfId="18700" xr:uid="{00000000-0005-0000-0000-0000FC370000}"/>
    <cellStyle name="Normal 44 2 2 5 3" xfId="13749" xr:uid="{00000000-0005-0000-0000-0000FD370000}"/>
    <cellStyle name="Normal 44 2 2 6" xfId="5491" xr:uid="{00000000-0005-0000-0000-0000FE370000}"/>
    <cellStyle name="Normal 44 2 2 6 2" xfId="16388" xr:uid="{00000000-0005-0000-0000-0000FF370000}"/>
    <cellStyle name="Normal 44 2 2 7" xfId="11493" xr:uid="{00000000-0005-0000-0000-000000380000}"/>
    <cellStyle name="Normal 44 2 3" xfId="664" xr:uid="{00000000-0005-0000-0000-000001380000}"/>
    <cellStyle name="Normal 44 2 3 2" xfId="1196" xr:uid="{00000000-0005-0000-0000-000002380000}"/>
    <cellStyle name="Normal 44 2 3 2 2" xfId="2353" xr:uid="{00000000-0005-0000-0000-000003380000}"/>
    <cellStyle name="Normal 44 2 3 2 2 2" xfId="4665" xr:uid="{00000000-0005-0000-0000-000004380000}"/>
    <cellStyle name="Normal 44 2 3 2 2 2 2" xfId="9616" xr:uid="{00000000-0005-0000-0000-000005380000}"/>
    <cellStyle name="Normal 44 2 3 2 2 2 2 2" xfId="20513" xr:uid="{00000000-0005-0000-0000-000006380000}"/>
    <cellStyle name="Normal 44 2 3 2 2 2 3" xfId="15562" xr:uid="{00000000-0005-0000-0000-000007380000}"/>
    <cellStyle name="Normal 44 2 3 2 2 3" xfId="7304" xr:uid="{00000000-0005-0000-0000-000008380000}"/>
    <cellStyle name="Normal 44 2 3 2 2 3 2" xfId="18201" xr:uid="{00000000-0005-0000-0000-000009380000}"/>
    <cellStyle name="Normal 44 2 3 2 2 4" xfId="13265" xr:uid="{00000000-0005-0000-0000-00000A380000}"/>
    <cellStyle name="Normal 44 2 3 2 3" xfId="3520" xr:uid="{00000000-0005-0000-0000-00000B380000}"/>
    <cellStyle name="Normal 44 2 3 2 3 2" xfId="8471" xr:uid="{00000000-0005-0000-0000-00000C380000}"/>
    <cellStyle name="Normal 44 2 3 2 3 2 2" xfId="19368" xr:uid="{00000000-0005-0000-0000-00000D380000}"/>
    <cellStyle name="Normal 44 2 3 2 3 3" xfId="14417" xr:uid="{00000000-0005-0000-0000-00000E380000}"/>
    <cellStyle name="Normal 44 2 3 2 4" xfId="6159" xr:uid="{00000000-0005-0000-0000-00000F380000}"/>
    <cellStyle name="Normal 44 2 3 2 4 2" xfId="17056" xr:uid="{00000000-0005-0000-0000-000010380000}"/>
    <cellStyle name="Normal 44 2 3 2 5" xfId="12147" xr:uid="{00000000-0005-0000-0000-000011380000}"/>
    <cellStyle name="Normal 44 2 3 3" xfId="1837" xr:uid="{00000000-0005-0000-0000-000012380000}"/>
    <cellStyle name="Normal 44 2 3 3 2" xfId="4149" xr:uid="{00000000-0005-0000-0000-000013380000}"/>
    <cellStyle name="Normal 44 2 3 3 2 2" xfId="9100" xr:uid="{00000000-0005-0000-0000-000014380000}"/>
    <cellStyle name="Normal 44 2 3 3 2 2 2" xfId="19997" xr:uid="{00000000-0005-0000-0000-000015380000}"/>
    <cellStyle name="Normal 44 2 3 3 2 3" xfId="15046" xr:uid="{00000000-0005-0000-0000-000016380000}"/>
    <cellStyle name="Normal 44 2 3 3 3" xfId="6788" xr:uid="{00000000-0005-0000-0000-000017380000}"/>
    <cellStyle name="Normal 44 2 3 3 3 2" xfId="17685" xr:uid="{00000000-0005-0000-0000-000018380000}"/>
    <cellStyle name="Normal 44 2 3 3 4" xfId="12762" xr:uid="{00000000-0005-0000-0000-000019380000}"/>
    <cellStyle name="Normal 44 2 3 4" xfId="2988" xr:uid="{00000000-0005-0000-0000-00001A380000}"/>
    <cellStyle name="Normal 44 2 3 4 2" xfId="7939" xr:uid="{00000000-0005-0000-0000-00001B380000}"/>
    <cellStyle name="Normal 44 2 3 4 2 2" xfId="18836" xr:uid="{00000000-0005-0000-0000-00001C380000}"/>
    <cellStyle name="Normal 44 2 3 4 3" xfId="13885" xr:uid="{00000000-0005-0000-0000-00001D380000}"/>
    <cellStyle name="Normal 44 2 3 5" xfId="5627" xr:uid="{00000000-0005-0000-0000-00001E380000}"/>
    <cellStyle name="Normal 44 2 3 5 2" xfId="16524" xr:uid="{00000000-0005-0000-0000-00001F380000}"/>
    <cellStyle name="Normal 44 2 3 6" xfId="11626" xr:uid="{00000000-0005-0000-0000-000020380000}"/>
    <cellStyle name="Normal 44 2 4" xfId="931" xr:uid="{00000000-0005-0000-0000-000021380000}"/>
    <cellStyle name="Normal 44 2 4 2" xfId="2088" xr:uid="{00000000-0005-0000-0000-000022380000}"/>
    <cellStyle name="Normal 44 2 4 2 2" xfId="4400" xr:uid="{00000000-0005-0000-0000-000023380000}"/>
    <cellStyle name="Normal 44 2 4 2 2 2" xfId="9351" xr:uid="{00000000-0005-0000-0000-000024380000}"/>
    <cellStyle name="Normal 44 2 4 2 2 2 2" xfId="20248" xr:uid="{00000000-0005-0000-0000-000025380000}"/>
    <cellStyle name="Normal 44 2 4 2 2 3" xfId="15297" xr:uid="{00000000-0005-0000-0000-000026380000}"/>
    <cellStyle name="Normal 44 2 4 2 3" xfId="7039" xr:uid="{00000000-0005-0000-0000-000027380000}"/>
    <cellStyle name="Normal 44 2 4 2 3 2" xfId="17936" xr:uid="{00000000-0005-0000-0000-000028380000}"/>
    <cellStyle name="Normal 44 2 4 2 4" xfId="13006" xr:uid="{00000000-0005-0000-0000-000029380000}"/>
    <cellStyle name="Normal 44 2 4 3" xfId="3255" xr:uid="{00000000-0005-0000-0000-00002A380000}"/>
    <cellStyle name="Normal 44 2 4 3 2" xfId="8206" xr:uid="{00000000-0005-0000-0000-00002B380000}"/>
    <cellStyle name="Normal 44 2 4 3 2 2" xfId="19103" xr:uid="{00000000-0005-0000-0000-00002C380000}"/>
    <cellStyle name="Normal 44 2 4 3 3" xfId="14152" xr:uid="{00000000-0005-0000-0000-00002D380000}"/>
    <cellStyle name="Normal 44 2 4 4" xfId="5894" xr:uid="{00000000-0005-0000-0000-00002E380000}"/>
    <cellStyle name="Normal 44 2 4 4 2" xfId="16791" xr:uid="{00000000-0005-0000-0000-00002F380000}"/>
    <cellStyle name="Normal 44 2 4 5" xfId="11888" xr:uid="{00000000-0005-0000-0000-000030380000}"/>
    <cellStyle name="Normal 44 2 5" xfId="1604" xr:uid="{00000000-0005-0000-0000-000031380000}"/>
    <cellStyle name="Normal 44 2 5 2" xfId="3916" xr:uid="{00000000-0005-0000-0000-000032380000}"/>
    <cellStyle name="Normal 44 2 5 2 2" xfId="8867" xr:uid="{00000000-0005-0000-0000-000033380000}"/>
    <cellStyle name="Normal 44 2 5 2 2 2" xfId="19764" xr:uid="{00000000-0005-0000-0000-000034380000}"/>
    <cellStyle name="Normal 44 2 5 2 3" xfId="14813" xr:uid="{00000000-0005-0000-0000-000035380000}"/>
    <cellStyle name="Normal 44 2 5 3" xfId="6555" xr:uid="{00000000-0005-0000-0000-000036380000}"/>
    <cellStyle name="Normal 44 2 5 3 2" xfId="17452" xr:uid="{00000000-0005-0000-0000-000037380000}"/>
    <cellStyle name="Normal 44 2 5 4" xfId="12536" xr:uid="{00000000-0005-0000-0000-000038380000}"/>
    <cellStyle name="Normal 44 2 6" xfId="2723" xr:uid="{00000000-0005-0000-0000-000039380000}"/>
    <cellStyle name="Normal 44 2 6 2" xfId="7674" xr:uid="{00000000-0005-0000-0000-00003A380000}"/>
    <cellStyle name="Normal 44 2 6 2 2" xfId="18571" xr:uid="{00000000-0005-0000-0000-00003B380000}"/>
    <cellStyle name="Normal 44 2 6 3" xfId="13620" xr:uid="{00000000-0005-0000-0000-00003C380000}"/>
    <cellStyle name="Normal 44 2 7" xfId="5362" xr:uid="{00000000-0005-0000-0000-00003D380000}"/>
    <cellStyle name="Normal 44 2 7 2" xfId="16259" xr:uid="{00000000-0005-0000-0000-00003E380000}"/>
    <cellStyle name="Normal 44 2 8" xfId="11365" xr:uid="{00000000-0005-0000-0000-00003F380000}"/>
    <cellStyle name="Normal 44 3" xfId="477" xr:uid="{00000000-0005-0000-0000-000040380000}"/>
    <cellStyle name="Normal 44 3 2" xfId="742" xr:uid="{00000000-0005-0000-0000-000041380000}"/>
    <cellStyle name="Normal 44 3 2 2" xfId="1274" xr:uid="{00000000-0005-0000-0000-000042380000}"/>
    <cellStyle name="Normal 44 3 2 2 2" xfId="2431" xr:uid="{00000000-0005-0000-0000-000043380000}"/>
    <cellStyle name="Normal 44 3 2 2 2 2" xfId="4743" xr:uid="{00000000-0005-0000-0000-000044380000}"/>
    <cellStyle name="Normal 44 3 2 2 2 2 2" xfId="9694" xr:uid="{00000000-0005-0000-0000-000045380000}"/>
    <cellStyle name="Normal 44 3 2 2 2 2 2 2" xfId="20591" xr:uid="{00000000-0005-0000-0000-000046380000}"/>
    <cellStyle name="Normal 44 3 2 2 2 2 3" xfId="15640" xr:uid="{00000000-0005-0000-0000-000047380000}"/>
    <cellStyle name="Normal 44 3 2 2 2 3" xfId="7382" xr:uid="{00000000-0005-0000-0000-000048380000}"/>
    <cellStyle name="Normal 44 3 2 2 2 3 2" xfId="18279" xr:uid="{00000000-0005-0000-0000-000049380000}"/>
    <cellStyle name="Normal 44 3 2 2 2 4" xfId="13342" xr:uid="{00000000-0005-0000-0000-00004A380000}"/>
    <cellStyle name="Normal 44 3 2 2 3" xfId="3598" xr:uid="{00000000-0005-0000-0000-00004B380000}"/>
    <cellStyle name="Normal 44 3 2 2 3 2" xfId="8549" xr:uid="{00000000-0005-0000-0000-00004C380000}"/>
    <cellStyle name="Normal 44 3 2 2 3 2 2" xfId="19446" xr:uid="{00000000-0005-0000-0000-00004D380000}"/>
    <cellStyle name="Normal 44 3 2 2 3 3" xfId="14495" xr:uid="{00000000-0005-0000-0000-00004E380000}"/>
    <cellStyle name="Normal 44 3 2 2 4" xfId="6237" xr:uid="{00000000-0005-0000-0000-00004F380000}"/>
    <cellStyle name="Normal 44 3 2 2 4 2" xfId="17134" xr:uid="{00000000-0005-0000-0000-000050380000}"/>
    <cellStyle name="Normal 44 3 2 2 5" xfId="12224" xr:uid="{00000000-0005-0000-0000-000051380000}"/>
    <cellStyle name="Normal 44 3 2 3" xfId="1900" xr:uid="{00000000-0005-0000-0000-000052380000}"/>
    <cellStyle name="Normal 44 3 2 3 2" xfId="4212" xr:uid="{00000000-0005-0000-0000-000053380000}"/>
    <cellStyle name="Normal 44 3 2 3 2 2" xfId="9163" xr:uid="{00000000-0005-0000-0000-000054380000}"/>
    <cellStyle name="Normal 44 3 2 3 2 2 2" xfId="20060" xr:uid="{00000000-0005-0000-0000-000055380000}"/>
    <cellStyle name="Normal 44 3 2 3 2 3" xfId="15109" xr:uid="{00000000-0005-0000-0000-000056380000}"/>
    <cellStyle name="Normal 44 3 2 3 3" xfId="6851" xr:uid="{00000000-0005-0000-0000-000057380000}"/>
    <cellStyle name="Normal 44 3 2 3 3 2" xfId="17748" xr:uid="{00000000-0005-0000-0000-000058380000}"/>
    <cellStyle name="Normal 44 3 2 3 4" xfId="12824" xr:uid="{00000000-0005-0000-0000-000059380000}"/>
    <cellStyle name="Normal 44 3 2 4" xfId="3066" xr:uid="{00000000-0005-0000-0000-00005A380000}"/>
    <cellStyle name="Normal 44 3 2 4 2" xfId="8017" xr:uid="{00000000-0005-0000-0000-00005B380000}"/>
    <cellStyle name="Normal 44 3 2 4 2 2" xfId="18914" xr:uid="{00000000-0005-0000-0000-00005C380000}"/>
    <cellStyle name="Normal 44 3 2 4 3" xfId="13963" xr:uid="{00000000-0005-0000-0000-00005D380000}"/>
    <cellStyle name="Normal 44 3 2 5" xfId="5705" xr:uid="{00000000-0005-0000-0000-00005E380000}"/>
    <cellStyle name="Normal 44 3 2 5 2" xfId="16602" xr:uid="{00000000-0005-0000-0000-00005F380000}"/>
    <cellStyle name="Normal 44 3 2 6" xfId="11703" xr:uid="{00000000-0005-0000-0000-000060380000}"/>
    <cellStyle name="Normal 44 3 3" xfId="1009" xr:uid="{00000000-0005-0000-0000-000061380000}"/>
    <cellStyle name="Normal 44 3 3 2" xfId="2166" xr:uid="{00000000-0005-0000-0000-000062380000}"/>
    <cellStyle name="Normal 44 3 3 2 2" xfId="4478" xr:uid="{00000000-0005-0000-0000-000063380000}"/>
    <cellStyle name="Normal 44 3 3 2 2 2" xfId="9429" xr:uid="{00000000-0005-0000-0000-000064380000}"/>
    <cellStyle name="Normal 44 3 3 2 2 2 2" xfId="20326" xr:uid="{00000000-0005-0000-0000-000065380000}"/>
    <cellStyle name="Normal 44 3 3 2 2 3" xfId="15375" xr:uid="{00000000-0005-0000-0000-000066380000}"/>
    <cellStyle name="Normal 44 3 3 2 3" xfId="7117" xr:uid="{00000000-0005-0000-0000-000067380000}"/>
    <cellStyle name="Normal 44 3 3 2 3 2" xfId="18014" xr:uid="{00000000-0005-0000-0000-000068380000}"/>
    <cellStyle name="Normal 44 3 3 2 4" xfId="13083" xr:uid="{00000000-0005-0000-0000-000069380000}"/>
    <cellStyle name="Normal 44 3 3 3" xfId="3333" xr:uid="{00000000-0005-0000-0000-00006A380000}"/>
    <cellStyle name="Normal 44 3 3 3 2" xfId="8284" xr:uid="{00000000-0005-0000-0000-00006B380000}"/>
    <cellStyle name="Normal 44 3 3 3 2 2" xfId="19181" xr:uid="{00000000-0005-0000-0000-00006C380000}"/>
    <cellStyle name="Normal 44 3 3 3 3" xfId="14230" xr:uid="{00000000-0005-0000-0000-00006D380000}"/>
    <cellStyle name="Normal 44 3 3 4" xfId="5972" xr:uid="{00000000-0005-0000-0000-00006E380000}"/>
    <cellStyle name="Normal 44 3 3 4 2" xfId="16869" xr:uid="{00000000-0005-0000-0000-00006F380000}"/>
    <cellStyle name="Normal 44 3 3 5" xfId="11965" xr:uid="{00000000-0005-0000-0000-000070380000}"/>
    <cellStyle name="Normal 44 3 4" xfId="1667" xr:uid="{00000000-0005-0000-0000-000071380000}"/>
    <cellStyle name="Normal 44 3 4 2" xfId="3979" xr:uid="{00000000-0005-0000-0000-000072380000}"/>
    <cellStyle name="Normal 44 3 4 2 2" xfId="8930" xr:uid="{00000000-0005-0000-0000-000073380000}"/>
    <cellStyle name="Normal 44 3 4 2 2 2" xfId="19827" xr:uid="{00000000-0005-0000-0000-000074380000}"/>
    <cellStyle name="Normal 44 3 4 2 3" xfId="14876" xr:uid="{00000000-0005-0000-0000-000075380000}"/>
    <cellStyle name="Normal 44 3 4 3" xfId="6618" xr:uid="{00000000-0005-0000-0000-000076380000}"/>
    <cellStyle name="Normal 44 3 4 3 2" xfId="17515" xr:uid="{00000000-0005-0000-0000-000077380000}"/>
    <cellStyle name="Normal 44 3 4 4" xfId="12598" xr:uid="{00000000-0005-0000-0000-000078380000}"/>
    <cellStyle name="Normal 44 3 5" xfId="2801" xr:uid="{00000000-0005-0000-0000-000079380000}"/>
    <cellStyle name="Normal 44 3 5 2" xfId="7752" xr:uid="{00000000-0005-0000-0000-00007A380000}"/>
    <cellStyle name="Normal 44 3 5 2 2" xfId="18649" xr:uid="{00000000-0005-0000-0000-00007B380000}"/>
    <cellStyle name="Normal 44 3 5 3" xfId="13698" xr:uid="{00000000-0005-0000-0000-00007C380000}"/>
    <cellStyle name="Normal 44 3 6" xfId="5440" xr:uid="{00000000-0005-0000-0000-00007D380000}"/>
    <cellStyle name="Normal 44 3 6 2" xfId="16337" xr:uid="{00000000-0005-0000-0000-00007E380000}"/>
    <cellStyle name="Normal 44 3 7" xfId="11442" xr:uid="{00000000-0005-0000-0000-00007F380000}"/>
    <cellStyle name="Normal 44 4" xfId="601" xr:uid="{00000000-0005-0000-0000-000080380000}"/>
    <cellStyle name="Normal 44 4 2" xfId="1133" xr:uid="{00000000-0005-0000-0000-000081380000}"/>
    <cellStyle name="Normal 44 4 2 2" xfId="2290" xr:uid="{00000000-0005-0000-0000-000082380000}"/>
    <cellStyle name="Normal 44 4 2 2 2" xfId="4602" xr:uid="{00000000-0005-0000-0000-000083380000}"/>
    <cellStyle name="Normal 44 4 2 2 2 2" xfId="9553" xr:uid="{00000000-0005-0000-0000-000084380000}"/>
    <cellStyle name="Normal 44 4 2 2 2 2 2" xfId="20450" xr:uid="{00000000-0005-0000-0000-000085380000}"/>
    <cellStyle name="Normal 44 4 2 2 2 3" xfId="15499" xr:uid="{00000000-0005-0000-0000-000086380000}"/>
    <cellStyle name="Normal 44 4 2 2 3" xfId="7241" xr:uid="{00000000-0005-0000-0000-000087380000}"/>
    <cellStyle name="Normal 44 4 2 2 3 2" xfId="18138" xr:uid="{00000000-0005-0000-0000-000088380000}"/>
    <cellStyle name="Normal 44 4 2 2 4" xfId="13205" xr:uid="{00000000-0005-0000-0000-000089380000}"/>
    <cellStyle name="Normal 44 4 2 3" xfId="3457" xr:uid="{00000000-0005-0000-0000-00008A380000}"/>
    <cellStyle name="Normal 44 4 2 3 2" xfId="8408" xr:uid="{00000000-0005-0000-0000-00008B380000}"/>
    <cellStyle name="Normal 44 4 2 3 2 2" xfId="19305" xr:uid="{00000000-0005-0000-0000-00008C380000}"/>
    <cellStyle name="Normal 44 4 2 3 3" xfId="14354" xr:uid="{00000000-0005-0000-0000-00008D380000}"/>
    <cellStyle name="Normal 44 4 2 4" xfId="6096" xr:uid="{00000000-0005-0000-0000-00008E380000}"/>
    <cellStyle name="Normal 44 4 2 4 2" xfId="16993" xr:uid="{00000000-0005-0000-0000-00008F380000}"/>
    <cellStyle name="Normal 44 4 2 5" xfId="12087" xr:uid="{00000000-0005-0000-0000-000090380000}"/>
    <cellStyle name="Normal 44 4 3" xfId="1782" xr:uid="{00000000-0005-0000-0000-000091380000}"/>
    <cellStyle name="Normal 44 4 3 2" xfId="4094" xr:uid="{00000000-0005-0000-0000-000092380000}"/>
    <cellStyle name="Normal 44 4 3 2 2" xfId="9045" xr:uid="{00000000-0005-0000-0000-000093380000}"/>
    <cellStyle name="Normal 44 4 3 2 2 2" xfId="19942" xr:uid="{00000000-0005-0000-0000-000094380000}"/>
    <cellStyle name="Normal 44 4 3 2 3" xfId="14991" xr:uid="{00000000-0005-0000-0000-000095380000}"/>
    <cellStyle name="Normal 44 4 3 3" xfId="6733" xr:uid="{00000000-0005-0000-0000-000096380000}"/>
    <cellStyle name="Normal 44 4 3 3 2" xfId="17630" xr:uid="{00000000-0005-0000-0000-000097380000}"/>
    <cellStyle name="Normal 44 4 3 4" xfId="12711" xr:uid="{00000000-0005-0000-0000-000098380000}"/>
    <cellStyle name="Normal 44 4 4" xfId="2925" xr:uid="{00000000-0005-0000-0000-000099380000}"/>
    <cellStyle name="Normal 44 4 4 2" xfId="7876" xr:uid="{00000000-0005-0000-0000-00009A380000}"/>
    <cellStyle name="Normal 44 4 4 2 2" xfId="18773" xr:uid="{00000000-0005-0000-0000-00009B380000}"/>
    <cellStyle name="Normal 44 4 4 3" xfId="13822" xr:uid="{00000000-0005-0000-0000-00009C380000}"/>
    <cellStyle name="Normal 44 4 5" xfId="5564" xr:uid="{00000000-0005-0000-0000-00009D380000}"/>
    <cellStyle name="Normal 44 4 5 2" xfId="16461" xr:uid="{00000000-0005-0000-0000-00009E380000}"/>
    <cellStyle name="Normal 44 4 6" xfId="11566" xr:uid="{00000000-0005-0000-0000-00009F380000}"/>
    <cellStyle name="Normal 44 5" xfId="868" xr:uid="{00000000-0005-0000-0000-0000A0380000}"/>
    <cellStyle name="Normal 44 5 2" xfId="2025" xr:uid="{00000000-0005-0000-0000-0000A1380000}"/>
    <cellStyle name="Normal 44 5 2 2" xfId="4337" xr:uid="{00000000-0005-0000-0000-0000A2380000}"/>
    <cellStyle name="Normal 44 5 2 2 2" xfId="9288" xr:uid="{00000000-0005-0000-0000-0000A3380000}"/>
    <cellStyle name="Normal 44 5 2 2 2 2" xfId="20185" xr:uid="{00000000-0005-0000-0000-0000A4380000}"/>
    <cellStyle name="Normal 44 5 2 2 3" xfId="15234" xr:uid="{00000000-0005-0000-0000-0000A5380000}"/>
    <cellStyle name="Normal 44 5 2 3" xfId="6976" xr:uid="{00000000-0005-0000-0000-0000A6380000}"/>
    <cellStyle name="Normal 44 5 2 3 2" xfId="17873" xr:uid="{00000000-0005-0000-0000-0000A7380000}"/>
    <cellStyle name="Normal 44 5 2 4" xfId="12947" xr:uid="{00000000-0005-0000-0000-0000A8380000}"/>
    <cellStyle name="Normal 44 5 3" xfId="3192" xr:uid="{00000000-0005-0000-0000-0000A9380000}"/>
    <cellStyle name="Normal 44 5 3 2" xfId="8143" xr:uid="{00000000-0005-0000-0000-0000AA380000}"/>
    <cellStyle name="Normal 44 5 3 2 2" xfId="19040" xr:uid="{00000000-0005-0000-0000-0000AB380000}"/>
    <cellStyle name="Normal 44 5 3 3" xfId="14089" xr:uid="{00000000-0005-0000-0000-0000AC380000}"/>
    <cellStyle name="Normal 44 5 4" xfId="5831" xr:uid="{00000000-0005-0000-0000-0000AD380000}"/>
    <cellStyle name="Normal 44 5 4 2" xfId="16728" xr:uid="{00000000-0005-0000-0000-0000AE380000}"/>
    <cellStyle name="Normal 44 5 5" xfId="11829" xr:uid="{00000000-0005-0000-0000-0000AF380000}"/>
    <cellStyle name="Normal 44 6" xfId="1549" xr:uid="{00000000-0005-0000-0000-0000B0380000}"/>
    <cellStyle name="Normal 44 6 2" xfId="3861" xr:uid="{00000000-0005-0000-0000-0000B1380000}"/>
    <cellStyle name="Normal 44 6 2 2" xfId="8812" xr:uid="{00000000-0005-0000-0000-0000B2380000}"/>
    <cellStyle name="Normal 44 6 2 2 2" xfId="19709" xr:uid="{00000000-0005-0000-0000-0000B3380000}"/>
    <cellStyle name="Normal 44 6 2 3" xfId="14758" xr:uid="{00000000-0005-0000-0000-0000B4380000}"/>
    <cellStyle name="Normal 44 6 3" xfId="6500" xr:uid="{00000000-0005-0000-0000-0000B5380000}"/>
    <cellStyle name="Normal 44 6 3 2" xfId="17397" xr:uid="{00000000-0005-0000-0000-0000B6380000}"/>
    <cellStyle name="Normal 44 6 4" xfId="12484" xr:uid="{00000000-0005-0000-0000-0000B7380000}"/>
    <cellStyle name="Normal 44 7" xfId="2660" xr:uid="{00000000-0005-0000-0000-0000B8380000}"/>
    <cellStyle name="Normal 44 7 2" xfId="7611" xr:uid="{00000000-0005-0000-0000-0000B9380000}"/>
    <cellStyle name="Normal 44 7 2 2" xfId="18508" xr:uid="{00000000-0005-0000-0000-0000BA380000}"/>
    <cellStyle name="Normal 44 7 3" xfId="13557" xr:uid="{00000000-0005-0000-0000-0000BB380000}"/>
    <cellStyle name="Normal 44 8" xfId="5299" xr:uid="{00000000-0005-0000-0000-0000BC380000}"/>
    <cellStyle name="Normal 44 8 2" xfId="16196" xr:uid="{00000000-0005-0000-0000-0000BD380000}"/>
    <cellStyle name="Normal 44 9" xfId="11304" xr:uid="{00000000-0005-0000-0000-0000BE380000}"/>
    <cellStyle name="Normal 45" xfId="309" xr:uid="{00000000-0005-0000-0000-0000BF380000}"/>
    <cellStyle name="Normal 45 2" xfId="399" xr:uid="{00000000-0005-0000-0000-0000C0380000}"/>
    <cellStyle name="Normal 45 2 2" xfId="529" xr:uid="{00000000-0005-0000-0000-0000C1380000}"/>
    <cellStyle name="Normal 45 2 2 2" xfId="794" xr:uid="{00000000-0005-0000-0000-0000C2380000}"/>
    <cellStyle name="Normal 45 2 2 2 2" xfId="1326" xr:uid="{00000000-0005-0000-0000-0000C3380000}"/>
    <cellStyle name="Normal 45 2 2 2 2 2" xfId="2483" xr:uid="{00000000-0005-0000-0000-0000C4380000}"/>
    <cellStyle name="Normal 45 2 2 2 2 2 2" xfId="4795" xr:uid="{00000000-0005-0000-0000-0000C5380000}"/>
    <cellStyle name="Normal 45 2 2 2 2 2 2 2" xfId="9746" xr:uid="{00000000-0005-0000-0000-0000C6380000}"/>
    <cellStyle name="Normal 45 2 2 2 2 2 2 2 2" xfId="20643" xr:uid="{00000000-0005-0000-0000-0000C7380000}"/>
    <cellStyle name="Normal 45 2 2 2 2 2 2 3" xfId="15692" xr:uid="{00000000-0005-0000-0000-0000C8380000}"/>
    <cellStyle name="Normal 45 2 2 2 2 2 3" xfId="7434" xr:uid="{00000000-0005-0000-0000-0000C9380000}"/>
    <cellStyle name="Normal 45 2 2 2 2 2 3 2" xfId="18331" xr:uid="{00000000-0005-0000-0000-0000CA380000}"/>
    <cellStyle name="Normal 45 2 2 2 2 2 4" xfId="13394" xr:uid="{00000000-0005-0000-0000-0000CB380000}"/>
    <cellStyle name="Normal 45 2 2 2 2 3" xfId="3650" xr:uid="{00000000-0005-0000-0000-0000CC380000}"/>
    <cellStyle name="Normal 45 2 2 2 2 3 2" xfId="8601" xr:uid="{00000000-0005-0000-0000-0000CD380000}"/>
    <cellStyle name="Normal 45 2 2 2 2 3 2 2" xfId="19498" xr:uid="{00000000-0005-0000-0000-0000CE380000}"/>
    <cellStyle name="Normal 45 2 2 2 2 3 3" xfId="14547" xr:uid="{00000000-0005-0000-0000-0000CF380000}"/>
    <cellStyle name="Normal 45 2 2 2 2 4" xfId="6289" xr:uid="{00000000-0005-0000-0000-0000D0380000}"/>
    <cellStyle name="Normal 45 2 2 2 2 4 2" xfId="17186" xr:uid="{00000000-0005-0000-0000-0000D1380000}"/>
    <cellStyle name="Normal 45 2 2 2 2 5" xfId="12276" xr:uid="{00000000-0005-0000-0000-0000D2380000}"/>
    <cellStyle name="Normal 45 2 2 2 3" xfId="1952" xr:uid="{00000000-0005-0000-0000-0000D3380000}"/>
    <cellStyle name="Normal 45 2 2 2 3 2" xfId="4264" xr:uid="{00000000-0005-0000-0000-0000D4380000}"/>
    <cellStyle name="Normal 45 2 2 2 3 2 2" xfId="9215" xr:uid="{00000000-0005-0000-0000-0000D5380000}"/>
    <cellStyle name="Normal 45 2 2 2 3 2 2 2" xfId="20112" xr:uid="{00000000-0005-0000-0000-0000D6380000}"/>
    <cellStyle name="Normal 45 2 2 2 3 2 3" xfId="15161" xr:uid="{00000000-0005-0000-0000-0000D7380000}"/>
    <cellStyle name="Normal 45 2 2 2 3 3" xfId="6903" xr:uid="{00000000-0005-0000-0000-0000D8380000}"/>
    <cellStyle name="Normal 45 2 2 2 3 3 2" xfId="17800" xr:uid="{00000000-0005-0000-0000-0000D9380000}"/>
    <cellStyle name="Normal 45 2 2 2 3 4" xfId="12876" xr:uid="{00000000-0005-0000-0000-0000DA380000}"/>
    <cellStyle name="Normal 45 2 2 2 4" xfId="3118" xr:uid="{00000000-0005-0000-0000-0000DB380000}"/>
    <cellStyle name="Normal 45 2 2 2 4 2" xfId="8069" xr:uid="{00000000-0005-0000-0000-0000DC380000}"/>
    <cellStyle name="Normal 45 2 2 2 4 2 2" xfId="18966" xr:uid="{00000000-0005-0000-0000-0000DD380000}"/>
    <cellStyle name="Normal 45 2 2 2 4 3" xfId="14015" xr:uid="{00000000-0005-0000-0000-0000DE380000}"/>
    <cellStyle name="Normal 45 2 2 2 5" xfId="5757" xr:uid="{00000000-0005-0000-0000-0000DF380000}"/>
    <cellStyle name="Normal 45 2 2 2 5 2" xfId="16654" xr:uid="{00000000-0005-0000-0000-0000E0380000}"/>
    <cellStyle name="Normal 45 2 2 2 6" xfId="11755" xr:uid="{00000000-0005-0000-0000-0000E1380000}"/>
    <cellStyle name="Normal 45 2 2 3" xfId="1061" xr:uid="{00000000-0005-0000-0000-0000E2380000}"/>
    <cellStyle name="Normal 45 2 2 3 2" xfId="2218" xr:uid="{00000000-0005-0000-0000-0000E3380000}"/>
    <cellStyle name="Normal 45 2 2 3 2 2" xfId="4530" xr:uid="{00000000-0005-0000-0000-0000E4380000}"/>
    <cellStyle name="Normal 45 2 2 3 2 2 2" xfId="9481" xr:uid="{00000000-0005-0000-0000-0000E5380000}"/>
    <cellStyle name="Normal 45 2 2 3 2 2 2 2" xfId="20378" xr:uid="{00000000-0005-0000-0000-0000E6380000}"/>
    <cellStyle name="Normal 45 2 2 3 2 2 3" xfId="15427" xr:uid="{00000000-0005-0000-0000-0000E7380000}"/>
    <cellStyle name="Normal 45 2 2 3 2 3" xfId="7169" xr:uid="{00000000-0005-0000-0000-0000E8380000}"/>
    <cellStyle name="Normal 45 2 2 3 2 3 2" xfId="18066" xr:uid="{00000000-0005-0000-0000-0000E9380000}"/>
    <cellStyle name="Normal 45 2 2 3 2 4" xfId="13135" xr:uid="{00000000-0005-0000-0000-0000EA380000}"/>
    <cellStyle name="Normal 45 2 2 3 3" xfId="3385" xr:uid="{00000000-0005-0000-0000-0000EB380000}"/>
    <cellStyle name="Normal 45 2 2 3 3 2" xfId="8336" xr:uid="{00000000-0005-0000-0000-0000EC380000}"/>
    <cellStyle name="Normal 45 2 2 3 3 2 2" xfId="19233" xr:uid="{00000000-0005-0000-0000-0000ED380000}"/>
    <cellStyle name="Normal 45 2 2 3 3 3" xfId="14282" xr:uid="{00000000-0005-0000-0000-0000EE380000}"/>
    <cellStyle name="Normal 45 2 2 3 4" xfId="6024" xr:uid="{00000000-0005-0000-0000-0000EF380000}"/>
    <cellStyle name="Normal 45 2 2 3 4 2" xfId="16921" xr:uid="{00000000-0005-0000-0000-0000F0380000}"/>
    <cellStyle name="Normal 45 2 2 3 5" xfId="12017" xr:uid="{00000000-0005-0000-0000-0000F1380000}"/>
    <cellStyle name="Normal 45 2 2 4" xfId="1719" xr:uid="{00000000-0005-0000-0000-0000F2380000}"/>
    <cellStyle name="Normal 45 2 2 4 2" xfId="4031" xr:uid="{00000000-0005-0000-0000-0000F3380000}"/>
    <cellStyle name="Normal 45 2 2 4 2 2" xfId="8982" xr:uid="{00000000-0005-0000-0000-0000F4380000}"/>
    <cellStyle name="Normal 45 2 2 4 2 2 2" xfId="19879" xr:uid="{00000000-0005-0000-0000-0000F5380000}"/>
    <cellStyle name="Normal 45 2 2 4 2 3" xfId="14928" xr:uid="{00000000-0005-0000-0000-0000F6380000}"/>
    <cellStyle name="Normal 45 2 2 4 3" xfId="6670" xr:uid="{00000000-0005-0000-0000-0000F7380000}"/>
    <cellStyle name="Normal 45 2 2 4 3 2" xfId="17567" xr:uid="{00000000-0005-0000-0000-0000F8380000}"/>
    <cellStyle name="Normal 45 2 2 4 4" xfId="12650" xr:uid="{00000000-0005-0000-0000-0000F9380000}"/>
    <cellStyle name="Normal 45 2 2 5" xfId="2853" xr:uid="{00000000-0005-0000-0000-0000FA380000}"/>
    <cellStyle name="Normal 45 2 2 5 2" xfId="7804" xr:uid="{00000000-0005-0000-0000-0000FB380000}"/>
    <cellStyle name="Normal 45 2 2 5 2 2" xfId="18701" xr:uid="{00000000-0005-0000-0000-0000FC380000}"/>
    <cellStyle name="Normal 45 2 2 5 3" xfId="13750" xr:uid="{00000000-0005-0000-0000-0000FD380000}"/>
    <cellStyle name="Normal 45 2 2 6" xfId="5492" xr:uid="{00000000-0005-0000-0000-0000FE380000}"/>
    <cellStyle name="Normal 45 2 2 6 2" xfId="16389" xr:uid="{00000000-0005-0000-0000-0000FF380000}"/>
    <cellStyle name="Normal 45 2 2 7" xfId="11494" xr:uid="{00000000-0005-0000-0000-000000390000}"/>
    <cellStyle name="Normal 45 2 3" xfId="665" xr:uid="{00000000-0005-0000-0000-000001390000}"/>
    <cellStyle name="Normal 45 2 3 2" xfId="1197" xr:uid="{00000000-0005-0000-0000-000002390000}"/>
    <cellStyle name="Normal 45 2 3 2 2" xfId="2354" xr:uid="{00000000-0005-0000-0000-000003390000}"/>
    <cellStyle name="Normal 45 2 3 2 2 2" xfId="4666" xr:uid="{00000000-0005-0000-0000-000004390000}"/>
    <cellStyle name="Normal 45 2 3 2 2 2 2" xfId="9617" xr:uid="{00000000-0005-0000-0000-000005390000}"/>
    <cellStyle name="Normal 45 2 3 2 2 2 2 2" xfId="20514" xr:uid="{00000000-0005-0000-0000-000006390000}"/>
    <cellStyle name="Normal 45 2 3 2 2 2 3" xfId="15563" xr:uid="{00000000-0005-0000-0000-000007390000}"/>
    <cellStyle name="Normal 45 2 3 2 2 3" xfId="7305" xr:uid="{00000000-0005-0000-0000-000008390000}"/>
    <cellStyle name="Normal 45 2 3 2 2 3 2" xfId="18202" xr:uid="{00000000-0005-0000-0000-000009390000}"/>
    <cellStyle name="Normal 45 2 3 2 2 4" xfId="13266" xr:uid="{00000000-0005-0000-0000-00000A390000}"/>
    <cellStyle name="Normal 45 2 3 2 3" xfId="3521" xr:uid="{00000000-0005-0000-0000-00000B390000}"/>
    <cellStyle name="Normal 45 2 3 2 3 2" xfId="8472" xr:uid="{00000000-0005-0000-0000-00000C390000}"/>
    <cellStyle name="Normal 45 2 3 2 3 2 2" xfId="19369" xr:uid="{00000000-0005-0000-0000-00000D390000}"/>
    <cellStyle name="Normal 45 2 3 2 3 3" xfId="14418" xr:uid="{00000000-0005-0000-0000-00000E390000}"/>
    <cellStyle name="Normal 45 2 3 2 4" xfId="6160" xr:uid="{00000000-0005-0000-0000-00000F390000}"/>
    <cellStyle name="Normal 45 2 3 2 4 2" xfId="17057" xr:uid="{00000000-0005-0000-0000-000010390000}"/>
    <cellStyle name="Normal 45 2 3 2 5" xfId="12148" xr:uid="{00000000-0005-0000-0000-000011390000}"/>
    <cellStyle name="Normal 45 2 3 3" xfId="1838" xr:uid="{00000000-0005-0000-0000-000012390000}"/>
    <cellStyle name="Normal 45 2 3 3 2" xfId="4150" xr:uid="{00000000-0005-0000-0000-000013390000}"/>
    <cellStyle name="Normal 45 2 3 3 2 2" xfId="9101" xr:uid="{00000000-0005-0000-0000-000014390000}"/>
    <cellStyle name="Normal 45 2 3 3 2 2 2" xfId="19998" xr:uid="{00000000-0005-0000-0000-000015390000}"/>
    <cellStyle name="Normal 45 2 3 3 2 3" xfId="15047" xr:uid="{00000000-0005-0000-0000-000016390000}"/>
    <cellStyle name="Normal 45 2 3 3 3" xfId="6789" xr:uid="{00000000-0005-0000-0000-000017390000}"/>
    <cellStyle name="Normal 45 2 3 3 3 2" xfId="17686" xr:uid="{00000000-0005-0000-0000-000018390000}"/>
    <cellStyle name="Normal 45 2 3 3 4" xfId="12763" xr:uid="{00000000-0005-0000-0000-000019390000}"/>
    <cellStyle name="Normal 45 2 3 4" xfId="2989" xr:uid="{00000000-0005-0000-0000-00001A390000}"/>
    <cellStyle name="Normal 45 2 3 4 2" xfId="7940" xr:uid="{00000000-0005-0000-0000-00001B390000}"/>
    <cellStyle name="Normal 45 2 3 4 2 2" xfId="18837" xr:uid="{00000000-0005-0000-0000-00001C390000}"/>
    <cellStyle name="Normal 45 2 3 4 3" xfId="13886" xr:uid="{00000000-0005-0000-0000-00001D390000}"/>
    <cellStyle name="Normal 45 2 3 5" xfId="5628" xr:uid="{00000000-0005-0000-0000-00001E390000}"/>
    <cellStyle name="Normal 45 2 3 5 2" xfId="16525" xr:uid="{00000000-0005-0000-0000-00001F390000}"/>
    <cellStyle name="Normal 45 2 3 6" xfId="11627" xr:uid="{00000000-0005-0000-0000-000020390000}"/>
    <cellStyle name="Normal 45 2 4" xfId="932" xr:uid="{00000000-0005-0000-0000-000021390000}"/>
    <cellStyle name="Normal 45 2 4 2" xfId="2089" xr:uid="{00000000-0005-0000-0000-000022390000}"/>
    <cellStyle name="Normal 45 2 4 2 2" xfId="4401" xr:uid="{00000000-0005-0000-0000-000023390000}"/>
    <cellStyle name="Normal 45 2 4 2 2 2" xfId="9352" xr:uid="{00000000-0005-0000-0000-000024390000}"/>
    <cellStyle name="Normal 45 2 4 2 2 2 2" xfId="20249" xr:uid="{00000000-0005-0000-0000-000025390000}"/>
    <cellStyle name="Normal 45 2 4 2 2 3" xfId="15298" xr:uid="{00000000-0005-0000-0000-000026390000}"/>
    <cellStyle name="Normal 45 2 4 2 3" xfId="7040" xr:uid="{00000000-0005-0000-0000-000027390000}"/>
    <cellStyle name="Normal 45 2 4 2 3 2" xfId="17937" xr:uid="{00000000-0005-0000-0000-000028390000}"/>
    <cellStyle name="Normal 45 2 4 2 4" xfId="13007" xr:uid="{00000000-0005-0000-0000-000029390000}"/>
    <cellStyle name="Normal 45 2 4 3" xfId="3256" xr:uid="{00000000-0005-0000-0000-00002A390000}"/>
    <cellStyle name="Normal 45 2 4 3 2" xfId="8207" xr:uid="{00000000-0005-0000-0000-00002B390000}"/>
    <cellStyle name="Normal 45 2 4 3 2 2" xfId="19104" xr:uid="{00000000-0005-0000-0000-00002C390000}"/>
    <cellStyle name="Normal 45 2 4 3 3" xfId="14153" xr:uid="{00000000-0005-0000-0000-00002D390000}"/>
    <cellStyle name="Normal 45 2 4 4" xfId="5895" xr:uid="{00000000-0005-0000-0000-00002E390000}"/>
    <cellStyle name="Normal 45 2 4 4 2" xfId="16792" xr:uid="{00000000-0005-0000-0000-00002F390000}"/>
    <cellStyle name="Normal 45 2 4 5" xfId="11889" xr:uid="{00000000-0005-0000-0000-000030390000}"/>
    <cellStyle name="Normal 45 2 5" xfId="1605" xr:uid="{00000000-0005-0000-0000-000031390000}"/>
    <cellStyle name="Normal 45 2 5 2" xfId="3917" xr:uid="{00000000-0005-0000-0000-000032390000}"/>
    <cellStyle name="Normal 45 2 5 2 2" xfId="8868" xr:uid="{00000000-0005-0000-0000-000033390000}"/>
    <cellStyle name="Normal 45 2 5 2 2 2" xfId="19765" xr:uid="{00000000-0005-0000-0000-000034390000}"/>
    <cellStyle name="Normal 45 2 5 2 3" xfId="14814" xr:uid="{00000000-0005-0000-0000-000035390000}"/>
    <cellStyle name="Normal 45 2 5 3" xfId="6556" xr:uid="{00000000-0005-0000-0000-000036390000}"/>
    <cellStyle name="Normal 45 2 5 3 2" xfId="17453" xr:uid="{00000000-0005-0000-0000-000037390000}"/>
    <cellStyle name="Normal 45 2 5 4" xfId="12537" xr:uid="{00000000-0005-0000-0000-000038390000}"/>
    <cellStyle name="Normal 45 2 6" xfId="2724" xr:uid="{00000000-0005-0000-0000-000039390000}"/>
    <cellStyle name="Normal 45 2 6 2" xfId="7675" xr:uid="{00000000-0005-0000-0000-00003A390000}"/>
    <cellStyle name="Normal 45 2 6 2 2" xfId="18572" xr:uid="{00000000-0005-0000-0000-00003B390000}"/>
    <cellStyle name="Normal 45 2 6 3" xfId="13621" xr:uid="{00000000-0005-0000-0000-00003C390000}"/>
    <cellStyle name="Normal 45 2 7" xfId="5363" xr:uid="{00000000-0005-0000-0000-00003D390000}"/>
    <cellStyle name="Normal 45 2 7 2" xfId="16260" xr:uid="{00000000-0005-0000-0000-00003E390000}"/>
    <cellStyle name="Normal 45 2 8" xfId="11366" xr:uid="{00000000-0005-0000-0000-00003F390000}"/>
    <cellStyle name="Normal 45 3" xfId="478" xr:uid="{00000000-0005-0000-0000-000040390000}"/>
    <cellStyle name="Normal 45 3 2" xfId="743" xr:uid="{00000000-0005-0000-0000-000041390000}"/>
    <cellStyle name="Normal 45 3 2 2" xfId="1275" xr:uid="{00000000-0005-0000-0000-000042390000}"/>
    <cellStyle name="Normal 45 3 2 2 2" xfId="2432" xr:uid="{00000000-0005-0000-0000-000043390000}"/>
    <cellStyle name="Normal 45 3 2 2 2 2" xfId="4744" xr:uid="{00000000-0005-0000-0000-000044390000}"/>
    <cellStyle name="Normal 45 3 2 2 2 2 2" xfId="9695" xr:uid="{00000000-0005-0000-0000-000045390000}"/>
    <cellStyle name="Normal 45 3 2 2 2 2 2 2" xfId="20592" xr:uid="{00000000-0005-0000-0000-000046390000}"/>
    <cellStyle name="Normal 45 3 2 2 2 2 3" xfId="15641" xr:uid="{00000000-0005-0000-0000-000047390000}"/>
    <cellStyle name="Normal 45 3 2 2 2 3" xfId="7383" xr:uid="{00000000-0005-0000-0000-000048390000}"/>
    <cellStyle name="Normal 45 3 2 2 2 3 2" xfId="18280" xr:uid="{00000000-0005-0000-0000-000049390000}"/>
    <cellStyle name="Normal 45 3 2 2 2 4" xfId="13343" xr:uid="{00000000-0005-0000-0000-00004A390000}"/>
    <cellStyle name="Normal 45 3 2 2 3" xfId="3599" xr:uid="{00000000-0005-0000-0000-00004B390000}"/>
    <cellStyle name="Normal 45 3 2 2 3 2" xfId="8550" xr:uid="{00000000-0005-0000-0000-00004C390000}"/>
    <cellStyle name="Normal 45 3 2 2 3 2 2" xfId="19447" xr:uid="{00000000-0005-0000-0000-00004D390000}"/>
    <cellStyle name="Normal 45 3 2 2 3 3" xfId="14496" xr:uid="{00000000-0005-0000-0000-00004E390000}"/>
    <cellStyle name="Normal 45 3 2 2 4" xfId="6238" xr:uid="{00000000-0005-0000-0000-00004F390000}"/>
    <cellStyle name="Normal 45 3 2 2 4 2" xfId="17135" xr:uid="{00000000-0005-0000-0000-000050390000}"/>
    <cellStyle name="Normal 45 3 2 2 5" xfId="12225" xr:uid="{00000000-0005-0000-0000-000051390000}"/>
    <cellStyle name="Normal 45 3 2 3" xfId="1901" xr:uid="{00000000-0005-0000-0000-000052390000}"/>
    <cellStyle name="Normal 45 3 2 3 2" xfId="4213" xr:uid="{00000000-0005-0000-0000-000053390000}"/>
    <cellStyle name="Normal 45 3 2 3 2 2" xfId="9164" xr:uid="{00000000-0005-0000-0000-000054390000}"/>
    <cellStyle name="Normal 45 3 2 3 2 2 2" xfId="20061" xr:uid="{00000000-0005-0000-0000-000055390000}"/>
    <cellStyle name="Normal 45 3 2 3 2 3" xfId="15110" xr:uid="{00000000-0005-0000-0000-000056390000}"/>
    <cellStyle name="Normal 45 3 2 3 3" xfId="6852" xr:uid="{00000000-0005-0000-0000-000057390000}"/>
    <cellStyle name="Normal 45 3 2 3 3 2" xfId="17749" xr:uid="{00000000-0005-0000-0000-000058390000}"/>
    <cellStyle name="Normal 45 3 2 3 4" xfId="12825" xr:uid="{00000000-0005-0000-0000-000059390000}"/>
    <cellStyle name="Normal 45 3 2 4" xfId="3067" xr:uid="{00000000-0005-0000-0000-00005A390000}"/>
    <cellStyle name="Normal 45 3 2 4 2" xfId="8018" xr:uid="{00000000-0005-0000-0000-00005B390000}"/>
    <cellStyle name="Normal 45 3 2 4 2 2" xfId="18915" xr:uid="{00000000-0005-0000-0000-00005C390000}"/>
    <cellStyle name="Normal 45 3 2 4 3" xfId="13964" xr:uid="{00000000-0005-0000-0000-00005D390000}"/>
    <cellStyle name="Normal 45 3 2 5" xfId="5706" xr:uid="{00000000-0005-0000-0000-00005E390000}"/>
    <cellStyle name="Normal 45 3 2 5 2" xfId="16603" xr:uid="{00000000-0005-0000-0000-00005F390000}"/>
    <cellStyle name="Normal 45 3 2 6" xfId="11704" xr:uid="{00000000-0005-0000-0000-000060390000}"/>
    <cellStyle name="Normal 45 3 3" xfId="1010" xr:uid="{00000000-0005-0000-0000-000061390000}"/>
    <cellStyle name="Normal 45 3 3 2" xfId="2167" xr:uid="{00000000-0005-0000-0000-000062390000}"/>
    <cellStyle name="Normal 45 3 3 2 2" xfId="4479" xr:uid="{00000000-0005-0000-0000-000063390000}"/>
    <cellStyle name="Normal 45 3 3 2 2 2" xfId="9430" xr:uid="{00000000-0005-0000-0000-000064390000}"/>
    <cellStyle name="Normal 45 3 3 2 2 2 2" xfId="20327" xr:uid="{00000000-0005-0000-0000-000065390000}"/>
    <cellStyle name="Normal 45 3 3 2 2 3" xfId="15376" xr:uid="{00000000-0005-0000-0000-000066390000}"/>
    <cellStyle name="Normal 45 3 3 2 3" xfId="7118" xr:uid="{00000000-0005-0000-0000-000067390000}"/>
    <cellStyle name="Normal 45 3 3 2 3 2" xfId="18015" xr:uid="{00000000-0005-0000-0000-000068390000}"/>
    <cellStyle name="Normal 45 3 3 2 4" xfId="13084" xr:uid="{00000000-0005-0000-0000-000069390000}"/>
    <cellStyle name="Normal 45 3 3 3" xfId="3334" xr:uid="{00000000-0005-0000-0000-00006A390000}"/>
    <cellStyle name="Normal 45 3 3 3 2" xfId="8285" xr:uid="{00000000-0005-0000-0000-00006B390000}"/>
    <cellStyle name="Normal 45 3 3 3 2 2" xfId="19182" xr:uid="{00000000-0005-0000-0000-00006C390000}"/>
    <cellStyle name="Normal 45 3 3 3 3" xfId="14231" xr:uid="{00000000-0005-0000-0000-00006D390000}"/>
    <cellStyle name="Normal 45 3 3 4" xfId="5973" xr:uid="{00000000-0005-0000-0000-00006E390000}"/>
    <cellStyle name="Normal 45 3 3 4 2" xfId="16870" xr:uid="{00000000-0005-0000-0000-00006F390000}"/>
    <cellStyle name="Normal 45 3 3 5" xfId="11966" xr:uid="{00000000-0005-0000-0000-000070390000}"/>
    <cellStyle name="Normal 45 3 4" xfId="1668" xr:uid="{00000000-0005-0000-0000-000071390000}"/>
    <cellStyle name="Normal 45 3 4 2" xfId="3980" xr:uid="{00000000-0005-0000-0000-000072390000}"/>
    <cellStyle name="Normal 45 3 4 2 2" xfId="8931" xr:uid="{00000000-0005-0000-0000-000073390000}"/>
    <cellStyle name="Normal 45 3 4 2 2 2" xfId="19828" xr:uid="{00000000-0005-0000-0000-000074390000}"/>
    <cellStyle name="Normal 45 3 4 2 3" xfId="14877" xr:uid="{00000000-0005-0000-0000-000075390000}"/>
    <cellStyle name="Normal 45 3 4 3" xfId="6619" xr:uid="{00000000-0005-0000-0000-000076390000}"/>
    <cellStyle name="Normal 45 3 4 3 2" xfId="17516" xr:uid="{00000000-0005-0000-0000-000077390000}"/>
    <cellStyle name="Normal 45 3 4 4" xfId="12599" xr:uid="{00000000-0005-0000-0000-000078390000}"/>
    <cellStyle name="Normal 45 3 5" xfId="2802" xr:uid="{00000000-0005-0000-0000-000079390000}"/>
    <cellStyle name="Normal 45 3 5 2" xfId="7753" xr:uid="{00000000-0005-0000-0000-00007A390000}"/>
    <cellStyle name="Normal 45 3 5 2 2" xfId="18650" xr:uid="{00000000-0005-0000-0000-00007B390000}"/>
    <cellStyle name="Normal 45 3 5 3" xfId="13699" xr:uid="{00000000-0005-0000-0000-00007C390000}"/>
    <cellStyle name="Normal 45 3 6" xfId="5441" xr:uid="{00000000-0005-0000-0000-00007D390000}"/>
    <cellStyle name="Normal 45 3 6 2" xfId="16338" xr:uid="{00000000-0005-0000-0000-00007E390000}"/>
    <cellStyle name="Normal 45 3 7" xfId="11443" xr:uid="{00000000-0005-0000-0000-00007F390000}"/>
    <cellStyle name="Normal 45 4" xfId="602" xr:uid="{00000000-0005-0000-0000-000080390000}"/>
    <cellStyle name="Normal 45 4 2" xfId="1134" xr:uid="{00000000-0005-0000-0000-000081390000}"/>
    <cellStyle name="Normal 45 4 2 2" xfId="2291" xr:uid="{00000000-0005-0000-0000-000082390000}"/>
    <cellStyle name="Normal 45 4 2 2 2" xfId="4603" xr:uid="{00000000-0005-0000-0000-000083390000}"/>
    <cellStyle name="Normal 45 4 2 2 2 2" xfId="9554" xr:uid="{00000000-0005-0000-0000-000084390000}"/>
    <cellStyle name="Normal 45 4 2 2 2 2 2" xfId="20451" xr:uid="{00000000-0005-0000-0000-000085390000}"/>
    <cellStyle name="Normal 45 4 2 2 2 3" xfId="15500" xr:uid="{00000000-0005-0000-0000-000086390000}"/>
    <cellStyle name="Normal 45 4 2 2 3" xfId="7242" xr:uid="{00000000-0005-0000-0000-000087390000}"/>
    <cellStyle name="Normal 45 4 2 2 3 2" xfId="18139" xr:uid="{00000000-0005-0000-0000-000088390000}"/>
    <cellStyle name="Normal 45 4 2 2 4" xfId="13206" xr:uid="{00000000-0005-0000-0000-000089390000}"/>
    <cellStyle name="Normal 45 4 2 3" xfId="3458" xr:uid="{00000000-0005-0000-0000-00008A390000}"/>
    <cellStyle name="Normal 45 4 2 3 2" xfId="8409" xr:uid="{00000000-0005-0000-0000-00008B390000}"/>
    <cellStyle name="Normal 45 4 2 3 2 2" xfId="19306" xr:uid="{00000000-0005-0000-0000-00008C390000}"/>
    <cellStyle name="Normal 45 4 2 3 3" xfId="14355" xr:uid="{00000000-0005-0000-0000-00008D390000}"/>
    <cellStyle name="Normal 45 4 2 4" xfId="6097" xr:uid="{00000000-0005-0000-0000-00008E390000}"/>
    <cellStyle name="Normal 45 4 2 4 2" xfId="16994" xr:uid="{00000000-0005-0000-0000-00008F390000}"/>
    <cellStyle name="Normal 45 4 2 5" xfId="12088" xr:uid="{00000000-0005-0000-0000-000090390000}"/>
    <cellStyle name="Normal 45 4 3" xfId="1783" xr:uid="{00000000-0005-0000-0000-000091390000}"/>
    <cellStyle name="Normal 45 4 3 2" xfId="4095" xr:uid="{00000000-0005-0000-0000-000092390000}"/>
    <cellStyle name="Normal 45 4 3 2 2" xfId="9046" xr:uid="{00000000-0005-0000-0000-000093390000}"/>
    <cellStyle name="Normal 45 4 3 2 2 2" xfId="19943" xr:uid="{00000000-0005-0000-0000-000094390000}"/>
    <cellStyle name="Normal 45 4 3 2 3" xfId="14992" xr:uid="{00000000-0005-0000-0000-000095390000}"/>
    <cellStyle name="Normal 45 4 3 3" xfId="6734" xr:uid="{00000000-0005-0000-0000-000096390000}"/>
    <cellStyle name="Normal 45 4 3 3 2" xfId="17631" xr:uid="{00000000-0005-0000-0000-000097390000}"/>
    <cellStyle name="Normal 45 4 3 4" xfId="12712" xr:uid="{00000000-0005-0000-0000-000098390000}"/>
    <cellStyle name="Normal 45 4 4" xfId="2926" xr:uid="{00000000-0005-0000-0000-000099390000}"/>
    <cellStyle name="Normal 45 4 4 2" xfId="7877" xr:uid="{00000000-0005-0000-0000-00009A390000}"/>
    <cellStyle name="Normal 45 4 4 2 2" xfId="18774" xr:uid="{00000000-0005-0000-0000-00009B390000}"/>
    <cellStyle name="Normal 45 4 4 3" xfId="13823" xr:uid="{00000000-0005-0000-0000-00009C390000}"/>
    <cellStyle name="Normal 45 4 5" xfId="5565" xr:uid="{00000000-0005-0000-0000-00009D390000}"/>
    <cellStyle name="Normal 45 4 5 2" xfId="16462" xr:uid="{00000000-0005-0000-0000-00009E390000}"/>
    <cellStyle name="Normal 45 4 6" xfId="11567" xr:uid="{00000000-0005-0000-0000-00009F390000}"/>
    <cellStyle name="Normal 45 5" xfId="869" xr:uid="{00000000-0005-0000-0000-0000A0390000}"/>
    <cellStyle name="Normal 45 5 2" xfId="2026" xr:uid="{00000000-0005-0000-0000-0000A1390000}"/>
    <cellStyle name="Normal 45 5 2 2" xfId="4338" xr:uid="{00000000-0005-0000-0000-0000A2390000}"/>
    <cellStyle name="Normal 45 5 2 2 2" xfId="9289" xr:uid="{00000000-0005-0000-0000-0000A3390000}"/>
    <cellStyle name="Normal 45 5 2 2 2 2" xfId="20186" xr:uid="{00000000-0005-0000-0000-0000A4390000}"/>
    <cellStyle name="Normal 45 5 2 2 3" xfId="15235" xr:uid="{00000000-0005-0000-0000-0000A5390000}"/>
    <cellStyle name="Normal 45 5 2 3" xfId="6977" xr:uid="{00000000-0005-0000-0000-0000A6390000}"/>
    <cellStyle name="Normal 45 5 2 3 2" xfId="17874" xr:uid="{00000000-0005-0000-0000-0000A7390000}"/>
    <cellStyle name="Normal 45 5 2 4" xfId="12948" xr:uid="{00000000-0005-0000-0000-0000A8390000}"/>
    <cellStyle name="Normal 45 5 3" xfId="3193" xr:uid="{00000000-0005-0000-0000-0000A9390000}"/>
    <cellStyle name="Normal 45 5 3 2" xfId="8144" xr:uid="{00000000-0005-0000-0000-0000AA390000}"/>
    <cellStyle name="Normal 45 5 3 2 2" xfId="19041" xr:uid="{00000000-0005-0000-0000-0000AB390000}"/>
    <cellStyle name="Normal 45 5 3 3" xfId="14090" xr:uid="{00000000-0005-0000-0000-0000AC390000}"/>
    <cellStyle name="Normal 45 5 4" xfId="5832" xr:uid="{00000000-0005-0000-0000-0000AD390000}"/>
    <cellStyle name="Normal 45 5 4 2" xfId="16729" xr:uid="{00000000-0005-0000-0000-0000AE390000}"/>
    <cellStyle name="Normal 45 5 5" xfId="11830" xr:uid="{00000000-0005-0000-0000-0000AF390000}"/>
    <cellStyle name="Normal 45 6" xfId="1550" xr:uid="{00000000-0005-0000-0000-0000B0390000}"/>
    <cellStyle name="Normal 45 6 2" xfId="3862" xr:uid="{00000000-0005-0000-0000-0000B1390000}"/>
    <cellStyle name="Normal 45 6 2 2" xfId="8813" xr:uid="{00000000-0005-0000-0000-0000B2390000}"/>
    <cellStyle name="Normal 45 6 2 2 2" xfId="19710" xr:uid="{00000000-0005-0000-0000-0000B3390000}"/>
    <cellStyle name="Normal 45 6 2 3" xfId="14759" xr:uid="{00000000-0005-0000-0000-0000B4390000}"/>
    <cellStyle name="Normal 45 6 3" xfId="6501" xr:uid="{00000000-0005-0000-0000-0000B5390000}"/>
    <cellStyle name="Normal 45 6 3 2" xfId="17398" xr:uid="{00000000-0005-0000-0000-0000B6390000}"/>
    <cellStyle name="Normal 45 6 4" xfId="12485" xr:uid="{00000000-0005-0000-0000-0000B7390000}"/>
    <cellStyle name="Normal 45 7" xfId="2661" xr:uid="{00000000-0005-0000-0000-0000B8390000}"/>
    <cellStyle name="Normal 45 7 2" xfId="7612" xr:uid="{00000000-0005-0000-0000-0000B9390000}"/>
    <cellStyle name="Normal 45 7 2 2" xfId="18509" xr:uid="{00000000-0005-0000-0000-0000BA390000}"/>
    <cellStyle name="Normal 45 7 3" xfId="13558" xr:uid="{00000000-0005-0000-0000-0000BB390000}"/>
    <cellStyle name="Normal 45 8" xfId="5300" xr:uid="{00000000-0005-0000-0000-0000BC390000}"/>
    <cellStyle name="Normal 45 8 2" xfId="16197" xr:uid="{00000000-0005-0000-0000-0000BD390000}"/>
    <cellStyle name="Normal 45 9" xfId="11305" xr:uid="{00000000-0005-0000-0000-0000BE390000}"/>
    <cellStyle name="Normal 46" xfId="310" xr:uid="{00000000-0005-0000-0000-0000BF390000}"/>
    <cellStyle name="Normal 46 2" xfId="400" xr:uid="{00000000-0005-0000-0000-0000C0390000}"/>
    <cellStyle name="Normal 46 2 2" xfId="530" xr:uid="{00000000-0005-0000-0000-0000C1390000}"/>
    <cellStyle name="Normal 46 2 2 2" xfId="795" xr:uid="{00000000-0005-0000-0000-0000C2390000}"/>
    <cellStyle name="Normal 46 2 2 2 2" xfId="1327" xr:uid="{00000000-0005-0000-0000-0000C3390000}"/>
    <cellStyle name="Normal 46 2 2 2 2 2" xfId="2484" xr:uid="{00000000-0005-0000-0000-0000C4390000}"/>
    <cellStyle name="Normal 46 2 2 2 2 2 2" xfId="4796" xr:uid="{00000000-0005-0000-0000-0000C5390000}"/>
    <cellStyle name="Normal 46 2 2 2 2 2 2 2" xfId="9747" xr:uid="{00000000-0005-0000-0000-0000C6390000}"/>
    <cellStyle name="Normal 46 2 2 2 2 2 2 2 2" xfId="20644" xr:uid="{00000000-0005-0000-0000-0000C7390000}"/>
    <cellStyle name="Normal 46 2 2 2 2 2 2 3" xfId="15693" xr:uid="{00000000-0005-0000-0000-0000C8390000}"/>
    <cellStyle name="Normal 46 2 2 2 2 2 3" xfId="7435" xr:uid="{00000000-0005-0000-0000-0000C9390000}"/>
    <cellStyle name="Normal 46 2 2 2 2 2 3 2" xfId="18332" xr:uid="{00000000-0005-0000-0000-0000CA390000}"/>
    <cellStyle name="Normal 46 2 2 2 2 2 4" xfId="13395" xr:uid="{00000000-0005-0000-0000-0000CB390000}"/>
    <cellStyle name="Normal 46 2 2 2 2 3" xfId="3651" xr:uid="{00000000-0005-0000-0000-0000CC390000}"/>
    <cellStyle name="Normal 46 2 2 2 2 3 2" xfId="8602" xr:uid="{00000000-0005-0000-0000-0000CD390000}"/>
    <cellStyle name="Normal 46 2 2 2 2 3 2 2" xfId="19499" xr:uid="{00000000-0005-0000-0000-0000CE390000}"/>
    <cellStyle name="Normal 46 2 2 2 2 3 3" xfId="14548" xr:uid="{00000000-0005-0000-0000-0000CF390000}"/>
    <cellStyle name="Normal 46 2 2 2 2 4" xfId="6290" xr:uid="{00000000-0005-0000-0000-0000D0390000}"/>
    <cellStyle name="Normal 46 2 2 2 2 4 2" xfId="17187" xr:uid="{00000000-0005-0000-0000-0000D1390000}"/>
    <cellStyle name="Normal 46 2 2 2 2 5" xfId="12277" xr:uid="{00000000-0005-0000-0000-0000D2390000}"/>
    <cellStyle name="Normal 46 2 2 2 3" xfId="1953" xr:uid="{00000000-0005-0000-0000-0000D3390000}"/>
    <cellStyle name="Normal 46 2 2 2 3 2" xfId="4265" xr:uid="{00000000-0005-0000-0000-0000D4390000}"/>
    <cellStyle name="Normal 46 2 2 2 3 2 2" xfId="9216" xr:uid="{00000000-0005-0000-0000-0000D5390000}"/>
    <cellStyle name="Normal 46 2 2 2 3 2 2 2" xfId="20113" xr:uid="{00000000-0005-0000-0000-0000D6390000}"/>
    <cellStyle name="Normal 46 2 2 2 3 2 3" xfId="15162" xr:uid="{00000000-0005-0000-0000-0000D7390000}"/>
    <cellStyle name="Normal 46 2 2 2 3 3" xfId="6904" xr:uid="{00000000-0005-0000-0000-0000D8390000}"/>
    <cellStyle name="Normal 46 2 2 2 3 3 2" xfId="17801" xr:uid="{00000000-0005-0000-0000-0000D9390000}"/>
    <cellStyle name="Normal 46 2 2 2 3 4" xfId="12877" xr:uid="{00000000-0005-0000-0000-0000DA390000}"/>
    <cellStyle name="Normal 46 2 2 2 4" xfId="3119" xr:uid="{00000000-0005-0000-0000-0000DB390000}"/>
    <cellStyle name="Normal 46 2 2 2 4 2" xfId="8070" xr:uid="{00000000-0005-0000-0000-0000DC390000}"/>
    <cellStyle name="Normal 46 2 2 2 4 2 2" xfId="18967" xr:uid="{00000000-0005-0000-0000-0000DD390000}"/>
    <cellStyle name="Normal 46 2 2 2 4 3" xfId="14016" xr:uid="{00000000-0005-0000-0000-0000DE390000}"/>
    <cellStyle name="Normal 46 2 2 2 5" xfId="5758" xr:uid="{00000000-0005-0000-0000-0000DF390000}"/>
    <cellStyle name="Normal 46 2 2 2 5 2" xfId="16655" xr:uid="{00000000-0005-0000-0000-0000E0390000}"/>
    <cellStyle name="Normal 46 2 2 2 6" xfId="11756" xr:uid="{00000000-0005-0000-0000-0000E1390000}"/>
    <cellStyle name="Normal 46 2 2 3" xfId="1062" xr:uid="{00000000-0005-0000-0000-0000E2390000}"/>
    <cellStyle name="Normal 46 2 2 3 2" xfId="2219" xr:uid="{00000000-0005-0000-0000-0000E3390000}"/>
    <cellStyle name="Normal 46 2 2 3 2 2" xfId="4531" xr:uid="{00000000-0005-0000-0000-0000E4390000}"/>
    <cellStyle name="Normal 46 2 2 3 2 2 2" xfId="9482" xr:uid="{00000000-0005-0000-0000-0000E5390000}"/>
    <cellStyle name="Normal 46 2 2 3 2 2 2 2" xfId="20379" xr:uid="{00000000-0005-0000-0000-0000E6390000}"/>
    <cellStyle name="Normal 46 2 2 3 2 2 3" xfId="15428" xr:uid="{00000000-0005-0000-0000-0000E7390000}"/>
    <cellStyle name="Normal 46 2 2 3 2 3" xfId="7170" xr:uid="{00000000-0005-0000-0000-0000E8390000}"/>
    <cellStyle name="Normal 46 2 2 3 2 3 2" xfId="18067" xr:uid="{00000000-0005-0000-0000-0000E9390000}"/>
    <cellStyle name="Normal 46 2 2 3 2 4" xfId="13136" xr:uid="{00000000-0005-0000-0000-0000EA390000}"/>
    <cellStyle name="Normal 46 2 2 3 3" xfId="3386" xr:uid="{00000000-0005-0000-0000-0000EB390000}"/>
    <cellStyle name="Normal 46 2 2 3 3 2" xfId="8337" xr:uid="{00000000-0005-0000-0000-0000EC390000}"/>
    <cellStyle name="Normal 46 2 2 3 3 2 2" xfId="19234" xr:uid="{00000000-0005-0000-0000-0000ED390000}"/>
    <cellStyle name="Normal 46 2 2 3 3 3" xfId="14283" xr:uid="{00000000-0005-0000-0000-0000EE390000}"/>
    <cellStyle name="Normal 46 2 2 3 4" xfId="6025" xr:uid="{00000000-0005-0000-0000-0000EF390000}"/>
    <cellStyle name="Normal 46 2 2 3 4 2" xfId="16922" xr:uid="{00000000-0005-0000-0000-0000F0390000}"/>
    <cellStyle name="Normal 46 2 2 3 5" xfId="12018" xr:uid="{00000000-0005-0000-0000-0000F1390000}"/>
    <cellStyle name="Normal 46 2 2 4" xfId="1720" xr:uid="{00000000-0005-0000-0000-0000F2390000}"/>
    <cellStyle name="Normal 46 2 2 4 2" xfId="4032" xr:uid="{00000000-0005-0000-0000-0000F3390000}"/>
    <cellStyle name="Normal 46 2 2 4 2 2" xfId="8983" xr:uid="{00000000-0005-0000-0000-0000F4390000}"/>
    <cellStyle name="Normal 46 2 2 4 2 2 2" xfId="19880" xr:uid="{00000000-0005-0000-0000-0000F5390000}"/>
    <cellStyle name="Normal 46 2 2 4 2 3" xfId="14929" xr:uid="{00000000-0005-0000-0000-0000F6390000}"/>
    <cellStyle name="Normal 46 2 2 4 3" xfId="6671" xr:uid="{00000000-0005-0000-0000-0000F7390000}"/>
    <cellStyle name="Normal 46 2 2 4 3 2" xfId="17568" xr:uid="{00000000-0005-0000-0000-0000F8390000}"/>
    <cellStyle name="Normal 46 2 2 4 4" xfId="12651" xr:uid="{00000000-0005-0000-0000-0000F9390000}"/>
    <cellStyle name="Normal 46 2 2 5" xfId="2854" xr:uid="{00000000-0005-0000-0000-0000FA390000}"/>
    <cellStyle name="Normal 46 2 2 5 2" xfId="7805" xr:uid="{00000000-0005-0000-0000-0000FB390000}"/>
    <cellStyle name="Normal 46 2 2 5 2 2" xfId="18702" xr:uid="{00000000-0005-0000-0000-0000FC390000}"/>
    <cellStyle name="Normal 46 2 2 5 3" xfId="13751" xr:uid="{00000000-0005-0000-0000-0000FD390000}"/>
    <cellStyle name="Normal 46 2 2 6" xfId="5493" xr:uid="{00000000-0005-0000-0000-0000FE390000}"/>
    <cellStyle name="Normal 46 2 2 6 2" xfId="16390" xr:uid="{00000000-0005-0000-0000-0000FF390000}"/>
    <cellStyle name="Normal 46 2 2 7" xfId="11495" xr:uid="{00000000-0005-0000-0000-0000003A0000}"/>
    <cellStyle name="Normal 46 2 3" xfId="666" xr:uid="{00000000-0005-0000-0000-0000013A0000}"/>
    <cellStyle name="Normal 46 2 3 2" xfId="1198" xr:uid="{00000000-0005-0000-0000-0000023A0000}"/>
    <cellStyle name="Normal 46 2 3 2 2" xfId="2355" xr:uid="{00000000-0005-0000-0000-0000033A0000}"/>
    <cellStyle name="Normal 46 2 3 2 2 2" xfId="4667" xr:uid="{00000000-0005-0000-0000-0000043A0000}"/>
    <cellStyle name="Normal 46 2 3 2 2 2 2" xfId="9618" xr:uid="{00000000-0005-0000-0000-0000053A0000}"/>
    <cellStyle name="Normal 46 2 3 2 2 2 2 2" xfId="20515" xr:uid="{00000000-0005-0000-0000-0000063A0000}"/>
    <cellStyle name="Normal 46 2 3 2 2 2 3" xfId="15564" xr:uid="{00000000-0005-0000-0000-0000073A0000}"/>
    <cellStyle name="Normal 46 2 3 2 2 3" xfId="7306" xr:uid="{00000000-0005-0000-0000-0000083A0000}"/>
    <cellStyle name="Normal 46 2 3 2 2 3 2" xfId="18203" xr:uid="{00000000-0005-0000-0000-0000093A0000}"/>
    <cellStyle name="Normal 46 2 3 2 2 4" xfId="13267" xr:uid="{00000000-0005-0000-0000-00000A3A0000}"/>
    <cellStyle name="Normal 46 2 3 2 3" xfId="3522" xr:uid="{00000000-0005-0000-0000-00000B3A0000}"/>
    <cellStyle name="Normal 46 2 3 2 3 2" xfId="8473" xr:uid="{00000000-0005-0000-0000-00000C3A0000}"/>
    <cellStyle name="Normal 46 2 3 2 3 2 2" xfId="19370" xr:uid="{00000000-0005-0000-0000-00000D3A0000}"/>
    <cellStyle name="Normal 46 2 3 2 3 3" xfId="14419" xr:uid="{00000000-0005-0000-0000-00000E3A0000}"/>
    <cellStyle name="Normal 46 2 3 2 4" xfId="6161" xr:uid="{00000000-0005-0000-0000-00000F3A0000}"/>
    <cellStyle name="Normal 46 2 3 2 4 2" xfId="17058" xr:uid="{00000000-0005-0000-0000-0000103A0000}"/>
    <cellStyle name="Normal 46 2 3 2 5" xfId="12149" xr:uid="{00000000-0005-0000-0000-0000113A0000}"/>
    <cellStyle name="Normal 46 2 3 3" xfId="1839" xr:uid="{00000000-0005-0000-0000-0000123A0000}"/>
    <cellStyle name="Normal 46 2 3 3 2" xfId="4151" xr:uid="{00000000-0005-0000-0000-0000133A0000}"/>
    <cellStyle name="Normal 46 2 3 3 2 2" xfId="9102" xr:uid="{00000000-0005-0000-0000-0000143A0000}"/>
    <cellStyle name="Normal 46 2 3 3 2 2 2" xfId="19999" xr:uid="{00000000-0005-0000-0000-0000153A0000}"/>
    <cellStyle name="Normal 46 2 3 3 2 3" xfId="15048" xr:uid="{00000000-0005-0000-0000-0000163A0000}"/>
    <cellStyle name="Normal 46 2 3 3 3" xfId="6790" xr:uid="{00000000-0005-0000-0000-0000173A0000}"/>
    <cellStyle name="Normal 46 2 3 3 3 2" xfId="17687" xr:uid="{00000000-0005-0000-0000-0000183A0000}"/>
    <cellStyle name="Normal 46 2 3 3 4" xfId="12764" xr:uid="{00000000-0005-0000-0000-0000193A0000}"/>
    <cellStyle name="Normal 46 2 3 4" xfId="2990" xr:uid="{00000000-0005-0000-0000-00001A3A0000}"/>
    <cellStyle name="Normal 46 2 3 4 2" xfId="7941" xr:uid="{00000000-0005-0000-0000-00001B3A0000}"/>
    <cellStyle name="Normal 46 2 3 4 2 2" xfId="18838" xr:uid="{00000000-0005-0000-0000-00001C3A0000}"/>
    <cellStyle name="Normal 46 2 3 4 3" xfId="13887" xr:uid="{00000000-0005-0000-0000-00001D3A0000}"/>
    <cellStyle name="Normal 46 2 3 5" xfId="5629" xr:uid="{00000000-0005-0000-0000-00001E3A0000}"/>
    <cellStyle name="Normal 46 2 3 5 2" xfId="16526" xr:uid="{00000000-0005-0000-0000-00001F3A0000}"/>
    <cellStyle name="Normal 46 2 3 6" xfId="11628" xr:uid="{00000000-0005-0000-0000-0000203A0000}"/>
    <cellStyle name="Normal 46 2 4" xfId="933" xr:uid="{00000000-0005-0000-0000-0000213A0000}"/>
    <cellStyle name="Normal 46 2 4 2" xfId="2090" xr:uid="{00000000-0005-0000-0000-0000223A0000}"/>
    <cellStyle name="Normal 46 2 4 2 2" xfId="4402" xr:uid="{00000000-0005-0000-0000-0000233A0000}"/>
    <cellStyle name="Normal 46 2 4 2 2 2" xfId="9353" xr:uid="{00000000-0005-0000-0000-0000243A0000}"/>
    <cellStyle name="Normal 46 2 4 2 2 2 2" xfId="20250" xr:uid="{00000000-0005-0000-0000-0000253A0000}"/>
    <cellStyle name="Normal 46 2 4 2 2 3" xfId="15299" xr:uid="{00000000-0005-0000-0000-0000263A0000}"/>
    <cellStyle name="Normal 46 2 4 2 3" xfId="7041" xr:uid="{00000000-0005-0000-0000-0000273A0000}"/>
    <cellStyle name="Normal 46 2 4 2 3 2" xfId="17938" xr:uid="{00000000-0005-0000-0000-0000283A0000}"/>
    <cellStyle name="Normal 46 2 4 2 4" xfId="13008" xr:uid="{00000000-0005-0000-0000-0000293A0000}"/>
    <cellStyle name="Normal 46 2 4 3" xfId="3257" xr:uid="{00000000-0005-0000-0000-00002A3A0000}"/>
    <cellStyle name="Normal 46 2 4 3 2" xfId="8208" xr:uid="{00000000-0005-0000-0000-00002B3A0000}"/>
    <cellStyle name="Normal 46 2 4 3 2 2" xfId="19105" xr:uid="{00000000-0005-0000-0000-00002C3A0000}"/>
    <cellStyle name="Normal 46 2 4 3 3" xfId="14154" xr:uid="{00000000-0005-0000-0000-00002D3A0000}"/>
    <cellStyle name="Normal 46 2 4 4" xfId="5896" xr:uid="{00000000-0005-0000-0000-00002E3A0000}"/>
    <cellStyle name="Normal 46 2 4 4 2" xfId="16793" xr:uid="{00000000-0005-0000-0000-00002F3A0000}"/>
    <cellStyle name="Normal 46 2 4 5" xfId="11890" xr:uid="{00000000-0005-0000-0000-0000303A0000}"/>
    <cellStyle name="Normal 46 2 5" xfId="1606" xr:uid="{00000000-0005-0000-0000-0000313A0000}"/>
    <cellStyle name="Normal 46 2 5 2" xfId="3918" xr:uid="{00000000-0005-0000-0000-0000323A0000}"/>
    <cellStyle name="Normal 46 2 5 2 2" xfId="8869" xr:uid="{00000000-0005-0000-0000-0000333A0000}"/>
    <cellStyle name="Normal 46 2 5 2 2 2" xfId="19766" xr:uid="{00000000-0005-0000-0000-0000343A0000}"/>
    <cellStyle name="Normal 46 2 5 2 3" xfId="14815" xr:uid="{00000000-0005-0000-0000-0000353A0000}"/>
    <cellStyle name="Normal 46 2 5 3" xfId="6557" xr:uid="{00000000-0005-0000-0000-0000363A0000}"/>
    <cellStyle name="Normal 46 2 5 3 2" xfId="17454" xr:uid="{00000000-0005-0000-0000-0000373A0000}"/>
    <cellStyle name="Normal 46 2 5 4" xfId="12538" xr:uid="{00000000-0005-0000-0000-0000383A0000}"/>
    <cellStyle name="Normal 46 2 6" xfId="2725" xr:uid="{00000000-0005-0000-0000-0000393A0000}"/>
    <cellStyle name="Normal 46 2 6 2" xfId="7676" xr:uid="{00000000-0005-0000-0000-00003A3A0000}"/>
    <cellStyle name="Normal 46 2 6 2 2" xfId="18573" xr:uid="{00000000-0005-0000-0000-00003B3A0000}"/>
    <cellStyle name="Normal 46 2 6 3" xfId="13622" xr:uid="{00000000-0005-0000-0000-00003C3A0000}"/>
    <cellStyle name="Normal 46 2 7" xfId="5364" xr:uid="{00000000-0005-0000-0000-00003D3A0000}"/>
    <cellStyle name="Normal 46 2 7 2" xfId="16261" xr:uid="{00000000-0005-0000-0000-00003E3A0000}"/>
    <cellStyle name="Normal 46 2 8" xfId="11367" xr:uid="{00000000-0005-0000-0000-00003F3A0000}"/>
    <cellStyle name="Normal 46 3" xfId="479" xr:uid="{00000000-0005-0000-0000-0000403A0000}"/>
    <cellStyle name="Normal 46 3 2" xfId="744" xr:uid="{00000000-0005-0000-0000-0000413A0000}"/>
    <cellStyle name="Normal 46 3 2 2" xfId="1276" xr:uid="{00000000-0005-0000-0000-0000423A0000}"/>
    <cellStyle name="Normal 46 3 2 2 2" xfId="2433" xr:uid="{00000000-0005-0000-0000-0000433A0000}"/>
    <cellStyle name="Normal 46 3 2 2 2 2" xfId="4745" xr:uid="{00000000-0005-0000-0000-0000443A0000}"/>
    <cellStyle name="Normal 46 3 2 2 2 2 2" xfId="9696" xr:uid="{00000000-0005-0000-0000-0000453A0000}"/>
    <cellStyle name="Normal 46 3 2 2 2 2 2 2" xfId="20593" xr:uid="{00000000-0005-0000-0000-0000463A0000}"/>
    <cellStyle name="Normal 46 3 2 2 2 2 3" xfId="15642" xr:uid="{00000000-0005-0000-0000-0000473A0000}"/>
    <cellStyle name="Normal 46 3 2 2 2 3" xfId="7384" xr:uid="{00000000-0005-0000-0000-0000483A0000}"/>
    <cellStyle name="Normal 46 3 2 2 2 3 2" xfId="18281" xr:uid="{00000000-0005-0000-0000-0000493A0000}"/>
    <cellStyle name="Normal 46 3 2 2 2 4" xfId="13344" xr:uid="{00000000-0005-0000-0000-00004A3A0000}"/>
    <cellStyle name="Normal 46 3 2 2 3" xfId="3600" xr:uid="{00000000-0005-0000-0000-00004B3A0000}"/>
    <cellStyle name="Normal 46 3 2 2 3 2" xfId="8551" xr:uid="{00000000-0005-0000-0000-00004C3A0000}"/>
    <cellStyle name="Normal 46 3 2 2 3 2 2" xfId="19448" xr:uid="{00000000-0005-0000-0000-00004D3A0000}"/>
    <cellStyle name="Normal 46 3 2 2 3 3" xfId="14497" xr:uid="{00000000-0005-0000-0000-00004E3A0000}"/>
    <cellStyle name="Normal 46 3 2 2 4" xfId="6239" xr:uid="{00000000-0005-0000-0000-00004F3A0000}"/>
    <cellStyle name="Normal 46 3 2 2 4 2" xfId="17136" xr:uid="{00000000-0005-0000-0000-0000503A0000}"/>
    <cellStyle name="Normal 46 3 2 2 5" xfId="12226" xr:uid="{00000000-0005-0000-0000-0000513A0000}"/>
    <cellStyle name="Normal 46 3 2 3" xfId="1902" xr:uid="{00000000-0005-0000-0000-0000523A0000}"/>
    <cellStyle name="Normal 46 3 2 3 2" xfId="4214" xr:uid="{00000000-0005-0000-0000-0000533A0000}"/>
    <cellStyle name="Normal 46 3 2 3 2 2" xfId="9165" xr:uid="{00000000-0005-0000-0000-0000543A0000}"/>
    <cellStyle name="Normal 46 3 2 3 2 2 2" xfId="20062" xr:uid="{00000000-0005-0000-0000-0000553A0000}"/>
    <cellStyle name="Normal 46 3 2 3 2 3" xfId="15111" xr:uid="{00000000-0005-0000-0000-0000563A0000}"/>
    <cellStyle name="Normal 46 3 2 3 3" xfId="6853" xr:uid="{00000000-0005-0000-0000-0000573A0000}"/>
    <cellStyle name="Normal 46 3 2 3 3 2" xfId="17750" xr:uid="{00000000-0005-0000-0000-0000583A0000}"/>
    <cellStyle name="Normal 46 3 2 3 4" xfId="12826" xr:uid="{00000000-0005-0000-0000-0000593A0000}"/>
    <cellStyle name="Normal 46 3 2 4" xfId="3068" xr:uid="{00000000-0005-0000-0000-00005A3A0000}"/>
    <cellStyle name="Normal 46 3 2 4 2" xfId="8019" xr:uid="{00000000-0005-0000-0000-00005B3A0000}"/>
    <cellStyle name="Normal 46 3 2 4 2 2" xfId="18916" xr:uid="{00000000-0005-0000-0000-00005C3A0000}"/>
    <cellStyle name="Normal 46 3 2 4 3" xfId="13965" xr:uid="{00000000-0005-0000-0000-00005D3A0000}"/>
    <cellStyle name="Normal 46 3 2 5" xfId="5707" xr:uid="{00000000-0005-0000-0000-00005E3A0000}"/>
    <cellStyle name="Normal 46 3 2 5 2" xfId="16604" xr:uid="{00000000-0005-0000-0000-00005F3A0000}"/>
    <cellStyle name="Normal 46 3 2 6" xfId="11705" xr:uid="{00000000-0005-0000-0000-0000603A0000}"/>
    <cellStyle name="Normal 46 3 3" xfId="1011" xr:uid="{00000000-0005-0000-0000-0000613A0000}"/>
    <cellStyle name="Normal 46 3 3 2" xfId="2168" xr:uid="{00000000-0005-0000-0000-0000623A0000}"/>
    <cellStyle name="Normal 46 3 3 2 2" xfId="4480" xr:uid="{00000000-0005-0000-0000-0000633A0000}"/>
    <cellStyle name="Normal 46 3 3 2 2 2" xfId="9431" xr:uid="{00000000-0005-0000-0000-0000643A0000}"/>
    <cellStyle name="Normal 46 3 3 2 2 2 2" xfId="20328" xr:uid="{00000000-0005-0000-0000-0000653A0000}"/>
    <cellStyle name="Normal 46 3 3 2 2 3" xfId="15377" xr:uid="{00000000-0005-0000-0000-0000663A0000}"/>
    <cellStyle name="Normal 46 3 3 2 3" xfId="7119" xr:uid="{00000000-0005-0000-0000-0000673A0000}"/>
    <cellStyle name="Normal 46 3 3 2 3 2" xfId="18016" xr:uid="{00000000-0005-0000-0000-0000683A0000}"/>
    <cellStyle name="Normal 46 3 3 2 4" xfId="13085" xr:uid="{00000000-0005-0000-0000-0000693A0000}"/>
    <cellStyle name="Normal 46 3 3 3" xfId="3335" xr:uid="{00000000-0005-0000-0000-00006A3A0000}"/>
    <cellStyle name="Normal 46 3 3 3 2" xfId="8286" xr:uid="{00000000-0005-0000-0000-00006B3A0000}"/>
    <cellStyle name="Normal 46 3 3 3 2 2" xfId="19183" xr:uid="{00000000-0005-0000-0000-00006C3A0000}"/>
    <cellStyle name="Normal 46 3 3 3 3" xfId="14232" xr:uid="{00000000-0005-0000-0000-00006D3A0000}"/>
    <cellStyle name="Normal 46 3 3 4" xfId="5974" xr:uid="{00000000-0005-0000-0000-00006E3A0000}"/>
    <cellStyle name="Normal 46 3 3 4 2" xfId="16871" xr:uid="{00000000-0005-0000-0000-00006F3A0000}"/>
    <cellStyle name="Normal 46 3 3 5" xfId="11967" xr:uid="{00000000-0005-0000-0000-0000703A0000}"/>
    <cellStyle name="Normal 46 3 4" xfId="1669" xr:uid="{00000000-0005-0000-0000-0000713A0000}"/>
    <cellStyle name="Normal 46 3 4 2" xfId="3981" xr:uid="{00000000-0005-0000-0000-0000723A0000}"/>
    <cellStyle name="Normal 46 3 4 2 2" xfId="8932" xr:uid="{00000000-0005-0000-0000-0000733A0000}"/>
    <cellStyle name="Normal 46 3 4 2 2 2" xfId="19829" xr:uid="{00000000-0005-0000-0000-0000743A0000}"/>
    <cellStyle name="Normal 46 3 4 2 3" xfId="14878" xr:uid="{00000000-0005-0000-0000-0000753A0000}"/>
    <cellStyle name="Normal 46 3 4 3" xfId="6620" xr:uid="{00000000-0005-0000-0000-0000763A0000}"/>
    <cellStyle name="Normal 46 3 4 3 2" xfId="17517" xr:uid="{00000000-0005-0000-0000-0000773A0000}"/>
    <cellStyle name="Normal 46 3 4 4" xfId="12600" xr:uid="{00000000-0005-0000-0000-0000783A0000}"/>
    <cellStyle name="Normal 46 3 5" xfId="2803" xr:uid="{00000000-0005-0000-0000-0000793A0000}"/>
    <cellStyle name="Normal 46 3 5 2" xfId="7754" xr:uid="{00000000-0005-0000-0000-00007A3A0000}"/>
    <cellStyle name="Normal 46 3 5 2 2" xfId="18651" xr:uid="{00000000-0005-0000-0000-00007B3A0000}"/>
    <cellStyle name="Normal 46 3 5 3" xfId="13700" xr:uid="{00000000-0005-0000-0000-00007C3A0000}"/>
    <cellStyle name="Normal 46 3 6" xfId="5442" xr:uid="{00000000-0005-0000-0000-00007D3A0000}"/>
    <cellStyle name="Normal 46 3 6 2" xfId="16339" xr:uid="{00000000-0005-0000-0000-00007E3A0000}"/>
    <cellStyle name="Normal 46 3 7" xfId="11444" xr:uid="{00000000-0005-0000-0000-00007F3A0000}"/>
    <cellStyle name="Normal 46 4" xfId="603" xr:uid="{00000000-0005-0000-0000-0000803A0000}"/>
    <cellStyle name="Normal 46 4 2" xfId="1135" xr:uid="{00000000-0005-0000-0000-0000813A0000}"/>
    <cellStyle name="Normal 46 4 2 2" xfId="2292" xr:uid="{00000000-0005-0000-0000-0000823A0000}"/>
    <cellStyle name="Normal 46 4 2 2 2" xfId="4604" xr:uid="{00000000-0005-0000-0000-0000833A0000}"/>
    <cellStyle name="Normal 46 4 2 2 2 2" xfId="9555" xr:uid="{00000000-0005-0000-0000-0000843A0000}"/>
    <cellStyle name="Normal 46 4 2 2 2 2 2" xfId="20452" xr:uid="{00000000-0005-0000-0000-0000853A0000}"/>
    <cellStyle name="Normal 46 4 2 2 2 3" xfId="15501" xr:uid="{00000000-0005-0000-0000-0000863A0000}"/>
    <cellStyle name="Normal 46 4 2 2 3" xfId="7243" xr:uid="{00000000-0005-0000-0000-0000873A0000}"/>
    <cellStyle name="Normal 46 4 2 2 3 2" xfId="18140" xr:uid="{00000000-0005-0000-0000-0000883A0000}"/>
    <cellStyle name="Normal 46 4 2 2 4" xfId="13207" xr:uid="{00000000-0005-0000-0000-0000893A0000}"/>
    <cellStyle name="Normal 46 4 2 3" xfId="3459" xr:uid="{00000000-0005-0000-0000-00008A3A0000}"/>
    <cellStyle name="Normal 46 4 2 3 2" xfId="8410" xr:uid="{00000000-0005-0000-0000-00008B3A0000}"/>
    <cellStyle name="Normal 46 4 2 3 2 2" xfId="19307" xr:uid="{00000000-0005-0000-0000-00008C3A0000}"/>
    <cellStyle name="Normal 46 4 2 3 3" xfId="14356" xr:uid="{00000000-0005-0000-0000-00008D3A0000}"/>
    <cellStyle name="Normal 46 4 2 4" xfId="6098" xr:uid="{00000000-0005-0000-0000-00008E3A0000}"/>
    <cellStyle name="Normal 46 4 2 4 2" xfId="16995" xr:uid="{00000000-0005-0000-0000-00008F3A0000}"/>
    <cellStyle name="Normal 46 4 2 5" xfId="12089" xr:uid="{00000000-0005-0000-0000-0000903A0000}"/>
    <cellStyle name="Normal 46 4 3" xfId="1784" xr:uid="{00000000-0005-0000-0000-0000913A0000}"/>
    <cellStyle name="Normal 46 4 3 2" xfId="4096" xr:uid="{00000000-0005-0000-0000-0000923A0000}"/>
    <cellStyle name="Normal 46 4 3 2 2" xfId="9047" xr:uid="{00000000-0005-0000-0000-0000933A0000}"/>
    <cellStyle name="Normal 46 4 3 2 2 2" xfId="19944" xr:uid="{00000000-0005-0000-0000-0000943A0000}"/>
    <cellStyle name="Normal 46 4 3 2 3" xfId="14993" xr:uid="{00000000-0005-0000-0000-0000953A0000}"/>
    <cellStyle name="Normal 46 4 3 3" xfId="6735" xr:uid="{00000000-0005-0000-0000-0000963A0000}"/>
    <cellStyle name="Normal 46 4 3 3 2" xfId="17632" xr:uid="{00000000-0005-0000-0000-0000973A0000}"/>
    <cellStyle name="Normal 46 4 3 4" xfId="12713" xr:uid="{00000000-0005-0000-0000-0000983A0000}"/>
    <cellStyle name="Normal 46 4 4" xfId="2927" xr:uid="{00000000-0005-0000-0000-0000993A0000}"/>
    <cellStyle name="Normal 46 4 4 2" xfId="7878" xr:uid="{00000000-0005-0000-0000-00009A3A0000}"/>
    <cellStyle name="Normal 46 4 4 2 2" xfId="18775" xr:uid="{00000000-0005-0000-0000-00009B3A0000}"/>
    <cellStyle name="Normal 46 4 4 3" xfId="13824" xr:uid="{00000000-0005-0000-0000-00009C3A0000}"/>
    <cellStyle name="Normal 46 4 5" xfId="5566" xr:uid="{00000000-0005-0000-0000-00009D3A0000}"/>
    <cellStyle name="Normal 46 4 5 2" xfId="16463" xr:uid="{00000000-0005-0000-0000-00009E3A0000}"/>
    <cellStyle name="Normal 46 4 6" xfId="11568" xr:uid="{00000000-0005-0000-0000-00009F3A0000}"/>
    <cellStyle name="Normal 46 5" xfId="870" xr:uid="{00000000-0005-0000-0000-0000A03A0000}"/>
    <cellStyle name="Normal 46 5 2" xfId="2027" xr:uid="{00000000-0005-0000-0000-0000A13A0000}"/>
    <cellStyle name="Normal 46 5 2 2" xfId="4339" xr:uid="{00000000-0005-0000-0000-0000A23A0000}"/>
    <cellStyle name="Normal 46 5 2 2 2" xfId="9290" xr:uid="{00000000-0005-0000-0000-0000A33A0000}"/>
    <cellStyle name="Normal 46 5 2 2 2 2" xfId="20187" xr:uid="{00000000-0005-0000-0000-0000A43A0000}"/>
    <cellStyle name="Normal 46 5 2 2 3" xfId="15236" xr:uid="{00000000-0005-0000-0000-0000A53A0000}"/>
    <cellStyle name="Normal 46 5 2 3" xfId="6978" xr:uid="{00000000-0005-0000-0000-0000A63A0000}"/>
    <cellStyle name="Normal 46 5 2 3 2" xfId="17875" xr:uid="{00000000-0005-0000-0000-0000A73A0000}"/>
    <cellStyle name="Normal 46 5 2 4" xfId="12949" xr:uid="{00000000-0005-0000-0000-0000A83A0000}"/>
    <cellStyle name="Normal 46 5 3" xfId="3194" xr:uid="{00000000-0005-0000-0000-0000A93A0000}"/>
    <cellStyle name="Normal 46 5 3 2" xfId="8145" xr:uid="{00000000-0005-0000-0000-0000AA3A0000}"/>
    <cellStyle name="Normal 46 5 3 2 2" xfId="19042" xr:uid="{00000000-0005-0000-0000-0000AB3A0000}"/>
    <cellStyle name="Normal 46 5 3 3" xfId="14091" xr:uid="{00000000-0005-0000-0000-0000AC3A0000}"/>
    <cellStyle name="Normal 46 5 4" xfId="5833" xr:uid="{00000000-0005-0000-0000-0000AD3A0000}"/>
    <cellStyle name="Normal 46 5 4 2" xfId="16730" xr:uid="{00000000-0005-0000-0000-0000AE3A0000}"/>
    <cellStyle name="Normal 46 5 5" xfId="11831" xr:uid="{00000000-0005-0000-0000-0000AF3A0000}"/>
    <cellStyle name="Normal 46 6" xfId="1551" xr:uid="{00000000-0005-0000-0000-0000B03A0000}"/>
    <cellStyle name="Normal 46 6 2" xfId="3863" xr:uid="{00000000-0005-0000-0000-0000B13A0000}"/>
    <cellStyle name="Normal 46 6 2 2" xfId="8814" xr:uid="{00000000-0005-0000-0000-0000B23A0000}"/>
    <cellStyle name="Normal 46 6 2 2 2" xfId="19711" xr:uid="{00000000-0005-0000-0000-0000B33A0000}"/>
    <cellStyle name="Normal 46 6 2 3" xfId="14760" xr:uid="{00000000-0005-0000-0000-0000B43A0000}"/>
    <cellStyle name="Normal 46 6 3" xfId="6502" xr:uid="{00000000-0005-0000-0000-0000B53A0000}"/>
    <cellStyle name="Normal 46 6 3 2" xfId="17399" xr:uid="{00000000-0005-0000-0000-0000B63A0000}"/>
    <cellStyle name="Normal 46 6 4" xfId="12486" xr:uid="{00000000-0005-0000-0000-0000B73A0000}"/>
    <cellStyle name="Normal 46 7" xfId="2662" xr:uid="{00000000-0005-0000-0000-0000B83A0000}"/>
    <cellStyle name="Normal 46 7 2" xfId="7613" xr:uid="{00000000-0005-0000-0000-0000B93A0000}"/>
    <cellStyle name="Normal 46 7 2 2" xfId="18510" xr:uid="{00000000-0005-0000-0000-0000BA3A0000}"/>
    <cellStyle name="Normal 46 7 3" xfId="13559" xr:uid="{00000000-0005-0000-0000-0000BB3A0000}"/>
    <cellStyle name="Normal 46 8" xfId="5301" xr:uid="{00000000-0005-0000-0000-0000BC3A0000}"/>
    <cellStyle name="Normal 46 8 2" xfId="16198" xr:uid="{00000000-0005-0000-0000-0000BD3A0000}"/>
    <cellStyle name="Normal 46 9" xfId="11306" xr:uid="{00000000-0005-0000-0000-0000BE3A0000}"/>
    <cellStyle name="Normal 47" xfId="311" xr:uid="{00000000-0005-0000-0000-0000BF3A0000}"/>
    <cellStyle name="Normal 47 2" xfId="401" xr:uid="{00000000-0005-0000-0000-0000C03A0000}"/>
    <cellStyle name="Normal 47 2 2" xfId="531" xr:uid="{00000000-0005-0000-0000-0000C13A0000}"/>
    <cellStyle name="Normal 47 2 2 2" xfId="796" xr:uid="{00000000-0005-0000-0000-0000C23A0000}"/>
    <cellStyle name="Normal 47 2 2 2 2" xfId="1328" xr:uid="{00000000-0005-0000-0000-0000C33A0000}"/>
    <cellStyle name="Normal 47 2 2 2 2 2" xfId="2485" xr:uid="{00000000-0005-0000-0000-0000C43A0000}"/>
    <cellStyle name="Normal 47 2 2 2 2 2 2" xfId="4797" xr:uid="{00000000-0005-0000-0000-0000C53A0000}"/>
    <cellStyle name="Normal 47 2 2 2 2 2 2 2" xfId="9748" xr:uid="{00000000-0005-0000-0000-0000C63A0000}"/>
    <cellStyle name="Normal 47 2 2 2 2 2 2 2 2" xfId="20645" xr:uid="{00000000-0005-0000-0000-0000C73A0000}"/>
    <cellStyle name="Normal 47 2 2 2 2 2 2 3" xfId="15694" xr:uid="{00000000-0005-0000-0000-0000C83A0000}"/>
    <cellStyle name="Normal 47 2 2 2 2 2 3" xfId="7436" xr:uid="{00000000-0005-0000-0000-0000C93A0000}"/>
    <cellStyle name="Normal 47 2 2 2 2 2 3 2" xfId="18333" xr:uid="{00000000-0005-0000-0000-0000CA3A0000}"/>
    <cellStyle name="Normal 47 2 2 2 2 2 4" xfId="13396" xr:uid="{00000000-0005-0000-0000-0000CB3A0000}"/>
    <cellStyle name="Normal 47 2 2 2 2 3" xfId="3652" xr:uid="{00000000-0005-0000-0000-0000CC3A0000}"/>
    <cellStyle name="Normal 47 2 2 2 2 3 2" xfId="8603" xr:uid="{00000000-0005-0000-0000-0000CD3A0000}"/>
    <cellStyle name="Normal 47 2 2 2 2 3 2 2" xfId="19500" xr:uid="{00000000-0005-0000-0000-0000CE3A0000}"/>
    <cellStyle name="Normal 47 2 2 2 2 3 3" xfId="14549" xr:uid="{00000000-0005-0000-0000-0000CF3A0000}"/>
    <cellStyle name="Normal 47 2 2 2 2 4" xfId="6291" xr:uid="{00000000-0005-0000-0000-0000D03A0000}"/>
    <cellStyle name="Normal 47 2 2 2 2 4 2" xfId="17188" xr:uid="{00000000-0005-0000-0000-0000D13A0000}"/>
    <cellStyle name="Normal 47 2 2 2 2 5" xfId="12278" xr:uid="{00000000-0005-0000-0000-0000D23A0000}"/>
    <cellStyle name="Normal 47 2 2 2 3" xfId="1954" xr:uid="{00000000-0005-0000-0000-0000D33A0000}"/>
    <cellStyle name="Normal 47 2 2 2 3 2" xfId="4266" xr:uid="{00000000-0005-0000-0000-0000D43A0000}"/>
    <cellStyle name="Normal 47 2 2 2 3 2 2" xfId="9217" xr:uid="{00000000-0005-0000-0000-0000D53A0000}"/>
    <cellStyle name="Normal 47 2 2 2 3 2 2 2" xfId="20114" xr:uid="{00000000-0005-0000-0000-0000D63A0000}"/>
    <cellStyle name="Normal 47 2 2 2 3 2 3" xfId="15163" xr:uid="{00000000-0005-0000-0000-0000D73A0000}"/>
    <cellStyle name="Normal 47 2 2 2 3 3" xfId="6905" xr:uid="{00000000-0005-0000-0000-0000D83A0000}"/>
    <cellStyle name="Normal 47 2 2 2 3 3 2" xfId="17802" xr:uid="{00000000-0005-0000-0000-0000D93A0000}"/>
    <cellStyle name="Normal 47 2 2 2 3 4" xfId="12878" xr:uid="{00000000-0005-0000-0000-0000DA3A0000}"/>
    <cellStyle name="Normal 47 2 2 2 4" xfId="3120" xr:uid="{00000000-0005-0000-0000-0000DB3A0000}"/>
    <cellStyle name="Normal 47 2 2 2 4 2" xfId="8071" xr:uid="{00000000-0005-0000-0000-0000DC3A0000}"/>
    <cellStyle name="Normal 47 2 2 2 4 2 2" xfId="18968" xr:uid="{00000000-0005-0000-0000-0000DD3A0000}"/>
    <cellStyle name="Normal 47 2 2 2 4 3" xfId="14017" xr:uid="{00000000-0005-0000-0000-0000DE3A0000}"/>
    <cellStyle name="Normal 47 2 2 2 5" xfId="5759" xr:uid="{00000000-0005-0000-0000-0000DF3A0000}"/>
    <cellStyle name="Normal 47 2 2 2 5 2" xfId="16656" xr:uid="{00000000-0005-0000-0000-0000E03A0000}"/>
    <cellStyle name="Normal 47 2 2 2 6" xfId="11757" xr:uid="{00000000-0005-0000-0000-0000E13A0000}"/>
    <cellStyle name="Normal 47 2 2 3" xfId="1063" xr:uid="{00000000-0005-0000-0000-0000E23A0000}"/>
    <cellStyle name="Normal 47 2 2 3 2" xfId="2220" xr:uid="{00000000-0005-0000-0000-0000E33A0000}"/>
    <cellStyle name="Normal 47 2 2 3 2 2" xfId="4532" xr:uid="{00000000-0005-0000-0000-0000E43A0000}"/>
    <cellStyle name="Normal 47 2 2 3 2 2 2" xfId="9483" xr:uid="{00000000-0005-0000-0000-0000E53A0000}"/>
    <cellStyle name="Normal 47 2 2 3 2 2 2 2" xfId="20380" xr:uid="{00000000-0005-0000-0000-0000E63A0000}"/>
    <cellStyle name="Normal 47 2 2 3 2 2 3" xfId="15429" xr:uid="{00000000-0005-0000-0000-0000E73A0000}"/>
    <cellStyle name="Normal 47 2 2 3 2 3" xfId="7171" xr:uid="{00000000-0005-0000-0000-0000E83A0000}"/>
    <cellStyle name="Normal 47 2 2 3 2 3 2" xfId="18068" xr:uid="{00000000-0005-0000-0000-0000E93A0000}"/>
    <cellStyle name="Normal 47 2 2 3 2 4" xfId="13137" xr:uid="{00000000-0005-0000-0000-0000EA3A0000}"/>
    <cellStyle name="Normal 47 2 2 3 3" xfId="3387" xr:uid="{00000000-0005-0000-0000-0000EB3A0000}"/>
    <cellStyle name="Normal 47 2 2 3 3 2" xfId="8338" xr:uid="{00000000-0005-0000-0000-0000EC3A0000}"/>
    <cellStyle name="Normal 47 2 2 3 3 2 2" xfId="19235" xr:uid="{00000000-0005-0000-0000-0000ED3A0000}"/>
    <cellStyle name="Normal 47 2 2 3 3 3" xfId="14284" xr:uid="{00000000-0005-0000-0000-0000EE3A0000}"/>
    <cellStyle name="Normal 47 2 2 3 4" xfId="6026" xr:uid="{00000000-0005-0000-0000-0000EF3A0000}"/>
    <cellStyle name="Normal 47 2 2 3 4 2" xfId="16923" xr:uid="{00000000-0005-0000-0000-0000F03A0000}"/>
    <cellStyle name="Normal 47 2 2 3 5" xfId="12019" xr:uid="{00000000-0005-0000-0000-0000F13A0000}"/>
    <cellStyle name="Normal 47 2 2 4" xfId="1721" xr:uid="{00000000-0005-0000-0000-0000F23A0000}"/>
    <cellStyle name="Normal 47 2 2 4 2" xfId="4033" xr:uid="{00000000-0005-0000-0000-0000F33A0000}"/>
    <cellStyle name="Normal 47 2 2 4 2 2" xfId="8984" xr:uid="{00000000-0005-0000-0000-0000F43A0000}"/>
    <cellStyle name="Normal 47 2 2 4 2 2 2" xfId="19881" xr:uid="{00000000-0005-0000-0000-0000F53A0000}"/>
    <cellStyle name="Normal 47 2 2 4 2 3" xfId="14930" xr:uid="{00000000-0005-0000-0000-0000F63A0000}"/>
    <cellStyle name="Normal 47 2 2 4 3" xfId="6672" xr:uid="{00000000-0005-0000-0000-0000F73A0000}"/>
    <cellStyle name="Normal 47 2 2 4 3 2" xfId="17569" xr:uid="{00000000-0005-0000-0000-0000F83A0000}"/>
    <cellStyle name="Normal 47 2 2 4 4" xfId="12652" xr:uid="{00000000-0005-0000-0000-0000F93A0000}"/>
    <cellStyle name="Normal 47 2 2 5" xfId="2855" xr:uid="{00000000-0005-0000-0000-0000FA3A0000}"/>
    <cellStyle name="Normal 47 2 2 5 2" xfId="7806" xr:uid="{00000000-0005-0000-0000-0000FB3A0000}"/>
    <cellStyle name="Normal 47 2 2 5 2 2" xfId="18703" xr:uid="{00000000-0005-0000-0000-0000FC3A0000}"/>
    <cellStyle name="Normal 47 2 2 5 3" xfId="13752" xr:uid="{00000000-0005-0000-0000-0000FD3A0000}"/>
    <cellStyle name="Normal 47 2 2 6" xfId="5494" xr:uid="{00000000-0005-0000-0000-0000FE3A0000}"/>
    <cellStyle name="Normal 47 2 2 6 2" xfId="16391" xr:uid="{00000000-0005-0000-0000-0000FF3A0000}"/>
    <cellStyle name="Normal 47 2 2 7" xfId="11496" xr:uid="{00000000-0005-0000-0000-0000003B0000}"/>
    <cellStyle name="Normal 47 2 3" xfId="667" xr:uid="{00000000-0005-0000-0000-0000013B0000}"/>
    <cellStyle name="Normal 47 2 3 2" xfId="1199" xr:uid="{00000000-0005-0000-0000-0000023B0000}"/>
    <cellStyle name="Normal 47 2 3 2 2" xfId="2356" xr:uid="{00000000-0005-0000-0000-0000033B0000}"/>
    <cellStyle name="Normal 47 2 3 2 2 2" xfId="4668" xr:uid="{00000000-0005-0000-0000-0000043B0000}"/>
    <cellStyle name="Normal 47 2 3 2 2 2 2" xfId="9619" xr:uid="{00000000-0005-0000-0000-0000053B0000}"/>
    <cellStyle name="Normal 47 2 3 2 2 2 2 2" xfId="20516" xr:uid="{00000000-0005-0000-0000-0000063B0000}"/>
    <cellStyle name="Normal 47 2 3 2 2 2 3" xfId="15565" xr:uid="{00000000-0005-0000-0000-0000073B0000}"/>
    <cellStyle name="Normal 47 2 3 2 2 3" xfId="7307" xr:uid="{00000000-0005-0000-0000-0000083B0000}"/>
    <cellStyle name="Normal 47 2 3 2 2 3 2" xfId="18204" xr:uid="{00000000-0005-0000-0000-0000093B0000}"/>
    <cellStyle name="Normal 47 2 3 2 2 4" xfId="13268" xr:uid="{00000000-0005-0000-0000-00000A3B0000}"/>
    <cellStyle name="Normal 47 2 3 2 3" xfId="3523" xr:uid="{00000000-0005-0000-0000-00000B3B0000}"/>
    <cellStyle name="Normal 47 2 3 2 3 2" xfId="8474" xr:uid="{00000000-0005-0000-0000-00000C3B0000}"/>
    <cellStyle name="Normal 47 2 3 2 3 2 2" xfId="19371" xr:uid="{00000000-0005-0000-0000-00000D3B0000}"/>
    <cellStyle name="Normal 47 2 3 2 3 3" xfId="14420" xr:uid="{00000000-0005-0000-0000-00000E3B0000}"/>
    <cellStyle name="Normal 47 2 3 2 4" xfId="6162" xr:uid="{00000000-0005-0000-0000-00000F3B0000}"/>
    <cellStyle name="Normal 47 2 3 2 4 2" xfId="17059" xr:uid="{00000000-0005-0000-0000-0000103B0000}"/>
    <cellStyle name="Normal 47 2 3 2 5" xfId="12150" xr:uid="{00000000-0005-0000-0000-0000113B0000}"/>
    <cellStyle name="Normal 47 2 3 3" xfId="1840" xr:uid="{00000000-0005-0000-0000-0000123B0000}"/>
    <cellStyle name="Normal 47 2 3 3 2" xfId="4152" xr:uid="{00000000-0005-0000-0000-0000133B0000}"/>
    <cellStyle name="Normal 47 2 3 3 2 2" xfId="9103" xr:uid="{00000000-0005-0000-0000-0000143B0000}"/>
    <cellStyle name="Normal 47 2 3 3 2 2 2" xfId="20000" xr:uid="{00000000-0005-0000-0000-0000153B0000}"/>
    <cellStyle name="Normal 47 2 3 3 2 3" xfId="15049" xr:uid="{00000000-0005-0000-0000-0000163B0000}"/>
    <cellStyle name="Normal 47 2 3 3 3" xfId="6791" xr:uid="{00000000-0005-0000-0000-0000173B0000}"/>
    <cellStyle name="Normal 47 2 3 3 3 2" xfId="17688" xr:uid="{00000000-0005-0000-0000-0000183B0000}"/>
    <cellStyle name="Normal 47 2 3 3 4" xfId="12765" xr:uid="{00000000-0005-0000-0000-0000193B0000}"/>
    <cellStyle name="Normal 47 2 3 4" xfId="2991" xr:uid="{00000000-0005-0000-0000-00001A3B0000}"/>
    <cellStyle name="Normal 47 2 3 4 2" xfId="7942" xr:uid="{00000000-0005-0000-0000-00001B3B0000}"/>
    <cellStyle name="Normal 47 2 3 4 2 2" xfId="18839" xr:uid="{00000000-0005-0000-0000-00001C3B0000}"/>
    <cellStyle name="Normal 47 2 3 4 3" xfId="13888" xr:uid="{00000000-0005-0000-0000-00001D3B0000}"/>
    <cellStyle name="Normal 47 2 3 5" xfId="5630" xr:uid="{00000000-0005-0000-0000-00001E3B0000}"/>
    <cellStyle name="Normal 47 2 3 5 2" xfId="16527" xr:uid="{00000000-0005-0000-0000-00001F3B0000}"/>
    <cellStyle name="Normal 47 2 3 6" xfId="11629" xr:uid="{00000000-0005-0000-0000-0000203B0000}"/>
    <cellStyle name="Normal 47 2 4" xfId="934" xr:uid="{00000000-0005-0000-0000-0000213B0000}"/>
    <cellStyle name="Normal 47 2 4 2" xfId="2091" xr:uid="{00000000-0005-0000-0000-0000223B0000}"/>
    <cellStyle name="Normal 47 2 4 2 2" xfId="4403" xr:uid="{00000000-0005-0000-0000-0000233B0000}"/>
    <cellStyle name="Normal 47 2 4 2 2 2" xfId="9354" xr:uid="{00000000-0005-0000-0000-0000243B0000}"/>
    <cellStyle name="Normal 47 2 4 2 2 2 2" xfId="20251" xr:uid="{00000000-0005-0000-0000-0000253B0000}"/>
    <cellStyle name="Normal 47 2 4 2 2 3" xfId="15300" xr:uid="{00000000-0005-0000-0000-0000263B0000}"/>
    <cellStyle name="Normal 47 2 4 2 3" xfId="7042" xr:uid="{00000000-0005-0000-0000-0000273B0000}"/>
    <cellStyle name="Normal 47 2 4 2 3 2" xfId="17939" xr:uid="{00000000-0005-0000-0000-0000283B0000}"/>
    <cellStyle name="Normal 47 2 4 2 4" xfId="13009" xr:uid="{00000000-0005-0000-0000-0000293B0000}"/>
    <cellStyle name="Normal 47 2 4 3" xfId="3258" xr:uid="{00000000-0005-0000-0000-00002A3B0000}"/>
    <cellStyle name="Normal 47 2 4 3 2" xfId="8209" xr:uid="{00000000-0005-0000-0000-00002B3B0000}"/>
    <cellStyle name="Normal 47 2 4 3 2 2" xfId="19106" xr:uid="{00000000-0005-0000-0000-00002C3B0000}"/>
    <cellStyle name="Normal 47 2 4 3 3" xfId="14155" xr:uid="{00000000-0005-0000-0000-00002D3B0000}"/>
    <cellStyle name="Normal 47 2 4 4" xfId="5897" xr:uid="{00000000-0005-0000-0000-00002E3B0000}"/>
    <cellStyle name="Normal 47 2 4 4 2" xfId="16794" xr:uid="{00000000-0005-0000-0000-00002F3B0000}"/>
    <cellStyle name="Normal 47 2 4 5" xfId="11891" xr:uid="{00000000-0005-0000-0000-0000303B0000}"/>
    <cellStyle name="Normal 47 2 5" xfId="1607" xr:uid="{00000000-0005-0000-0000-0000313B0000}"/>
    <cellStyle name="Normal 47 2 5 2" xfId="3919" xr:uid="{00000000-0005-0000-0000-0000323B0000}"/>
    <cellStyle name="Normal 47 2 5 2 2" xfId="8870" xr:uid="{00000000-0005-0000-0000-0000333B0000}"/>
    <cellStyle name="Normal 47 2 5 2 2 2" xfId="19767" xr:uid="{00000000-0005-0000-0000-0000343B0000}"/>
    <cellStyle name="Normal 47 2 5 2 3" xfId="14816" xr:uid="{00000000-0005-0000-0000-0000353B0000}"/>
    <cellStyle name="Normal 47 2 5 3" xfId="6558" xr:uid="{00000000-0005-0000-0000-0000363B0000}"/>
    <cellStyle name="Normal 47 2 5 3 2" xfId="17455" xr:uid="{00000000-0005-0000-0000-0000373B0000}"/>
    <cellStyle name="Normal 47 2 5 4" xfId="12539" xr:uid="{00000000-0005-0000-0000-0000383B0000}"/>
    <cellStyle name="Normal 47 2 6" xfId="2726" xr:uid="{00000000-0005-0000-0000-0000393B0000}"/>
    <cellStyle name="Normal 47 2 6 2" xfId="7677" xr:uid="{00000000-0005-0000-0000-00003A3B0000}"/>
    <cellStyle name="Normal 47 2 6 2 2" xfId="18574" xr:uid="{00000000-0005-0000-0000-00003B3B0000}"/>
    <cellStyle name="Normal 47 2 6 3" xfId="13623" xr:uid="{00000000-0005-0000-0000-00003C3B0000}"/>
    <cellStyle name="Normal 47 2 7" xfId="5365" xr:uid="{00000000-0005-0000-0000-00003D3B0000}"/>
    <cellStyle name="Normal 47 2 7 2" xfId="16262" xr:uid="{00000000-0005-0000-0000-00003E3B0000}"/>
    <cellStyle name="Normal 47 2 8" xfId="11368" xr:uid="{00000000-0005-0000-0000-00003F3B0000}"/>
    <cellStyle name="Normal 47 3" xfId="480" xr:uid="{00000000-0005-0000-0000-0000403B0000}"/>
    <cellStyle name="Normal 47 3 2" xfId="745" xr:uid="{00000000-0005-0000-0000-0000413B0000}"/>
    <cellStyle name="Normal 47 3 2 2" xfId="1277" xr:uid="{00000000-0005-0000-0000-0000423B0000}"/>
    <cellStyle name="Normal 47 3 2 2 2" xfId="2434" xr:uid="{00000000-0005-0000-0000-0000433B0000}"/>
    <cellStyle name="Normal 47 3 2 2 2 2" xfId="4746" xr:uid="{00000000-0005-0000-0000-0000443B0000}"/>
    <cellStyle name="Normal 47 3 2 2 2 2 2" xfId="9697" xr:uid="{00000000-0005-0000-0000-0000453B0000}"/>
    <cellStyle name="Normal 47 3 2 2 2 2 2 2" xfId="20594" xr:uid="{00000000-0005-0000-0000-0000463B0000}"/>
    <cellStyle name="Normal 47 3 2 2 2 2 3" xfId="15643" xr:uid="{00000000-0005-0000-0000-0000473B0000}"/>
    <cellStyle name="Normal 47 3 2 2 2 3" xfId="7385" xr:uid="{00000000-0005-0000-0000-0000483B0000}"/>
    <cellStyle name="Normal 47 3 2 2 2 3 2" xfId="18282" xr:uid="{00000000-0005-0000-0000-0000493B0000}"/>
    <cellStyle name="Normal 47 3 2 2 2 4" xfId="13345" xr:uid="{00000000-0005-0000-0000-00004A3B0000}"/>
    <cellStyle name="Normal 47 3 2 2 3" xfId="3601" xr:uid="{00000000-0005-0000-0000-00004B3B0000}"/>
    <cellStyle name="Normal 47 3 2 2 3 2" xfId="8552" xr:uid="{00000000-0005-0000-0000-00004C3B0000}"/>
    <cellStyle name="Normal 47 3 2 2 3 2 2" xfId="19449" xr:uid="{00000000-0005-0000-0000-00004D3B0000}"/>
    <cellStyle name="Normal 47 3 2 2 3 3" xfId="14498" xr:uid="{00000000-0005-0000-0000-00004E3B0000}"/>
    <cellStyle name="Normal 47 3 2 2 4" xfId="6240" xr:uid="{00000000-0005-0000-0000-00004F3B0000}"/>
    <cellStyle name="Normal 47 3 2 2 4 2" xfId="17137" xr:uid="{00000000-0005-0000-0000-0000503B0000}"/>
    <cellStyle name="Normal 47 3 2 2 5" xfId="12227" xr:uid="{00000000-0005-0000-0000-0000513B0000}"/>
    <cellStyle name="Normal 47 3 2 3" xfId="1903" xr:uid="{00000000-0005-0000-0000-0000523B0000}"/>
    <cellStyle name="Normal 47 3 2 3 2" xfId="4215" xr:uid="{00000000-0005-0000-0000-0000533B0000}"/>
    <cellStyle name="Normal 47 3 2 3 2 2" xfId="9166" xr:uid="{00000000-0005-0000-0000-0000543B0000}"/>
    <cellStyle name="Normal 47 3 2 3 2 2 2" xfId="20063" xr:uid="{00000000-0005-0000-0000-0000553B0000}"/>
    <cellStyle name="Normal 47 3 2 3 2 3" xfId="15112" xr:uid="{00000000-0005-0000-0000-0000563B0000}"/>
    <cellStyle name="Normal 47 3 2 3 3" xfId="6854" xr:uid="{00000000-0005-0000-0000-0000573B0000}"/>
    <cellStyle name="Normal 47 3 2 3 3 2" xfId="17751" xr:uid="{00000000-0005-0000-0000-0000583B0000}"/>
    <cellStyle name="Normal 47 3 2 3 4" xfId="12827" xr:uid="{00000000-0005-0000-0000-0000593B0000}"/>
    <cellStyle name="Normal 47 3 2 4" xfId="3069" xr:uid="{00000000-0005-0000-0000-00005A3B0000}"/>
    <cellStyle name="Normal 47 3 2 4 2" xfId="8020" xr:uid="{00000000-0005-0000-0000-00005B3B0000}"/>
    <cellStyle name="Normal 47 3 2 4 2 2" xfId="18917" xr:uid="{00000000-0005-0000-0000-00005C3B0000}"/>
    <cellStyle name="Normal 47 3 2 4 3" xfId="13966" xr:uid="{00000000-0005-0000-0000-00005D3B0000}"/>
    <cellStyle name="Normal 47 3 2 5" xfId="5708" xr:uid="{00000000-0005-0000-0000-00005E3B0000}"/>
    <cellStyle name="Normal 47 3 2 5 2" xfId="16605" xr:uid="{00000000-0005-0000-0000-00005F3B0000}"/>
    <cellStyle name="Normal 47 3 2 6" xfId="11706" xr:uid="{00000000-0005-0000-0000-0000603B0000}"/>
    <cellStyle name="Normal 47 3 3" xfId="1012" xr:uid="{00000000-0005-0000-0000-0000613B0000}"/>
    <cellStyle name="Normal 47 3 3 2" xfId="2169" xr:uid="{00000000-0005-0000-0000-0000623B0000}"/>
    <cellStyle name="Normal 47 3 3 2 2" xfId="4481" xr:uid="{00000000-0005-0000-0000-0000633B0000}"/>
    <cellStyle name="Normal 47 3 3 2 2 2" xfId="9432" xr:uid="{00000000-0005-0000-0000-0000643B0000}"/>
    <cellStyle name="Normal 47 3 3 2 2 2 2" xfId="20329" xr:uid="{00000000-0005-0000-0000-0000653B0000}"/>
    <cellStyle name="Normal 47 3 3 2 2 3" xfId="15378" xr:uid="{00000000-0005-0000-0000-0000663B0000}"/>
    <cellStyle name="Normal 47 3 3 2 3" xfId="7120" xr:uid="{00000000-0005-0000-0000-0000673B0000}"/>
    <cellStyle name="Normal 47 3 3 2 3 2" xfId="18017" xr:uid="{00000000-0005-0000-0000-0000683B0000}"/>
    <cellStyle name="Normal 47 3 3 2 4" xfId="13086" xr:uid="{00000000-0005-0000-0000-0000693B0000}"/>
    <cellStyle name="Normal 47 3 3 3" xfId="3336" xr:uid="{00000000-0005-0000-0000-00006A3B0000}"/>
    <cellStyle name="Normal 47 3 3 3 2" xfId="8287" xr:uid="{00000000-0005-0000-0000-00006B3B0000}"/>
    <cellStyle name="Normal 47 3 3 3 2 2" xfId="19184" xr:uid="{00000000-0005-0000-0000-00006C3B0000}"/>
    <cellStyle name="Normal 47 3 3 3 3" xfId="14233" xr:uid="{00000000-0005-0000-0000-00006D3B0000}"/>
    <cellStyle name="Normal 47 3 3 4" xfId="5975" xr:uid="{00000000-0005-0000-0000-00006E3B0000}"/>
    <cellStyle name="Normal 47 3 3 4 2" xfId="16872" xr:uid="{00000000-0005-0000-0000-00006F3B0000}"/>
    <cellStyle name="Normal 47 3 3 5" xfId="11968" xr:uid="{00000000-0005-0000-0000-0000703B0000}"/>
    <cellStyle name="Normal 47 3 4" xfId="1670" xr:uid="{00000000-0005-0000-0000-0000713B0000}"/>
    <cellStyle name="Normal 47 3 4 2" xfId="3982" xr:uid="{00000000-0005-0000-0000-0000723B0000}"/>
    <cellStyle name="Normal 47 3 4 2 2" xfId="8933" xr:uid="{00000000-0005-0000-0000-0000733B0000}"/>
    <cellStyle name="Normal 47 3 4 2 2 2" xfId="19830" xr:uid="{00000000-0005-0000-0000-0000743B0000}"/>
    <cellStyle name="Normal 47 3 4 2 3" xfId="14879" xr:uid="{00000000-0005-0000-0000-0000753B0000}"/>
    <cellStyle name="Normal 47 3 4 3" xfId="6621" xr:uid="{00000000-0005-0000-0000-0000763B0000}"/>
    <cellStyle name="Normal 47 3 4 3 2" xfId="17518" xr:uid="{00000000-0005-0000-0000-0000773B0000}"/>
    <cellStyle name="Normal 47 3 4 4" xfId="12601" xr:uid="{00000000-0005-0000-0000-0000783B0000}"/>
    <cellStyle name="Normal 47 3 5" xfId="2804" xr:uid="{00000000-0005-0000-0000-0000793B0000}"/>
    <cellStyle name="Normal 47 3 5 2" xfId="7755" xr:uid="{00000000-0005-0000-0000-00007A3B0000}"/>
    <cellStyle name="Normal 47 3 5 2 2" xfId="18652" xr:uid="{00000000-0005-0000-0000-00007B3B0000}"/>
    <cellStyle name="Normal 47 3 5 3" xfId="13701" xr:uid="{00000000-0005-0000-0000-00007C3B0000}"/>
    <cellStyle name="Normal 47 3 6" xfId="5443" xr:uid="{00000000-0005-0000-0000-00007D3B0000}"/>
    <cellStyle name="Normal 47 3 6 2" xfId="16340" xr:uid="{00000000-0005-0000-0000-00007E3B0000}"/>
    <cellStyle name="Normal 47 3 7" xfId="11445" xr:uid="{00000000-0005-0000-0000-00007F3B0000}"/>
    <cellStyle name="Normal 47 4" xfId="604" xr:uid="{00000000-0005-0000-0000-0000803B0000}"/>
    <cellStyle name="Normal 47 4 2" xfId="1136" xr:uid="{00000000-0005-0000-0000-0000813B0000}"/>
    <cellStyle name="Normal 47 4 2 2" xfId="2293" xr:uid="{00000000-0005-0000-0000-0000823B0000}"/>
    <cellStyle name="Normal 47 4 2 2 2" xfId="4605" xr:uid="{00000000-0005-0000-0000-0000833B0000}"/>
    <cellStyle name="Normal 47 4 2 2 2 2" xfId="9556" xr:uid="{00000000-0005-0000-0000-0000843B0000}"/>
    <cellStyle name="Normal 47 4 2 2 2 2 2" xfId="20453" xr:uid="{00000000-0005-0000-0000-0000853B0000}"/>
    <cellStyle name="Normal 47 4 2 2 2 3" xfId="15502" xr:uid="{00000000-0005-0000-0000-0000863B0000}"/>
    <cellStyle name="Normal 47 4 2 2 3" xfId="7244" xr:uid="{00000000-0005-0000-0000-0000873B0000}"/>
    <cellStyle name="Normal 47 4 2 2 3 2" xfId="18141" xr:uid="{00000000-0005-0000-0000-0000883B0000}"/>
    <cellStyle name="Normal 47 4 2 2 4" xfId="13208" xr:uid="{00000000-0005-0000-0000-0000893B0000}"/>
    <cellStyle name="Normal 47 4 2 3" xfId="3460" xr:uid="{00000000-0005-0000-0000-00008A3B0000}"/>
    <cellStyle name="Normal 47 4 2 3 2" xfId="8411" xr:uid="{00000000-0005-0000-0000-00008B3B0000}"/>
    <cellStyle name="Normal 47 4 2 3 2 2" xfId="19308" xr:uid="{00000000-0005-0000-0000-00008C3B0000}"/>
    <cellStyle name="Normal 47 4 2 3 3" xfId="14357" xr:uid="{00000000-0005-0000-0000-00008D3B0000}"/>
    <cellStyle name="Normal 47 4 2 4" xfId="6099" xr:uid="{00000000-0005-0000-0000-00008E3B0000}"/>
    <cellStyle name="Normal 47 4 2 4 2" xfId="16996" xr:uid="{00000000-0005-0000-0000-00008F3B0000}"/>
    <cellStyle name="Normal 47 4 2 5" xfId="12090" xr:uid="{00000000-0005-0000-0000-0000903B0000}"/>
    <cellStyle name="Normal 47 4 3" xfId="1785" xr:uid="{00000000-0005-0000-0000-0000913B0000}"/>
    <cellStyle name="Normal 47 4 3 2" xfId="4097" xr:uid="{00000000-0005-0000-0000-0000923B0000}"/>
    <cellStyle name="Normal 47 4 3 2 2" xfId="9048" xr:uid="{00000000-0005-0000-0000-0000933B0000}"/>
    <cellStyle name="Normal 47 4 3 2 2 2" xfId="19945" xr:uid="{00000000-0005-0000-0000-0000943B0000}"/>
    <cellStyle name="Normal 47 4 3 2 3" xfId="14994" xr:uid="{00000000-0005-0000-0000-0000953B0000}"/>
    <cellStyle name="Normal 47 4 3 3" xfId="6736" xr:uid="{00000000-0005-0000-0000-0000963B0000}"/>
    <cellStyle name="Normal 47 4 3 3 2" xfId="17633" xr:uid="{00000000-0005-0000-0000-0000973B0000}"/>
    <cellStyle name="Normal 47 4 3 4" xfId="12714" xr:uid="{00000000-0005-0000-0000-0000983B0000}"/>
    <cellStyle name="Normal 47 4 4" xfId="2928" xr:uid="{00000000-0005-0000-0000-0000993B0000}"/>
    <cellStyle name="Normal 47 4 4 2" xfId="7879" xr:uid="{00000000-0005-0000-0000-00009A3B0000}"/>
    <cellStyle name="Normal 47 4 4 2 2" xfId="18776" xr:uid="{00000000-0005-0000-0000-00009B3B0000}"/>
    <cellStyle name="Normal 47 4 4 3" xfId="13825" xr:uid="{00000000-0005-0000-0000-00009C3B0000}"/>
    <cellStyle name="Normal 47 4 5" xfId="5567" xr:uid="{00000000-0005-0000-0000-00009D3B0000}"/>
    <cellStyle name="Normal 47 4 5 2" xfId="16464" xr:uid="{00000000-0005-0000-0000-00009E3B0000}"/>
    <cellStyle name="Normal 47 4 6" xfId="11569" xr:uid="{00000000-0005-0000-0000-00009F3B0000}"/>
    <cellStyle name="Normal 47 5" xfId="871" xr:uid="{00000000-0005-0000-0000-0000A03B0000}"/>
    <cellStyle name="Normal 47 5 2" xfId="2028" xr:uid="{00000000-0005-0000-0000-0000A13B0000}"/>
    <cellStyle name="Normal 47 5 2 2" xfId="4340" xr:uid="{00000000-0005-0000-0000-0000A23B0000}"/>
    <cellStyle name="Normal 47 5 2 2 2" xfId="9291" xr:uid="{00000000-0005-0000-0000-0000A33B0000}"/>
    <cellStyle name="Normal 47 5 2 2 2 2" xfId="20188" xr:uid="{00000000-0005-0000-0000-0000A43B0000}"/>
    <cellStyle name="Normal 47 5 2 2 3" xfId="15237" xr:uid="{00000000-0005-0000-0000-0000A53B0000}"/>
    <cellStyle name="Normal 47 5 2 3" xfId="6979" xr:uid="{00000000-0005-0000-0000-0000A63B0000}"/>
    <cellStyle name="Normal 47 5 2 3 2" xfId="17876" xr:uid="{00000000-0005-0000-0000-0000A73B0000}"/>
    <cellStyle name="Normal 47 5 2 4" xfId="12950" xr:uid="{00000000-0005-0000-0000-0000A83B0000}"/>
    <cellStyle name="Normal 47 5 3" xfId="3195" xr:uid="{00000000-0005-0000-0000-0000A93B0000}"/>
    <cellStyle name="Normal 47 5 3 2" xfId="8146" xr:uid="{00000000-0005-0000-0000-0000AA3B0000}"/>
    <cellStyle name="Normal 47 5 3 2 2" xfId="19043" xr:uid="{00000000-0005-0000-0000-0000AB3B0000}"/>
    <cellStyle name="Normal 47 5 3 3" xfId="14092" xr:uid="{00000000-0005-0000-0000-0000AC3B0000}"/>
    <cellStyle name="Normal 47 5 4" xfId="5834" xr:uid="{00000000-0005-0000-0000-0000AD3B0000}"/>
    <cellStyle name="Normal 47 5 4 2" xfId="16731" xr:uid="{00000000-0005-0000-0000-0000AE3B0000}"/>
    <cellStyle name="Normal 47 5 5" xfId="11832" xr:uid="{00000000-0005-0000-0000-0000AF3B0000}"/>
    <cellStyle name="Normal 47 6" xfId="1552" xr:uid="{00000000-0005-0000-0000-0000B03B0000}"/>
    <cellStyle name="Normal 47 6 2" xfId="3864" xr:uid="{00000000-0005-0000-0000-0000B13B0000}"/>
    <cellStyle name="Normal 47 6 2 2" xfId="8815" xr:uid="{00000000-0005-0000-0000-0000B23B0000}"/>
    <cellStyle name="Normal 47 6 2 2 2" xfId="19712" xr:uid="{00000000-0005-0000-0000-0000B33B0000}"/>
    <cellStyle name="Normal 47 6 2 3" xfId="14761" xr:uid="{00000000-0005-0000-0000-0000B43B0000}"/>
    <cellStyle name="Normal 47 6 3" xfId="6503" xr:uid="{00000000-0005-0000-0000-0000B53B0000}"/>
    <cellStyle name="Normal 47 6 3 2" xfId="17400" xr:uid="{00000000-0005-0000-0000-0000B63B0000}"/>
    <cellStyle name="Normal 47 6 4" xfId="12487" xr:uid="{00000000-0005-0000-0000-0000B73B0000}"/>
    <cellStyle name="Normal 47 7" xfId="2663" xr:uid="{00000000-0005-0000-0000-0000B83B0000}"/>
    <cellStyle name="Normal 47 7 2" xfId="7614" xr:uid="{00000000-0005-0000-0000-0000B93B0000}"/>
    <cellStyle name="Normal 47 7 2 2" xfId="18511" xr:uid="{00000000-0005-0000-0000-0000BA3B0000}"/>
    <cellStyle name="Normal 47 7 3" xfId="13560" xr:uid="{00000000-0005-0000-0000-0000BB3B0000}"/>
    <cellStyle name="Normal 47 8" xfId="5302" xr:uid="{00000000-0005-0000-0000-0000BC3B0000}"/>
    <cellStyle name="Normal 47 8 2" xfId="16199" xr:uid="{00000000-0005-0000-0000-0000BD3B0000}"/>
    <cellStyle name="Normal 47 9" xfId="11307" xr:uid="{00000000-0005-0000-0000-0000BE3B0000}"/>
    <cellStyle name="Normal 48" xfId="312" xr:uid="{00000000-0005-0000-0000-0000BF3B0000}"/>
    <cellStyle name="Normal 48 2" xfId="402" xr:uid="{00000000-0005-0000-0000-0000C03B0000}"/>
    <cellStyle name="Normal 48 2 2" xfId="532" xr:uid="{00000000-0005-0000-0000-0000C13B0000}"/>
    <cellStyle name="Normal 48 2 2 2" xfId="797" xr:uid="{00000000-0005-0000-0000-0000C23B0000}"/>
    <cellStyle name="Normal 48 2 2 2 2" xfId="1329" xr:uid="{00000000-0005-0000-0000-0000C33B0000}"/>
    <cellStyle name="Normal 48 2 2 2 2 2" xfId="2486" xr:uid="{00000000-0005-0000-0000-0000C43B0000}"/>
    <cellStyle name="Normal 48 2 2 2 2 2 2" xfId="4798" xr:uid="{00000000-0005-0000-0000-0000C53B0000}"/>
    <cellStyle name="Normal 48 2 2 2 2 2 2 2" xfId="9749" xr:uid="{00000000-0005-0000-0000-0000C63B0000}"/>
    <cellStyle name="Normal 48 2 2 2 2 2 2 2 2" xfId="20646" xr:uid="{00000000-0005-0000-0000-0000C73B0000}"/>
    <cellStyle name="Normal 48 2 2 2 2 2 2 3" xfId="15695" xr:uid="{00000000-0005-0000-0000-0000C83B0000}"/>
    <cellStyle name="Normal 48 2 2 2 2 2 3" xfId="7437" xr:uid="{00000000-0005-0000-0000-0000C93B0000}"/>
    <cellStyle name="Normal 48 2 2 2 2 2 3 2" xfId="18334" xr:uid="{00000000-0005-0000-0000-0000CA3B0000}"/>
    <cellStyle name="Normal 48 2 2 2 2 2 4" xfId="13397" xr:uid="{00000000-0005-0000-0000-0000CB3B0000}"/>
    <cellStyle name="Normal 48 2 2 2 2 3" xfId="3653" xr:uid="{00000000-0005-0000-0000-0000CC3B0000}"/>
    <cellStyle name="Normal 48 2 2 2 2 3 2" xfId="8604" xr:uid="{00000000-0005-0000-0000-0000CD3B0000}"/>
    <cellStyle name="Normal 48 2 2 2 2 3 2 2" xfId="19501" xr:uid="{00000000-0005-0000-0000-0000CE3B0000}"/>
    <cellStyle name="Normal 48 2 2 2 2 3 3" xfId="14550" xr:uid="{00000000-0005-0000-0000-0000CF3B0000}"/>
    <cellStyle name="Normal 48 2 2 2 2 4" xfId="6292" xr:uid="{00000000-0005-0000-0000-0000D03B0000}"/>
    <cellStyle name="Normal 48 2 2 2 2 4 2" xfId="17189" xr:uid="{00000000-0005-0000-0000-0000D13B0000}"/>
    <cellStyle name="Normal 48 2 2 2 2 5" xfId="12279" xr:uid="{00000000-0005-0000-0000-0000D23B0000}"/>
    <cellStyle name="Normal 48 2 2 2 3" xfId="1955" xr:uid="{00000000-0005-0000-0000-0000D33B0000}"/>
    <cellStyle name="Normal 48 2 2 2 3 2" xfId="4267" xr:uid="{00000000-0005-0000-0000-0000D43B0000}"/>
    <cellStyle name="Normal 48 2 2 2 3 2 2" xfId="9218" xr:uid="{00000000-0005-0000-0000-0000D53B0000}"/>
    <cellStyle name="Normal 48 2 2 2 3 2 2 2" xfId="20115" xr:uid="{00000000-0005-0000-0000-0000D63B0000}"/>
    <cellStyle name="Normal 48 2 2 2 3 2 3" xfId="15164" xr:uid="{00000000-0005-0000-0000-0000D73B0000}"/>
    <cellStyle name="Normal 48 2 2 2 3 3" xfId="6906" xr:uid="{00000000-0005-0000-0000-0000D83B0000}"/>
    <cellStyle name="Normal 48 2 2 2 3 3 2" xfId="17803" xr:uid="{00000000-0005-0000-0000-0000D93B0000}"/>
    <cellStyle name="Normal 48 2 2 2 3 4" xfId="12879" xr:uid="{00000000-0005-0000-0000-0000DA3B0000}"/>
    <cellStyle name="Normal 48 2 2 2 4" xfId="3121" xr:uid="{00000000-0005-0000-0000-0000DB3B0000}"/>
    <cellStyle name="Normal 48 2 2 2 4 2" xfId="8072" xr:uid="{00000000-0005-0000-0000-0000DC3B0000}"/>
    <cellStyle name="Normal 48 2 2 2 4 2 2" xfId="18969" xr:uid="{00000000-0005-0000-0000-0000DD3B0000}"/>
    <cellStyle name="Normal 48 2 2 2 4 3" xfId="14018" xr:uid="{00000000-0005-0000-0000-0000DE3B0000}"/>
    <cellStyle name="Normal 48 2 2 2 5" xfId="5760" xr:uid="{00000000-0005-0000-0000-0000DF3B0000}"/>
    <cellStyle name="Normal 48 2 2 2 5 2" xfId="16657" xr:uid="{00000000-0005-0000-0000-0000E03B0000}"/>
    <cellStyle name="Normal 48 2 2 2 6" xfId="11758" xr:uid="{00000000-0005-0000-0000-0000E13B0000}"/>
    <cellStyle name="Normal 48 2 2 3" xfId="1064" xr:uid="{00000000-0005-0000-0000-0000E23B0000}"/>
    <cellStyle name="Normal 48 2 2 3 2" xfId="2221" xr:uid="{00000000-0005-0000-0000-0000E33B0000}"/>
    <cellStyle name="Normal 48 2 2 3 2 2" xfId="4533" xr:uid="{00000000-0005-0000-0000-0000E43B0000}"/>
    <cellStyle name="Normal 48 2 2 3 2 2 2" xfId="9484" xr:uid="{00000000-0005-0000-0000-0000E53B0000}"/>
    <cellStyle name="Normal 48 2 2 3 2 2 2 2" xfId="20381" xr:uid="{00000000-0005-0000-0000-0000E63B0000}"/>
    <cellStyle name="Normal 48 2 2 3 2 2 3" xfId="15430" xr:uid="{00000000-0005-0000-0000-0000E73B0000}"/>
    <cellStyle name="Normal 48 2 2 3 2 3" xfId="7172" xr:uid="{00000000-0005-0000-0000-0000E83B0000}"/>
    <cellStyle name="Normal 48 2 2 3 2 3 2" xfId="18069" xr:uid="{00000000-0005-0000-0000-0000E93B0000}"/>
    <cellStyle name="Normal 48 2 2 3 2 4" xfId="13138" xr:uid="{00000000-0005-0000-0000-0000EA3B0000}"/>
    <cellStyle name="Normal 48 2 2 3 3" xfId="3388" xr:uid="{00000000-0005-0000-0000-0000EB3B0000}"/>
    <cellStyle name="Normal 48 2 2 3 3 2" xfId="8339" xr:uid="{00000000-0005-0000-0000-0000EC3B0000}"/>
    <cellStyle name="Normal 48 2 2 3 3 2 2" xfId="19236" xr:uid="{00000000-0005-0000-0000-0000ED3B0000}"/>
    <cellStyle name="Normal 48 2 2 3 3 3" xfId="14285" xr:uid="{00000000-0005-0000-0000-0000EE3B0000}"/>
    <cellStyle name="Normal 48 2 2 3 4" xfId="6027" xr:uid="{00000000-0005-0000-0000-0000EF3B0000}"/>
    <cellStyle name="Normal 48 2 2 3 4 2" xfId="16924" xr:uid="{00000000-0005-0000-0000-0000F03B0000}"/>
    <cellStyle name="Normal 48 2 2 3 5" xfId="12020" xr:uid="{00000000-0005-0000-0000-0000F13B0000}"/>
    <cellStyle name="Normal 48 2 2 4" xfId="1722" xr:uid="{00000000-0005-0000-0000-0000F23B0000}"/>
    <cellStyle name="Normal 48 2 2 4 2" xfId="4034" xr:uid="{00000000-0005-0000-0000-0000F33B0000}"/>
    <cellStyle name="Normal 48 2 2 4 2 2" xfId="8985" xr:uid="{00000000-0005-0000-0000-0000F43B0000}"/>
    <cellStyle name="Normal 48 2 2 4 2 2 2" xfId="19882" xr:uid="{00000000-0005-0000-0000-0000F53B0000}"/>
    <cellStyle name="Normal 48 2 2 4 2 3" xfId="14931" xr:uid="{00000000-0005-0000-0000-0000F63B0000}"/>
    <cellStyle name="Normal 48 2 2 4 3" xfId="6673" xr:uid="{00000000-0005-0000-0000-0000F73B0000}"/>
    <cellStyle name="Normal 48 2 2 4 3 2" xfId="17570" xr:uid="{00000000-0005-0000-0000-0000F83B0000}"/>
    <cellStyle name="Normal 48 2 2 4 4" xfId="12653" xr:uid="{00000000-0005-0000-0000-0000F93B0000}"/>
    <cellStyle name="Normal 48 2 2 5" xfId="2856" xr:uid="{00000000-0005-0000-0000-0000FA3B0000}"/>
    <cellStyle name="Normal 48 2 2 5 2" xfId="7807" xr:uid="{00000000-0005-0000-0000-0000FB3B0000}"/>
    <cellStyle name="Normal 48 2 2 5 2 2" xfId="18704" xr:uid="{00000000-0005-0000-0000-0000FC3B0000}"/>
    <cellStyle name="Normal 48 2 2 5 3" xfId="13753" xr:uid="{00000000-0005-0000-0000-0000FD3B0000}"/>
    <cellStyle name="Normal 48 2 2 6" xfId="5495" xr:uid="{00000000-0005-0000-0000-0000FE3B0000}"/>
    <cellStyle name="Normal 48 2 2 6 2" xfId="16392" xr:uid="{00000000-0005-0000-0000-0000FF3B0000}"/>
    <cellStyle name="Normal 48 2 2 7" xfId="11497" xr:uid="{00000000-0005-0000-0000-0000003C0000}"/>
    <cellStyle name="Normal 48 2 3" xfId="668" xr:uid="{00000000-0005-0000-0000-0000013C0000}"/>
    <cellStyle name="Normal 48 2 3 2" xfId="1200" xr:uid="{00000000-0005-0000-0000-0000023C0000}"/>
    <cellStyle name="Normal 48 2 3 2 2" xfId="2357" xr:uid="{00000000-0005-0000-0000-0000033C0000}"/>
    <cellStyle name="Normal 48 2 3 2 2 2" xfId="4669" xr:uid="{00000000-0005-0000-0000-0000043C0000}"/>
    <cellStyle name="Normal 48 2 3 2 2 2 2" xfId="9620" xr:uid="{00000000-0005-0000-0000-0000053C0000}"/>
    <cellStyle name="Normal 48 2 3 2 2 2 2 2" xfId="20517" xr:uid="{00000000-0005-0000-0000-0000063C0000}"/>
    <cellStyle name="Normal 48 2 3 2 2 2 3" xfId="15566" xr:uid="{00000000-0005-0000-0000-0000073C0000}"/>
    <cellStyle name="Normal 48 2 3 2 2 3" xfId="7308" xr:uid="{00000000-0005-0000-0000-0000083C0000}"/>
    <cellStyle name="Normal 48 2 3 2 2 3 2" xfId="18205" xr:uid="{00000000-0005-0000-0000-0000093C0000}"/>
    <cellStyle name="Normal 48 2 3 2 2 4" xfId="13269" xr:uid="{00000000-0005-0000-0000-00000A3C0000}"/>
    <cellStyle name="Normal 48 2 3 2 3" xfId="3524" xr:uid="{00000000-0005-0000-0000-00000B3C0000}"/>
    <cellStyle name="Normal 48 2 3 2 3 2" xfId="8475" xr:uid="{00000000-0005-0000-0000-00000C3C0000}"/>
    <cellStyle name="Normal 48 2 3 2 3 2 2" xfId="19372" xr:uid="{00000000-0005-0000-0000-00000D3C0000}"/>
    <cellStyle name="Normal 48 2 3 2 3 3" xfId="14421" xr:uid="{00000000-0005-0000-0000-00000E3C0000}"/>
    <cellStyle name="Normal 48 2 3 2 4" xfId="6163" xr:uid="{00000000-0005-0000-0000-00000F3C0000}"/>
    <cellStyle name="Normal 48 2 3 2 4 2" xfId="17060" xr:uid="{00000000-0005-0000-0000-0000103C0000}"/>
    <cellStyle name="Normal 48 2 3 2 5" xfId="12151" xr:uid="{00000000-0005-0000-0000-0000113C0000}"/>
    <cellStyle name="Normal 48 2 3 3" xfId="1841" xr:uid="{00000000-0005-0000-0000-0000123C0000}"/>
    <cellStyle name="Normal 48 2 3 3 2" xfId="4153" xr:uid="{00000000-0005-0000-0000-0000133C0000}"/>
    <cellStyle name="Normal 48 2 3 3 2 2" xfId="9104" xr:uid="{00000000-0005-0000-0000-0000143C0000}"/>
    <cellStyle name="Normal 48 2 3 3 2 2 2" xfId="20001" xr:uid="{00000000-0005-0000-0000-0000153C0000}"/>
    <cellStyle name="Normal 48 2 3 3 2 3" xfId="15050" xr:uid="{00000000-0005-0000-0000-0000163C0000}"/>
    <cellStyle name="Normal 48 2 3 3 3" xfId="6792" xr:uid="{00000000-0005-0000-0000-0000173C0000}"/>
    <cellStyle name="Normal 48 2 3 3 3 2" xfId="17689" xr:uid="{00000000-0005-0000-0000-0000183C0000}"/>
    <cellStyle name="Normal 48 2 3 3 4" xfId="12766" xr:uid="{00000000-0005-0000-0000-0000193C0000}"/>
    <cellStyle name="Normal 48 2 3 4" xfId="2992" xr:uid="{00000000-0005-0000-0000-00001A3C0000}"/>
    <cellStyle name="Normal 48 2 3 4 2" xfId="7943" xr:uid="{00000000-0005-0000-0000-00001B3C0000}"/>
    <cellStyle name="Normal 48 2 3 4 2 2" xfId="18840" xr:uid="{00000000-0005-0000-0000-00001C3C0000}"/>
    <cellStyle name="Normal 48 2 3 4 3" xfId="13889" xr:uid="{00000000-0005-0000-0000-00001D3C0000}"/>
    <cellStyle name="Normal 48 2 3 5" xfId="5631" xr:uid="{00000000-0005-0000-0000-00001E3C0000}"/>
    <cellStyle name="Normal 48 2 3 5 2" xfId="16528" xr:uid="{00000000-0005-0000-0000-00001F3C0000}"/>
    <cellStyle name="Normal 48 2 3 6" xfId="11630" xr:uid="{00000000-0005-0000-0000-0000203C0000}"/>
    <cellStyle name="Normal 48 2 4" xfId="935" xr:uid="{00000000-0005-0000-0000-0000213C0000}"/>
    <cellStyle name="Normal 48 2 4 2" xfId="2092" xr:uid="{00000000-0005-0000-0000-0000223C0000}"/>
    <cellStyle name="Normal 48 2 4 2 2" xfId="4404" xr:uid="{00000000-0005-0000-0000-0000233C0000}"/>
    <cellStyle name="Normal 48 2 4 2 2 2" xfId="9355" xr:uid="{00000000-0005-0000-0000-0000243C0000}"/>
    <cellStyle name="Normal 48 2 4 2 2 2 2" xfId="20252" xr:uid="{00000000-0005-0000-0000-0000253C0000}"/>
    <cellStyle name="Normal 48 2 4 2 2 3" xfId="15301" xr:uid="{00000000-0005-0000-0000-0000263C0000}"/>
    <cellStyle name="Normal 48 2 4 2 3" xfId="7043" xr:uid="{00000000-0005-0000-0000-0000273C0000}"/>
    <cellStyle name="Normal 48 2 4 2 3 2" xfId="17940" xr:uid="{00000000-0005-0000-0000-0000283C0000}"/>
    <cellStyle name="Normal 48 2 4 2 4" xfId="13010" xr:uid="{00000000-0005-0000-0000-0000293C0000}"/>
    <cellStyle name="Normal 48 2 4 3" xfId="3259" xr:uid="{00000000-0005-0000-0000-00002A3C0000}"/>
    <cellStyle name="Normal 48 2 4 3 2" xfId="8210" xr:uid="{00000000-0005-0000-0000-00002B3C0000}"/>
    <cellStyle name="Normal 48 2 4 3 2 2" xfId="19107" xr:uid="{00000000-0005-0000-0000-00002C3C0000}"/>
    <cellStyle name="Normal 48 2 4 3 3" xfId="14156" xr:uid="{00000000-0005-0000-0000-00002D3C0000}"/>
    <cellStyle name="Normal 48 2 4 4" xfId="5898" xr:uid="{00000000-0005-0000-0000-00002E3C0000}"/>
    <cellStyle name="Normal 48 2 4 4 2" xfId="16795" xr:uid="{00000000-0005-0000-0000-00002F3C0000}"/>
    <cellStyle name="Normal 48 2 4 5" xfId="11892" xr:uid="{00000000-0005-0000-0000-0000303C0000}"/>
    <cellStyle name="Normal 48 2 5" xfId="1608" xr:uid="{00000000-0005-0000-0000-0000313C0000}"/>
    <cellStyle name="Normal 48 2 5 2" xfId="3920" xr:uid="{00000000-0005-0000-0000-0000323C0000}"/>
    <cellStyle name="Normal 48 2 5 2 2" xfId="8871" xr:uid="{00000000-0005-0000-0000-0000333C0000}"/>
    <cellStyle name="Normal 48 2 5 2 2 2" xfId="19768" xr:uid="{00000000-0005-0000-0000-0000343C0000}"/>
    <cellStyle name="Normal 48 2 5 2 3" xfId="14817" xr:uid="{00000000-0005-0000-0000-0000353C0000}"/>
    <cellStyle name="Normal 48 2 5 3" xfId="6559" xr:uid="{00000000-0005-0000-0000-0000363C0000}"/>
    <cellStyle name="Normal 48 2 5 3 2" xfId="17456" xr:uid="{00000000-0005-0000-0000-0000373C0000}"/>
    <cellStyle name="Normal 48 2 5 4" xfId="12540" xr:uid="{00000000-0005-0000-0000-0000383C0000}"/>
    <cellStyle name="Normal 48 2 6" xfId="2727" xr:uid="{00000000-0005-0000-0000-0000393C0000}"/>
    <cellStyle name="Normal 48 2 6 2" xfId="7678" xr:uid="{00000000-0005-0000-0000-00003A3C0000}"/>
    <cellStyle name="Normal 48 2 6 2 2" xfId="18575" xr:uid="{00000000-0005-0000-0000-00003B3C0000}"/>
    <cellStyle name="Normal 48 2 6 3" xfId="13624" xr:uid="{00000000-0005-0000-0000-00003C3C0000}"/>
    <cellStyle name="Normal 48 2 7" xfId="5366" xr:uid="{00000000-0005-0000-0000-00003D3C0000}"/>
    <cellStyle name="Normal 48 2 7 2" xfId="16263" xr:uid="{00000000-0005-0000-0000-00003E3C0000}"/>
    <cellStyle name="Normal 48 2 8" xfId="11369" xr:uid="{00000000-0005-0000-0000-00003F3C0000}"/>
    <cellStyle name="Normal 48 3" xfId="481" xr:uid="{00000000-0005-0000-0000-0000403C0000}"/>
    <cellStyle name="Normal 48 3 2" xfId="746" xr:uid="{00000000-0005-0000-0000-0000413C0000}"/>
    <cellStyle name="Normal 48 3 2 2" xfId="1278" xr:uid="{00000000-0005-0000-0000-0000423C0000}"/>
    <cellStyle name="Normal 48 3 2 2 2" xfId="2435" xr:uid="{00000000-0005-0000-0000-0000433C0000}"/>
    <cellStyle name="Normal 48 3 2 2 2 2" xfId="4747" xr:uid="{00000000-0005-0000-0000-0000443C0000}"/>
    <cellStyle name="Normal 48 3 2 2 2 2 2" xfId="9698" xr:uid="{00000000-0005-0000-0000-0000453C0000}"/>
    <cellStyle name="Normal 48 3 2 2 2 2 2 2" xfId="20595" xr:uid="{00000000-0005-0000-0000-0000463C0000}"/>
    <cellStyle name="Normal 48 3 2 2 2 2 3" xfId="15644" xr:uid="{00000000-0005-0000-0000-0000473C0000}"/>
    <cellStyle name="Normal 48 3 2 2 2 3" xfId="7386" xr:uid="{00000000-0005-0000-0000-0000483C0000}"/>
    <cellStyle name="Normal 48 3 2 2 2 3 2" xfId="18283" xr:uid="{00000000-0005-0000-0000-0000493C0000}"/>
    <cellStyle name="Normal 48 3 2 2 2 4" xfId="13346" xr:uid="{00000000-0005-0000-0000-00004A3C0000}"/>
    <cellStyle name="Normal 48 3 2 2 3" xfId="3602" xr:uid="{00000000-0005-0000-0000-00004B3C0000}"/>
    <cellStyle name="Normal 48 3 2 2 3 2" xfId="8553" xr:uid="{00000000-0005-0000-0000-00004C3C0000}"/>
    <cellStyle name="Normal 48 3 2 2 3 2 2" xfId="19450" xr:uid="{00000000-0005-0000-0000-00004D3C0000}"/>
    <cellStyle name="Normal 48 3 2 2 3 3" xfId="14499" xr:uid="{00000000-0005-0000-0000-00004E3C0000}"/>
    <cellStyle name="Normal 48 3 2 2 4" xfId="6241" xr:uid="{00000000-0005-0000-0000-00004F3C0000}"/>
    <cellStyle name="Normal 48 3 2 2 4 2" xfId="17138" xr:uid="{00000000-0005-0000-0000-0000503C0000}"/>
    <cellStyle name="Normal 48 3 2 2 5" xfId="12228" xr:uid="{00000000-0005-0000-0000-0000513C0000}"/>
    <cellStyle name="Normal 48 3 2 3" xfId="1904" xr:uid="{00000000-0005-0000-0000-0000523C0000}"/>
    <cellStyle name="Normal 48 3 2 3 2" xfId="4216" xr:uid="{00000000-0005-0000-0000-0000533C0000}"/>
    <cellStyle name="Normal 48 3 2 3 2 2" xfId="9167" xr:uid="{00000000-0005-0000-0000-0000543C0000}"/>
    <cellStyle name="Normal 48 3 2 3 2 2 2" xfId="20064" xr:uid="{00000000-0005-0000-0000-0000553C0000}"/>
    <cellStyle name="Normal 48 3 2 3 2 3" xfId="15113" xr:uid="{00000000-0005-0000-0000-0000563C0000}"/>
    <cellStyle name="Normal 48 3 2 3 3" xfId="6855" xr:uid="{00000000-0005-0000-0000-0000573C0000}"/>
    <cellStyle name="Normal 48 3 2 3 3 2" xfId="17752" xr:uid="{00000000-0005-0000-0000-0000583C0000}"/>
    <cellStyle name="Normal 48 3 2 3 4" xfId="12828" xr:uid="{00000000-0005-0000-0000-0000593C0000}"/>
    <cellStyle name="Normal 48 3 2 4" xfId="3070" xr:uid="{00000000-0005-0000-0000-00005A3C0000}"/>
    <cellStyle name="Normal 48 3 2 4 2" xfId="8021" xr:uid="{00000000-0005-0000-0000-00005B3C0000}"/>
    <cellStyle name="Normal 48 3 2 4 2 2" xfId="18918" xr:uid="{00000000-0005-0000-0000-00005C3C0000}"/>
    <cellStyle name="Normal 48 3 2 4 3" xfId="13967" xr:uid="{00000000-0005-0000-0000-00005D3C0000}"/>
    <cellStyle name="Normal 48 3 2 5" xfId="5709" xr:uid="{00000000-0005-0000-0000-00005E3C0000}"/>
    <cellStyle name="Normal 48 3 2 5 2" xfId="16606" xr:uid="{00000000-0005-0000-0000-00005F3C0000}"/>
    <cellStyle name="Normal 48 3 2 6" xfId="11707" xr:uid="{00000000-0005-0000-0000-0000603C0000}"/>
    <cellStyle name="Normal 48 3 3" xfId="1013" xr:uid="{00000000-0005-0000-0000-0000613C0000}"/>
    <cellStyle name="Normal 48 3 3 2" xfId="2170" xr:uid="{00000000-0005-0000-0000-0000623C0000}"/>
    <cellStyle name="Normal 48 3 3 2 2" xfId="4482" xr:uid="{00000000-0005-0000-0000-0000633C0000}"/>
    <cellStyle name="Normal 48 3 3 2 2 2" xfId="9433" xr:uid="{00000000-0005-0000-0000-0000643C0000}"/>
    <cellStyle name="Normal 48 3 3 2 2 2 2" xfId="20330" xr:uid="{00000000-0005-0000-0000-0000653C0000}"/>
    <cellStyle name="Normal 48 3 3 2 2 3" xfId="15379" xr:uid="{00000000-0005-0000-0000-0000663C0000}"/>
    <cellStyle name="Normal 48 3 3 2 3" xfId="7121" xr:uid="{00000000-0005-0000-0000-0000673C0000}"/>
    <cellStyle name="Normal 48 3 3 2 3 2" xfId="18018" xr:uid="{00000000-0005-0000-0000-0000683C0000}"/>
    <cellStyle name="Normal 48 3 3 2 4" xfId="13087" xr:uid="{00000000-0005-0000-0000-0000693C0000}"/>
    <cellStyle name="Normal 48 3 3 3" xfId="3337" xr:uid="{00000000-0005-0000-0000-00006A3C0000}"/>
    <cellStyle name="Normal 48 3 3 3 2" xfId="8288" xr:uid="{00000000-0005-0000-0000-00006B3C0000}"/>
    <cellStyle name="Normal 48 3 3 3 2 2" xfId="19185" xr:uid="{00000000-0005-0000-0000-00006C3C0000}"/>
    <cellStyle name="Normal 48 3 3 3 3" xfId="14234" xr:uid="{00000000-0005-0000-0000-00006D3C0000}"/>
    <cellStyle name="Normal 48 3 3 4" xfId="5976" xr:uid="{00000000-0005-0000-0000-00006E3C0000}"/>
    <cellStyle name="Normal 48 3 3 4 2" xfId="16873" xr:uid="{00000000-0005-0000-0000-00006F3C0000}"/>
    <cellStyle name="Normal 48 3 3 5" xfId="11969" xr:uid="{00000000-0005-0000-0000-0000703C0000}"/>
    <cellStyle name="Normal 48 3 4" xfId="1671" xr:uid="{00000000-0005-0000-0000-0000713C0000}"/>
    <cellStyle name="Normal 48 3 4 2" xfId="3983" xr:uid="{00000000-0005-0000-0000-0000723C0000}"/>
    <cellStyle name="Normal 48 3 4 2 2" xfId="8934" xr:uid="{00000000-0005-0000-0000-0000733C0000}"/>
    <cellStyle name="Normal 48 3 4 2 2 2" xfId="19831" xr:uid="{00000000-0005-0000-0000-0000743C0000}"/>
    <cellStyle name="Normal 48 3 4 2 3" xfId="14880" xr:uid="{00000000-0005-0000-0000-0000753C0000}"/>
    <cellStyle name="Normal 48 3 4 3" xfId="6622" xr:uid="{00000000-0005-0000-0000-0000763C0000}"/>
    <cellStyle name="Normal 48 3 4 3 2" xfId="17519" xr:uid="{00000000-0005-0000-0000-0000773C0000}"/>
    <cellStyle name="Normal 48 3 4 4" xfId="12602" xr:uid="{00000000-0005-0000-0000-0000783C0000}"/>
    <cellStyle name="Normal 48 3 5" xfId="2805" xr:uid="{00000000-0005-0000-0000-0000793C0000}"/>
    <cellStyle name="Normal 48 3 5 2" xfId="7756" xr:uid="{00000000-0005-0000-0000-00007A3C0000}"/>
    <cellStyle name="Normal 48 3 5 2 2" xfId="18653" xr:uid="{00000000-0005-0000-0000-00007B3C0000}"/>
    <cellStyle name="Normal 48 3 5 3" xfId="13702" xr:uid="{00000000-0005-0000-0000-00007C3C0000}"/>
    <cellStyle name="Normal 48 3 6" xfId="5444" xr:uid="{00000000-0005-0000-0000-00007D3C0000}"/>
    <cellStyle name="Normal 48 3 6 2" xfId="16341" xr:uid="{00000000-0005-0000-0000-00007E3C0000}"/>
    <cellStyle name="Normal 48 3 7" xfId="11446" xr:uid="{00000000-0005-0000-0000-00007F3C0000}"/>
    <cellStyle name="Normal 48 4" xfId="605" xr:uid="{00000000-0005-0000-0000-0000803C0000}"/>
    <cellStyle name="Normal 48 4 2" xfId="1137" xr:uid="{00000000-0005-0000-0000-0000813C0000}"/>
    <cellStyle name="Normal 48 4 2 2" xfId="2294" xr:uid="{00000000-0005-0000-0000-0000823C0000}"/>
    <cellStyle name="Normal 48 4 2 2 2" xfId="4606" xr:uid="{00000000-0005-0000-0000-0000833C0000}"/>
    <cellStyle name="Normal 48 4 2 2 2 2" xfId="9557" xr:uid="{00000000-0005-0000-0000-0000843C0000}"/>
    <cellStyle name="Normal 48 4 2 2 2 2 2" xfId="20454" xr:uid="{00000000-0005-0000-0000-0000853C0000}"/>
    <cellStyle name="Normal 48 4 2 2 2 3" xfId="15503" xr:uid="{00000000-0005-0000-0000-0000863C0000}"/>
    <cellStyle name="Normal 48 4 2 2 3" xfId="7245" xr:uid="{00000000-0005-0000-0000-0000873C0000}"/>
    <cellStyle name="Normal 48 4 2 2 3 2" xfId="18142" xr:uid="{00000000-0005-0000-0000-0000883C0000}"/>
    <cellStyle name="Normal 48 4 2 2 4" xfId="13209" xr:uid="{00000000-0005-0000-0000-0000893C0000}"/>
    <cellStyle name="Normal 48 4 2 3" xfId="3461" xr:uid="{00000000-0005-0000-0000-00008A3C0000}"/>
    <cellStyle name="Normal 48 4 2 3 2" xfId="8412" xr:uid="{00000000-0005-0000-0000-00008B3C0000}"/>
    <cellStyle name="Normal 48 4 2 3 2 2" xfId="19309" xr:uid="{00000000-0005-0000-0000-00008C3C0000}"/>
    <cellStyle name="Normal 48 4 2 3 3" xfId="14358" xr:uid="{00000000-0005-0000-0000-00008D3C0000}"/>
    <cellStyle name="Normal 48 4 2 4" xfId="6100" xr:uid="{00000000-0005-0000-0000-00008E3C0000}"/>
    <cellStyle name="Normal 48 4 2 4 2" xfId="16997" xr:uid="{00000000-0005-0000-0000-00008F3C0000}"/>
    <cellStyle name="Normal 48 4 2 5" xfId="12091" xr:uid="{00000000-0005-0000-0000-0000903C0000}"/>
    <cellStyle name="Normal 48 4 3" xfId="1786" xr:uid="{00000000-0005-0000-0000-0000913C0000}"/>
    <cellStyle name="Normal 48 4 3 2" xfId="4098" xr:uid="{00000000-0005-0000-0000-0000923C0000}"/>
    <cellStyle name="Normal 48 4 3 2 2" xfId="9049" xr:uid="{00000000-0005-0000-0000-0000933C0000}"/>
    <cellStyle name="Normal 48 4 3 2 2 2" xfId="19946" xr:uid="{00000000-0005-0000-0000-0000943C0000}"/>
    <cellStyle name="Normal 48 4 3 2 3" xfId="14995" xr:uid="{00000000-0005-0000-0000-0000953C0000}"/>
    <cellStyle name="Normal 48 4 3 3" xfId="6737" xr:uid="{00000000-0005-0000-0000-0000963C0000}"/>
    <cellStyle name="Normal 48 4 3 3 2" xfId="17634" xr:uid="{00000000-0005-0000-0000-0000973C0000}"/>
    <cellStyle name="Normal 48 4 3 4" xfId="12715" xr:uid="{00000000-0005-0000-0000-0000983C0000}"/>
    <cellStyle name="Normal 48 4 4" xfId="2929" xr:uid="{00000000-0005-0000-0000-0000993C0000}"/>
    <cellStyle name="Normal 48 4 4 2" xfId="7880" xr:uid="{00000000-0005-0000-0000-00009A3C0000}"/>
    <cellStyle name="Normal 48 4 4 2 2" xfId="18777" xr:uid="{00000000-0005-0000-0000-00009B3C0000}"/>
    <cellStyle name="Normal 48 4 4 3" xfId="13826" xr:uid="{00000000-0005-0000-0000-00009C3C0000}"/>
    <cellStyle name="Normal 48 4 5" xfId="5568" xr:uid="{00000000-0005-0000-0000-00009D3C0000}"/>
    <cellStyle name="Normal 48 4 5 2" xfId="16465" xr:uid="{00000000-0005-0000-0000-00009E3C0000}"/>
    <cellStyle name="Normal 48 4 6" xfId="11570" xr:uid="{00000000-0005-0000-0000-00009F3C0000}"/>
    <cellStyle name="Normal 48 5" xfId="872" xr:uid="{00000000-0005-0000-0000-0000A03C0000}"/>
    <cellStyle name="Normal 48 5 2" xfId="2029" xr:uid="{00000000-0005-0000-0000-0000A13C0000}"/>
    <cellStyle name="Normal 48 5 2 2" xfId="4341" xr:uid="{00000000-0005-0000-0000-0000A23C0000}"/>
    <cellStyle name="Normal 48 5 2 2 2" xfId="9292" xr:uid="{00000000-0005-0000-0000-0000A33C0000}"/>
    <cellStyle name="Normal 48 5 2 2 2 2" xfId="20189" xr:uid="{00000000-0005-0000-0000-0000A43C0000}"/>
    <cellStyle name="Normal 48 5 2 2 3" xfId="15238" xr:uid="{00000000-0005-0000-0000-0000A53C0000}"/>
    <cellStyle name="Normal 48 5 2 3" xfId="6980" xr:uid="{00000000-0005-0000-0000-0000A63C0000}"/>
    <cellStyle name="Normal 48 5 2 3 2" xfId="17877" xr:uid="{00000000-0005-0000-0000-0000A73C0000}"/>
    <cellStyle name="Normal 48 5 2 4" xfId="12951" xr:uid="{00000000-0005-0000-0000-0000A83C0000}"/>
    <cellStyle name="Normal 48 5 3" xfId="3196" xr:uid="{00000000-0005-0000-0000-0000A93C0000}"/>
    <cellStyle name="Normal 48 5 3 2" xfId="8147" xr:uid="{00000000-0005-0000-0000-0000AA3C0000}"/>
    <cellStyle name="Normal 48 5 3 2 2" xfId="19044" xr:uid="{00000000-0005-0000-0000-0000AB3C0000}"/>
    <cellStyle name="Normal 48 5 3 3" xfId="14093" xr:uid="{00000000-0005-0000-0000-0000AC3C0000}"/>
    <cellStyle name="Normal 48 5 4" xfId="5835" xr:uid="{00000000-0005-0000-0000-0000AD3C0000}"/>
    <cellStyle name="Normal 48 5 4 2" xfId="16732" xr:uid="{00000000-0005-0000-0000-0000AE3C0000}"/>
    <cellStyle name="Normal 48 5 5" xfId="11833" xr:uid="{00000000-0005-0000-0000-0000AF3C0000}"/>
    <cellStyle name="Normal 48 6" xfId="1553" xr:uid="{00000000-0005-0000-0000-0000B03C0000}"/>
    <cellStyle name="Normal 48 6 2" xfId="3865" xr:uid="{00000000-0005-0000-0000-0000B13C0000}"/>
    <cellStyle name="Normal 48 6 2 2" xfId="8816" xr:uid="{00000000-0005-0000-0000-0000B23C0000}"/>
    <cellStyle name="Normal 48 6 2 2 2" xfId="19713" xr:uid="{00000000-0005-0000-0000-0000B33C0000}"/>
    <cellStyle name="Normal 48 6 2 3" xfId="14762" xr:uid="{00000000-0005-0000-0000-0000B43C0000}"/>
    <cellStyle name="Normal 48 6 3" xfId="6504" xr:uid="{00000000-0005-0000-0000-0000B53C0000}"/>
    <cellStyle name="Normal 48 6 3 2" xfId="17401" xr:uid="{00000000-0005-0000-0000-0000B63C0000}"/>
    <cellStyle name="Normal 48 6 4" xfId="12488" xr:uid="{00000000-0005-0000-0000-0000B73C0000}"/>
    <cellStyle name="Normal 48 7" xfId="2664" xr:uid="{00000000-0005-0000-0000-0000B83C0000}"/>
    <cellStyle name="Normal 48 7 2" xfId="7615" xr:uid="{00000000-0005-0000-0000-0000B93C0000}"/>
    <cellStyle name="Normal 48 7 2 2" xfId="18512" xr:uid="{00000000-0005-0000-0000-0000BA3C0000}"/>
    <cellStyle name="Normal 48 7 3" xfId="13561" xr:uid="{00000000-0005-0000-0000-0000BB3C0000}"/>
    <cellStyle name="Normal 48 8" xfId="5303" xr:uid="{00000000-0005-0000-0000-0000BC3C0000}"/>
    <cellStyle name="Normal 48 8 2" xfId="16200" xr:uid="{00000000-0005-0000-0000-0000BD3C0000}"/>
    <cellStyle name="Normal 48 9" xfId="11308" xr:uid="{00000000-0005-0000-0000-0000BE3C0000}"/>
    <cellStyle name="Normal 49" xfId="313" xr:uid="{00000000-0005-0000-0000-0000BF3C0000}"/>
    <cellStyle name="Normal 49 2" xfId="403" xr:uid="{00000000-0005-0000-0000-0000C03C0000}"/>
    <cellStyle name="Normal 49 2 2" xfId="533" xr:uid="{00000000-0005-0000-0000-0000C13C0000}"/>
    <cellStyle name="Normal 49 2 2 2" xfId="798" xr:uid="{00000000-0005-0000-0000-0000C23C0000}"/>
    <cellStyle name="Normal 49 2 2 2 2" xfId="1330" xr:uid="{00000000-0005-0000-0000-0000C33C0000}"/>
    <cellStyle name="Normal 49 2 2 2 2 2" xfId="2487" xr:uid="{00000000-0005-0000-0000-0000C43C0000}"/>
    <cellStyle name="Normal 49 2 2 2 2 2 2" xfId="4799" xr:uid="{00000000-0005-0000-0000-0000C53C0000}"/>
    <cellStyle name="Normal 49 2 2 2 2 2 2 2" xfId="9750" xr:uid="{00000000-0005-0000-0000-0000C63C0000}"/>
    <cellStyle name="Normal 49 2 2 2 2 2 2 2 2" xfId="20647" xr:uid="{00000000-0005-0000-0000-0000C73C0000}"/>
    <cellStyle name="Normal 49 2 2 2 2 2 2 3" xfId="15696" xr:uid="{00000000-0005-0000-0000-0000C83C0000}"/>
    <cellStyle name="Normal 49 2 2 2 2 2 3" xfId="7438" xr:uid="{00000000-0005-0000-0000-0000C93C0000}"/>
    <cellStyle name="Normal 49 2 2 2 2 2 3 2" xfId="18335" xr:uid="{00000000-0005-0000-0000-0000CA3C0000}"/>
    <cellStyle name="Normal 49 2 2 2 2 2 4" xfId="13398" xr:uid="{00000000-0005-0000-0000-0000CB3C0000}"/>
    <cellStyle name="Normal 49 2 2 2 2 3" xfId="3654" xr:uid="{00000000-0005-0000-0000-0000CC3C0000}"/>
    <cellStyle name="Normal 49 2 2 2 2 3 2" xfId="8605" xr:uid="{00000000-0005-0000-0000-0000CD3C0000}"/>
    <cellStyle name="Normal 49 2 2 2 2 3 2 2" xfId="19502" xr:uid="{00000000-0005-0000-0000-0000CE3C0000}"/>
    <cellStyle name="Normal 49 2 2 2 2 3 3" xfId="14551" xr:uid="{00000000-0005-0000-0000-0000CF3C0000}"/>
    <cellStyle name="Normal 49 2 2 2 2 4" xfId="6293" xr:uid="{00000000-0005-0000-0000-0000D03C0000}"/>
    <cellStyle name="Normal 49 2 2 2 2 4 2" xfId="17190" xr:uid="{00000000-0005-0000-0000-0000D13C0000}"/>
    <cellStyle name="Normal 49 2 2 2 2 5" xfId="12280" xr:uid="{00000000-0005-0000-0000-0000D23C0000}"/>
    <cellStyle name="Normal 49 2 2 2 3" xfId="1956" xr:uid="{00000000-0005-0000-0000-0000D33C0000}"/>
    <cellStyle name="Normal 49 2 2 2 3 2" xfId="4268" xr:uid="{00000000-0005-0000-0000-0000D43C0000}"/>
    <cellStyle name="Normal 49 2 2 2 3 2 2" xfId="9219" xr:uid="{00000000-0005-0000-0000-0000D53C0000}"/>
    <cellStyle name="Normal 49 2 2 2 3 2 2 2" xfId="20116" xr:uid="{00000000-0005-0000-0000-0000D63C0000}"/>
    <cellStyle name="Normal 49 2 2 2 3 2 3" xfId="15165" xr:uid="{00000000-0005-0000-0000-0000D73C0000}"/>
    <cellStyle name="Normal 49 2 2 2 3 3" xfId="6907" xr:uid="{00000000-0005-0000-0000-0000D83C0000}"/>
    <cellStyle name="Normal 49 2 2 2 3 3 2" xfId="17804" xr:uid="{00000000-0005-0000-0000-0000D93C0000}"/>
    <cellStyle name="Normal 49 2 2 2 3 4" xfId="12880" xr:uid="{00000000-0005-0000-0000-0000DA3C0000}"/>
    <cellStyle name="Normal 49 2 2 2 4" xfId="3122" xr:uid="{00000000-0005-0000-0000-0000DB3C0000}"/>
    <cellStyle name="Normal 49 2 2 2 4 2" xfId="8073" xr:uid="{00000000-0005-0000-0000-0000DC3C0000}"/>
    <cellStyle name="Normal 49 2 2 2 4 2 2" xfId="18970" xr:uid="{00000000-0005-0000-0000-0000DD3C0000}"/>
    <cellStyle name="Normal 49 2 2 2 4 3" xfId="14019" xr:uid="{00000000-0005-0000-0000-0000DE3C0000}"/>
    <cellStyle name="Normal 49 2 2 2 5" xfId="5761" xr:uid="{00000000-0005-0000-0000-0000DF3C0000}"/>
    <cellStyle name="Normal 49 2 2 2 5 2" xfId="16658" xr:uid="{00000000-0005-0000-0000-0000E03C0000}"/>
    <cellStyle name="Normal 49 2 2 2 6" xfId="11759" xr:uid="{00000000-0005-0000-0000-0000E13C0000}"/>
    <cellStyle name="Normal 49 2 2 3" xfId="1065" xr:uid="{00000000-0005-0000-0000-0000E23C0000}"/>
    <cellStyle name="Normal 49 2 2 3 2" xfId="2222" xr:uid="{00000000-0005-0000-0000-0000E33C0000}"/>
    <cellStyle name="Normal 49 2 2 3 2 2" xfId="4534" xr:uid="{00000000-0005-0000-0000-0000E43C0000}"/>
    <cellStyle name="Normal 49 2 2 3 2 2 2" xfId="9485" xr:uid="{00000000-0005-0000-0000-0000E53C0000}"/>
    <cellStyle name="Normal 49 2 2 3 2 2 2 2" xfId="20382" xr:uid="{00000000-0005-0000-0000-0000E63C0000}"/>
    <cellStyle name="Normal 49 2 2 3 2 2 3" xfId="15431" xr:uid="{00000000-0005-0000-0000-0000E73C0000}"/>
    <cellStyle name="Normal 49 2 2 3 2 3" xfId="7173" xr:uid="{00000000-0005-0000-0000-0000E83C0000}"/>
    <cellStyle name="Normal 49 2 2 3 2 3 2" xfId="18070" xr:uid="{00000000-0005-0000-0000-0000E93C0000}"/>
    <cellStyle name="Normal 49 2 2 3 2 4" xfId="13139" xr:uid="{00000000-0005-0000-0000-0000EA3C0000}"/>
    <cellStyle name="Normal 49 2 2 3 3" xfId="3389" xr:uid="{00000000-0005-0000-0000-0000EB3C0000}"/>
    <cellStyle name="Normal 49 2 2 3 3 2" xfId="8340" xr:uid="{00000000-0005-0000-0000-0000EC3C0000}"/>
    <cellStyle name="Normal 49 2 2 3 3 2 2" xfId="19237" xr:uid="{00000000-0005-0000-0000-0000ED3C0000}"/>
    <cellStyle name="Normal 49 2 2 3 3 3" xfId="14286" xr:uid="{00000000-0005-0000-0000-0000EE3C0000}"/>
    <cellStyle name="Normal 49 2 2 3 4" xfId="6028" xr:uid="{00000000-0005-0000-0000-0000EF3C0000}"/>
    <cellStyle name="Normal 49 2 2 3 4 2" xfId="16925" xr:uid="{00000000-0005-0000-0000-0000F03C0000}"/>
    <cellStyle name="Normal 49 2 2 3 5" xfId="12021" xr:uid="{00000000-0005-0000-0000-0000F13C0000}"/>
    <cellStyle name="Normal 49 2 2 4" xfId="1723" xr:uid="{00000000-0005-0000-0000-0000F23C0000}"/>
    <cellStyle name="Normal 49 2 2 4 2" xfId="4035" xr:uid="{00000000-0005-0000-0000-0000F33C0000}"/>
    <cellStyle name="Normal 49 2 2 4 2 2" xfId="8986" xr:uid="{00000000-0005-0000-0000-0000F43C0000}"/>
    <cellStyle name="Normal 49 2 2 4 2 2 2" xfId="19883" xr:uid="{00000000-0005-0000-0000-0000F53C0000}"/>
    <cellStyle name="Normal 49 2 2 4 2 3" xfId="14932" xr:uid="{00000000-0005-0000-0000-0000F63C0000}"/>
    <cellStyle name="Normal 49 2 2 4 3" xfId="6674" xr:uid="{00000000-0005-0000-0000-0000F73C0000}"/>
    <cellStyle name="Normal 49 2 2 4 3 2" xfId="17571" xr:uid="{00000000-0005-0000-0000-0000F83C0000}"/>
    <cellStyle name="Normal 49 2 2 4 4" xfId="12654" xr:uid="{00000000-0005-0000-0000-0000F93C0000}"/>
    <cellStyle name="Normal 49 2 2 5" xfId="2857" xr:uid="{00000000-0005-0000-0000-0000FA3C0000}"/>
    <cellStyle name="Normal 49 2 2 5 2" xfId="7808" xr:uid="{00000000-0005-0000-0000-0000FB3C0000}"/>
    <cellStyle name="Normal 49 2 2 5 2 2" xfId="18705" xr:uid="{00000000-0005-0000-0000-0000FC3C0000}"/>
    <cellStyle name="Normal 49 2 2 5 3" xfId="13754" xr:uid="{00000000-0005-0000-0000-0000FD3C0000}"/>
    <cellStyle name="Normal 49 2 2 6" xfId="5496" xr:uid="{00000000-0005-0000-0000-0000FE3C0000}"/>
    <cellStyle name="Normal 49 2 2 6 2" xfId="16393" xr:uid="{00000000-0005-0000-0000-0000FF3C0000}"/>
    <cellStyle name="Normal 49 2 2 7" xfId="11498" xr:uid="{00000000-0005-0000-0000-0000003D0000}"/>
    <cellStyle name="Normal 49 2 3" xfId="669" xr:uid="{00000000-0005-0000-0000-0000013D0000}"/>
    <cellStyle name="Normal 49 2 3 2" xfId="1201" xr:uid="{00000000-0005-0000-0000-0000023D0000}"/>
    <cellStyle name="Normal 49 2 3 2 2" xfId="2358" xr:uid="{00000000-0005-0000-0000-0000033D0000}"/>
    <cellStyle name="Normal 49 2 3 2 2 2" xfId="4670" xr:uid="{00000000-0005-0000-0000-0000043D0000}"/>
    <cellStyle name="Normal 49 2 3 2 2 2 2" xfId="9621" xr:uid="{00000000-0005-0000-0000-0000053D0000}"/>
    <cellStyle name="Normal 49 2 3 2 2 2 2 2" xfId="20518" xr:uid="{00000000-0005-0000-0000-0000063D0000}"/>
    <cellStyle name="Normal 49 2 3 2 2 2 3" xfId="15567" xr:uid="{00000000-0005-0000-0000-0000073D0000}"/>
    <cellStyle name="Normal 49 2 3 2 2 3" xfId="7309" xr:uid="{00000000-0005-0000-0000-0000083D0000}"/>
    <cellStyle name="Normal 49 2 3 2 2 3 2" xfId="18206" xr:uid="{00000000-0005-0000-0000-0000093D0000}"/>
    <cellStyle name="Normal 49 2 3 2 2 4" xfId="13270" xr:uid="{00000000-0005-0000-0000-00000A3D0000}"/>
    <cellStyle name="Normal 49 2 3 2 3" xfId="3525" xr:uid="{00000000-0005-0000-0000-00000B3D0000}"/>
    <cellStyle name="Normal 49 2 3 2 3 2" xfId="8476" xr:uid="{00000000-0005-0000-0000-00000C3D0000}"/>
    <cellStyle name="Normal 49 2 3 2 3 2 2" xfId="19373" xr:uid="{00000000-0005-0000-0000-00000D3D0000}"/>
    <cellStyle name="Normal 49 2 3 2 3 3" xfId="14422" xr:uid="{00000000-0005-0000-0000-00000E3D0000}"/>
    <cellStyle name="Normal 49 2 3 2 4" xfId="6164" xr:uid="{00000000-0005-0000-0000-00000F3D0000}"/>
    <cellStyle name="Normal 49 2 3 2 4 2" xfId="17061" xr:uid="{00000000-0005-0000-0000-0000103D0000}"/>
    <cellStyle name="Normal 49 2 3 2 5" xfId="12152" xr:uid="{00000000-0005-0000-0000-0000113D0000}"/>
    <cellStyle name="Normal 49 2 3 3" xfId="1842" xr:uid="{00000000-0005-0000-0000-0000123D0000}"/>
    <cellStyle name="Normal 49 2 3 3 2" xfId="4154" xr:uid="{00000000-0005-0000-0000-0000133D0000}"/>
    <cellStyle name="Normal 49 2 3 3 2 2" xfId="9105" xr:uid="{00000000-0005-0000-0000-0000143D0000}"/>
    <cellStyle name="Normal 49 2 3 3 2 2 2" xfId="20002" xr:uid="{00000000-0005-0000-0000-0000153D0000}"/>
    <cellStyle name="Normal 49 2 3 3 2 3" xfId="15051" xr:uid="{00000000-0005-0000-0000-0000163D0000}"/>
    <cellStyle name="Normal 49 2 3 3 3" xfId="6793" xr:uid="{00000000-0005-0000-0000-0000173D0000}"/>
    <cellStyle name="Normal 49 2 3 3 3 2" xfId="17690" xr:uid="{00000000-0005-0000-0000-0000183D0000}"/>
    <cellStyle name="Normal 49 2 3 3 4" xfId="12767" xr:uid="{00000000-0005-0000-0000-0000193D0000}"/>
    <cellStyle name="Normal 49 2 3 4" xfId="2993" xr:uid="{00000000-0005-0000-0000-00001A3D0000}"/>
    <cellStyle name="Normal 49 2 3 4 2" xfId="7944" xr:uid="{00000000-0005-0000-0000-00001B3D0000}"/>
    <cellStyle name="Normal 49 2 3 4 2 2" xfId="18841" xr:uid="{00000000-0005-0000-0000-00001C3D0000}"/>
    <cellStyle name="Normal 49 2 3 4 3" xfId="13890" xr:uid="{00000000-0005-0000-0000-00001D3D0000}"/>
    <cellStyle name="Normal 49 2 3 5" xfId="5632" xr:uid="{00000000-0005-0000-0000-00001E3D0000}"/>
    <cellStyle name="Normal 49 2 3 5 2" xfId="16529" xr:uid="{00000000-0005-0000-0000-00001F3D0000}"/>
    <cellStyle name="Normal 49 2 3 6" xfId="11631" xr:uid="{00000000-0005-0000-0000-0000203D0000}"/>
    <cellStyle name="Normal 49 2 4" xfId="936" xr:uid="{00000000-0005-0000-0000-0000213D0000}"/>
    <cellStyle name="Normal 49 2 4 2" xfId="2093" xr:uid="{00000000-0005-0000-0000-0000223D0000}"/>
    <cellStyle name="Normal 49 2 4 2 2" xfId="4405" xr:uid="{00000000-0005-0000-0000-0000233D0000}"/>
    <cellStyle name="Normal 49 2 4 2 2 2" xfId="9356" xr:uid="{00000000-0005-0000-0000-0000243D0000}"/>
    <cellStyle name="Normal 49 2 4 2 2 2 2" xfId="20253" xr:uid="{00000000-0005-0000-0000-0000253D0000}"/>
    <cellStyle name="Normal 49 2 4 2 2 3" xfId="15302" xr:uid="{00000000-0005-0000-0000-0000263D0000}"/>
    <cellStyle name="Normal 49 2 4 2 3" xfId="7044" xr:uid="{00000000-0005-0000-0000-0000273D0000}"/>
    <cellStyle name="Normal 49 2 4 2 3 2" xfId="17941" xr:uid="{00000000-0005-0000-0000-0000283D0000}"/>
    <cellStyle name="Normal 49 2 4 2 4" xfId="13011" xr:uid="{00000000-0005-0000-0000-0000293D0000}"/>
    <cellStyle name="Normal 49 2 4 3" xfId="3260" xr:uid="{00000000-0005-0000-0000-00002A3D0000}"/>
    <cellStyle name="Normal 49 2 4 3 2" xfId="8211" xr:uid="{00000000-0005-0000-0000-00002B3D0000}"/>
    <cellStyle name="Normal 49 2 4 3 2 2" xfId="19108" xr:uid="{00000000-0005-0000-0000-00002C3D0000}"/>
    <cellStyle name="Normal 49 2 4 3 3" xfId="14157" xr:uid="{00000000-0005-0000-0000-00002D3D0000}"/>
    <cellStyle name="Normal 49 2 4 4" xfId="5899" xr:uid="{00000000-0005-0000-0000-00002E3D0000}"/>
    <cellStyle name="Normal 49 2 4 4 2" xfId="16796" xr:uid="{00000000-0005-0000-0000-00002F3D0000}"/>
    <cellStyle name="Normal 49 2 4 5" xfId="11893" xr:uid="{00000000-0005-0000-0000-0000303D0000}"/>
    <cellStyle name="Normal 49 2 5" xfId="1609" xr:uid="{00000000-0005-0000-0000-0000313D0000}"/>
    <cellStyle name="Normal 49 2 5 2" xfId="3921" xr:uid="{00000000-0005-0000-0000-0000323D0000}"/>
    <cellStyle name="Normal 49 2 5 2 2" xfId="8872" xr:uid="{00000000-0005-0000-0000-0000333D0000}"/>
    <cellStyle name="Normal 49 2 5 2 2 2" xfId="19769" xr:uid="{00000000-0005-0000-0000-0000343D0000}"/>
    <cellStyle name="Normal 49 2 5 2 3" xfId="14818" xr:uid="{00000000-0005-0000-0000-0000353D0000}"/>
    <cellStyle name="Normal 49 2 5 3" xfId="6560" xr:uid="{00000000-0005-0000-0000-0000363D0000}"/>
    <cellStyle name="Normal 49 2 5 3 2" xfId="17457" xr:uid="{00000000-0005-0000-0000-0000373D0000}"/>
    <cellStyle name="Normal 49 2 5 4" xfId="12541" xr:uid="{00000000-0005-0000-0000-0000383D0000}"/>
    <cellStyle name="Normal 49 2 6" xfId="2728" xr:uid="{00000000-0005-0000-0000-0000393D0000}"/>
    <cellStyle name="Normal 49 2 6 2" xfId="7679" xr:uid="{00000000-0005-0000-0000-00003A3D0000}"/>
    <cellStyle name="Normal 49 2 6 2 2" xfId="18576" xr:uid="{00000000-0005-0000-0000-00003B3D0000}"/>
    <cellStyle name="Normal 49 2 6 3" xfId="13625" xr:uid="{00000000-0005-0000-0000-00003C3D0000}"/>
    <cellStyle name="Normal 49 2 7" xfId="5367" xr:uid="{00000000-0005-0000-0000-00003D3D0000}"/>
    <cellStyle name="Normal 49 2 7 2" xfId="16264" xr:uid="{00000000-0005-0000-0000-00003E3D0000}"/>
    <cellStyle name="Normal 49 2 8" xfId="11370" xr:uid="{00000000-0005-0000-0000-00003F3D0000}"/>
    <cellStyle name="Normal 49 3" xfId="482" xr:uid="{00000000-0005-0000-0000-0000403D0000}"/>
    <cellStyle name="Normal 49 3 2" xfId="747" xr:uid="{00000000-0005-0000-0000-0000413D0000}"/>
    <cellStyle name="Normal 49 3 2 2" xfId="1279" xr:uid="{00000000-0005-0000-0000-0000423D0000}"/>
    <cellStyle name="Normal 49 3 2 2 2" xfId="2436" xr:uid="{00000000-0005-0000-0000-0000433D0000}"/>
    <cellStyle name="Normal 49 3 2 2 2 2" xfId="4748" xr:uid="{00000000-0005-0000-0000-0000443D0000}"/>
    <cellStyle name="Normal 49 3 2 2 2 2 2" xfId="9699" xr:uid="{00000000-0005-0000-0000-0000453D0000}"/>
    <cellStyle name="Normal 49 3 2 2 2 2 2 2" xfId="20596" xr:uid="{00000000-0005-0000-0000-0000463D0000}"/>
    <cellStyle name="Normal 49 3 2 2 2 2 3" xfId="15645" xr:uid="{00000000-0005-0000-0000-0000473D0000}"/>
    <cellStyle name="Normal 49 3 2 2 2 3" xfId="7387" xr:uid="{00000000-0005-0000-0000-0000483D0000}"/>
    <cellStyle name="Normal 49 3 2 2 2 3 2" xfId="18284" xr:uid="{00000000-0005-0000-0000-0000493D0000}"/>
    <cellStyle name="Normal 49 3 2 2 2 4" xfId="13347" xr:uid="{00000000-0005-0000-0000-00004A3D0000}"/>
    <cellStyle name="Normal 49 3 2 2 3" xfId="3603" xr:uid="{00000000-0005-0000-0000-00004B3D0000}"/>
    <cellStyle name="Normal 49 3 2 2 3 2" xfId="8554" xr:uid="{00000000-0005-0000-0000-00004C3D0000}"/>
    <cellStyle name="Normal 49 3 2 2 3 2 2" xfId="19451" xr:uid="{00000000-0005-0000-0000-00004D3D0000}"/>
    <cellStyle name="Normal 49 3 2 2 3 3" xfId="14500" xr:uid="{00000000-0005-0000-0000-00004E3D0000}"/>
    <cellStyle name="Normal 49 3 2 2 4" xfId="6242" xr:uid="{00000000-0005-0000-0000-00004F3D0000}"/>
    <cellStyle name="Normal 49 3 2 2 4 2" xfId="17139" xr:uid="{00000000-0005-0000-0000-0000503D0000}"/>
    <cellStyle name="Normal 49 3 2 2 5" xfId="12229" xr:uid="{00000000-0005-0000-0000-0000513D0000}"/>
    <cellStyle name="Normal 49 3 2 3" xfId="1905" xr:uid="{00000000-0005-0000-0000-0000523D0000}"/>
    <cellStyle name="Normal 49 3 2 3 2" xfId="4217" xr:uid="{00000000-0005-0000-0000-0000533D0000}"/>
    <cellStyle name="Normal 49 3 2 3 2 2" xfId="9168" xr:uid="{00000000-0005-0000-0000-0000543D0000}"/>
    <cellStyle name="Normal 49 3 2 3 2 2 2" xfId="20065" xr:uid="{00000000-0005-0000-0000-0000553D0000}"/>
    <cellStyle name="Normal 49 3 2 3 2 3" xfId="15114" xr:uid="{00000000-0005-0000-0000-0000563D0000}"/>
    <cellStyle name="Normal 49 3 2 3 3" xfId="6856" xr:uid="{00000000-0005-0000-0000-0000573D0000}"/>
    <cellStyle name="Normal 49 3 2 3 3 2" xfId="17753" xr:uid="{00000000-0005-0000-0000-0000583D0000}"/>
    <cellStyle name="Normal 49 3 2 3 4" xfId="12829" xr:uid="{00000000-0005-0000-0000-0000593D0000}"/>
    <cellStyle name="Normal 49 3 2 4" xfId="3071" xr:uid="{00000000-0005-0000-0000-00005A3D0000}"/>
    <cellStyle name="Normal 49 3 2 4 2" xfId="8022" xr:uid="{00000000-0005-0000-0000-00005B3D0000}"/>
    <cellStyle name="Normal 49 3 2 4 2 2" xfId="18919" xr:uid="{00000000-0005-0000-0000-00005C3D0000}"/>
    <cellStyle name="Normal 49 3 2 4 3" xfId="13968" xr:uid="{00000000-0005-0000-0000-00005D3D0000}"/>
    <cellStyle name="Normal 49 3 2 5" xfId="5710" xr:uid="{00000000-0005-0000-0000-00005E3D0000}"/>
    <cellStyle name="Normal 49 3 2 5 2" xfId="16607" xr:uid="{00000000-0005-0000-0000-00005F3D0000}"/>
    <cellStyle name="Normal 49 3 2 6" xfId="11708" xr:uid="{00000000-0005-0000-0000-0000603D0000}"/>
    <cellStyle name="Normal 49 3 3" xfId="1014" xr:uid="{00000000-0005-0000-0000-0000613D0000}"/>
    <cellStyle name="Normal 49 3 3 2" xfId="2171" xr:uid="{00000000-0005-0000-0000-0000623D0000}"/>
    <cellStyle name="Normal 49 3 3 2 2" xfId="4483" xr:uid="{00000000-0005-0000-0000-0000633D0000}"/>
    <cellStyle name="Normal 49 3 3 2 2 2" xfId="9434" xr:uid="{00000000-0005-0000-0000-0000643D0000}"/>
    <cellStyle name="Normal 49 3 3 2 2 2 2" xfId="20331" xr:uid="{00000000-0005-0000-0000-0000653D0000}"/>
    <cellStyle name="Normal 49 3 3 2 2 3" xfId="15380" xr:uid="{00000000-0005-0000-0000-0000663D0000}"/>
    <cellStyle name="Normal 49 3 3 2 3" xfId="7122" xr:uid="{00000000-0005-0000-0000-0000673D0000}"/>
    <cellStyle name="Normal 49 3 3 2 3 2" xfId="18019" xr:uid="{00000000-0005-0000-0000-0000683D0000}"/>
    <cellStyle name="Normal 49 3 3 2 4" xfId="13088" xr:uid="{00000000-0005-0000-0000-0000693D0000}"/>
    <cellStyle name="Normal 49 3 3 3" xfId="3338" xr:uid="{00000000-0005-0000-0000-00006A3D0000}"/>
    <cellStyle name="Normal 49 3 3 3 2" xfId="8289" xr:uid="{00000000-0005-0000-0000-00006B3D0000}"/>
    <cellStyle name="Normal 49 3 3 3 2 2" xfId="19186" xr:uid="{00000000-0005-0000-0000-00006C3D0000}"/>
    <cellStyle name="Normal 49 3 3 3 3" xfId="14235" xr:uid="{00000000-0005-0000-0000-00006D3D0000}"/>
    <cellStyle name="Normal 49 3 3 4" xfId="5977" xr:uid="{00000000-0005-0000-0000-00006E3D0000}"/>
    <cellStyle name="Normal 49 3 3 4 2" xfId="16874" xr:uid="{00000000-0005-0000-0000-00006F3D0000}"/>
    <cellStyle name="Normal 49 3 3 5" xfId="11970" xr:uid="{00000000-0005-0000-0000-0000703D0000}"/>
    <cellStyle name="Normal 49 3 4" xfId="1672" xr:uid="{00000000-0005-0000-0000-0000713D0000}"/>
    <cellStyle name="Normal 49 3 4 2" xfId="3984" xr:uid="{00000000-0005-0000-0000-0000723D0000}"/>
    <cellStyle name="Normal 49 3 4 2 2" xfId="8935" xr:uid="{00000000-0005-0000-0000-0000733D0000}"/>
    <cellStyle name="Normal 49 3 4 2 2 2" xfId="19832" xr:uid="{00000000-0005-0000-0000-0000743D0000}"/>
    <cellStyle name="Normal 49 3 4 2 3" xfId="14881" xr:uid="{00000000-0005-0000-0000-0000753D0000}"/>
    <cellStyle name="Normal 49 3 4 3" xfId="6623" xr:uid="{00000000-0005-0000-0000-0000763D0000}"/>
    <cellStyle name="Normal 49 3 4 3 2" xfId="17520" xr:uid="{00000000-0005-0000-0000-0000773D0000}"/>
    <cellStyle name="Normal 49 3 4 4" xfId="12603" xr:uid="{00000000-0005-0000-0000-0000783D0000}"/>
    <cellStyle name="Normal 49 3 5" xfId="2806" xr:uid="{00000000-0005-0000-0000-0000793D0000}"/>
    <cellStyle name="Normal 49 3 5 2" xfId="7757" xr:uid="{00000000-0005-0000-0000-00007A3D0000}"/>
    <cellStyle name="Normal 49 3 5 2 2" xfId="18654" xr:uid="{00000000-0005-0000-0000-00007B3D0000}"/>
    <cellStyle name="Normal 49 3 5 3" xfId="13703" xr:uid="{00000000-0005-0000-0000-00007C3D0000}"/>
    <cellStyle name="Normal 49 3 6" xfId="5445" xr:uid="{00000000-0005-0000-0000-00007D3D0000}"/>
    <cellStyle name="Normal 49 3 6 2" xfId="16342" xr:uid="{00000000-0005-0000-0000-00007E3D0000}"/>
    <cellStyle name="Normal 49 3 7" xfId="11447" xr:uid="{00000000-0005-0000-0000-00007F3D0000}"/>
    <cellStyle name="Normal 49 4" xfId="606" xr:uid="{00000000-0005-0000-0000-0000803D0000}"/>
    <cellStyle name="Normal 49 4 2" xfId="1138" xr:uid="{00000000-0005-0000-0000-0000813D0000}"/>
    <cellStyle name="Normal 49 4 2 2" xfId="2295" xr:uid="{00000000-0005-0000-0000-0000823D0000}"/>
    <cellStyle name="Normal 49 4 2 2 2" xfId="4607" xr:uid="{00000000-0005-0000-0000-0000833D0000}"/>
    <cellStyle name="Normal 49 4 2 2 2 2" xfId="9558" xr:uid="{00000000-0005-0000-0000-0000843D0000}"/>
    <cellStyle name="Normal 49 4 2 2 2 2 2" xfId="20455" xr:uid="{00000000-0005-0000-0000-0000853D0000}"/>
    <cellStyle name="Normal 49 4 2 2 2 3" xfId="15504" xr:uid="{00000000-0005-0000-0000-0000863D0000}"/>
    <cellStyle name="Normal 49 4 2 2 3" xfId="7246" xr:uid="{00000000-0005-0000-0000-0000873D0000}"/>
    <cellStyle name="Normal 49 4 2 2 3 2" xfId="18143" xr:uid="{00000000-0005-0000-0000-0000883D0000}"/>
    <cellStyle name="Normal 49 4 2 2 4" xfId="13210" xr:uid="{00000000-0005-0000-0000-0000893D0000}"/>
    <cellStyle name="Normal 49 4 2 3" xfId="3462" xr:uid="{00000000-0005-0000-0000-00008A3D0000}"/>
    <cellStyle name="Normal 49 4 2 3 2" xfId="8413" xr:uid="{00000000-0005-0000-0000-00008B3D0000}"/>
    <cellStyle name="Normal 49 4 2 3 2 2" xfId="19310" xr:uid="{00000000-0005-0000-0000-00008C3D0000}"/>
    <cellStyle name="Normal 49 4 2 3 3" xfId="14359" xr:uid="{00000000-0005-0000-0000-00008D3D0000}"/>
    <cellStyle name="Normal 49 4 2 4" xfId="6101" xr:uid="{00000000-0005-0000-0000-00008E3D0000}"/>
    <cellStyle name="Normal 49 4 2 4 2" xfId="16998" xr:uid="{00000000-0005-0000-0000-00008F3D0000}"/>
    <cellStyle name="Normal 49 4 2 5" xfId="12092" xr:uid="{00000000-0005-0000-0000-0000903D0000}"/>
    <cellStyle name="Normal 49 4 3" xfId="1787" xr:uid="{00000000-0005-0000-0000-0000913D0000}"/>
    <cellStyle name="Normal 49 4 3 2" xfId="4099" xr:uid="{00000000-0005-0000-0000-0000923D0000}"/>
    <cellStyle name="Normal 49 4 3 2 2" xfId="9050" xr:uid="{00000000-0005-0000-0000-0000933D0000}"/>
    <cellStyle name="Normal 49 4 3 2 2 2" xfId="19947" xr:uid="{00000000-0005-0000-0000-0000943D0000}"/>
    <cellStyle name="Normal 49 4 3 2 3" xfId="14996" xr:uid="{00000000-0005-0000-0000-0000953D0000}"/>
    <cellStyle name="Normal 49 4 3 3" xfId="6738" xr:uid="{00000000-0005-0000-0000-0000963D0000}"/>
    <cellStyle name="Normal 49 4 3 3 2" xfId="17635" xr:uid="{00000000-0005-0000-0000-0000973D0000}"/>
    <cellStyle name="Normal 49 4 3 4" xfId="12716" xr:uid="{00000000-0005-0000-0000-0000983D0000}"/>
    <cellStyle name="Normal 49 4 4" xfId="2930" xr:uid="{00000000-0005-0000-0000-0000993D0000}"/>
    <cellStyle name="Normal 49 4 4 2" xfId="7881" xr:uid="{00000000-0005-0000-0000-00009A3D0000}"/>
    <cellStyle name="Normal 49 4 4 2 2" xfId="18778" xr:uid="{00000000-0005-0000-0000-00009B3D0000}"/>
    <cellStyle name="Normal 49 4 4 3" xfId="13827" xr:uid="{00000000-0005-0000-0000-00009C3D0000}"/>
    <cellStyle name="Normal 49 4 5" xfId="5569" xr:uid="{00000000-0005-0000-0000-00009D3D0000}"/>
    <cellStyle name="Normal 49 4 5 2" xfId="16466" xr:uid="{00000000-0005-0000-0000-00009E3D0000}"/>
    <cellStyle name="Normal 49 4 6" xfId="11571" xr:uid="{00000000-0005-0000-0000-00009F3D0000}"/>
    <cellStyle name="Normal 49 5" xfId="873" xr:uid="{00000000-0005-0000-0000-0000A03D0000}"/>
    <cellStyle name="Normal 49 5 2" xfId="2030" xr:uid="{00000000-0005-0000-0000-0000A13D0000}"/>
    <cellStyle name="Normal 49 5 2 2" xfId="4342" xr:uid="{00000000-0005-0000-0000-0000A23D0000}"/>
    <cellStyle name="Normal 49 5 2 2 2" xfId="9293" xr:uid="{00000000-0005-0000-0000-0000A33D0000}"/>
    <cellStyle name="Normal 49 5 2 2 2 2" xfId="20190" xr:uid="{00000000-0005-0000-0000-0000A43D0000}"/>
    <cellStyle name="Normal 49 5 2 2 3" xfId="15239" xr:uid="{00000000-0005-0000-0000-0000A53D0000}"/>
    <cellStyle name="Normal 49 5 2 3" xfId="6981" xr:uid="{00000000-0005-0000-0000-0000A63D0000}"/>
    <cellStyle name="Normal 49 5 2 3 2" xfId="17878" xr:uid="{00000000-0005-0000-0000-0000A73D0000}"/>
    <cellStyle name="Normal 49 5 2 4" xfId="12952" xr:uid="{00000000-0005-0000-0000-0000A83D0000}"/>
    <cellStyle name="Normal 49 5 3" xfId="3197" xr:uid="{00000000-0005-0000-0000-0000A93D0000}"/>
    <cellStyle name="Normal 49 5 3 2" xfId="8148" xr:uid="{00000000-0005-0000-0000-0000AA3D0000}"/>
    <cellStyle name="Normal 49 5 3 2 2" xfId="19045" xr:uid="{00000000-0005-0000-0000-0000AB3D0000}"/>
    <cellStyle name="Normal 49 5 3 3" xfId="14094" xr:uid="{00000000-0005-0000-0000-0000AC3D0000}"/>
    <cellStyle name="Normal 49 5 4" xfId="5836" xr:uid="{00000000-0005-0000-0000-0000AD3D0000}"/>
    <cellStyle name="Normal 49 5 4 2" xfId="16733" xr:uid="{00000000-0005-0000-0000-0000AE3D0000}"/>
    <cellStyle name="Normal 49 5 5" xfId="11834" xr:uid="{00000000-0005-0000-0000-0000AF3D0000}"/>
    <cellStyle name="Normal 49 6" xfId="1554" xr:uid="{00000000-0005-0000-0000-0000B03D0000}"/>
    <cellStyle name="Normal 49 6 2" xfId="3866" xr:uid="{00000000-0005-0000-0000-0000B13D0000}"/>
    <cellStyle name="Normal 49 6 2 2" xfId="8817" xr:uid="{00000000-0005-0000-0000-0000B23D0000}"/>
    <cellStyle name="Normal 49 6 2 2 2" xfId="19714" xr:uid="{00000000-0005-0000-0000-0000B33D0000}"/>
    <cellStyle name="Normal 49 6 2 3" xfId="14763" xr:uid="{00000000-0005-0000-0000-0000B43D0000}"/>
    <cellStyle name="Normal 49 6 3" xfId="6505" xr:uid="{00000000-0005-0000-0000-0000B53D0000}"/>
    <cellStyle name="Normal 49 6 3 2" xfId="17402" xr:uid="{00000000-0005-0000-0000-0000B63D0000}"/>
    <cellStyle name="Normal 49 6 4" xfId="12489" xr:uid="{00000000-0005-0000-0000-0000B73D0000}"/>
    <cellStyle name="Normal 49 7" xfId="2665" xr:uid="{00000000-0005-0000-0000-0000B83D0000}"/>
    <cellStyle name="Normal 49 7 2" xfId="7616" xr:uid="{00000000-0005-0000-0000-0000B93D0000}"/>
    <cellStyle name="Normal 49 7 2 2" xfId="18513" xr:uid="{00000000-0005-0000-0000-0000BA3D0000}"/>
    <cellStyle name="Normal 49 7 3" xfId="13562" xr:uid="{00000000-0005-0000-0000-0000BB3D0000}"/>
    <cellStyle name="Normal 49 8" xfId="5304" xr:uid="{00000000-0005-0000-0000-0000BC3D0000}"/>
    <cellStyle name="Normal 49 8 2" xfId="16201" xr:uid="{00000000-0005-0000-0000-0000BD3D0000}"/>
    <cellStyle name="Normal 49 9" xfId="11309" xr:uid="{00000000-0005-0000-0000-0000BE3D0000}"/>
    <cellStyle name="Normal 5" xfId="314" xr:uid="{00000000-0005-0000-0000-0000BF3D0000}"/>
    <cellStyle name="Normal 50" xfId="315" xr:uid="{00000000-0005-0000-0000-0000C03D0000}"/>
    <cellStyle name="Normal 51" xfId="316" xr:uid="{00000000-0005-0000-0000-0000C13D0000}"/>
    <cellStyle name="Normal 52" xfId="317" xr:uid="{00000000-0005-0000-0000-0000C23D0000}"/>
    <cellStyle name="Normal 53" xfId="318" xr:uid="{00000000-0005-0000-0000-0000C33D0000}"/>
    <cellStyle name="Normal 53 2" xfId="404" xr:uid="{00000000-0005-0000-0000-0000C43D0000}"/>
    <cellStyle name="Normal 53 2 2" xfId="534" xr:uid="{00000000-0005-0000-0000-0000C53D0000}"/>
    <cellStyle name="Normal 53 2 2 2" xfId="799" xr:uid="{00000000-0005-0000-0000-0000C63D0000}"/>
    <cellStyle name="Normal 53 2 2 2 2" xfId="1331" xr:uid="{00000000-0005-0000-0000-0000C73D0000}"/>
    <cellStyle name="Normal 53 2 2 2 2 2" xfId="2488" xr:uid="{00000000-0005-0000-0000-0000C83D0000}"/>
    <cellStyle name="Normal 53 2 2 2 2 2 2" xfId="4800" xr:uid="{00000000-0005-0000-0000-0000C93D0000}"/>
    <cellStyle name="Normal 53 2 2 2 2 2 2 2" xfId="9751" xr:uid="{00000000-0005-0000-0000-0000CA3D0000}"/>
    <cellStyle name="Normal 53 2 2 2 2 2 2 2 2" xfId="20648" xr:uid="{00000000-0005-0000-0000-0000CB3D0000}"/>
    <cellStyle name="Normal 53 2 2 2 2 2 2 3" xfId="15697" xr:uid="{00000000-0005-0000-0000-0000CC3D0000}"/>
    <cellStyle name="Normal 53 2 2 2 2 2 3" xfId="7439" xr:uid="{00000000-0005-0000-0000-0000CD3D0000}"/>
    <cellStyle name="Normal 53 2 2 2 2 2 3 2" xfId="18336" xr:uid="{00000000-0005-0000-0000-0000CE3D0000}"/>
    <cellStyle name="Normal 53 2 2 2 2 2 4" xfId="13399" xr:uid="{00000000-0005-0000-0000-0000CF3D0000}"/>
    <cellStyle name="Normal 53 2 2 2 2 3" xfId="3655" xr:uid="{00000000-0005-0000-0000-0000D03D0000}"/>
    <cellStyle name="Normal 53 2 2 2 2 3 2" xfId="8606" xr:uid="{00000000-0005-0000-0000-0000D13D0000}"/>
    <cellStyle name="Normal 53 2 2 2 2 3 2 2" xfId="19503" xr:uid="{00000000-0005-0000-0000-0000D23D0000}"/>
    <cellStyle name="Normal 53 2 2 2 2 3 3" xfId="14552" xr:uid="{00000000-0005-0000-0000-0000D33D0000}"/>
    <cellStyle name="Normal 53 2 2 2 2 4" xfId="6294" xr:uid="{00000000-0005-0000-0000-0000D43D0000}"/>
    <cellStyle name="Normal 53 2 2 2 2 4 2" xfId="17191" xr:uid="{00000000-0005-0000-0000-0000D53D0000}"/>
    <cellStyle name="Normal 53 2 2 2 2 5" xfId="12281" xr:uid="{00000000-0005-0000-0000-0000D63D0000}"/>
    <cellStyle name="Normal 53 2 2 2 3" xfId="1957" xr:uid="{00000000-0005-0000-0000-0000D73D0000}"/>
    <cellStyle name="Normal 53 2 2 2 3 2" xfId="4269" xr:uid="{00000000-0005-0000-0000-0000D83D0000}"/>
    <cellStyle name="Normal 53 2 2 2 3 2 2" xfId="9220" xr:uid="{00000000-0005-0000-0000-0000D93D0000}"/>
    <cellStyle name="Normal 53 2 2 2 3 2 2 2" xfId="20117" xr:uid="{00000000-0005-0000-0000-0000DA3D0000}"/>
    <cellStyle name="Normal 53 2 2 2 3 2 3" xfId="15166" xr:uid="{00000000-0005-0000-0000-0000DB3D0000}"/>
    <cellStyle name="Normal 53 2 2 2 3 3" xfId="6908" xr:uid="{00000000-0005-0000-0000-0000DC3D0000}"/>
    <cellStyle name="Normal 53 2 2 2 3 3 2" xfId="17805" xr:uid="{00000000-0005-0000-0000-0000DD3D0000}"/>
    <cellStyle name="Normal 53 2 2 2 3 4" xfId="12881" xr:uid="{00000000-0005-0000-0000-0000DE3D0000}"/>
    <cellStyle name="Normal 53 2 2 2 4" xfId="3123" xr:uid="{00000000-0005-0000-0000-0000DF3D0000}"/>
    <cellStyle name="Normal 53 2 2 2 4 2" xfId="8074" xr:uid="{00000000-0005-0000-0000-0000E03D0000}"/>
    <cellStyle name="Normal 53 2 2 2 4 2 2" xfId="18971" xr:uid="{00000000-0005-0000-0000-0000E13D0000}"/>
    <cellStyle name="Normal 53 2 2 2 4 3" xfId="14020" xr:uid="{00000000-0005-0000-0000-0000E23D0000}"/>
    <cellStyle name="Normal 53 2 2 2 5" xfId="5762" xr:uid="{00000000-0005-0000-0000-0000E33D0000}"/>
    <cellStyle name="Normal 53 2 2 2 5 2" xfId="16659" xr:uid="{00000000-0005-0000-0000-0000E43D0000}"/>
    <cellStyle name="Normal 53 2 2 2 6" xfId="11760" xr:uid="{00000000-0005-0000-0000-0000E53D0000}"/>
    <cellStyle name="Normal 53 2 2 3" xfId="1066" xr:uid="{00000000-0005-0000-0000-0000E63D0000}"/>
    <cellStyle name="Normal 53 2 2 3 2" xfId="2223" xr:uid="{00000000-0005-0000-0000-0000E73D0000}"/>
    <cellStyle name="Normal 53 2 2 3 2 2" xfId="4535" xr:uid="{00000000-0005-0000-0000-0000E83D0000}"/>
    <cellStyle name="Normal 53 2 2 3 2 2 2" xfId="9486" xr:uid="{00000000-0005-0000-0000-0000E93D0000}"/>
    <cellStyle name="Normal 53 2 2 3 2 2 2 2" xfId="20383" xr:uid="{00000000-0005-0000-0000-0000EA3D0000}"/>
    <cellStyle name="Normal 53 2 2 3 2 2 3" xfId="15432" xr:uid="{00000000-0005-0000-0000-0000EB3D0000}"/>
    <cellStyle name="Normal 53 2 2 3 2 3" xfId="7174" xr:uid="{00000000-0005-0000-0000-0000EC3D0000}"/>
    <cellStyle name="Normal 53 2 2 3 2 3 2" xfId="18071" xr:uid="{00000000-0005-0000-0000-0000ED3D0000}"/>
    <cellStyle name="Normal 53 2 2 3 2 4" xfId="13140" xr:uid="{00000000-0005-0000-0000-0000EE3D0000}"/>
    <cellStyle name="Normal 53 2 2 3 3" xfId="3390" xr:uid="{00000000-0005-0000-0000-0000EF3D0000}"/>
    <cellStyle name="Normal 53 2 2 3 3 2" xfId="8341" xr:uid="{00000000-0005-0000-0000-0000F03D0000}"/>
    <cellStyle name="Normal 53 2 2 3 3 2 2" xfId="19238" xr:uid="{00000000-0005-0000-0000-0000F13D0000}"/>
    <cellStyle name="Normal 53 2 2 3 3 3" xfId="14287" xr:uid="{00000000-0005-0000-0000-0000F23D0000}"/>
    <cellStyle name="Normal 53 2 2 3 4" xfId="6029" xr:uid="{00000000-0005-0000-0000-0000F33D0000}"/>
    <cellStyle name="Normal 53 2 2 3 4 2" xfId="16926" xr:uid="{00000000-0005-0000-0000-0000F43D0000}"/>
    <cellStyle name="Normal 53 2 2 3 5" xfId="12022" xr:uid="{00000000-0005-0000-0000-0000F53D0000}"/>
    <cellStyle name="Normal 53 2 2 4" xfId="1724" xr:uid="{00000000-0005-0000-0000-0000F63D0000}"/>
    <cellStyle name="Normal 53 2 2 4 2" xfId="4036" xr:uid="{00000000-0005-0000-0000-0000F73D0000}"/>
    <cellStyle name="Normal 53 2 2 4 2 2" xfId="8987" xr:uid="{00000000-0005-0000-0000-0000F83D0000}"/>
    <cellStyle name="Normal 53 2 2 4 2 2 2" xfId="19884" xr:uid="{00000000-0005-0000-0000-0000F93D0000}"/>
    <cellStyle name="Normal 53 2 2 4 2 3" xfId="14933" xr:uid="{00000000-0005-0000-0000-0000FA3D0000}"/>
    <cellStyle name="Normal 53 2 2 4 3" xfId="6675" xr:uid="{00000000-0005-0000-0000-0000FB3D0000}"/>
    <cellStyle name="Normal 53 2 2 4 3 2" xfId="17572" xr:uid="{00000000-0005-0000-0000-0000FC3D0000}"/>
    <cellStyle name="Normal 53 2 2 4 4" xfId="12655" xr:uid="{00000000-0005-0000-0000-0000FD3D0000}"/>
    <cellStyle name="Normal 53 2 2 5" xfId="2858" xr:uid="{00000000-0005-0000-0000-0000FE3D0000}"/>
    <cellStyle name="Normal 53 2 2 5 2" xfId="7809" xr:uid="{00000000-0005-0000-0000-0000FF3D0000}"/>
    <cellStyle name="Normal 53 2 2 5 2 2" xfId="18706" xr:uid="{00000000-0005-0000-0000-0000003E0000}"/>
    <cellStyle name="Normal 53 2 2 5 3" xfId="13755" xr:uid="{00000000-0005-0000-0000-0000013E0000}"/>
    <cellStyle name="Normal 53 2 2 6" xfId="5497" xr:uid="{00000000-0005-0000-0000-0000023E0000}"/>
    <cellStyle name="Normal 53 2 2 6 2" xfId="16394" xr:uid="{00000000-0005-0000-0000-0000033E0000}"/>
    <cellStyle name="Normal 53 2 2 7" xfId="11499" xr:uid="{00000000-0005-0000-0000-0000043E0000}"/>
    <cellStyle name="Normal 53 2 3" xfId="670" xr:uid="{00000000-0005-0000-0000-0000053E0000}"/>
    <cellStyle name="Normal 53 2 3 2" xfId="1202" xr:uid="{00000000-0005-0000-0000-0000063E0000}"/>
    <cellStyle name="Normal 53 2 3 2 2" xfId="2359" xr:uid="{00000000-0005-0000-0000-0000073E0000}"/>
    <cellStyle name="Normal 53 2 3 2 2 2" xfId="4671" xr:uid="{00000000-0005-0000-0000-0000083E0000}"/>
    <cellStyle name="Normal 53 2 3 2 2 2 2" xfId="9622" xr:uid="{00000000-0005-0000-0000-0000093E0000}"/>
    <cellStyle name="Normal 53 2 3 2 2 2 2 2" xfId="20519" xr:uid="{00000000-0005-0000-0000-00000A3E0000}"/>
    <cellStyle name="Normal 53 2 3 2 2 2 3" xfId="15568" xr:uid="{00000000-0005-0000-0000-00000B3E0000}"/>
    <cellStyle name="Normal 53 2 3 2 2 3" xfId="7310" xr:uid="{00000000-0005-0000-0000-00000C3E0000}"/>
    <cellStyle name="Normal 53 2 3 2 2 3 2" xfId="18207" xr:uid="{00000000-0005-0000-0000-00000D3E0000}"/>
    <cellStyle name="Normal 53 2 3 2 2 4" xfId="13271" xr:uid="{00000000-0005-0000-0000-00000E3E0000}"/>
    <cellStyle name="Normal 53 2 3 2 3" xfId="3526" xr:uid="{00000000-0005-0000-0000-00000F3E0000}"/>
    <cellStyle name="Normal 53 2 3 2 3 2" xfId="8477" xr:uid="{00000000-0005-0000-0000-0000103E0000}"/>
    <cellStyle name="Normal 53 2 3 2 3 2 2" xfId="19374" xr:uid="{00000000-0005-0000-0000-0000113E0000}"/>
    <cellStyle name="Normal 53 2 3 2 3 3" xfId="14423" xr:uid="{00000000-0005-0000-0000-0000123E0000}"/>
    <cellStyle name="Normal 53 2 3 2 4" xfId="6165" xr:uid="{00000000-0005-0000-0000-0000133E0000}"/>
    <cellStyle name="Normal 53 2 3 2 4 2" xfId="17062" xr:uid="{00000000-0005-0000-0000-0000143E0000}"/>
    <cellStyle name="Normal 53 2 3 2 5" xfId="12153" xr:uid="{00000000-0005-0000-0000-0000153E0000}"/>
    <cellStyle name="Normal 53 2 3 3" xfId="1843" xr:uid="{00000000-0005-0000-0000-0000163E0000}"/>
    <cellStyle name="Normal 53 2 3 3 2" xfId="4155" xr:uid="{00000000-0005-0000-0000-0000173E0000}"/>
    <cellStyle name="Normal 53 2 3 3 2 2" xfId="9106" xr:uid="{00000000-0005-0000-0000-0000183E0000}"/>
    <cellStyle name="Normal 53 2 3 3 2 2 2" xfId="20003" xr:uid="{00000000-0005-0000-0000-0000193E0000}"/>
    <cellStyle name="Normal 53 2 3 3 2 3" xfId="15052" xr:uid="{00000000-0005-0000-0000-00001A3E0000}"/>
    <cellStyle name="Normal 53 2 3 3 3" xfId="6794" xr:uid="{00000000-0005-0000-0000-00001B3E0000}"/>
    <cellStyle name="Normal 53 2 3 3 3 2" xfId="17691" xr:uid="{00000000-0005-0000-0000-00001C3E0000}"/>
    <cellStyle name="Normal 53 2 3 3 4" xfId="12768" xr:uid="{00000000-0005-0000-0000-00001D3E0000}"/>
    <cellStyle name="Normal 53 2 3 4" xfId="2994" xr:uid="{00000000-0005-0000-0000-00001E3E0000}"/>
    <cellStyle name="Normal 53 2 3 4 2" xfId="7945" xr:uid="{00000000-0005-0000-0000-00001F3E0000}"/>
    <cellStyle name="Normal 53 2 3 4 2 2" xfId="18842" xr:uid="{00000000-0005-0000-0000-0000203E0000}"/>
    <cellStyle name="Normal 53 2 3 4 3" xfId="13891" xr:uid="{00000000-0005-0000-0000-0000213E0000}"/>
    <cellStyle name="Normal 53 2 3 5" xfId="5633" xr:uid="{00000000-0005-0000-0000-0000223E0000}"/>
    <cellStyle name="Normal 53 2 3 5 2" xfId="16530" xr:uid="{00000000-0005-0000-0000-0000233E0000}"/>
    <cellStyle name="Normal 53 2 3 6" xfId="11632" xr:uid="{00000000-0005-0000-0000-0000243E0000}"/>
    <cellStyle name="Normal 53 2 4" xfId="937" xr:uid="{00000000-0005-0000-0000-0000253E0000}"/>
    <cellStyle name="Normal 53 2 4 2" xfId="2094" xr:uid="{00000000-0005-0000-0000-0000263E0000}"/>
    <cellStyle name="Normal 53 2 4 2 2" xfId="4406" xr:uid="{00000000-0005-0000-0000-0000273E0000}"/>
    <cellStyle name="Normal 53 2 4 2 2 2" xfId="9357" xr:uid="{00000000-0005-0000-0000-0000283E0000}"/>
    <cellStyle name="Normal 53 2 4 2 2 2 2" xfId="20254" xr:uid="{00000000-0005-0000-0000-0000293E0000}"/>
    <cellStyle name="Normal 53 2 4 2 2 3" xfId="15303" xr:uid="{00000000-0005-0000-0000-00002A3E0000}"/>
    <cellStyle name="Normal 53 2 4 2 3" xfId="7045" xr:uid="{00000000-0005-0000-0000-00002B3E0000}"/>
    <cellStyle name="Normal 53 2 4 2 3 2" xfId="17942" xr:uid="{00000000-0005-0000-0000-00002C3E0000}"/>
    <cellStyle name="Normal 53 2 4 2 4" xfId="13012" xr:uid="{00000000-0005-0000-0000-00002D3E0000}"/>
    <cellStyle name="Normal 53 2 4 3" xfId="3261" xr:uid="{00000000-0005-0000-0000-00002E3E0000}"/>
    <cellStyle name="Normal 53 2 4 3 2" xfId="8212" xr:uid="{00000000-0005-0000-0000-00002F3E0000}"/>
    <cellStyle name="Normal 53 2 4 3 2 2" xfId="19109" xr:uid="{00000000-0005-0000-0000-0000303E0000}"/>
    <cellStyle name="Normal 53 2 4 3 3" xfId="14158" xr:uid="{00000000-0005-0000-0000-0000313E0000}"/>
    <cellStyle name="Normal 53 2 4 4" xfId="5900" xr:uid="{00000000-0005-0000-0000-0000323E0000}"/>
    <cellStyle name="Normal 53 2 4 4 2" xfId="16797" xr:uid="{00000000-0005-0000-0000-0000333E0000}"/>
    <cellStyle name="Normal 53 2 4 5" xfId="11894" xr:uid="{00000000-0005-0000-0000-0000343E0000}"/>
    <cellStyle name="Normal 53 2 5" xfId="1610" xr:uid="{00000000-0005-0000-0000-0000353E0000}"/>
    <cellStyle name="Normal 53 2 5 2" xfId="3922" xr:uid="{00000000-0005-0000-0000-0000363E0000}"/>
    <cellStyle name="Normal 53 2 5 2 2" xfId="8873" xr:uid="{00000000-0005-0000-0000-0000373E0000}"/>
    <cellStyle name="Normal 53 2 5 2 2 2" xfId="19770" xr:uid="{00000000-0005-0000-0000-0000383E0000}"/>
    <cellStyle name="Normal 53 2 5 2 3" xfId="14819" xr:uid="{00000000-0005-0000-0000-0000393E0000}"/>
    <cellStyle name="Normal 53 2 5 3" xfId="6561" xr:uid="{00000000-0005-0000-0000-00003A3E0000}"/>
    <cellStyle name="Normal 53 2 5 3 2" xfId="17458" xr:uid="{00000000-0005-0000-0000-00003B3E0000}"/>
    <cellStyle name="Normal 53 2 5 4" xfId="12542" xr:uid="{00000000-0005-0000-0000-00003C3E0000}"/>
    <cellStyle name="Normal 53 2 6" xfId="2729" xr:uid="{00000000-0005-0000-0000-00003D3E0000}"/>
    <cellStyle name="Normal 53 2 6 2" xfId="7680" xr:uid="{00000000-0005-0000-0000-00003E3E0000}"/>
    <cellStyle name="Normal 53 2 6 2 2" xfId="18577" xr:uid="{00000000-0005-0000-0000-00003F3E0000}"/>
    <cellStyle name="Normal 53 2 6 3" xfId="13626" xr:uid="{00000000-0005-0000-0000-0000403E0000}"/>
    <cellStyle name="Normal 53 2 7" xfId="5368" xr:uid="{00000000-0005-0000-0000-0000413E0000}"/>
    <cellStyle name="Normal 53 2 7 2" xfId="16265" xr:uid="{00000000-0005-0000-0000-0000423E0000}"/>
    <cellStyle name="Normal 53 2 8" xfId="11371" xr:uid="{00000000-0005-0000-0000-0000433E0000}"/>
    <cellStyle name="Normal 53 3" xfId="483" xr:uid="{00000000-0005-0000-0000-0000443E0000}"/>
    <cellStyle name="Normal 53 3 2" xfId="748" xr:uid="{00000000-0005-0000-0000-0000453E0000}"/>
    <cellStyle name="Normal 53 3 2 2" xfId="1280" xr:uid="{00000000-0005-0000-0000-0000463E0000}"/>
    <cellStyle name="Normal 53 3 2 2 2" xfId="2437" xr:uid="{00000000-0005-0000-0000-0000473E0000}"/>
    <cellStyle name="Normal 53 3 2 2 2 2" xfId="4749" xr:uid="{00000000-0005-0000-0000-0000483E0000}"/>
    <cellStyle name="Normal 53 3 2 2 2 2 2" xfId="9700" xr:uid="{00000000-0005-0000-0000-0000493E0000}"/>
    <cellStyle name="Normal 53 3 2 2 2 2 2 2" xfId="20597" xr:uid="{00000000-0005-0000-0000-00004A3E0000}"/>
    <cellStyle name="Normal 53 3 2 2 2 2 3" xfId="15646" xr:uid="{00000000-0005-0000-0000-00004B3E0000}"/>
    <cellStyle name="Normal 53 3 2 2 2 3" xfId="7388" xr:uid="{00000000-0005-0000-0000-00004C3E0000}"/>
    <cellStyle name="Normal 53 3 2 2 2 3 2" xfId="18285" xr:uid="{00000000-0005-0000-0000-00004D3E0000}"/>
    <cellStyle name="Normal 53 3 2 2 2 4" xfId="13348" xr:uid="{00000000-0005-0000-0000-00004E3E0000}"/>
    <cellStyle name="Normal 53 3 2 2 3" xfId="3604" xr:uid="{00000000-0005-0000-0000-00004F3E0000}"/>
    <cellStyle name="Normal 53 3 2 2 3 2" xfId="8555" xr:uid="{00000000-0005-0000-0000-0000503E0000}"/>
    <cellStyle name="Normal 53 3 2 2 3 2 2" xfId="19452" xr:uid="{00000000-0005-0000-0000-0000513E0000}"/>
    <cellStyle name="Normal 53 3 2 2 3 3" xfId="14501" xr:uid="{00000000-0005-0000-0000-0000523E0000}"/>
    <cellStyle name="Normal 53 3 2 2 4" xfId="6243" xr:uid="{00000000-0005-0000-0000-0000533E0000}"/>
    <cellStyle name="Normal 53 3 2 2 4 2" xfId="17140" xr:uid="{00000000-0005-0000-0000-0000543E0000}"/>
    <cellStyle name="Normal 53 3 2 2 5" xfId="12230" xr:uid="{00000000-0005-0000-0000-0000553E0000}"/>
    <cellStyle name="Normal 53 3 2 3" xfId="1906" xr:uid="{00000000-0005-0000-0000-0000563E0000}"/>
    <cellStyle name="Normal 53 3 2 3 2" xfId="4218" xr:uid="{00000000-0005-0000-0000-0000573E0000}"/>
    <cellStyle name="Normal 53 3 2 3 2 2" xfId="9169" xr:uid="{00000000-0005-0000-0000-0000583E0000}"/>
    <cellStyle name="Normal 53 3 2 3 2 2 2" xfId="20066" xr:uid="{00000000-0005-0000-0000-0000593E0000}"/>
    <cellStyle name="Normal 53 3 2 3 2 3" xfId="15115" xr:uid="{00000000-0005-0000-0000-00005A3E0000}"/>
    <cellStyle name="Normal 53 3 2 3 3" xfId="6857" xr:uid="{00000000-0005-0000-0000-00005B3E0000}"/>
    <cellStyle name="Normal 53 3 2 3 3 2" xfId="17754" xr:uid="{00000000-0005-0000-0000-00005C3E0000}"/>
    <cellStyle name="Normal 53 3 2 3 4" xfId="12830" xr:uid="{00000000-0005-0000-0000-00005D3E0000}"/>
    <cellStyle name="Normal 53 3 2 4" xfId="3072" xr:uid="{00000000-0005-0000-0000-00005E3E0000}"/>
    <cellStyle name="Normal 53 3 2 4 2" xfId="8023" xr:uid="{00000000-0005-0000-0000-00005F3E0000}"/>
    <cellStyle name="Normal 53 3 2 4 2 2" xfId="18920" xr:uid="{00000000-0005-0000-0000-0000603E0000}"/>
    <cellStyle name="Normal 53 3 2 4 3" xfId="13969" xr:uid="{00000000-0005-0000-0000-0000613E0000}"/>
    <cellStyle name="Normal 53 3 2 5" xfId="5711" xr:uid="{00000000-0005-0000-0000-0000623E0000}"/>
    <cellStyle name="Normal 53 3 2 5 2" xfId="16608" xr:uid="{00000000-0005-0000-0000-0000633E0000}"/>
    <cellStyle name="Normal 53 3 2 6" xfId="11709" xr:uid="{00000000-0005-0000-0000-0000643E0000}"/>
    <cellStyle name="Normal 53 3 3" xfId="1015" xr:uid="{00000000-0005-0000-0000-0000653E0000}"/>
    <cellStyle name="Normal 53 3 3 2" xfId="2172" xr:uid="{00000000-0005-0000-0000-0000663E0000}"/>
    <cellStyle name="Normal 53 3 3 2 2" xfId="4484" xr:uid="{00000000-0005-0000-0000-0000673E0000}"/>
    <cellStyle name="Normal 53 3 3 2 2 2" xfId="9435" xr:uid="{00000000-0005-0000-0000-0000683E0000}"/>
    <cellStyle name="Normal 53 3 3 2 2 2 2" xfId="20332" xr:uid="{00000000-0005-0000-0000-0000693E0000}"/>
    <cellStyle name="Normal 53 3 3 2 2 3" xfId="15381" xr:uid="{00000000-0005-0000-0000-00006A3E0000}"/>
    <cellStyle name="Normal 53 3 3 2 3" xfId="7123" xr:uid="{00000000-0005-0000-0000-00006B3E0000}"/>
    <cellStyle name="Normal 53 3 3 2 3 2" xfId="18020" xr:uid="{00000000-0005-0000-0000-00006C3E0000}"/>
    <cellStyle name="Normal 53 3 3 2 4" xfId="13089" xr:uid="{00000000-0005-0000-0000-00006D3E0000}"/>
    <cellStyle name="Normal 53 3 3 3" xfId="3339" xr:uid="{00000000-0005-0000-0000-00006E3E0000}"/>
    <cellStyle name="Normal 53 3 3 3 2" xfId="8290" xr:uid="{00000000-0005-0000-0000-00006F3E0000}"/>
    <cellStyle name="Normal 53 3 3 3 2 2" xfId="19187" xr:uid="{00000000-0005-0000-0000-0000703E0000}"/>
    <cellStyle name="Normal 53 3 3 3 3" xfId="14236" xr:uid="{00000000-0005-0000-0000-0000713E0000}"/>
    <cellStyle name="Normal 53 3 3 4" xfId="5978" xr:uid="{00000000-0005-0000-0000-0000723E0000}"/>
    <cellStyle name="Normal 53 3 3 4 2" xfId="16875" xr:uid="{00000000-0005-0000-0000-0000733E0000}"/>
    <cellStyle name="Normal 53 3 3 5" xfId="11971" xr:uid="{00000000-0005-0000-0000-0000743E0000}"/>
    <cellStyle name="Normal 53 3 4" xfId="1673" xr:uid="{00000000-0005-0000-0000-0000753E0000}"/>
    <cellStyle name="Normal 53 3 4 2" xfId="3985" xr:uid="{00000000-0005-0000-0000-0000763E0000}"/>
    <cellStyle name="Normal 53 3 4 2 2" xfId="8936" xr:uid="{00000000-0005-0000-0000-0000773E0000}"/>
    <cellStyle name="Normal 53 3 4 2 2 2" xfId="19833" xr:uid="{00000000-0005-0000-0000-0000783E0000}"/>
    <cellStyle name="Normal 53 3 4 2 3" xfId="14882" xr:uid="{00000000-0005-0000-0000-0000793E0000}"/>
    <cellStyle name="Normal 53 3 4 3" xfId="6624" xr:uid="{00000000-0005-0000-0000-00007A3E0000}"/>
    <cellStyle name="Normal 53 3 4 3 2" xfId="17521" xr:uid="{00000000-0005-0000-0000-00007B3E0000}"/>
    <cellStyle name="Normal 53 3 4 4" xfId="12604" xr:uid="{00000000-0005-0000-0000-00007C3E0000}"/>
    <cellStyle name="Normal 53 3 5" xfId="2807" xr:uid="{00000000-0005-0000-0000-00007D3E0000}"/>
    <cellStyle name="Normal 53 3 5 2" xfId="7758" xr:uid="{00000000-0005-0000-0000-00007E3E0000}"/>
    <cellStyle name="Normal 53 3 5 2 2" xfId="18655" xr:uid="{00000000-0005-0000-0000-00007F3E0000}"/>
    <cellStyle name="Normal 53 3 5 3" xfId="13704" xr:uid="{00000000-0005-0000-0000-0000803E0000}"/>
    <cellStyle name="Normal 53 3 6" xfId="5446" xr:uid="{00000000-0005-0000-0000-0000813E0000}"/>
    <cellStyle name="Normal 53 3 6 2" xfId="16343" xr:uid="{00000000-0005-0000-0000-0000823E0000}"/>
    <cellStyle name="Normal 53 3 7" xfId="11448" xr:uid="{00000000-0005-0000-0000-0000833E0000}"/>
    <cellStyle name="Normal 53 4" xfId="607" xr:uid="{00000000-0005-0000-0000-0000843E0000}"/>
    <cellStyle name="Normal 53 4 2" xfId="1139" xr:uid="{00000000-0005-0000-0000-0000853E0000}"/>
    <cellStyle name="Normal 53 4 2 2" xfId="2296" xr:uid="{00000000-0005-0000-0000-0000863E0000}"/>
    <cellStyle name="Normal 53 4 2 2 2" xfId="4608" xr:uid="{00000000-0005-0000-0000-0000873E0000}"/>
    <cellStyle name="Normal 53 4 2 2 2 2" xfId="9559" xr:uid="{00000000-0005-0000-0000-0000883E0000}"/>
    <cellStyle name="Normal 53 4 2 2 2 2 2" xfId="20456" xr:uid="{00000000-0005-0000-0000-0000893E0000}"/>
    <cellStyle name="Normal 53 4 2 2 2 3" xfId="15505" xr:uid="{00000000-0005-0000-0000-00008A3E0000}"/>
    <cellStyle name="Normal 53 4 2 2 3" xfId="7247" xr:uid="{00000000-0005-0000-0000-00008B3E0000}"/>
    <cellStyle name="Normal 53 4 2 2 3 2" xfId="18144" xr:uid="{00000000-0005-0000-0000-00008C3E0000}"/>
    <cellStyle name="Normal 53 4 2 2 4" xfId="13211" xr:uid="{00000000-0005-0000-0000-00008D3E0000}"/>
    <cellStyle name="Normal 53 4 2 3" xfId="3463" xr:uid="{00000000-0005-0000-0000-00008E3E0000}"/>
    <cellStyle name="Normal 53 4 2 3 2" xfId="8414" xr:uid="{00000000-0005-0000-0000-00008F3E0000}"/>
    <cellStyle name="Normal 53 4 2 3 2 2" xfId="19311" xr:uid="{00000000-0005-0000-0000-0000903E0000}"/>
    <cellStyle name="Normal 53 4 2 3 3" xfId="14360" xr:uid="{00000000-0005-0000-0000-0000913E0000}"/>
    <cellStyle name="Normal 53 4 2 4" xfId="6102" xr:uid="{00000000-0005-0000-0000-0000923E0000}"/>
    <cellStyle name="Normal 53 4 2 4 2" xfId="16999" xr:uid="{00000000-0005-0000-0000-0000933E0000}"/>
    <cellStyle name="Normal 53 4 2 5" xfId="12093" xr:uid="{00000000-0005-0000-0000-0000943E0000}"/>
    <cellStyle name="Normal 53 4 3" xfId="1788" xr:uid="{00000000-0005-0000-0000-0000953E0000}"/>
    <cellStyle name="Normal 53 4 3 2" xfId="4100" xr:uid="{00000000-0005-0000-0000-0000963E0000}"/>
    <cellStyle name="Normal 53 4 3 2 2" xfId="9051" xr:uid="{00000000-0005-0000-0000-0000973E0000}"/>
    <cellStyle name="Normal 53 4 3 2 2 2" xfId="19948" xr:uid="{00000000-0005-0000-0000-0000983E0000}"/>
    <cellStyle name="Normal 53 4 3 2 3" xfId="14997" xr:uid="{00000000-0005-0000-0000-0000993E0000}"/>
    <cellStyle name="Normal 53 4 3 3" xfId="6739" xr:uid="{00000000-0005-0000-0000-00009A3E0000}"/>
    <cellStyle name="Normal 53 4 3 3 2" xfId="17636" xr:uid="{00000000-0005-0000-0000-00009B3E0000}"/>
    <cellStyle name="Normal 53 4 3 4" xfId="12717" xr:uid="{00000000-0005-0000-0000-00009C3E0000}"/>
    <cellStyle name="Normal 53 4 4" xfId="2931" xr:uid="{00000000-0005-0000-0000-00009D3E0000}"/>
    <cellStyle name="Normal 53 4 4 2" xfId="7882" xr:uid="{00000000-0005-0000-0000-00009E3E0000}"/>
    <cellStyle name="Normal 53 4 4 2 2" xfId="18779" xr:uid="{00000000-0005-0000-0000-00009F3E0000}"/>
    <cellStyle name="Normal 53 4 4 3" xfId="13828" xr:uid="{00000000-0005-0000-0000-0000A03E0000}"/>
    <cellStyle name="Normal 53 4 5" xfId="5570" xr:uid="{00000000-0005-0000-0000-0000A13E0000}"/>
    <cellStyle name="Normal 53 4 5 2" xfId="16467" xr:uid="{00000000-0005-0000-0000-0000A23E0000}"/>
    <cellStyle name="Normal 53 4 6" xfId="11572" xr:uid="{00000000-0005-0000-0000-0000A33E0000}"/>
    <cellStyle name="Normal 53 5" xfId="874" xr:uid="{00000000-0005-0000-0000-0000A43E0000}"/>
    <cellStyle name="Normal 53 5 2" xfId="2031" xr:uid="{00000000-0005-0000-0000-0000A53E0000}"/>
    <cellStyle name="Normal 53 5 2 2" xfId="4343" xr:uid="{00000000-0005-0000-0000-0000A63E0000}"/>
    <cellStyle name="Normal 53 5 2 2 2" xfId="9294" xr:uid="{00000000-0005-0000-0000-0000A73E0000}"/>
    <cellStyle name="Normal 53 5 2 2 2 2" xfId="20191" xr:uid="{00000000-0005-0000-0000-0000A83E0000}"/>
    <cellStyle name="Normal 53 5 2 2 3" xfId="15240" xr:uid="{00000000-0005-0000-0000-0000A93E0000}"/>
    <cellStyle name="Normal 53 5 2 3" xfId="6982" xr:uid="{00000000-0005-0000-0000-0000AA3E0000}"/>
    <cellStyle name="Normal 53 5 2 3 2" xfId="17879" xr:uid="{00000000-0005-0000-0000-0000AB3E0000}"/>
    <cellStyle name="Normal 53 5 2 4" xfId="12953" xr:uid="{00000000-0005-0000-0000-0000AC3E0000}"/>
    <cellStyle name="Normal 53 5 3" xfId="3198" xr:uid="{00000000-0005-0000-0000-0000AD3E0000}"/>
    <cellStyle name="Normal 53 5 3 2" xfId="8149" xr:uid="{00000000-0005-0000-0000-0000AE3E0000}"/>
    <cellStyle name="Normal 53 5 3 2 2" xfId="19046" xr:uid="{00000000-0005-0000-0000-0000AF3E0000}"/>
    <cellStyle name="Normal 53 5 3 3" xfId="14095" xr:uid="{00000000-0005-0000-0000-0000B03E0000}"/>
    <cellStyle name="Normal 53 5 4" xfId="5837" xr:uid="{00000000-0005-0000-0000-0000B13E0000}"/>
    <cellStyle name="Normal 53 5 4 2" xfId="16734" xr:uid="{00000000-0005-0000-0000-0000B23E0000}"/>
    <cellStyle name="Normal 53 5 5" xfId="11835" xr:uid="{00000000-0005-0000-0000-0000B33E0000}"/>
    <cellStyle name="Normal 53 6" xfId="1555" xr:uid="{00000000-0005-0000-0000-0000B43E0000}"/>
    <cellStyle name="Normal 53 6 2" xfId="3867" xr:uid="{00000000-0005-0000-0000-0000B53E0000}"/>
    <cellStyle name="Normal 53 6 2 2" xfId="8818" xr:uid="{00000000-0005-0000-0000-0000B63E0000}"/>
    <cellStyle name="Normal 53 6 2 2 2" xfId="19715" xr:uid="{00000000-0005-0000-0000-0000B73E0000}"/>
    <cellStyle name="Normal 53 6 2 3" xfId="14764" xr:uid="{00000000-0005-0000-0000-0000B83E0000}"/>
    <cellStyle name="Normal 53 6 3" xfId="6506" xr:uid="{00000000-0005-0000-0000-0000B93E0000}"/>
    <cellStyle name="Normal 53 6 3 2" xfId="17403" xr:uid="{00000000-0005-0000-0000-0000BA3E0000}"/>
    <cellStyle name="Normal 53 6 4" xfId="12490" xr:uid="{00000000-0005-0000-0000-0000BB3E0000}"/>
    <cellStyle name="Normal 53 7" xfId="2666" xr:uid="{00000000-0005-0000-0000-0000BC3E0000}"/>
    <cellStyle name="Normal 53 7 2" xfId="7617" xr:uid="{00000000-0005-0000-0000-0000BD3E0000}"/>
    <cellStyle name="Normal 53 7 2 2" xfId="18514" xr:uid="{00000000-0005-0000-0000-0000BE3E0000}"/>
    <cellStyle name="Normal 53 7 3" xfId="13563" xr:uid="{00000000-0005-0000-0000-0000BF3E0000}"/>
    <cellStyle name="Normal 53 8" xfId="5305" xr:uid="{00000000-0005-0000-0000-0000C03E0000}"/>
    <cellStyle name="Normal 53 8 2" xfId="16202" xr:uid="{00000000-0005-0000-0000-0000C13E0000}"/>
    <cellStyle name="Normal 53 9" xfId="11310" xr:uid="{00000000-0005-0000-0000-0000C23E0000}"/>
    <cellStyle name="Normal 54" xfId="319" xr:uid="{00000000-0005-0000-0000-0000C33E0000}"/>
    <cellStyle name="Normal 54 2" xfId="405" xr:uid="{00000000-0005-0000-0000-0000C43E0000}"/>
    <cellStyle name="Normal 54 2 2" xfId="535" xr:uid="{00000000-0005-0000-0000-0000C53E0000}"/>
    <cellStyle name="Normal 54 2 2 2" xfId="800" xr:uid="{00000000-0005-0000-0000-0000C63E0000}"/>
    <cellStyle name="Normal 54 2 2 2 2" xfId="1332" xr:uid="{00000000-0005-0000-0000-0000C73E0000}"/>
    <cellStyle name="Normal 54 2 2 2 2 2" xfId="2489" xr:uid="{00000000-0005-0000-0000-0000C83E0000}"/>
    <cellStyle name="Normal 54 2 2 2 2 2 2" xfId="4801" xr:uid="{00000000-0005-0000-0000-0000C93E0000}"/>
    <cellStyle name="Normal 54 2 2 2 2 2 2 2" xfId="9752" xr:uid="{00000000-0005-0000-0000-0000CA3E0000}"/>
    <cellStyle name="Normal 54 2 2 2 2 2 2 2 2" xfId="20649" xr:uid="{00000000-0005-0000-0000-0000CB3E0000}"/>
    <cellStyle name="Normal 54 2 2 2 2 2 2 3" xfId="15698" xr:uid="{00000000-0005-0000-0000-0000CC3E0000}"/>
    <cellStyle name="Normal 54 2 2 2 2 2 3" xfId="7440" xr:uid="{00000000-0005-0000-0000-0000CD3E0000}"/>
    <cellStyle name="Normal 54 2 2 2 2 2 3 2" xfId="18337" xr:uid="{00000000-0005-0000-0000-0000CE3E0000}"/>
    <cellStyle name="Normal 54 2 2 2 2 2 4" xfId="13400" xr:uid="{00000000-0005-0000-0000-0000CF3E0000}"/>
    <cellStyle name="Normal 54 2 2 2 2 3" xfId="3656" xr:uid="{00000000-0005-0000-0000-0000D03E0000}"/>
    <cellStyle name="Normal 54 2 2 2 2 3 2" xfId="8607" xr:uid="{00000000-0005-0000-0000-0000D13E0000}"/>
    <cellStyle name="Normal 54 2 2 2 2 3 2 2" xfId="19504" xr:uid="{00000000-0005-0000-0000-0000D23E0000}"/>
    <cellStyle name="Normal 54 2 2 2 2 3 3" xfId="14553" xr:uid="{00000000-0005-0000-0000-0000D33E0000}"/>
    <cellStyle name="Normal 54 2 2 2 2 4" xfId="6295" xr:uid="{00000000-0005-0000-0000-0000D43E0000}"/>
    <cellStyle name="Normal 54 2 2 2 2 4 2" xfId="17192" xr:uid="{00000000-0005-0000-0000-0000D53E0000}"/>
    <cellStyle name="Normal 54 2 2 2 2 5" xfId="12282" xr:uid="{00000000-0005-0000-0000-0000D63E0000}"/>
    <cellStyle name="Normal 54 2 2 2 3" xfId="1958" xr:uid="{00000000-0005-0000-0000-0000D73E0000}"/>
    <cellStyle name="Normal 54 2 2 2 3 2" xfId="4270" xr:uid="{00000000-0005-0000-0000-0000D83E0000}"/>
    <cellStyle name="Normal 54 2 2 2 3 2 2" xfId="9221" xr:uid="{00000000-0005-0000-0000-0000D93E0000}"/>
    <cellStyle name="Normal 54 2 2 2 3 2 2 2" xfId="20118" xr:uid="{00000000-0005-0000-0000-0000DA3E0000}"/>
    <cellStyle name="Normal 54 2 2 2 3 2 3" xfId="15167" xr:uid="{00000000-0005-0000-0000-0000DB3E0000}"/>
    <cellStyle name="Normal 54 2 2 2 3 3" xfId="6909" xr:uid="{00000000-0005-0000-0000-0000DC3E0000}"/>
    <cellStyle name="Normal 54 2 2 2 3 3 2" xfId="17806" xr:uid="{00000000-0005-0000-0000-0000DD3E0000}"/>
    <cellStyle name="Normal 54 2 2 2 3 4" xfId="12882" xr:uid="{00000000-0005-0000-0000-0000DE3E0000}"/>
    <cellStyle name="Normal 54 2 2 2 4" xfId="3124" xr:uid="{00000000-0005-0000-0000-0000DF3E0000}"/>
    <cellStyle name="Normal 54 2 2 2 4 2" xfId="8075" xr:uid="{00000000-0005-0000-0000-0000E03E0000}"/>
    <cellStyle name="Normal 54 2 2 2 4 2 2" xfId="18972" xr:uid="{00000000-0005-0000-0000-0000E13E0000}"/>
    <cellStyle name="Normal 54 2 2 2 4 3" xfId="14021" xr:uid="{00000000-0005-0000-0000-0000E23E0000}"/>
    <cellStyle name="Normal 54 2 2 2 5" xfId="5763" xr:uid="{00000000-0005-0000-0000-0000E33E0000}"/>
    <cellStyle name="Normal 54 2 2 2 5 2" xfId="16660" xr:uid="{00000000-0005-0000-0000-0000E43E0000}"/>
    <cellStyle name="Normal 54 2 2 2 6" xfId="11761" xr:uid="{00000000-0005-0000-0000-0000E53E0000}"/>
    <cellStyle name="Normal 54 2 2 3" xfId="1067" xr:uid="{00000000-0005-0000-0000-0000E63E0000}"/>
    <cellStyle name="Normal 54 2 2 3 2" xfId="2224" xr:uid="{00000000-0005-0000-0000-0000E73E0000}"/>
    <cellStyle name="Normal 54 2 2 3 2 2" xfId="4536" xr:uid="{00000000-0005-0000-0000-0000E83E0000}"/>
    <cellStyle name="Normal 54 2 2 3 2 2 2" xfId="9487" xr:uid="{00000000-0005-0000-0000-0000E93E0000}"/>
    <cellStyle name="Normal 54 2 2 3 2 2 2 2" xfId="20384" xr:uid="{00000000-0005-0000-0000-0000EA3E0000}"/>
    <cellStyle name="Normal 54 2 2 3 2 2 3" xfId="15433" xr:uid="{00000000-0005-0000-0000-0000EB3E0000}"/>
    <cellStyle name="Normal 54 2 2 3 2 3" xfId="7175" xr:uid="{00000000-0005-0000-0000-0000EC3E0000}"/>
    <cellStyle name="Normal 54 2 2 3 2 3 2" xfId="18072" xr:uid="{00000000-0005-0000-0000-0000ED3E0000}"/>
    <cellStyle name="Normal 54 2 2 3 2 4" xfId="13141" xr:uid="{00000000-0005-0000-0000-0000EE3E0000}"/>
    <cellStyle name="Normal 54 2 2 3 3" xfId="3391" xr:uid="{00000000-0005-0000-0000-0000EF3E0000}"/>
    <cellStyle name="Normal 54 2 2 3 3 2" xfId="8342" xr:uid="{00000000-0005-0000-0000-0000F03E0000}"/>
    <cellStyle name="Normal 54 2 2 3 3 2 2" xfId="19239" xr:uid="{00000000-0005-0000-0000-0000F13E0000}"/>
    <cellStyle name="Normal 54 2 2 3 3 3" xfId="14288" xr:uid="{00000000-0005-0000-0000-0000F23E0000}"/>
    <cellStyle name="Normal 54 2 2 3 4" xfId="6030" xr:uid="{00000000-0005-0000-0000-0000F33E0000}"/>
    <cellStyle name="Normal 54 2 2 3 4 2" xfId="16927" xr:uid="{00000000-0005-0000-0000-0000F43E0000}"/>
    <cellStyle name="Normal 54 2 2 3 5" xfId="12023" xr:uid="{00000000-0005-0000-0000-0000F53E0000}"/>
    <cellStyle name="Normal 54 2 2 4" xfId="1725" xr:uid="{00000000-0005-0000-0000-0000F63E0000}"/>
    <cellStyle name="Normal 54 2 2 4 2" xfId="4037" xr:uid="{00000000-0005-0000-0000-0000F73E0000}"/>
    <cellStyle name="Normal 54 2 2 4 2 2" xfId="8988" xr:uid="{00000000-0005-0000-0000-0000F83E0000}"/>
    <cellStyle name="Normal 54 2 2 4 2 2 2" xfId="19885" xr:uid="{00000000-0005-0000-0000-0000F93E0000}"/>
    <cellStyle name="Normal 54 2 2 4 2 3" xfId="14934" xr:uid="{00000000-0005-0000-0000-0000FA3E0000}"/>
    <cellStyle name="Normal 54 2 2 4 3" xfId="6676" xr:uid="{00000000-0005-0000-0000-0000FB3E0000}"/>
    <cellStyle name="Normal 54 2 2 4 3 2" xfId="17573" xr:uid="{00000000-0005-0000-0000-0000FC3E0000}"/>
    <cellStyle name="Normal 54 2 2 4 4" xfId="12656" xr:uid="{00000000-0005-0000-0000-0000FD3E0000}"/>
    <cellStyle name="Normal 54 2 2 5" xfId="2859" xr:uid="{00000000-0005-0000-0000-0000FE3E0000}"/>
    <cellStyle name="Normal 54 2 2 5 2" xfId="7810" xr:uid="{00000000-0005-0000-0000-0000FF3E0000}"/>
    <cellStyle name="Normal 54 2 2 5 2 2" xfId="18707" xr:uid="{00000000-0005-0000-0000-0000003F0000}"/>
    <cellStyle name="Normal 54 2 2 5 3" xfId="13756" xr:uid="{00000000-0005-0000-0000-0000013F0000}"/>
    <cellStyle name="Normal 54 2 2 6" xfId="5498" xr:uid="{00000000-0005-0000-0000-0000023F0000}"/>
    <cellStyle name="Normal 54 2 2 6 2" xfId="16395" xr:uid="{00000000-0005-0000-0000-0000033F0000}"/>
    <cellStyle name="Normal 54 2 2 7" xfId="11500" xr:uid="{00000000-0005-0000-0000-0000043F0000}"/>
    <cellStyle name="Normal 54 2 3" xfId="671" xr:uid="{00000000-0005-0000-0000-0000053F0000}"/>
    <cellStyle name="Normal 54 2 3 2" xfId="1203" xr:uid="{00000000-0005-0000-0000-0000063F0000}"/>
    <cellStyle name="Normal 54 2 3 2 2" xfId="2360" xr:uid="{00000000-0005-0000-0000-0000073F0000}"/>
    <cellStyle name="Normal 54 2 3 2 2 2" xfId="4672" xr:uid="{00000000-0005-0000-0000-0000083F0000}"/>
    <cellStyle name="Normal 54 2 3 2 2 2 2" xfId="9623" xr:uid="{00000000-0005-0000-0000-0000093F0000}"/>
    <cellStyle name="Normal 54 2 3 2 2 2 2 2" xfId="20520" xr:uid="{00000000-0005-0000-0000-00000A3F0000}"/>
    <cellStyle name="Normal 54 2 3 2 2 2 3" xfId="15569" xr:uid="{00000000-0005-0000-0000-00000B3F0000}"/>
    <cellStyle name="Normal 54 2 3 2 2 3" xfId="7311" xr:uid="{00000000-0005-0000-0000-00000C3F0000}"/>
    <cellStyle name="Normal 54 2 3 2 2 3 2" xfId="18208" xr:uid="{00000000-0005-0000-0000-00000D3F0000}"/>
    <cellStyle name="Normal 54 2 3 2 2 4" xfId="13272" xr:uid="{00000000-0005-0000-0000-00000E3F0000}"/>
    <cellStyle name="Normal 54 2 3 2 3" xfId="3527" xr:uid="{00000000-0005-0000-0000-00000F3F0000}"/>
    <cellStyle name="Normal 54 2 3 2 3 2" xfId="8478" xr:uid="{00000000-0005-0000-0000-0000103F0000}"/>
    <cellStyle name="Normal 54 2 3 2 3 2 2" xfId="19375" xr:uid="{00000000-0005-0000-0000-0000113F0000}"/>
    <cellStyle name="Normal 54 2 3 2 3 3" xfId="14424" xr:uid="{00000000-0005-0000-0000-0000123F0000}"/>
    <cellStyle name="Normal 54 2 3 2 4" xfId="6166" xr:uid="{00000000-0005-0000-0000-0000133F0000}"/>
    <cellStyle name="Normal 54 2 3 2 4 2" xfId="17063" xr:uid="{00000000-0005-0000-0000-0000143F0000}"/>
    <cellStyle name="Normal 54 2 3 2 5" xfId="12154" xr:uid="{00000000-0005-0000-0000-0000153F0000}"/>
    <cellStyle name="Normal 54 2 3 3" xfId="1844" xr:uid="{00000000-0005-0000-0000-0000163F0000}"/>
    <cellStyle name="Normal 54 2 3 3 2" xfId="4156" xr:uid="{00000000-0005-0000-0000-0000173F0000}"/>
    <cellStyle name="Normal 54 2 3 3 2 2" xfId="9107" xr:uid="{00000000-0005-0000-0000-0000183F0000}"/>
    <cellStyle name="Normal 54 2 3 3 2 2 2" xfId="20004" xr:uid="{00000000-0005-0000-0000-0000193F0000}"/>
    <cellStyle name="Normal 54 2 3 3 2 3" xfId="15053" xr:uid="{00000000-0005-0000-0000-00001A3F0000}"/>
    <cellStyle name="Normal 54 2 3 3 3" xfId="6795" xr:uid="{00000000-0005-0000-0000-00001B3F0000}"/>
    <cellStyle name="Normal 54 2 3 3 3 2" xfId="17692" xr:uid="{00000000-0005-0000-0000-00001C3F0000}"/>
    <cellStyle name="Normal 54 2 3 3 4" xfId="12769" xr:uid="{00000000-0005-0000-0000-00001D3F0000}"/>
    <cellStyle name="Normal 54 2 3 4" xfId="2995" xr:uid="{00000000-0005-0000-0000-00001E3F0000}"/>
    <cellStyle name="Normal 54 2 3 4 2" xfId="7946" xr:uid="{00000000-0005-0000-0000-00001F3F0000}"/>
    <cellStyle name="Normal 54 2 3 4 2 2" xfId="18843" xr:uid="{00000000-0005-0000-0000-0000203F0000}"/>
    <cellStyle name="Normal 54 2 3 4 3" xfId="13892" xr:uid="{00000000-0005-0000-0000-0000213F0000}"/>
    <cellStyle name="Normal 54 2 3 5" xfId="5634" xr:uid="{00000000-0005-0000-0000-0000223F0000}"/>
    <cellStyle name="Normal 54 2 3 5 2" xfId="16531" xr:uid="{00000000-0005-0000-0000-0000233F0000}"/>
    <cellStyle name="Normal 54 2 3 6" xfId="11633" xr:uid="{00000000-0005-0000-0000-0000243F0000}"/>
    <cellStyle name="Normal 54 2 4" xfId="938" xr:uid="{00000000-0005-0000-0000-0000253F0000}"/>
    <cellStyle name="Normal 54 2 4 2" xfId="2095" xr:uid="{00000000-0005-0000-0000-0000263F0000}"/>
    <cellStyle name="Normal 54 2 4 2 2" xfId="4407" xr:uid="{00000000-0005-0000-0000-0000273F0000}"/>
    <cellStyle name="Normal 54 2 4 2 2 2" xfId="9358" xr:uid="{00000000-0005-0000-0000-0000283F0000}"/>
    <cellStyle name="Normal 54 2 4 2 2 2 2" xfId="20255" xr:uid="{00000000-0005-0000-0000-0000293F0000}"/>
    <cellStyle name="Normal 54 2 4 2 2 3" xfId="15304" xr:uid="{00000000-0005-0000-0000-00002A3F0000}"/>
    <cellStyle name="Normal 54 2 4 2 3" xfId="7046" xr:uid="{00000000-0005-0000-0000-00002B3F0000}"/>
    <cellStyle name="Normal 54 2 4 2 3 2" xfId="17943" xr:uid="{00000000-0005-0000-0000-00002C3F0000}"/>
    <cellStyle name="Normal 54 2 4 2 4" xfId="13013" xr:uid="{00000000-0005-0000-0000-00002D3F0000}"/>
    <cellStyle name="Normal 54 2 4 3" xfId="3262" xr:uid="{00000000-0005-0000-0000-00002E3F0000}"/>
    <cellStyle name="Normal 54 2 4 3 2" xfId="8213" xr:uid="{00000000-0005-0000-0000-00002F3F0000}"/>
    <cellStyle name="Normal 54 2 4 3 2 2" xfId="19110" xr:uid="{00000000-0005-0000-0000-0000303F0000}"/>
    <cellStyle name="Normal 54 2 4 3 3" xfId="14159" xr:uid="{00000000-0005-0000-0000-0000313F0000}"/>
    <cellStyle name="Normal 54 2 4 4" xfId="5901" xr:uid="{00000000-0005-0000-0000-0000323F0000}"/>
    <cellStyle name="Normal 54 2 4 4 2" xfId="16798" xr:uid="{00000000-0005-0000-0000-0000333F0000}"/>
    <cellStyle name="Normal 54 2 4 5" xfId="11895" xr:uid="{00000000-0005-0000-0000-0000343F0000}"/>
    <cellStyle name="Normal 54 2 5" xfId="1611" xr:uid="{00000000-0005-0000-0000-0000353F0000}"/>
    <cellStyle name="Normal 54 2 5 2" xfId="3923" xr:uid="{00000000-0005-0000-0000-0000363F0000}"/>
    <cellStyle name="Normal 54 2 5 2 2" xfId="8874" xr:uid="{00000000-0005-0000-0000-0000373F0000}"/>
    <cellStyle name="Normal 54 2 5 2 2 2" xfId="19771" xr:uid="{00000000-0005-0000-0000-0000383F0000}"/>
    <cellStyle name="Normal 54 2 5 2 3" xfId="14820" xr:uid="{00000000-0005-0000-0000-0000393F0000}"/>
    <cellStyle name="Normal 54 2 5 3" xfId="6562" xr:uid="{00000000-0005-0000-0000-00003A3F0000}"/>
    <cellStyle name="Normal 54 2 5 3 2" xfId="17459" xr:uid="{00000000-0005-0000-0000-00003B3F0000}"/>
    <cellStyle name="Normal 54 2 5 4" xfId="12543" xr:uid="{00000000-0005-0000-0000-00003C3F0000}"/>
    <cellStyle name="Normal 54 2 6" xfId="2730" xr:uid="{00000000-0005-0000-0000-00003D3F0000}"/>
    <cellStyle name="Normal 54 2 6 2" xfId="7681" xr:uid="{00000000-0005-0000-0000-00003E3F0000}"/>
    <cellStyle name="Normal 54 2 6 2 2" xfId="18578" xr:uid="{00000000-0005-0000-0000-00003F3F0000}"/>
    <cellStyle name="Normal 54 2 6 3" xfId="13627" xr:uid="{00000000-0005-0000-0000-0000403F0000}"/>
    <cellStyle name="Normal 54 2 7" xfId="5369" xr:uid="{00000000-0005-0000-0000-0000413F0000}"/>
    <cellStyle name="Normal 54 2 7 2" xfId="16266" xr:uid="{00000000-0005-0000-0000-0000423F0000}"/>
    <cellStyle name="Normal 54 2 8" xfId="11372" xr:uid="{00000000-0005-0000-0000-0000433F0000}"/>
    <cellStyle name="Normal 54 3" xfId="484" xr:uid="{00000000-0005-0000-0000-0000443F0000}"/>
    <cellStyle name="Normal 54 3 2" xfId="749" xr:uid="{00000000-0005-0000-0000-0000453F0000}"/>
    <cellStyle name="Normal 54 3 2 2" xfId="1281" xr:uid="{00000000-0005-0000-0000-0000463F0000}"/>
    <cellStyle name="Normal 54 3 2 2 2" xfId="2438" xr:uid="{00000000-0005-0000-0000-0000473F0000}"/>
    <cellStyle name="Normal 54 3 2 2 2 2" xfId="4750" xr:uid="{00000000-0005-0000-0000-0000483F0000}"/>
    <cellStyle name="Normal 54 3 2 2 2 2 2" xfId="9701" xr:uid="{00000000-0005-0000-0000-0000493F0000}"/>
    <cellStyle name="Normal 54 3 2 2 2 2 2 2" xfId="20598" xr:uid="{00000000-0005-0000-0000-00004A3F0000}"/>
    <cellStyle name="Normal 54 3 2 2 2 2 3" xfId="15647" xr:uid="{00000000-0005-0000-0000-00004B3F0000}"/>
    <cellStyle name="Normal 54 3 2 2 2 3" xfId="7389" xr:uid="{00000000-0005-0000-0000-00004C3F0000}"/>
    <cellStyle name="Normal 54 3 2 2 2 3 2" xfId="18286" xr:uid="{00000000-0005-0000-0000-00004D3F0000}"/>
    <cellStyle name="Normal 54 3 2 2 2 4" xfId="13349" xr:uid="{00000000-0005-0000-0000-00004E3F0000}"/>
    <cellStyle name="Normal 54 3 2 2 3" xfId="3605" xr:uid="{00000000-0005-0000-0000-00004F3F0000}"/>
    <cellStyle name="Normal 54 3 2 2 3 2" xfId="8556" xr:uid="{00000000-0005-0000-0000-0000503F0000}"/>
    <cellStyle name="Normal 54 3 2 2 3 2 2" xfId="19453" xr:uid="{00000000-0005-0000-0000-0000513F0000}"/>
    <cellStyle name="Normal 54 3 2 2 3 3" xfId="14502" xr:uid="{00000000-0005-0000-0000-0000523F0000}"/>
    <cellStyle name="Normal 54 3 2 2 4" xfId="6244" xr:uid="{00000000-0005-0000-0000-0000533F0000}"/>
    <cellStyle name="Normal 54 3 2 2 4 2" xfId="17141" xr:uid="{00000000-0005-0000-0000-0000543F0000}"/>
    <cellStyle name="Normal 54 3 2 2 5" xfId="12231" xr:uid="{00000000-0005-0000-0000-0000553F0000}"/>
    <cellStyle name="Normal 54 3 2 3" xfId="1907" xr:uid="{00000000-0005-0000-0000-0000563F0000}"/>
    <cellStyle name="Normal 54 3 2 3 2" xfId="4219" xr:uid="{00000000-0005-0000-0000-0000573F0000}"/>
    <cellStyle name="Normal 54 3 2 3 2 2" xfId="9170" xr:uid="{00000000-0005-0000-0000-0000583F0000}"/>
    <cellStyle name="Normal 54 3 2 3 2 2 2" xfId="20067" xr:uid="{00000000-0005-0000-0000-0000593F0000}"/>
    <cellStyle name="Normal 54 3 2 3 2 3" xfId="15116" xr:uid="{00000000-0005-0000-0000-00005A3F0000}"/>
    <cellStyle name="Normal 54 3 2 3 3" xfId="6858" xr:uid="{00000000-0005-0000-0000-00005B3F0000}"/>
    <cellStyle name="Normal 54 3 2 3 3 2" xfId="17755" xr:uid="{00000000-0005-0000-0000-00005C3F0000}"/>
    <cellStyle name="Normal 54 3 2 3 4" xfId="12831" xr:uid="{00000000-0005-0000-0000-00005D3F0000}"/>
    <cellStyle name="Normal 54 3 2 4" xfId="3073" xr:uid="{00000000-0005-0000-0000-00005E3F0000}"/>
    <cellStyle name="Normal 54 3 2 4 2" xfId="8024" xr:uid="{00000000-0005-0000-0000-00005F3F0000}"/>
    <cellStyle name="Normal 54 3 2 4 2 2" xfId="18921" xr:uid="{00000000-0005-0000-0000-0000603F0000}"/>
    <cellStyle name="Normal 54 3 2 4 3" xfId="13970" xr:uid="{00000000-0005-0000-0000-0000613F0000}"/>
    <cellStyle name="Normal 54 3 2 5" xfId="5712" xr:uid="{00000000-0005-0000-0000-0000623F0000}"/>
    <cellStyle name="Normal 54 3 2 5 2" xfId="16609" xr:uid="{00000000-0005-0000-0000-0000633F0000}"/>
    <cellStyle name="Normal 54 3 2 6" xfId="11710" xr:uid="{00000000-0005-0000-0000-0000643F0000}"/>
    <cellStyle name="Normal 54 3 3" xfId="1016" xr:uid="{00000000-0005-0000-0000-0000653F0000}"/>
    <cellStyle name="Normal 54 3 3 2" xfId="2173" xr:uid="{00000000-0005-0000-0000-0000663F0000}"/>
    <cellStyle name="Normal 54 3 3 2 2" xfId="4485" xr:uid="{00000000-0005-0000-0000-0000673F0000}"/>
    <cellStyle name="Normal 54 3 3 2 2 2" xfId="9436" xr:uid="{00000000-0005-0000-0000-0000683F0000}"/>
    <cellStyle name="Normal 54 3 3 2 2 2 2" xfId="20333" xr:uid="{00000000-0005-0000-0000-0000693F0000}"/>
    <cellStyle name="Normal 54 3 3 2 2 3" xfId="15382" xr:uid="{00000000-0005-0000-0000-00006A3F0000}"/>
    <cellStyle name="Normal 54 3 3 2 3" xfId="7124" xr:uid="{00000000-0005-0000-0000-00006B3F0000}"/>
    <cellStyle name="Normal 54 3 3 2 3 2" xfId="18021" xr:uid="{00000000-0005-0000-0000-00006C3F0000}"/>
    <cellStyle name="Normal 54 3 3 2 4" xfId="13090" xr:uid="{00000000-0005-0000-0000-00006D3F0000}"/>
    <cellStyle name="Normal 54 3 3 3" xfId="3340" xr:uid="{00000000-0005-0000-0000-00006E3F0000}"/>
    <cellStyle name="Normal 54 3 3 3 2" xfId="8291" xr:uid="{00000000-0005-0000-0000-00006F3F0000}"/>
    <cellStyle name="Normal 54 3 3 3 2 2" xfId="19188" xr:uid="{00000000-0005-0000-0000-0000703F0000}"/>
    <cellStyle name="Normal 54 3 3 3 3" xfId="14237" xr:uid="{00000000-0005-0000-0000-0000713F0000}"/>
    <cellStyle name="Normal 54 3 3 4" xfId="5979" xr:uid="{00000000-0005-0000-0000-0000723F0000}"/>
    <cellStyle name="Normal 54 3 3 4 2" xfId="16876" xr:uid="{00000000-0005-0000-0000-0000733F0000}"/>
    <cellStyle name="Normal 54 3 3 5" xfId="11972" xr:uid="{00000000-0005-0000-0000-0000743F0000}"/>
    <cellStyle name="Normal 54 3 4" xfId="1674" xr:uid="{00000000-0005-0000-0000-0000753F0000}"/>
    <cellStyle name="Normal 54 3 4 2" xfId="3986" xr:uid="{00000000-0005-0000-0000-0000763F0000}"/>
    <cellStyle name="Normal 54 3 4 2 2" xfId="8937" xr:uid="{00000000-0005-0000-0000-0000773F0000}"/>
    <cellStyle name="Normal 54 3 4 2 2 2" xfId="19834" xr:uid="{00000000-0005-0000-0000-0000783F0000}"/>
    <cellStyle name="Normal 54 3 4 2 3" xfId="14883" xr:uid="{00000000-0005-0000-0000-0000793F0000}"/>
    <cellStyle name="Normal 54 3 4 3" xfId="6625" xr:uid="{00000000-0005-0000-0000-00007A3F0000}"/>
    <cellStyle name="Normal 54 3 4 3 2" xfId="17522" xr:uid="{00000000-0005-0000-0000-00007B3F0000}"/>
    <cellStyle name="Normal 54 3 4 4" xfId="12605" xr:uid="{00000000-0005-0000-0000-00007C3F0000}"/>
    <cellStyle name="Normal 54 3 5" xfId="2808" xr:uid="{00000000-0005-0000-0000-00007D3F0000}"/>
    <cellStyle name="Normal 54 3 5 2" xfId="7759" xr:uid="{00000000-0005-0000-0000-00007E3F0000}"/>
    <cellStyle name="Normal 54 3 5 2 2" xfId="18656" xr:uid="{00000000-0005-0000-0000-00007F3F0000}"/>
    <cellStyle name="Normal 54 3 5 3" xfId="13705" xr:uid="{00000000-0005-0000-0000-0000803F0000}"/>
    <cellStyle name="Normal 54 3 6" xfId="5447" xr:uid="{00000000-0005-0000-0000-0000813F0000}"/>
    <cellStyle name="Normal 54 3 6 2" xfId="16344" xr:uid="{00000000-0005-0000-0000-0000823F0000}"/>
    <cellStyle name="Normal 54 3 7" xfId="11449" xr:uid="{00000000-0005-0000-0000-0000833F0000}"/>
    <cellStyle name="Normal 54 4" xfId="608" xr:uid="{00000000-0005-0000-0000-0000843F0000}"/>
    <cellStyle name="Normal 54 4 2" xfId="1140" xr:uid="{00000000-0005-0000-0000-0000853F0000}"/>
    <cellStyle name="Normal 54 4 2 2" xfId="2297" xr:uid="{00000000-0005-0000-0000-0000863F0000}"/>
    <cellStyle name="Normal 54 4 2 2 2" xfId="4609" xr:uid="{00000000-0005-0000-0000-0000873F0000}"/>
    <cellStyle name="Normal 54 4 2 2 2 2" xfId="9560" xr:uid="{00000000-0005-0000-0000-0000883F0000}"/>
    <cellStyle name="Normal 54 4 2 2 2 2 2" xfId="20457" xr:uid="{00000000-0005-0000-0000-0000893F0000}"/>
    <cellStyle name="Normal 54 4 2 2 2 3" xfId="15506" xr:uid="{00000000-0005-0000-0000-00008A3F0000}"/>
    <cellStyle name="Normal 54 4 2 2 3" xfId="7248" xr:uid="{00000000-0005-0000-0000-00008B3F0000}"/>
    <cellStyle name="Normal 54 4 2 2 3 2" xfId="18145" xr:uid="{00000000-0005-0000-0000-00008C3F0000}"/>
    <cellStyle name="Normal 54 4 2 2 4" xfId="13212" xr:uid="{00000000-0005-0000-0000-00008D3F0000}"/>
    <cellStyle name="Normal 54 4 2 3" xfId="3464" xr:uid="{00000000-0005-0000-0000-00008E3F0000}"/>
    <cellStyle name="Normal 54 4 2 3 2" xfId="8415" xr:uid="{00000000-0005-0000-0000-00008F3F0000}"/>
    <cellStyle name="Normal 54 4 2 3 2 2" xfId="19312" xr:uid="{00000000-0005-0000-0000-0000903F0000}"/>
    <cellStyle name="Normal 54 4 2 3 3" xfId="14361" xr:uid="{00000000-0005-0000-0000-0000913F0000}"/>
    <cellStyle name="Normal 54 4 2 4" xfId="6103" xr:uid="{00000000-0005-0000-0000-0000923F0000}"/>
    <cellStyle name="Normal 54 4 2 4 2" xfId="17000" xr:uid="{00000000-0005-0000-0000-0000933F0000}"/>
    <cellStyle name="Normal 54 4 2 5" xfId="12094" xr:uid="{00000000-0005-0000-0000-0000943F0000}"/>
    <cellStyle name="Normal 54 4 3" xfId="1789" xr:uid="{00000000-0005-0000-0000-0000953F0000}"/>
    <cellStyle name="Normal 54 4 3 2" xfId="4101" xr:uid="{00000000-0005-0000-0000-0000963F0000}"/>
    <cellStyle name="Normal 54 4 3 2 2" xfId="9052" xr:uid="{00000000-0005-0000-0000-0000973F0000}"/>
    <cellStyle name="Normal 54 4 3 2 2 2" xfId="19949" xr:uid="{00000000-0005-0000-0000-0000983F0000}"/>
    <cellStyle name="Normal 54 4 3 2 3" xfId="14998" xr:uid="{00000000-0005-0000-0000-0000993F0000}"/>
    <cellStyle name="Normal 54 4 3 3" xfId="6740" xr:uid="{00000000-0005-0000-0000-00009A3F0000}"/>
    <cellStyle name="Normal 54 4 3 3 2" xfId="17637" xr:uid="{00000000-0005-0000-0000-00009B3F0000}"/>
    <cellStyle name="Normal 54 4 3 4" xfId="12718" xr:uid="{00000000-0005-0000-0000-00009C3F0000}"/>
    <cellStyle name="Normal 54 4 4" xfId="2932" xr:uid="{00000000-0005-0000-0000-00009D3F0000}"/>
    <cellStyle name="Normal 54 4 4 2" xfId="7883" xr:uid="{00000000-0005-0000-0000-00009E3F0000}"/>
    <cellStyle name="Normal 54 4 4 2 2" xfId="18780" xr:uid="{00000000-0005-0000-0000-00009F3F0000}"/>
    <cellStyle name="Normal 54 4 4 3" xfId="13829" xr:uid="{00000000-0005-0000-0000-0000A03F0000}"/>
    <cellStyle name="Normal 54 4 5" xfId="5571" xr:uid="{00000000-0005-0000-0000-0000A13F0000}"/>
    <cellStyle name="Normal 54 4 5 2" xfId="16468" xr:uid="{00000000-0005-0000-0000-0000A23F0000}"/>
    <cellStyle name="Normal 54 4 6" xfId="11573" xr:uid="{00000000-0005-0000-0000-0000A33F0000}"/>
    <cellStyle name="Normal 54 5" xfId="875" xr:uid="{00000000-0005-0000-0000-0000A43F0000}"/>
    <cellStyle name="Normal 54 5 2" xfId="2032" xr:uid="{00000000-0005-0000-0000-0000A53F0000}"/>
    <cellStyle name="Normal 54 5 2 2" xfId="4344" xr:uid="{00000000-0005-0000-0000-0000A63F0000}"/>
    <cellStyle name="Normal 54 5 2 2 2" xfId="9295" xr:uid="{00000000-0005-0000-0000-0000A73F0000}"/>
    <cellStyle name="Normal 54 5 2 2 2 2" xfId="20192" xr:uid="{00000000-0005-0000-0000-0000A83F0000}"/>
    <cellStyle name="Normal 54 5 2 2 3" xfId="15241" xr:uid="{00000000-0005-0000-0000-0000A93F0000}"/>
    <cellStyle name="Normal 54 5 2 3" xfId="6983" xr:uid="{00000000-0005-0000-0000-0000AA3F0000}"/>
    <cellStyle name="Normal 54 5 2 3 2" xfId="17880" xr:uid="{00000000-0005-0000-0000-0000AB3F0000}"/>
    <cellStyle name="Normal 54 5 2 4" xfId="12954" xr:uid="{00000000-0005-0000-0000-0000AC3F0000}"/>
    <cellStyle name="Normal 54 5 3" xfId="3199" xr:uid="{00000000-0005-0000-0000-0000AD3F0000}"/>
    <cellStyle name="Normal 54 5 3 2" xfId="8150" xr:uid="{00000000-0005-0000-0000-0000AE3F0000}"/>
    <cellStyle name="Normal 54 5 3 2 2" xfId="19047" xr:uid="{00000000-0005-0000-0000-0000AF3F0000}"/>
    <cellStyle name="Normal 54 5 3 3" xfId="14096" xr:uid="{00000000-0005-0000-0000-0000B03F0000}"/>
    <cellStyle name="Normal 54 5 4" xfId="5838" xr:uid="{00000000-0005-0000-0000-0000B13F0000}"/>
    <cellStyle name="Normal 54 5 4 2" xfId="16735" xr:uid="{00000000-0005-0000-0000-0000B23F0000}"/>
    <cellStyle name="Normal 54 5 5" xfId="11836" xr:uid="{00000000-0005-0000-0000-0000B33F0000}"/>
    <cellStyle name="Normal 54 6" xfId="1556" xr:uid="{00000000-0005-0000-0000-0000B43F0000}"/>
    <cellStyle name="Normal 54 6 2" xfId="3868" xr:uid="{00000000-0005-0000-0000-0000B53F0000}"/>
    <cellStyle name="Normal 54 6 2 2" xfId="8819" xr:uid="{00000000-0005-0000-0000-0000B63F0000}"/>
    <cellStyle name="Normal 54 6 2 2 2" xfId="19716" xr:uid="{00000000-0005-0000-0000-0000B73F0000}"/>
    <cellStyle name="Normal 54 6 2 3" xfId="14765" xr:uid="{00000000-0005-0000-0000-0000B83F0000}"/>
    <cellStyle name="Normal 54 6 3" xfId="6507" xr:uid="{00000000-0005-0000-0000-0000B93F0000}"/>
    <cellStyle name="Normal 54 6 3 2" xfId="17404" xr:uid="{00000000-0005-0000-0000-0000BA3F0000}"/>
    <cellStyle name="Normal 54 6 4" xfId="12491" xr:uid="{00000000-0005-0000-0000-0000BB3F0000}"/>
    <cellStyle name="Normal 54 7" xfId="2667" xr:uid="{00000000-0005-0000-0000-0000BC3F0000}"/>
    <cellStyle name="Normal 54 7 2" xfId="7618" xr:uid="{00000000-0005-0000-0000-0000BD3F0000}"/>
    <cellStyle name="Normal 54 7 2 2" xfId="18515" xr:uid="{00000000-0005-0000-0000-0000BE3F0000}"/>
    <cellStyle name="Normal 54 7 3" xfId="13564" xr:uid="{00000000-0005-0000-0000-0000BF3F0000}"/>
    <cellStyle name="Normal 54 8" xfId="5306" xr:uid="{00000000-0005-0000-0000-0000C03F0000}"/>
    <cellStyle name="Normal 54 8 2" xfId="16203" xr:uid="{00000000-0005-0000-0000-0000C13F0000}"/>
    <cellStyle name="Normal 54 9" xfId="11311" xr:uid="{00000000-0005-0000-0000-0000C23F0000}"/>
    <cellStyle name="Normal 55" xfId="320" xr:uid="{00000000-0005-0000-0000-0000C33F0000}"/>
    <cellStyle name="Normal 56" xfId="321" xr:uid="{00000000-0005-0000-0000-0000C43F0000}"/>
    <cellStyle name="Normal 56 2" xfId="406" xr:uid="{00000000-0005-0000-0000-0000C53F0000}"/>
    <cellStyle name="Normal 56 2 2" xfId="536" xr:uid="{00000000-0005-0000-0000-0000C63F0000}"/>
    <cellStyle name="Normal 56 2 2 2" xfId="801" xr:uid="{00000000-0005-0000-0000-0000C73F0000}"/>
    <cellStyle name="Normal 56 2 2 2 2" xfId="1333" xr:uid="{00000000-0005-0000-0000-0000C83F0000}"/>
    <cellStyle name="Normal 56 2 2 2 2 2" xfId="2490" xr:uid="{00000000-0005-0000-0000-0000C93F0000}"/>
    <cellStyle name="Normal 56 2 2 2 2 2 2" xfId="4802" xr:uid="{00000000-0005-0000-0000-0000CA3F0000}"/>
    <cellStyle name="Normal 56 2 2 2 2 2 2 2" xfId="9753" xr:uid="{00000000-0005-0000-0000-0000CB3F0000}"/>
    <cellStyle name="Normal 56 2 2 2 2 2 2 2 2" xfId="20650" xr:uid="{00000000-0005-0000-0000-0000CC3F0000}"/>
    <cellStyle name="Normal 56 2 2 2 2 2 2 3" xfId="15699" xr:uid="{00000000-0005-0000-0000-0000CD3F0000}"/>
    <cellStyle name="Normal 56 2 2 2 2 2 3" xfId="7441" xr:uid="{00000000-0005-0000-0000-0000CE3F0000}"/>
    <cellStyle name="Normal 56 2 2 2 2 2 3 2" xfId="18338" xr:uid="{00000000-0005-0000-0000-0000CF3F0000}"/>
    <cellStyle name="Normal 56 2 2 2 2 2 4" xfId="13401" xr:uid="{00000000-0005-0000-0000-0000D03F0000}"/>
    <cellStyle name="Normal 56 2 2 2 2 3" xfId="3657" xr:uid="{00000000-0005-0000-0000-0000D13F0000}"/>
    <cellStyle name="Normal 56 2 2 2 2 3 2" xfId="8608" xr:uid="{00000000-0005-0000-0000-0000D23F0000}"/>
    <cellStyle name="Normal 56 2 2 2 2 3 2 2" xfId="19505" xr:uid="{00000000-0005-0000-0000-0000D33F0000}"/>
    <cellStyle name="Normal 56 2 2 2 2 3 3" xfId="14554" xr:uid="{00000000-0005-0000-0000-0000D43F0000}"/>
    <cellStyle name="Normal 56 2 2 2 2 4" xfId="6296" xr:uid="{00000000-0005-0000-0000-0000D53F0000}"/>
    <cellStyle name="Normal 56 2 2 2 2 4 2" xfId="17193" xr:uid="{00000000-0005-0000-0000-0000D63F0000}"/>
    <cellStyle name="Normal 56 2 2 2 2 5" xfId="12283" xr:uid="{00000000-0005-0000-0000-0000D73F0000}"/>
    <cellStyle name="Normal 56 2 2 2 3" xfId="1959" xr:uid="{00000000-0005-0000-0000-0000D83F0000}"/>
    <cellStyle name="Normal 56 2 2 2 3 2" xfId="4271" xr:uid="{00000000-0005-0000-0000-0000D93F0000}"/>
    <cellStyle name="Normal 56 2 2 2 3 2 2" xfId="9222" xr:uid="{00000000-0005-0000-0000-0000DA3F0000}"/>
    <cellStyle name="Normal 56 2 2 2 3 2 2 2" xfId="20119" xr:uid="{00000000-0005-0000-0000-0000DB3F0000}"/>
    <cellStyle name="Normal 56 2 2 2 3 2 3" xfId="15168" xr:uid="{00000000-0005-0000-0000-0000DC3F0000}"/>
    <cellStyle name="Normal 56 2 2 2 3 3" xfId="6910" xr:uid="{00000000-0005-0000-0000-0000DD3F0000}"/>
    <cellStyle name="Normal 56 2 2 2 3 3 2" xfId="17807" xr:uid="{00000000-0005-0000-0000-0000DE3F0000}"/>
    <cellStyle name="Normal 56 2 2 2 3 4" xfId="12883" xr:uid="{00000000-0005-0000-0000-0000DF3F0000}"/>
    <cellStyle name="Normal 56 2 2 2 4" xfId="3125" xr:uid="{00000000-0005-0000-0000-0000E03F0000}"/>
    <cellStyle name="Normal 56 2 2 2 4 2" xfId="8076" xr:uid="{00000000-0005-0000-0000-0000E13F0000}"/>
    <cellStyle name="Normal 56 2 2 2 4 2 2" xfId="18973" xr:uid="{00000000-0005-0000-0000-0000E23F0000}"/>
    <cellStyle name="Normal 56 2 2 2 4 3" xfId="14022" xr:uid="{00000000-0005-0000-0000-0000E33F0000}"/>
    <cellStyle name="Normal 56 2 2 2 5" xfId="5764" xr:uid="{00000000-0005-0000-0000-0000E43F0000}"/>
    <cellStyle name="Normal 56 2 2 2 5 2" xfId="16661" xr:uid="{00000000-0005-0000-0000-0000E53F0000}"/>
    <cellStyle name="Normal 56 2 2 2 6" xfId="11762" xr:uid="{00000000-0005-0000-0000-0000E63F0000}"/>
    <cellStyle name="Normal 56 2 2 3" xfId="1068" xr:uid="{00000000-0005-0000-0000-0000E73F0000}"/>
    <cellStyle name="Normal 56 2 2 3 2" xfId="2225" xr:uid="{00000000-0005-0000-0000-0000E83F0000}"/>
    <cellStyle name="Normal 56 2 2 3 2 2" xfId="4537" xr:uid="{00000000-0005-0000-0000-0000E93F0000}"/>
    <cellStyle name="Normal 56 2 2 3 2 2 2" xfId="9488" xr:uid="{00000000-0005-0000-0000-0000EA3F0000}"/>
    <cellStyle name="Normal 56 2 2 3 2 2 2 2" xfId="20385" xr:uid="{00000000-0005-0000-0000-0000EB3F0000}"/>
    <cellStyle name="Normal 56 2 2 3 2 2 3" xfId="15434" xr:uid="{00000000-0005-0000-0000-0000EC3F0000}"/>
    <cellStyle name="Normal 56 2 2 3 2 3" xfId="7176" xr:uid="{00000000-0005-0000-0000-0000ED3F0000}"/>
    <cellStyle name="Normal 56 2 2 3 2 3 2" xfId="18073" xr:uid="{00000000-0005-0000-0000-0000EE3F0000}"/>
    <cellStyle name="Normal 56 2 2 3 2 4" xfId="13142" xr:uid="{00000000-0005-0000-0000-0000EF3F0000}"/>
    <cellStyle name="Normal 56 2 2 3 3" xfId="3392" xr:uid="{00000000-0005-0000-0000-0000F03F0000}"/>
    <cellStyle name="Normal 56 2 2 3 3 2" xfId="8343" xr:uid="{00000000-0005-0000-0000-0000F13F0000}"/>
    <cellStyle name="Normal 56 2 2 3 3 2 2" xfId="19240" xr:uid="{00000000-0005-0000-0000-0000F23F0000}"/>
    <cellStyle name="Normal 56 2 2 3 3 3" xfId="14289" xr:uid="{00000000-0005-0000-0000-0000F33F0000}"/>
    <cellStyle name="Normal 56 2 2 3 4" xfId="6031" xr:uid="{00000000-0005-0000-0000-0000F43F0000}"/>
    <cellStyle name="Normal 56 2 2 3 4 2" xfId="16928" xr:uid="{00000000-0005-0000-0000-0000F53F0000}"/>
    <cellStyle name="Normal 56 2 2 3 5" xfId="12024" xr:uid="{00000000-0005-0000-0000-0000F63F0000}"/>
    <cellStyle name="Normal 56 2 2 4" xfId="1726" xr:uid="{00000000-0005-0000-0000-0000F73F0000}"/>
    <cellStyle name="Normal 56 2 2 4 2" xfId="4038" xr:uid="{00000000-0005-0000-0000-0000F83F0000}"/>
    <cellStyle name="Normal 56 2 2 4 2 2" xfId="8989" xr:uid="{00000000-0005-0000-0000-0000F93F0000}"/>
    <cellStyle name="Normal 56 2 2 4 2 2 2" xfId="19886" xr:uid="{00000000-0005-0000-0000-0000FA3F0000}"/>
    <cellStyle name="Normal 56 2 2 4 2 3" xfId="14935" xr:uid="{00000000-0005-0000-0000-0000FB3F0000}"/>
    <cellStyle name="Normal 56 2 2 4 3" xfId="6677" xr:uid="{00000000-0005-0000-0000-0000FC3F0000}"/>
    <cellStyle name="Normal 56 2 2 4 3 2" xfId="17574" xr:uid="{00000000-0005-0000-0000-0000FD3F0000}"/>
    <cellStyle name="Normal 56 2 2 4 4" xfId="12657" xr:uid="{00000000-0005-0000-0000-0000FE3F0000}"/>
    <cellStyle name="Normal 56 2 2 5" xfId="2860" xr:uid="{00000000-0005-0000-0000-0000FF3F0000}"/>
    <cellStyle name="Normal 56 2 2 5 2" xfId="7811" xr:uid="{00000000-0005-0000-0000-000000400000}"/>
    <cellStyle name="Normal 56 2 2 5 2 2" xfId="18708" xr:uid="{00000000-0005-0000-0000-000001400000}"/>
    <cellStyle name="Normal 56 2 2 5 3" xfId="13757" xr:uid="{00000000-0005-0000-0000-000002400000}"/>
    <cellStyle name="Normal 56 2 2 6" xfId="5499" xr:uid="{00000000-0005-0000-0000-000003400000}"/>
    <cellStyle name="Normal 56 2 2 6 2" xfId="16396" xr:uid="{00000000-0005-0000-0000-000004400000}"/>
    <cellStyle name="Normal 56 2 2 7" xfId="11501" xr:uid="{00000000-0005-0000-0000-000005400000}"/>
    <cellStyle name="Normal 56 2 3" xfId="672" xr:uid="{00000000-0005-0000-0000-000006400000}"/>
    <cellStyle name="Normal 56 2 3 2" xfId="1204" xr:uid="{00000000-0005-0000-0000-000007400000}"/>
    <cellStyle name="Normal 56 2 3 2 2" xfId="2361" xr:uid="{00000000-0005-0000-0000-000008400000}"/>
    <cellStyle name="Normal 56 2 3 2 2 2" xfId="4673" xr:uid="{00000000-0005-0000-0000-000009400000}"/>
    <cellStyle name="Normal 56 2 3 2 2 2 2" xfId="9624" xr:uid="{00000000-0005-0000-0000-00000A400000}"/>
    <cellStyle name="Normal 56 2 3 2 2 2 2 2" xfId="20521" xr:uid="{00000000-0005-0000-0000-00000B400000}"/>
    <cellStyle name="Normal 56 2 3 2 2 2 3" xfId="15570" xr:uid="{00000000-0005-0000-0000-00000C400000}"/>
    <cellStyle name="Normal 56 2 3 2 2 3" xfId="7312" xr:uid="{00000000-0005-0000-0000-00000D400000}"/>
    <cellStyle name="Normal 56 2 3 2 2 3 2" xfId="18209" xr:uid="{00000000-0005-0000-0000-00000E400000}"/>
    <cellStyle name="Normal 56 2 3 2 2 4" xfId="13273" xr:uid="{00000000-0005-0000-0000-00000F400000}"/>
    <cellStyle name="Normal 56 2 3 2 3" xfId="3528" xr:uid="{00000000-0005-0000-0000-000010400000}"/>
    <cellStyle name="Normal 56 2 3 2 3 2" xfId="8479" xr:uid="{00000000-0005-0000-0000-000011400000}"/>
    <cellStyle name="Normal 56 2 3 2 3 2 2" xfId="19376" xr:uid="{00000000-0005-0000-0000-000012400000}"/>
    <cellStyle name="Normal 56 2 3 2 3 3" xfId="14425" xr:uid="{00000000-0005-0000-0000-000013400000}"/>
    <cellStyle name="Normal 56 2 3 2 4" xfId="6167" xr:uid="{00000000-0005-0000-0000-000014400000}"/>
    <cellStyle name="Normal 56 2 3 2 4 2" xfId="17064" xr:uid="{00000000-0005-0000-0000-000015400000}"/>
    <cellStyle name="Normal 56 2 3 2 5" xfId="12155" xr:uid="{00000000-0005-0000-0000-000016400000}"/>
    <cellStyle name="Normal 56 2 3 3" xfId="1845" xr:uid="{00000000-0005-0000-0000-000017400000}"/>
    <cellStyle name="Normal 56 2 3 3 2" xfId="4157" xr:uid="{00000000-0005-0000-0000-000018400000}"/>
    <cellStyle name="Normal 56 2 3 3 2 2" xfId="9108" xr:uid="{00000000-0005-0000-0000-000019400000}"/>
    <cellStyle name="Normal 56 2 3 3 2 2 2" xfId="20005" xr:uid="{00000000-0005-0000-0000-00001A400000}"/>
    <cellStyle name="Normal 56 2 3 3 2 3" xfId="15054" xr:uid="{00000000-0005-0000-0000-00001B400000}"/>
    <cellStyle name="Normal 56 2 3 3 3" xfId="6796" xr:uid="{00000000-0005-0000-0000-00001C400000}"/>
    <cellStyle name="Normal 56 2 3 3 3 2" xfId="17693" xr:uid="{00000000-0005-0000-0000-00001D400000}"/>
    <cellStyle name="Normal 56 2 3 3 4" xfId="12770" xr:uid="{00000000-0005-0000-0000-00001E400000}"/>
    <cellStyle name="Normal 56 2 3 4" xfId="2996" xr:uid="{00000000-0005-0000-0000-00001F400000}"/>
    <cellStyle name="Normal 56 2 3 4 2" xfId="7947" xr:uid="{00000000-0005-0000-0000-000020400000}"/>
    <cellStyle name="Normal 56 2 3 4 2 2" xfId="18844" xr:uid="{00000000-0005-0000-0000-000021400000}"/>
    <cellStyle name="Normal 56 2 3 4 3" xfId="13893" xr:uid="{00000000-0005-0000-0000-000022400000}"/>
    <cellStyle name="Normal 56 2 3 5" xfId="5635" xr:uid="{00000000-0005-0000-0000-000023400000}"/>
    <cellStyle name="Normal 56 2 3 5 2" xfId="16532" xr:uid="{00000000-0005-0000-0000-000024400000}"/>
    <cellStyle name="Normal 56 2 3 6" xfId="11634" xr:uid="{00000000-0005-0000-0000-000025400000}"/>
    <cellStyle name="Normal 56 2 4" xfId="939" xr:uid="{00000000-0005-0000-0000-000026400000}"/>
    <cellStyle name="Normal 56 2 4 2" xfId="2096" xr:uid="{00000000-0005-0000-0000-000027400000}"/>
    <cellStyle name="Normal 56 2 4 2 2" xfId="4408" xr:uid="{00000000-0005-0000-0000-000028400000}"/>
    <cellStyle name="Normal 56 2 4 2 2 2" xfId="9359" xr:uid="{00000000-0005-0000-0000-000029400000}"/>
    <cellStyle name="Normal 56 2 4 2 2 2 2" xfId="20256" xr:uid="{00000000-0005-0000-0000-00002A400000}"/>
    <cellStyle name="Normal 56 2 4 2 2 3" xfId="15305" xr:uid="{00000000-0005-0000-0000-00002B400000}"/>
    <cellStyle name="Normal 56 2 4 2 3" xfId="7047" xr:uid="{00000000-0005-0000-0000-00002C400000}"/>
    <cellStyle name="Normal 56 2 4 2 3 2" xfId="17944" xr:uid="{00000000-0005-0000-0000-00002D400000}"/>
    <cellStyle name="Normal 56 2 4 2 4" xfId="13014" xr:uid="{00000000-0005-0000-0000-00002E400000}"/>
    <cellStyle name="Normal 56 2 4 3" xfId="3263" xr:uid="{00000000-0005-0000-0000-00002F400000}"/>
    <cellStyle name="Normal 56 2 4 3 2" xfId="8214" xr:uid="{00000000-0005-0000-0000-000030400000}"/>
    <cellStyle name="Normal 56 2 4 3 2 2" xfId="19111" xr:uid="{00000000-0005-0000-0000-000031400000}"/>
    <cellStyle name="Normal 56 2 4 3 3" xfId="14160" xr:uid="{00000000-0005-0000-0000-000032400000}"/>
    <cellStyle name="Normal 56 2 4 4" xfId="5902" xr:uid="{00000000-0005-0000-0000-000033400000}"/>
    <cellStyle name="Normal 56 2 4 4 2" xfId="16799" xr:uid="{00000000-0005-0000-0000-000034400000}"/>
    <cellStyle name="Normal 56 2 4 5" xfId="11896" xr:uid="{00000000-0005-0000-0000-000035400000}"/>
    <cellStyle name="Normal 56 2 5" xfId="1612" xr:uid="{00000000-0005-0000-0000-000036400000}"/>
    <cellStyle name="Normal 56 2 5 2" xfId="3924" xr:uid="{00000000-0005-0000-0000-000037400000}"/>
    <cellStyle name="Normal 56 2 5 2 2" xfId="8875" xr:uid="{00000000-0005-0000-0000-000038400000}"/>
    <cellStyle name="Normal 56 2 5 2 2 2" xfId="19772" xr:uid="{00000000-0005-0000-0000-000039400000}"/>
    <cellStyle name="Normal 56 2 5 2 3" xfId="14821" xr:uid="{00000000-0005-0000-0000-00003A400000}"/>
    <cellStyle name="Normal 56 2 5 3" xfId="6563" xr:uid="{00000000-0005-0000-0000-00003B400000}"/>
    <cellStyle name="Normal 56 2 5 3 2" xfId="17460" xr:uid="{00000000-0005-0000-0000-00003C400000}"/>
    <cellStyle name="Normal 56 2 5 4" xfId="12544" xr:uid="{00000000-0005-0000-0000-00003D400000}"/>
    <cellStyle name="Normal 56 2 6" xfId="2731" xr:uid="{00000000-0005-0000-0000-00003E400000}"/>
    <cellStyle name="Normal 56 2 6 2" xfId="7682" xr:uid="{00000000-0005-0000-0000-00003F400000}"/>
    <cellStyle name="Normal 56 2 6 2 2" xfId="18579" xr:uid="{00000000-0005-0000-0000-000040400000}"/>
    <cellStyle name="Normal 56 2 6 3" xfId="13628" xr:uid="{00000000-0005-0000-0000-000041400000}"/>
    <cellStyle name="Normal 56 2 7" xfId="5370" xr:uid="{00000000-0005-0000-0000-000042400000}"/>
    <cellStyle name="Normal 56 2 7 2" xfId="16267" xr:uid="{00000000-0005-0000-0000-000043400000}"/>
    <cellStyle name="Normal 56 2 8" xfId="11373" xr:uid="{00000000-0005-0000-0000-000044400000}"/>
    <cellStyle name="Normal 56 3" xfId="485" xr:uid="{00000000-0005-0000-0000-000045400000}"/>
    <cellStyle name="Normal 56 3 2" xfId="750" xr:uid="{00000000-0005-0000-0000-000046400000}"/>
    <cellStyle name="Normal 56 3 2 2" xfId="1282" xr:uid="{00000000-0005-0000-0000-000047400000}"/>
    <cellStyle name="Normal 56 3 2 2 2" xfId="2439" xr:uid="{00000000-0005-0000-0000-000048400000}"/>
    <cellStyle name="Normal 56 3 2 2 2 2" xfId="4751" xr:uid="{00000000-0005-0000-0000-000049400000}"/>
    <cellStyle name="Normal 56 3 2 2 2 2 2" xfId="9702" xr:uid="{00000000-0005-0000-0000-00004A400000}"/>
    <cellStyle name="Normal 56 3 2 2 2 2 2 2" xfId="20599" xr:uid="{00000000-0005-0000-0000-00004B400000}"/>
    <cellStyle name="Normal 56 3 2 2 2 2 3" xfId="15648" xr:uid="{00000000-0005-0000-0000-00004C400000}"/>
    <cellStyle name="Normal 56 3 2 2 2 3" xfId="7390" xr:uid="{00000000-0005-0000-0000-00004D400000}"/>
    <cellStyle name="Normal 56 3 2 2 2 3 2" xfId="18287" xr:uid="{00000000-0005-0000-0000-00004E400000}"/>
    <cellStyle name="Normal 56 3 2 2 2 4" xfId="13350" xr:uid="{00000000-0005-0000-0000-00004F400000}"/>
    <cellStyle name="Normal 56 3 2 2 3" xfId="3606" xr:uid="{00000000-0005-0000-0000-000050400000}"/>
    <cellStyle name="Normal 56 3 2 2 3 2" xfId="8557" xr:uid="{00000000-0005-0000-0000-000051400000}"/>
    <cellStyle name="Normal 56 3 2 2 3 2 2" xfId="19454" xr:uid="{00000000-0005-0000-0000-000052400000}"/>
    <cellStyle name="Normal 56 3 2 2 3 3" xfId="14503" xr:uid="{00000000-0005-0000-0000-000053400000}"/>
    <cellStyle name="Normal 56 3 2 2 4" xfId="6245" xr:uid="{00000000-0005-0000-0000-000054400000}"/>
    <cellStyle name="Normal 56 3 2 2 4 2" xfId="17142" xr:uid="{00000000-0005-0000-0000-000055400000}"/>
    <cellStyle name="Normal 56 3 2 2 5" xfId="12232" xr:uid="{00000000-0005-0000-0000-000056400000}"/>
    <cellStyle name="Normal 56 3 2 3" xfId="1908" xr:uid="{00000000-0005-0000-0000-000057400000}"/>
    <cellStyle name="Normal 56 3 2 3 2" xfId="4220" xr:uid="{00000000-0005-0000-0000-000058400000}"/>
    <cellStyle name="Normal 56 3 2 3 2 2" xfId="9171" xr:uid="{00000000-0005-0000-0000-000059400000}"/>
    <cellStyle name="Normal 56 3 2 3 2 2 2" xfId="20068" xr:uid="{00000000-0005-0000-0000-00005A400000}"/>
    <cellStyle name="Normal 56 3 2 3 2 3" xfId="15117" xr:uid="{00000000-0005-0000-0000-00005B400000}"/>
    <cellStyle name="Normal 56 3 2 3 3" xfId="6859" xr:uid="{00000000-0005-0000-0000-00005C400000}"/>
    <cellStyle name="Normal 56 3 2 3 3 2" xfId="17756" xr:uid="{00000000-0005-0000-0000-00005D400000}"/>
    <cellStyle name="Normal 56 3 2 3 4" xfId="12832" xr:uid="{00000000-0005-0000-0000-00005E400000}"/>
    <cellStyle name="Normal 56 3 2 4" xfId="3074" xr:uid="{00000000-0005-0000-0000-00005F400000}"/>
    <cellStyle name="Normal 56 3 2 4 2" xfId="8025" xr:uid="{00000000-0005-0000-0000-000060400000}"/>
    <cellStyle name="Normal 56 3 2 4 2 2" xfId="18922" xr:uid="{00000000-0005-0000-0000-000061400000}"/>
    <cellStyle name="Normal 56 3 2 4 3" xfId="13971" xr:uid="{00000000-0005-0000-0000-000062400000}"/>
    <cellStyle name="Normal 56 3 2 5" xfId="5713" xr:uid="{00000000-0005-0000-0000-000063400000}"/>
    <cellStyle name="Normal 56 3 2 5 2" xfId="16610" xr:uid="{00000000-0005-0000-0000-000064400000}"/>
    <cellStyle name="Normal 56 3 2 6" xfId="11711" xr:uid="{00000000-0005-0000-0000-000065400000}"/>
    <cellStyle name="Normal 56 3 3" xfId="1017" xr:uid="{00000000-0005-0000-0000-000066400000}"/>
    <cellStyle name="Normal 56 3 3 2" xfId="2174" xr:uid="{00000000-0005-0000-0000-000067400000}"/>
    <cellStyle name="Normal 56 3 3 2 2" xfId="4486" xr:uid="{00000000-0005-0000-0000-000068400000}"/>
    <cellStyle name="Normal 56 3 3 2 2 2" xfId="9437" xr:uid="{00000000-0005-0000-0000-000069400000}"/>
    <cellStyle name="Normal 56 3 3 2 2 2 2" xfId="20334" xr:uid="{00000000-0005-0000-0000-00006A400000}"/>
    <cellStyle name="Normal 56 3 3 2 2 3" xfId="15383" xr:uid="{00000000-0005-0000-0000-00006B400000}"/>
    <cellStyle name="Normal 56 3 3 2 3" xfId="7125" xr:uid="{00000000-0005-0000-0000-00006C400000}"/>
    <cellStyle name="Normal 56 3 3 2 3 2" xfId="18022" xr:uid="{00000000-0005-0000-0000-00006D400000}"/>
    <cellStyle name="Normal 56 3 3 2 4" xfId="13091" xr:uid="{00000000-0005-0000-0000-00006E400000}"/>
    <cellStyle name="Normal 56 3 3 3" xfId="3341" xr:uid="{00000000-0005-0000-0000-00006F400000}"/>
    <cellStyle name="Normal 56 3 3 3 2" xfId="8292" xr:uid="{00000000-0005-0000-0000-000070400000}"/>
    <cellStyle name="Normal 56 3 3 3 2 2" xfId="19189" xr:uid="{00000000-0005-0000-0000-000071400000}"/>
    <cellStyle name="Normal 56 3 3 3 3" xfId="14238" xr:uid="{00000000-0005-0000-0000-000072400000}"/>
    <cellStyle name="Normal 56 3 3 4" xfId="5980" xr:uid="{00000000-0005-0000-0000-000073400000}"/>
    <cellStyle name="Normal 56 3 3 4 2" xfId="16877" xr:uid="{00000000-0005-0000-0000-000074400000}"/>
    <cellStyle name="Normal 56 3 3 5" xfId="11973" xr:uid="{00000000-0005-0000-0000-000075400000}"/>
    <cellStyle name="Normal 56 3 4" xfId="1675" xr:uid="{00000000-0005-0000-0000-000076400000}"/>
    <cellStyle name="Normal 56 3 4 2" xfId="3987" xr:uid="{00000000-0005-0000-0000-000077400000}"/>
    <cellStyle name="Normal 56 3 4 2 2" xfId="8938" xr:uid="{00000000-0005-0000-0000-000078400000}"/>
    <cellStyle name="Normal 56 3 4 2 2 2" xfId="19835" xr:uid="{00000000-0005-0000-0000-000079400000}"/>
    <cellStyle name="Normal 56 3 4 2 3" xfId="14884" xr:uid="{00000000-0005-0000-0000-00007A400000}"/>
    <cellStyle name="Normal 56 3 4 3" xfId="6626" xr:uid="{00000000-0005-0000-0000-00007B400000}"/>
    <cellStyle name="Normal 56 3 4 3 2" xfId="17523" xr:uid="{00000000-0005-0000-0000-00007C400000}"/>
    <cellStyle name="Normal 56 3 4 4" xfId="12606" xr:uid="{00000000-0005-0000-0000-00007D400000}"/>
    <cellStyle name="Normal 56 3 5" xfId="2809" xr:uid="{00000000-0005-0000-0000-00007E400000}"/>
    <cellStyle name="Normal 56 3 5 2" xfId="7760" xr:uid="{00000000-0005-0000-0000-00007F400000}"/>
    <cellStyle name="Normal 56 3 5 2 2" xfId="18657" xr:uid="{00000000-0005-0000-0000-000080400000}"/>
    <cellStyle name="Normal 56 3 5 3" xfId="13706" xr:uid="{00000000-0005-0000-0000-000081400000}"/>
    <cellStyle name="Normal 56 3 6" xfId="5448" xr:uid="{00000000-0005-0000-0000-000082400000}"/>
    <cellStyle name="Normal 56 3 6 2" xfId="16345" xr:uid="{00000000-0005-0000-0000-000083400000}"/>
    <cellStyle name="Normal 56 3 7" xfId="11450" xr:uid="{00000000-0005-0000-0000-000084400000}"/>
    <cellStyle name="Normal 56 4" xfId="609" xr:uid="{00000000-0005-0000-0000-000085400000}"/>
    <cellStyle name="Normal 56 4 2" xfId="1141" xr:uid="{00000000-0005-0000-0000-000086400000}"/>
    <cellStyle name="Normal 56 4 2 2" xfId="2298" xr:uid="{00000000-0005-0000-0000-000087400000}"/>
    <cellStyle name="Normal 56 4 2 2 2" xfId="4610" xr:uid="{00000000-0005-0000-0000-000088400000}"/>
    <cellStyle name="Normal 56 4 2 2 2 2" xfId="9561" xr:uid="{00000000-0005-0000-0000-000089400000}"/>
    <cellStyle name="Normal 56 4 2 2 2 2 2" xfId="20458" xr:uid="{00000000-0005-0000-0000-00008A400000}"/>
    <cellStyle name="Normal 56 4 2 2 2 3" xfId="15507" xr:uid="{00000000-0005-0000-0000-00008B400000}"/>
    <cellStyle name="Normal 56 4 2 2 3" xfId="7249" xr:uid="{00000000-0005-0000-0000-00008C400000}"/>
    <cellStyle name="Normal 56 4 2 2 3 2" xfId="18146" xr:uid="{00000000-0005-0000-0000-00008D400000}"/>
    <cellStyle name="Normal 56 4 2 2 4" xfId="13213" xr:uid="{00000000-0005-0000-0000-00008E400000}"/>
    <cellStyle name="Normal 56 4 2 3" xfId="3465" xr:uid="{00000000-0005-0000-0000-00008F400000}"/>
    <cellStyle name="Normal 56 4 2 3 2" xfId="8416" xr:uid="{00000000-0005-0000-0000-000090400000}"/>
    <cellStyle name="Normal 56 4 2 3 2 2" xfId="19313" xr:uid="{00000000-0005-0000-0000-000091400000}"/>
    <cellStyle name="Normal 56 4 2 3 3" xfId="14362" xr:uid="{00000000-0005-0000-0000-000092400000}"/>
    <cellStyle name="Normal 56 4 2 4" xfId="6104" xr:uid="{00000000-0005-0000-0000-000093400000}"/>
    <cellStyle name="Normal 56 4 2 4 2" xfId="17001" xr:uid="{00000000-0005-0000-0000-000094400000}"/>
    <cellStyle name="Normal 56 4 2 5" xfId="12095" xr:uid="{00000000-0005-0000-0000-000095400000}"/>
    <cellStyle name="Normal 56 4 3" xfId="1790" xr:uid="{00000000-0005-0000-0000-000096400000}"/>
    <cellStyle name="Normal 56 4 3 2" xfId="4102" xr:uid="{00000000-0005-0000-0000-000097400000}"/>
    <cellStyle name="Normal 56 4 3 2 2" xfId="9053" xr:uid="{00000000-0005-0000-0000-000098400000}"/>
    <cellStyle name="Normal 56 4 3 2 2 2" xfId="19950" xr:uid="{00000000-0005-0000-0000-000099400000}"/>
    <cellStyle name="Normal 56 4 3 2 3" xfId="14999" xr:uid="{00000000-0005-0000-0000-00009A400000}"/>
    <cellStyle name="Normal 56 4 3 3" xfId="6741" xr:uid="{00000000-0005-0000-0000-00009B400000}"/>
    <cellStyle name="Normal 56 4 3 3 2" xfId="17638" xr:uid="{00000000-0005-0000-0000-00009C400000}"/>
    <cellStyle name="Normal 56 4 3 4" xfId="12719" xr:uid="{00000000-0005-0000-0000-00009D400000}"/>
    <cellStyle name="Normal 56 4 4" xfId="2933" xr:uid="{00000000-0005-0000-0000-00009E400000}"/>
    <cellStyle name="Normal 56 4 4 2" xfId="7884" xr:uid="{00000000-0005-0000-0000-00009F400000}"/>
    <cellStyle name="Normal 56 4 4 2 2" xfId="18781" xr:uid="{00000000-0005-0000-0000-0000A0400000}"/>
    <cellStyle name="Normal 56 4 4 3" xfId="13830" xr:uid="{00000000-0005-0000-0000-0000A1400000}"/>
    <cellStyle name="Normal 56 4 5" xfId="5572" xr:uid="{00000000-0005-0000-0000-0000A2400000}"/>
    <cellStyle name="Normal 56 4 5 2" xfId="16469" xr:uid="{00000000-0005-0000-0000-0000A3400000}"/>
    <cellStyle name="Normal 56 4 6" xfId="11574" xr:uid="{00000000-0005-0000-0000-0000A4400000}"/>
    <cellStyle name="Normal 56 5" xfId="876" xr:uid="{00000000-0005-0000-0000-0000A5400000}"/>
    <cellStyle name="Normal 56 5 2" xfId="2033" xr:uid="{00000000-0005-0000-0000-0000A6400000}"/>
    <cellStyle name="Normal 56 5 2 2" xfId="4345" xr:uid="{00000000-0005-0000-0000-0000A7400000}"/>
    <cellStyle name="Normal 56 5 2 2 2" xfId="9296" xr:uid="{00000000-0005-0000-0000-0000A8400000}"/>
    <cellStyle name="Normal 56 5 2 2 2 2" xfId="20193" xr:uid="{00000000-0005-0000-0000-0000A9400000}"/>
    <cellStyle name="Normal 56 5 2 2 3" xfId="15242" xr:uid="{00000000-0005-0000-0000-0000AA400000}"/>
    <cellStyle name="Normal 56 5 2 3" xfId="6984" xr:uid="{00000000-0005-0000-0000-0000AB400000}"/>
    <cellStyle name="Normal 56 5 2 3 2" xfId="17881" xr:uid="{00000000-0005-0000-0000-0000AC400000}"/>
    <cellStyle name="Normal 56 5 2 4" xfId="12955" xr:uid="{00000000-0005-0000-0000-0000AD400000}"/>
    <cellStyle name="Normal 56 5 3" xfId="3200" xr:uid="{00000000-0005-0000-0000-0000AE400000}"/>
    <cellStyle name="Normal 56 5 3 2" xfId="8151" xr:uid="{00000000-0005-0000-0000-0000AF400000}"/>
    <cellStyle name="Normal 56 5 3 2 2" xfId="19048" xr:uid="{00000000-0005-0000-0000-0000B0400000}"/>
    <cellStyle name="Normal 56 5 3 3" xfId="14097" xr:uid="{00000000-0005-0000-0000-0000B1400000}"/>
    <cellStyle name="Normal 56 5 4" xfId="5839" xr:uid="{00000000-0005-0000-0000-0000B2400000}"/>
    <cellStyle name="Normal 56 5 4 2" xfId="16736" xr:uid="{00000000-0005-0000-0000-0000B3400000}"/>
    <cellStyle name="Normal 56 5 5" xfId="11837" xr:uid="{00000000-0005-0000-0000-0000B4400000}"/>
    <cellStyle name="Normal 56 6" xfId="1557" xr:uid="{00000000-0005-0000-0000-0000B5400000}"/>
    <cellStyle name="Normal 56 6 2" xfId="3869" xr:uid="{00000000-0005-0000-0000-0000B6400000}"/>
    <cellStyle name="Normal 56 6 2 2" xfId="8820" xr:uid="{00000000-0005-0000-0000-0000B7400000}"/>
    <cellStyle name="Normal 56 6 2 2 2" xfId="19717" xr:uid="{00000000-0005-0000-0000-0000B8400000}"/>
    <cellStyle name="Normal 56 6 2 3" xfId="14766" xr:uid="{00000000-0005-0000-0000-0000B9400000}"/>
    <cellStyle name="Normal 56 6 3" xfId="6508" xr:uid="{00000000-0005-0000-0000-0000BA400000}"/>
    <cellStyle name="Normal 56 6 3 2" xfId="17405" xr:uid="{00000000-0005-0000-0000-0000BB400000}"/>
    <cellStyle name="Normal 56 6 4" xfId="12492" xr:uid="{00000000-0005-0000-0000-0000BC400000}"/>
    <cellStyle name="Normal 56 7" xfId="2668" xr:uid="{00000000-0005-0000-0000-0000BD400000}"/>
    <cellStyle name="Normal 56 7 2" xfId="7619" xr:uid="{00000000-0005-0000-0000-0000BE400000}"/>
    <cellStyle name="Normal 56 7 2 2" xfId="18516" xr:uid="{00000000-0005-0000-0000-0000BF400000}"/>
    <cellStyle name="Normal 56 7 3" xfId="13565" xr:uid="{00000000-0005-0000-0000-0000C0400000}"/>
    <cellStyle name="Normal 56 8" xfId="5307" xr:uid="{00000000-0005-0000-0000-0000C1400000}"/>
    <cellStyle name="Normal 56 8 2" xfId="16204" xr:uid="{00000000-0005-0000-0000-0000C2400000}"/>
    <cellStyle name="Normal 56 9" xfId="11312" xr:uid="{00000000-0005-0000-0000-0000C3400000}"/>
    <cellStyle name="Normal 57" xfId="322" xr:uid="{00000000-0005-0000-0000-0000C4400000}"/>
    <cellStyle name="Normal 58" xfId="323" xr:uid="{00000000-0005-0000-0000-0000C5400000}"/>
    <cellStyle name="Normal 58 2" xfId="407" xr:uid="{00000000-0005-0000-0000-0000C6400000}"/>
    <cellStyle name="Normal 58 2 2" xfId="537" xr:uid="{00000000-0005-0000-0000-0000C7400000}"/>
    <cellStyle name="Normal 58 2 2 2" xfId="802" xr:uid="{00000000-0005-0000-0000-0000C8400000}"/>
    <cellStyle name="Normal 58 2 2 2 2" xfId="1334" xr:uid="{00000000-0005-0000-0000-0000C9400000}"/>
    <cellStyle name="Normal 58 2 2 2 2 2" xfId="2491" xr:uid="{00000000-0005-0000-0000-0000CA400000}"/>
    <cellStyle name="Normal 58 2 2 2 2 2 2" xfId="4803" xr:uid="{00000000-0005-0000-0000-0000CB400000}"/>
    <cellStyle name="Normal 58 2 2 2 2 2 2 2" xfId="9754" xr:uid="{00000000-0005-0000-0000-0000CC400000}"/>
    <cellStyle name="Normal 58 2 2 2 2 2 2 2 2" xfId="20651" xr:uid="{00000000-0005-0000-0000-0000CD400000}"/>
    <cellStyle name="Normal 58 2 2 2 2 2 2 3" xfId="15700" xr:uid="{00000000-0005-0000-0000-0000CE400000}"/>
    <cellStyle name="Normal 58 2 2 2 2 2 3" xfId="7442" xr:uid="{00000000-0005-0000-0000-0000CF400000}"/>
    <cellStyle name="Normal 58 2 2 2 2 2 3 2" xfId="18339" xr:uid="{00000000-0005-0000-0000-0000D0400000}"/>
    <cellStyle name="Normal 58 2 2 2 2 2 4" xfId="13402" xr:uid="{00000000-0005-0000-0000-0000D1400000}"/>
    <cellStyle name="Normal 58 2 2 2 2 3" xfId="3658" xr:uid="{00000000-0005-0000-0000-0000D2400000}"/>
    <cellStyle name="Normal 58 2 2 2 2 3 2" xfId="8609" xr:uid="{00000000-0005-0000-0000-0000D3400000}"/>
    <cellStyle name="Normal 58 2 2 2 2 3 2 2" xfId="19506" xr:uid="{00000000-0005-0000-0000-0000D4400000}"/>
    <cellStyle name="Normal 58 2 2 2 2 3 3" xfId="14555" xr:uid="{00000000-0005-0000-0000-0000D5400000}"/>
    <cellStyle name="Normal 58 2 2 2 2 4" xfId="6297" xr:uid="{00000000-0005-0000-0000-0000D6400000}"/>
    <cellStyle name="Normal 58 2 2 2 2 4 2" xfId="17194" xr:uid="{00000000-0005-0000-0000-0000D7400000}"/>
    <cellStyle name="Normal 58 2 2 2 2 5" xfId="12284" xr:uid="{00000000-0005-0000-0000-0000D8400000}"/>
    <cellStyle name="Normal 58 2 2 2 3" xfId="1960" xr:uid="{00000000-0005-0000-0000-0000D9400000}"/>
    <cellStyle name="Normal 58 2 2 2 3 2" xfId="4272" xr:uid="{00000000-0005-0000-0000-0000DA400000}"/>
    <cellStyle name="Normal 58 2 2 2 3 2 2" xfId="9223" xr:uid="{00000000-0005-0000-0000-0000DB400000}"/>
    <cellStyle name="Normal 58 2 2 2 3 2 2 2" xfId="20120" xr:uid="{00000000-0005-0000-0000-0000DC400000}"/>
    <cellStyle name="Normal 58 2 2 2 3 2 3" xfId="15169" xr:uid="{00000000-0005-0000-0000-0000DD400000}"/>
    <cellStyle name="Normal 58 2 2 2 3 3" xfId="6911" xr:uid="{00000000-0005-0000-0000-0000DE400000}"/>
    <cellStyle name="Normal 58 2 2 2 3 3 2" xfId="17808" xr:uid="{00000000-0005-0000-0000-0000DF400000}"/>
    <cellStyle name="Normal 58 2 2 2 3 4" xfId="12884" xr:uid="{00000000-0005-0000-0000-0000E0400000}"/>
    <cellStyle name="Normal 58 2 2 2 4" xfId="3126" xr:uid="{00000000-0005-0000-0000-0000E1400000}"/>
    <cellStyle name="Normal 58 2 2 2 4 2" xfId="8077" xr:uid="{00000000-0005-0000-0000-0000E2400000}"/>
    <cellStyle name="Normal 58 2 2 2 4 2 2" xfId="18974" xr:uid="{00000000-0005-0000-0000-0000E3400000}"/>
    <cellStyle name="Normal 58 2 2 2 4 3" xfId="14023" xr:uid="{00000000-0005-0000-0000-0000E4400000}"/>
    <cellStyle name="Normal 58 2 2 2 5" xfId="5765" xr:uid="{00000000-0005-0000-0000-0000E5400000}"/>
    <cellStyle name="Normal 58 2 2 2 5 2" xfId="16662" xr:uid="{00000000-0005-0000-0000-0000E6400000}"/>
    <cellStyle name="Normal 58 2 2 2 6" xfId="11763" xr:uid="{00000000-0005-0000-0000-0000E7400000}"/>
    <cellStyle name="Normal 58 2 2 3" xfId="1069" xr:uid="{00000000-0005-0000-0000-0000E8400000}"/>
    <cellStyle name="Normal 58 2 2 3 2" xfId="2226" xr:uid="{00000000-0005-0000-0000-0000E9400000}"/>
    <cellStyle name="Normal 58 2 2 3 2 2" xfId="4538" xr:uid="{00000000-0005-0000-0000-0000EA400000}"/>
    <cellStyle name="Normal 58 2 2 3 2 2 2" xfId="9489" xr:uid="{00000000-0005-0000-0000-0000EB400000}"/>
    <cellStyle name="Normal 58 2 2 3 2 2 2 2" xfId="20386" xr:uid="{00000000-0005-0000-0000-0000EC400000}"/>
    <cellStyle name="Normal 58 2 2 3 2 2 3" xfId="15435" xr:uid="{00000000-0005-0000-0000-0000ED400000}"/>
    <cellStyle name="Normal 58 2 2 3 2 3" xfId="7177" xr:uid="{00000000-0005-0000-0000-0000EE400000}"/>
    <cellStyle name="Normal 58 2 2 3 2 3 2" xfId="18074" xr:uid="{00000000-0005-0000-0000-0000EF400000}"/>
    <cellStyle name="Normal 58 2 2 3 2 4" xfId="13143" xr:uid="{00000000-0005-0000-0000-0000F0400000}"/>
    <cellStyle name="Normal 58 2 2 3 3" xfId="3393" xr:uid="{00000000-0005-0000-0000-0000F1400000}"/>
    <cellStyle name="Normal 58 2 2 3 3 2" xfId="8344" xr:uid="{00000000-0005-0000-0000-0000F2400000}"/>
    <cellStyle name="Normal 58 2 2 3 3 2 2" xfId="19241" xr:uid="{00000000-0005-0000-0000-0000F3400000}"/>
    <cellStyle name="Normal 58 2 2 3 3 3" xfId="14290" xr:uid="{00000000-0005-0000-0000-0000F4400000}"/>
    <cellStyle name="Normal 58 2 2 3 4" xfId="6032" xr:uid="{00000000-0005-0000-0000-0000F5400000}"/>
    <cellStyle name="Normal 58 2 2 3 4 2" xfId="16929" xr:uid="{00000000-0005-0000-0000-0000F6400000}"/>
    <cellStyle name="Normal 58 2 2 3 5" xfId="12025" xr:uid="{00000000-0005-0000-0000-0000F7400000}"/>
    <cellStyle name="Normal 58 2 2 4" xfId="1727" xr:uid="{00000000-0005-0000-0000-0000F8400000}"/>
    <cellStyle name="Normal 58 2 2 4 2" xfId="4039" xr:uid="{00000000-0005-0000-0000-0000F9400000}"/>
    <cellStyle name="Normal 58 2 2 4 2 2" xfId="8990" xr:uid="{00000000-0005-0000-0000-0000FA400000}"/>
    <cellStyle name="Normal 58 2 2 4 2 2 2" xfId="19887" xr:uid="{00000000-0005-0000-0000-0000FB400000}"/>
    <cellStyle name="Normal 58 2 2 4 2 3" xfId="14936" xr:uid="{00000000-0005-0000-0000-0000FC400000}"/>
    <cellStyle name="Normal 58 2 2 4 3" xfId="6678" xr:uid="{00000000-0005-0000-0000-0000FD400000}"/>
    <cellStyle name="Normal 58 2 2 4 3 2" xfId="17575" xr:uid="{00000000-0005-0000-0000-0000FE400000}"/>
    <cellStyle name="Normal 58 2 2 4 4" xfId="12658" xr:uid="{00000000-0005-0000-0000-0000FF400000}"/>
    <cellStyle name="Normal 58 2 2 5" xfId="2861" xr:uid="{00000000-0005-0000-0000-000000410000}"/>
    <cellStyle name="Normal 58 2 2 5 2" xfId="7812" xr:uid="{00000000-0005-0000-0000-000001410000}"/>
    <cellStyle name="Normal 58 2 2 5 2 2" xfId="18709" xr:uid="{00000000-0005-0000-0000-000002410000}"/>
    <cellStyle name="Normal 58 2 2 5 3" xfId="13758" xr:uid="{00000000-0005-0000-0000-000003410000}"/>
    <cellStyle name="Normal 58 2 2 6" xfId="5500" xr:uid="{00000000-0005-0000-0000-000004410000}"/>
    <cellStyle name="Normal 58 2 2 6 2" xfId="16397" xr:uid="{00000000-0005-0000-0000-000005410000}"/>
    <cellStyle name="Normal 58 2 2 7" xfId="11502" xr:uid="{00000000-0005-0000-0000-000006410000}"/>
    <cellStyle name="Normal 58 2 3" xfId="673" xr:uid="{00000000-0005-0000-0000-000007410000}"/>
    <cellStyle name="Normal 58 2 3 2" xfId="1205" xr:uid="{00000000-0005-0000-0000-000008410000}"/>
    <cellStyle name="Normal 58 2 3 2 2" xfId="2362" xr:uid="{00000000-0005-0000-0000-000009410000}"/>
    <cellStyle name="Normal 58 2 3 2 2 2" xfId="4674" xr:uid="{00000000-0005-0000-0000-00000A410000}"/>
    <cellStyle name="Normal 58 2 3 2 2 2 2" xfId="9625" xr:uid="{00000000-0005-0000-0000-00000B410000}"/>
    <cellStyle name="Normal 58 2 3 2 2 2 2 2" xfId="20522" xr:uid="{00000000-0005-0000-0000-00000C410000}"/>
    <cellStyle name="Normal 58 2 3 2 2 2 3" xfId="15571" xr:uid="{00000000-0005-0000-0000-00000D410000}"/>
    <cellStyle name="Normal 58 2 3 2 2 3" xfId="7313" xr:uid="{00000000-0005-0000-0000-00000E410000}"/>
    <cellStyle name="Normal 58 2 3 2 2 3 2" xfId="18210" xr:uid="{00000000-0005-0000-0000-00000F410000}"/>
    <cellStyle name="Normal 58 2 3 2 2 4" xfId="13274" xr:uid="{00000000-0005-0000-0000-000010410000}"/>
    <cellStyle name="Normal 58 2 3 2 3" xfId="3529" xr:uid="{00000000-0005-0000-0000-000011410000}"/>
    <cellStyle name="Normal 58 2 3 2 3 2" xfId="8480" xr:uid="{00000000-0005-0000-0000-000012410000}"/>
    <cellStyle name="Normal 58 2 3 2 3 2 2" xfId="19377" xr:uid="{00000000-0005-0000-0000-000013410000}"/>
    <cellStyle name="Normal 58 2 3 2 3 3" xfId="14426" xr:uid="{00000000-0005-0000-0000-000014410000}"/>
    <cellStyle name="Normal 58 2 3 2 4" xfId="6168" xr:uid="{00000000-0005-0000-0000-000015410000}"/>
    <cellStyle name="Normal 58 2 3 2 4 2" xfId="17065" xr:uid="{00000000-0005-0000-0000-000016410000}"/>
    <cellStyle name="Normal 58 2 3 2 5" xfId="12156" xr:uid="{00000000-0005-0000-0000-000017410000}"/>
    <cellStyle name="Normal 58 2 3 3" xfId="1846" xr:uid="{00000000-0005-0000-0000-000018410000}"/>
    <cellStyle name="Normal 58 2 3 3 2" xfId="4158" xr:uid="{00000000-0005-0000-0000-000019410000}"/>
    <cellStyle name="Normal 58 2 3 3 2 2" xfId="9109" xr:uid="{00000000-0005-0000-0000-00001A410000}"/>
    <cellStyle name="Normal 58 2 3 3 2 2 2" xfId="20006" xr:uid="{00000000-0005-0000-0000-00001B410000}"/>
    <cellStyle name="Normal 58 2 3 3 2 3" xfId="15055" xr:uid="{00000000-0005-0000-0000-00001C410000}"/>
    <cellStyle name="Normal 58 2 3 3 3" xfId="6797" xr:uid="{00000000-0005-0000-0000-00001D410000}"/>
    <cellStyle name="Normal 58 2 3 3 3 2" xfId="17694" xr:uid="{00000000-0005-0000-0000-00001E410000}"/>
    <cellStyle name="Normal 58 2 3 3 4" xfId="12771" xr:uid="{00000000-0005-0000-0000-00001F410000}"/>
    <cellStyle name="Normal 58 2 3 4" xfId="2997" xr:uid="{00000000-0005-0000-0000-000020410000}"/>
    <cellStyle name="Normal 58 2 3 4 2" xfId="7948" xr:uid="{00000000-0005-0000-0000-000021410000}"/>
    <cellStyle name="Normal 58 2 3 4 2 2" xfId="18845" xr:uid="{00000000-0005-0000-0000-000022410000}"/>
    <cellStyle name="Normal 58 2 3 4 3" xfId="13894" xr:uid="{00000000-0005-0000-0000-000023410000}"/>
    <cellStyle name="Normal 58 2 3 5" xfId="5636" xr:uid="{00000000-0005-0000-0000-000024410000}"/>
    <cellStyle name="Normal 58 2 3 5 2" xfId="16533" xr:uid="{00000000-0005-0000-0000-000025410000}"/>
    <cellStyle name="Normal 58 2 3 6" xfId="11635" xr:uid="{00000000-0005-0000-0000-000026410000}"/>
    <cellStyle name="Normal 58 2 4" xfId="940" xr:uid="{00000000-0005-0000-0000-000027410000}"/>
    <cellStyle name="Normal 58 2 4 2" xfId="2097" xr:uid="{00000000-0005-0000-0000-000028410000}"/>
    <cellStyle name="Normal 58 2 4 2 2" xfId="4409" xr:uid="{00000000-0005-0000-0000-000029410000}"/>
    <cellStyle name="Normal 58 2 4 2 2 2" xfId="9360" xr:uid="{00000000-0005-0000-0000-00002A410000}"/>
    <cellStyle name="Normal 58 2 4 2 2 2 2" xfId="20257" xr:uid="{00000000-0005-0000-0000-00002B410000}"/>
    <cellStyle name="Normal 58 2 4 2 2 3" xfId="15306" xr:uid="{00000000-0005-0000-0000-00002C410000}"/>
    <cellStyle name="Normal 58 2 4 2 3" xfId="7048" xr:uid="{00000000-0005-0000-0000-00002D410000}"/>
    <cellStyle name="Normal 58 2 4 2 3 2" xfId="17945" xr:uid="{00000000-0005-0000-0000-00002E410000}"/>
    <cellStyle name="Normal 58 2 4 2 4" xfId="13015" xr:uid="{00000000-0005-0000-0000-00002F410000}"/>
    <cellStyle name="Normal 58 2 4 3" xfId="3264" xr:uid="{00000000-0005-0000-0000-000030410000}"/>
    <cellStyle name="Normal 58 2 4 3 2" xfId="8215" xr:uid="{00000000-0005-0000-0000-000031410000}"/>
    <cellStyle name="Normal 58 2 4 3 2 2" xfId="19112" xr:uid="{00000000-0005-0000-0000-000032410000}"/>
    <cellStyle name="Normal 58 2 4 3 3" xfId="14161" xr:uid="{00000000-0005-0000-0000-000033410000}"/>
    <cellStyle name="Normal 58 2 4 4" xfId="5903" xr:uid="{00000000-0005-0000-0000-000034410000}"/>
    <cellStyle name="Normal 58 2 4 4 2" xfId="16800" xr:uid="{00000000-0005-0000-0000-000035410000}"/>
    <cellStyle name="Normal 58 2 4 5" xfId="11897" xr:uid="{00000000-0005-0000-0000-000036410000}"/>
    <cellStyle name="Normal 58 2 5" xfId="1613" xr:uid="{00000000-0005-0000-0000-000037410000}"/>
    <cellStyle name="Normal 58 2 5 2" xfId="3925" xr:uid="{00000000-0005-0000-0000-000038410000}"/>
    <cellStyle name="Normal 58 2 5 2 2" xfId="8876" xr:uid="{00000000-0005-0000-0000-000039410000}"/>
    <cellStyle name="Normal 58 2 5 2 2 2" xfId="19773" xr:uid="{00000000-0005-0000-0000-00003A410000}"/>
    <cellStyle name="Normal 58 2 5 2 3" xfId="14822" xr:uid="{00000000-0005-0000-0000-00003B410000}"/>
    <cellStyle name="Normal 58 2 5 3" xfId="6564" xr:uid="{00000000-0005-0000-0000-00003C410000}"/>
    <cellStyle name="Normal 58 2 5 3 2" xfId="17461" xr:uid="{00000000-0005-0000-0000-00003D410000}"/>
    <cellStyle name="Normal 58 2 5 4" xfId="12545" xr:uid="{00000000-0005-0000-0000-00003E410000}"/>
    <cellStyle name="Normal 58 2 6" xfId="2732" xr:uid="{00000000-0005-0000-0000-00003F410000}"/>
    <cellStyle name="Normal 58 2 6 2" xfId="7683" xr:uid="{00000000-0005-0000-0000-000040410000}"/>
    <cellStyle name="Normal 58 2 6 2 2" xfId="18580" xr:uid="{00000000-0005-0000-0000-000041410000}"/>
    <cellStyle name="Normal 58 2 6 3" xfId="13629" xr:uid="{00000000-0005-0000-0000-000042410000}"/>
    <cellStyle name="Normal 58 2 7" xfId="5371" xr:uid="{00000000-0005-0000-0000-000043410000}"/>
    <cellStyle name="Normal 58 2 7 2" xfId="16268" xr:uid="{00000000-0005-0000-0000-000044410000}"/>
    <cellStyle name="Normal 58 2 8" xfId="11374" xr:uid="{00000000-0005-0000-0000-000045410000}"/>
    <cellStyle name="Normal 58 3" xfId="486" xr:uid="{00000000-0005-0000-0000-000046410000}"/>
    <cellStyle name="Normal 58 3 2" xfId="751" xr:uid="{00000000-0005-0000-0000-000047410000}"/>
    <cellStyle name="Normal 58 3 2 2" xfId="1283" xr:uid="{00000000-0005-0000-0000-000048410000}"/>
    <cellStyle name="Normal 58 3 2 2 2" xfId="2440" xr:uid="{00000000-0005-0000-0000-000049410000}"/>
    <cellStyle name="Normal 58 3 2 2 2 2" xfId="4752" xr:uid="{00000000-0005-0000-0000-00004A410000}"/>
    <cellStyle name="Normal 58 3 2 2 2 2 2" xfId="9703" xr:uid="{00000000-0005-0000-0000-00004B410000}"/>
    <cellStyle name="Normal 58 3 2 2 2 2 2 2" xfId="20600" xr:uid="{00000000-0005-0000-0000-00004C410000}"/>
    <cellStyle name="Normal 58 3 2 2 2 2 3" xfId="15649" xr:uid="{00000000-0005-0000-0000-00004D410000}"/>
    <cellStyle name="Normal 58 3 2 2 2 3" xfId="7391" xr:uid="{00000000-0005-0000-0000-00004E410000}"/>
    <cellStyle name="Normal 58 3 2 2 2 3 2" xfId="18288" xr:uid="{00000000-0005-0000-0000-00004F410000}"/>
    <cellStyle name="Normal 58 3 2 2 2 4" xfId="13351" xr:uid="{00000000-0005-0000-0000-000050410000}"/>
    <cellStyle name="Normal 58 3 2 2 3" xfId="3607" xr:uid="{00000000-0005-0000-0000-000051410000}"/>
    <cellStyle name="Normal 58 3 2 2 3 2" xfId="8558" xr:uid="{00000000-0005-0000-0000-000052410000}"/>
    <cellStyle name="Normal 58 3 2 2 3 2 2" xfId="19455" xr:uid="{00000000-0005-0000-0000-000053410000}"/>
    <cellStyle name="Normal 58 3 2 2 3 3" xfId="14504" xr:uid="{00000000-0005-0000-0000-000054410000}"/>
    <cellStyle name="Normal 58 3 2 2 4" xfId="6246" xr:uid="{00000000-0005-0000-0000-000055410000}"/>
    <cellStyle name="Normal 58 3 2 2 4 2" xfId="17143" xr:uid="{00000000-0005-0000-0000-000056410000}"/>
    <cellStyle name="Normal 58 3 2 2 5" xfId="12233" xr:uid="{00000000-0005-0000-0000-000057410000}"/>
    <cellStyle name="Normal 58 3 2 3" xfId="1909" xr:uid="{00000000-0005-0000-0000-000058410000}"/>
    <cellStyle name="Normal 58 3 2 3 2" xfId="4221" xr:uid="{00000000-0005-0000-0000-000059410000}"/>
    <cellStyle name="Normal 58 3 2 3 2 2" xfId="9172" xr:uid="{00000000-0005-0000-0000-00005A410000}"/>
    <cellStyle name="Normal 58 3 2 3 2 2 2" xfId="20069" xr:uid="{00000000-0005-0000-0000-00005B410000}"/>
    <cellStyle name="Normal 58 3 2 3 2 3" xfId="15118" xr:uid="{00000000-0005-0000-0000-00005C410000}"/>
    <cellStyle name="Normal 58 3 2 3 3" xfId="6860" xr:uid="{00000000-0005-0000-0000-00005D410000}"/>
    <cellStyle name="Normal 58 3 2 3 3 2" xfId="17757" xr:uid="{00000000-0005-0000-0000-00005E410000}"/>
    <cellStyle name="Normal 58 3 2 3 4" xfId="12833" xr:uid="{00000000-0005-0000-0000-00005F410000}"/>
    <cellStyle name="Normal 58 3 2 4" xfId="3075" xr:uid="{00000000-0005-0000-0000-000060410000}"/>
    <cellStyle name="Normal 58 3 2 4 2" xfId="8026" xr:uid="{00000000-0005-0000-0000-000061410000}"/>
    <cellStyle name="Normal 58 3 2 4 2 2" xfId="18923" xr:uid="{00000000-0005-0000-0000-000062410000}"/>
    <cellStyle name="Normal 58 3 2 4 3" xfId="13972" xr:uid="{00000000-0005-0000-0000-000063410000}"/>
    <cellStyle name="Normal 58 3 2 5" xfId="5714" xr:uid="{00000000-0005-0000-0000-000064410000}"/>
    <cellStyle name="Normal 58 3 2 5 2" xfId="16611" xr:uid="{00000000-0005-0000-0000-000065410000}"/>
    <cellStyle name="Normal 58 3 2 6" xfId="11712" xr:uid="{00000000-0005-0000-0000-000066410000}"/>
    <cellStyle name="Normal 58 3 3" xfId="1018" xr:uid="{00000000-0005-0000-0000-000067410000}"/>
    <cellStyle name="Normal 58 3 3 2" xfId="2175" xr:uid="{00000000-0005-0000-0000-000068410000}"/>
    <cellStyle name="Normal 58 3 3 2 2" xfId="4487" xr:uid="{00000000-0005-0000-0000-000069410000}"/>
    <cellStyle name="Normal 58 3 3 2 2 2" xfId="9438" xr:uid="{00000000-0005-0000-0000-00006A410000}"/>
    <cellStyle name="Normal 58 3 3 2 2 2 2" xfId="20335" xr:uid="{00000000-0005-0000-0000-00006B410000}"/>
    <cellStyle name="Normal 58 3 3 2 2 3" xfId="15384" xr:uid="{00000000-0005-0000-0000-00006C410000}"/>
    <cellStyle name="Normal 58 3 3 2 3" xfId="7126" xr:uid="{00000000-0005-0000-0000-00006D410000}"/>
    <cellStyle name="Normal 58 3 3 2 3 2" xfId="18023" xr:uid="{00000000-0005-0000-0000-00006E410000}"/>
    <cellStyle name="Normal 58 3 3 2 4" xfId="13092" xr:uid="{00000000-0005-0000-0000-00006F410000}"/>
    <cellStyle name="Normal 58 3 3 3" xfId="3342" xr:uid="{00000000-0005-0000-0000-000070410000}"/>
    <cellStyle name="Normal 58 3 3 3 2" xfId="8293" xr:uid="{00000000-0005-0000-0000-000071410000}"/>
    <cellStyle name="Normal 58 3 3 3 2 2" xfId="19190" xr:uid="{00000000-0005-0000-0000-000072410000}"/>
    <cellStyle name="Normal 58 3 3 3 3" xfId="14239" xr:uid="{00000000-0005-0000-0000-000073410000}"/>
    <cellStyle name="Normal 58 3 3 4" xfId="5981" xr:uid="{00000000-0005-0000-0000-000074410000}"/>
    <cellStyle name="Normal 58 3 3 4 2" xfId="16878" xr:uid="{00000000-0005-0000-0000-000075410000}"/>
    <cellStyle name="Normal 58 3 3 5" xfId="11974" xr:uid="{00000000-0005-0000-0000-000076410000}"/>
    <cellStyle name="Normal 58 3 4" xfId="1676" xr:uid="{00000000-0005-0000-0000-000077410000}"/>
    <cellStyle name="Normal 58 3 4 2" xfId="3988" xr:uid="{00000000-0005-0000-0000-000078410000}"/>
    <cellStyle name="Normal 58 3 4 2 2" xfId="8939" xr:uid="{00000000-0005-0000-0000-000079410000}"/>
    <cellStyle name="Normal 58 3 4 2 2 2" xfId="19836" xr:uid="{00000000-0005-0000-0000-00007A410000}"/>
    <cellStyle name="Normal 58 3 4 2 3" xfId="14885" xr:uid="{00000000-0005-0000-0000-00007B410000}"/>
    <cellStyle name="Normal 58 3 4 3" xfId="6627" xr:uid="{00000000-0005-0000-0000-00007C410000}"/>
    <cellStyle name="Normal 58 3 4 3 2" xfId="17524" xr:uid="{00000000-0005-0000-0000-00007D410000}"/>
    <cellStyle name="Normal 58 3 4 4" xfId="12607" xr:uid="{00000000-0005-0000-0000-00007E410000}"/>
    <cellStyle name="Normal 58 3 5" xfId="2810" xr:uid="{00000000-0005-0000-0000-00007F410000}"/>
    <cellStyle name="Normal 58 3 5 2" xfId="7761" xr:uid="{00000000-0005-0000-0000-000080410000}"/>
    <cellStyle name="Normal 58 3 5 2 2" xfId="18658" xr:uid="{00000000-0005-0000-0000-000081410000}"/>
    <cellStyle name="Normal 58 3 5 3" xfId="13707" xr:uid="{00000000-0005-0000-0000-000082410000}"/>
    <cellStyle name="Normal 58 3 6" xfId="5449" xr:uid="{00000000-0005-0000-0000-000083410000}"/>
    <cellStyle name="Normal 58 3 6 2" xfId="16346" xr:uid="{00000000-0005-0000-0000-000084410000}"/>
    <cellStyle name="Normal 58 3 7" xfId="11451" xr:uid="{00000000-0005-0000-0000-000085410000}"/>
    <cellStyle name="Normal 58 4" xfId="610" xr:uid="{00000000-0005-0000-0000-000086410000}"/>
    <cellStyle name="Normal 58 4 2" xfId="1142" xr:uid="{00000000-0005-0000-0000-000087410000}"/>
    <cellStyle name="Normal 58 4 2 2" xfId="2299" xr:uid="{00000000-0005-0000-0000-000088410000}"/>
    <cellStyle name="Normal 58 4 2 2 2" xfId="4611" xr:uid="{00000000-0005-0000-0000-000089410000}"/>
    <cellStyle name="Normal 58 4 2 2 2 2" xfId="9562" xr:uid="{00000000-0005-0000-0000-00008A410000}"/>
    <cellStyle name="Normal 58 4 2 2 2 2 2" xfId="20459" xr:uid="{00000000-0005-0000-0000-00008B410000}"/>
    <cellStyle name="Normal 58 4 2 2 2 3" xfId="15508" xr:uid="{00000000-0005-0000-0000-00008C410000}"/>
    <cellStyle name="Normal 58 4 2 2 3" xfId="7250" xr:uid="{00000000-0005-0000-0000-00008D410000}"/>
    <cellStyle name="Normal 58 4 2 2 3 2" xfId="18147" xr:uid="{00000000-0005-0000-0000-00008E410000}"/>
    <cellStyle name="Normal 58 4 2 2 4" xfId="13214" xr:uid="{00000000-0005-0000-0000-00008F410000}"/>
    <cellStyle name="Normal 58 4 2 3" xfId="3466" xr:uid="{00000000-0005-0000-0000-000090410000}"/>
    <cellStyle name="Normal 58 4 2 3 2" xfId="8417" xr:uid="{00000000-0005-0000-0000-000091410000}"/>
    <cellStyle name="Normal 58 4 2 3 2 2" xfId="19314" xr:uid="{00000000-0005-0000-0000-000092410000}"/>
    <cellStyle name="Normal 58 4 2 3 3" xfId="14363" xr:uid="{00000000-0005-0000-0000-000093410000}"/>
    <cellStyle name="Normal 58 4 2 4" xfId="6105" xr:uid="{00000000-0005-0000-0000-000094410000}"/>
    <cellStyle name="Normal 58 4 2 4 2" xfId="17002" xr:uid="{00000000-0005-0000-0000-000095410000}"/>
    <cellStyle name="Normal 58 4 2 5" xfId="12096" xr:uid="{00000000-0005-0000-0000-000096410000}"/>
    <cellStyle name="Normal 58 4 3" xfId="1791" xr:uid="{00000000-0005-0000-0000-000097410000}"/>
    <cellStyle name="Normal 58 4 3 2" xfId="4103" xr:uid="{00000000-0005-0000-0000-000098410000}"/>
    <cellStyle name="Normal 58 4 3 2 2" xfId="9054" xr:uid="{00000000-0005-0000-0000-000099410000}"/>
    <cellStyle name="Normal 58 4 3 2 2 2" xfId="19951" xr:uid="{00000000-0005-0000-0000-00009A410000}"/>
    <cellStyle name="Normal 58 4 3 2 3" xfId="15000" xr:uid="{00000000-0005-0000-0000-00009B410000}"/>
    <cellStyle name="Normal 58 4 3 3" xfId="6742" xr:uid="{00000000-0005-0000-0000-00009C410000}"/>
    <cellStyle name="Normal 58 4 3 3 2" xfId="17639" xr:uid="{00000000-0005-0000-0000-00009D410000}"/>
    <cellStyle name="Normal 58 4 3 4" xfId="12720" xr:uid="{00000000-0005-0000-0000-00009E410000}"/>
    <cellStyle name="Normal 58 4 4" xfId="2934" xr:uid="{00000000-0005-0000-0000-00009F410000}"/>
    <cellStyle name="Normal 58 4 4 2" xfId="7885" xr:uid="{00000000-0005-0000-0000-0000A0410000}"/>
    <cellStyle name="Normal 58 4 4 2 2" xfId="18782" xr:uid="{00000000-0005-0000-0000-0000A1410000}"/>
    <cellStyle name="Normal 58 4 4 3" xfId="13831" xr:uid="{00000000-0005-0000-0000-0000A2410000}"/>
    <cellStyle name="Normal 58 4 5" xfId="5573" xr:uid="{00000000-0005-0000-0000-0000A3410000}"/>
    <cellStyle name="Normal 58 4 5 2" xfId="16470" xr:uid="{00000000-0005-0000-0000-0000A4410000}"/>
    <cellStyle name="Normal 58 4 6" xfId="11575" xr:uid="{00000000-0005-0000-0000-0000A5410000}"/>
    <cellStyle name="Normal 58 5" xfId="877" xr:uid="{00000000-0005-0000-0000-0000A6410000}"/>
    <cellStyle name="Normal 58 5 2" xfId="2034" xr:uid="{00000000-0005-0000-0000-0000A7410000}"/>
    <cellStyle name="Normal 58 5 2 2" xfId="4346" xr:uid="{00000000-0005-0000-0000-0000A8410000}"/>
    <cellStyle name="Normal 58 5 2 2 2" xfId="9297" xr:uid="{00000000-0005-0000-0000-0000A9410000}"/>
    <cellStyle name="Normal 58 5 2 2 2 2" xfId="20194" xr:uid="{00000000-0005-0000-0000-0000AA410000}"/>
    <cellStyle name="Normal 58 5 2 2 3" xfId="15243" xr:uid="{00000000-0005-0000-0000-0000AB410000}"/>
    <cellStyle name="Normal 58 5 2 3" xfId="6985" xr:uid="{00000000-0005-0000-0000-0000AC410000}"/>
    <cellStyle name="Normal 58 5 2 3 2" xfId="17882" xr:uid="{00000000-0005-0000-0000-0000AD410000}"/>
    <cellStyle name="Normal 58 5 2 4" xfId="12956" xr:uid="{00000000-0005-0000-0000-0000AE410000}"/>
    <cellStyle name="Normal 58 5 3" xfId="3201" xr:uid="{00000000-0005-0000-0000-0000AF410000}"/>
    <cellStyle name="Normal 58 5 3 2" xfId="8152" xr:uid="{00000000-0005-0000-0000-0000B0410000}"/>
    <cellStyle name="Normal 58 5 3 2 2" xfId="19049" xr:uid="{00000000-0005-0000-0000-0000B1410000}"/>
    <cellStyle name="Normal 58 5 3 3" xfId="14098" xr:uid="{00000000-0005-0000-0000-0000B2410000}"/>
    <cellStyle name="Normal 58 5 4" xfId="5840" xr:uid="{00000000-0005-0000-0000-0000B3410000}"/>
    <cellStyle name="Normal 58 5 4 2" xfId="16737" xr:uid="{00000000-0005-0000-0000-0000B4410000}"/>
    <cellStyle name="Normal 58 5 5" xfId="11838" xr:uid="{00000000-0005-0000-0000-0000B5410000}"/>
    <cellStyle name="Normal 58 6" xfId="1558" xr:uid="{00000000-0005-0000-0000-0000B6410000}"/>
    <cellStyle name="Normal 58 6 2" xfId="3870" xr:uid="{00000000-0005-0000-0000-0000B7410000}"/>
    <cellStyle name="Normal 58 6 2 2" xfId="8821" xr:uid="{00000000-0005-0000-0000-0000B8410000}"/>
    <cellStyle name="Normal 58 6 2 2 2" xfId="19718" xr:uid="{00000000-0005-0000-0000-0000B9410000}"/>
    <cellStyle name="Normal 58 6 2 3" xfId="14767" xr:uid="{00000000-0005-0000-0000-0000BA410000}"/>
    <cellStyle name="Normal 58 6 3" xfId="6509" xr:uid="{00000000-0005-0000-0000-0000BB410000}"/>
    <cellStyle name="Normal 58 6 3 2" xfId="17406" xr:uid="{00000000-0005-0000-0000-0000BC410000}"/>
    <cellStyle name="Normal 58 6 4" xfId="12493" xr:uid="{00000000-0005-0000-0000-0000BD410000}"/>
    <cellStyle name="Normal 58 7" xfId="2669" xr:uid="{00000000-0005-0000-0000-0000BE410000}"/>
    <cellStyle name="Normal 58 7 2" xfId="7620" xr:uid="{00000000-0005-0000-0000-0000BF410000}"/>
    <cellStyle name="Normal 58 7 2 2" xfId="18517" xr:uid="{00000000-0005-0000-0000-0000C0410000}"/>
    <cellStyle name="Normal 58 7 3" xfId="13566" xr:uid="{00000000-0005-0000-0000-0000C1410000}"/>
    <cellStyle name="Normal 58 8" xfId="5308" xr:uid="{00000000-0005-0000-0000-0000C2410000}"/>
    <cellStyle name="Normal 58 8 2" xfId="16205" xr:uid="{00000000-0005-0000-0000-0000C3410000}"/>
    <cellStyle name="Normal 58 9" xfId="11313" xr:uid="{00000000-0005-0000-0000-0000C4410000}"/>
    <cellStyle name="Normal 59" xfId="324" xr:uid="{00000000-0005-0000-0000-0000C5410000}"/>
    <cellStyle name="Normal 59 2" xfId="408" xr:uid="{00000000-0005-0000-0000-0000C6410000}"/>
    <cellStyle name="Normal 59 2 2" xfId="538" xr:uid="{00000000-0005-0000-0000-0000C7410000}"/>
    <cellStyle name="Normal 59 2 2 2" xfId="803" xr:uid="{00000000-0005-0000-0000-0000C8410000}"/>
    <cellStyle name="Normal 59 2 2 2 2" xfId="1335" xr:uid="{00000000-0005-0000-0000-0000C9410000}"/>
    <cellStyle name="Normal 59 2 2 2 2 2" xfId="2492" xr:uid="{00000000-0005-0000-0000-0000CA410000}"/>
    <cellStyle name="Normal 59 2 2 2 2 2 2" xfId="4804" xr:uid="{00000000-0005-0000-0000-0000CB410000}"/>
    <cellStyle name="Normal 59 2 2 2 2 2 2 2" xfId="9755" xr:uid="{00000000-0005-0000-0000-0000CC410000}"/>
    <cellStyle name="Normal 59 2 2 2 2 2 2 2 2" xfId="20652" xr:uid="{00000000-0005-0000-0000-0000CD410000}"/>
    <cellStyle name="Normal 59 2 2 2 2 2 2 3" xfId="15701" xr:uid="{00000000-0005-0000-0000-0000CE410000}"/>
    <cellStyle name="Normal 59 2 2 2 2 2 3" xfId="7443" xr:uid="{00000000-0005-0000-0000-0000CF410000}"/>
    <cellStyle name="Normal 59 2 2 2 2 2 3 2" xfId="18340" xr:uid="{00000000-0005-0000-0000-0000D0410000}"/>
    <cellStyle name="Normal 59 2 2 2 2 2 4" xfId="13403" xr:uid="{00000000-0005-0000-0000-0000D1410000}"/>
    <cellStyle name="Normal 59 2 2 2 2 3" xfId="3659" xr:uid="{00000000-0005-0000-0000-0000D2410000}"/>
    <cellStyle name="Normal 59 2 2 2 2 3 2" xfId="8610" xr:uid="{00000000-0005-0000-0000-0000D3410000}"/>
    <cellStyle name="Normal 59 2 2 2 2 3 2 2" xfId="19507" xr:uid="{00000000-0005-0000-0000-0000D4410000}"/>
    <cellStyle name="Normal 59 2 2 2 2 3 3" xfId="14556" xr:uid="{00000000-0005-0000-0000-0000D5410000}"/>
    <cellStyle name="Normal 59 2 2 2 2 4" xfId="6298" xr:uid="{00000000-0005-0000-0000-0000D6410000}"/>
    <cellStyle name="Normal 59 2 2 2 2 4 2" xfId="17195" xr:uid="{00000000-0005-0000-0000-0000D7410000}"/>
    <cellStyle name="Normal 59 2 2 2 2 5" xfId="12285" xr:uid="{00000000-0005-0000-0000-0000D8410000}"/>
    <cellStyle name="Normal 59 2 2 2 3" xfId="1961" xr:uid="{00000000-0005-0000-0000-0000D9410000}"/>
    <cellStyle name="Normal 59 2 2 2 3 2" xfId="4273" xr:uid="{00000000-0005-0000-0000-0000DA410000}"/>
    <cellStyle name="Normal 59 2 2 2 3 2 2" xfId="9224" xr:uid="{00000000-0005-0000-0000-0000DB410000}"/>
    <cellStyle name="Normal 59 2 2 2 3 2 2 2" xfId="20121" xr:uid="{00000000-0005-0000-0000-0000DC410000}"/>
    <cellStyle name="Normal 59 2 2 2 3 2 3" xfId="15170" xr:uid="{00000000-0005-0000-0000-0000DD410000}"/>
    <cellStyle name="Normal 59 2 2 2 3 3" xfId="6912" xr:uid="{00000000-0005-0000-0000-0000DE410000}"/>
    <cellStyle name="Normal 59 2 2 2 3 3 2" xfId="17809" xr:uid="{00000000-0005-0000-0000-0000DF410000}"/>
    <cellStyle name="Normal 59 2 2 2 3 4" xfId="12885" xr:uid="{00000000-0005-0000-0000-0000E0410000}"/>
    <cellStyle name="Normal 59 2 2 2 4" xfId="3127" xr:uid="{00000000-0005-0000-0000-0000E1410000}"/>
    <cellStyle name="Normal 59 2 2 2 4 2" xfId="8078" xr:uid="{00000000-0005-0000-0000-0000E2410000}"/>
    <cellStyle name="Normal 59 2 2 2 4 2 2" xfId="18975" xr:uid="{00000000-0005-0000-0000-0000E3410000}"/>
    <cellStyle name="Normal 59 2 2 2 4 3" xfId="14024" xr:uid="{00000000-0005-0000-0000-0000E4410000}"/>
    <cellStyle name="Normal 59 2 2 2 5" xfId="5766" xr:uid="{00000000-0005-0000-0000-0000E5410000}"/>
    <cellStyle name="Normal 59 2 2 2 5 2" xfId="16663" xr:uid="{00000000-0005-0000-0000-0000E6410000}"/>
    <cellStyle name="Normal 59 2 2 2 6" xfId="11764" xr:uid="{00000000-0005-0000-0000-0000E7410000}"/>
    <cellStyle name="Normal 59 2 2 3" xfId="1070" xr:uid="{00000000-0005-0000-0000-0000E8410000}"/>
    <cellStyle name="Normal 59 2 2 3 2" xfId="2227" xr:uid="{00000000-0005-0000-0000-0000E9410000}"/>
    <cellStyle name="Normal 59 2 2 3 2 2" xfId="4539" xr:uid="{00000000-0005-0000-0000-0000EA410000}"/>
    <cellStyle name="Normal 59 2 2 3 2 2 2" xfId="9490" xr:uid="{00000000-0005-0000-0000-0000EB410000}"/>
    <cellStyle name="Normal 59 2 2 3 2 2 2 2" xfId="20387" xr:uid="{00000000-0005-0000-0000-0000EC410000}"/>
    <cellStyle name="Normal 59 2 2 3 2 2 3" xfId="15436" xr:uid="{00000000-0005-0000-0000-0000ED410000}"/>
    <cellStyle name="Normal 59 2 2 3 2 3" xfId="7178" xr:uid="{00000000-0005-0000-0000-0000EE410000}"/>
    <cellStyle name="Normal 59 2 2 3 2 3 2" xfId="18075" xr:uid="{00000000-0005-0000-0000-0000EF410000}"/>
    <cellStyle name="Normal 59 2 2 3 2 4" xfId="13144" xr:uid="{00000000-0005-0000-0000-0000F0410000}"/>
    <cellStyle name="Normal 59 2 2 3 3" xfId="3394" xr:uid="{00000000-0005-0000-0000-0000F1410000}"/>
    <cellStyle name="Normal 59 2 2 3 3 2" xfId="8345" xr:uid="{00000000-0005-0000-0000-0000F2410000}"/>
    <cellStyle name="Normal 59 2 2 3 3 2 2" xfId="19242" xr:uid="{00000000-0005-0000-0000-0000F3410000}"/>
    <cellStyle name="Normal 59 2 2 3 3 3" xfId="14291" xr:uid="{00000000-0005-0000-0000-0000F4410000}"/>
    <cellStyle name="Normal 59 2 2 3 4" xfId="6033" xr:uid="{00000000-0005-0000-0000-0000F5410000}"/>
    <cellStyle name="Normal 59 2 2 3 4 2" xfId="16930" xr:uid="{00000000-0005-0000-0000-0000F6410000}"/>
    <cellStyle name="Normal 59 2 2 3 5" xfId="12026" xr:uid="{00000000-0005-0000-0000-0000F7410000}"/>
    <cellStyle name="Normal 59 2 2 4" xfId="1728" xr:uid="{00000000-0005-0000-0000-0000F8410000}"/>
    <cellStyle name="Normal 59 2 2 4 2" xfId="4040" xr:uid="{00000000-0005-0000-0000-0000F9410000}"/>
    <cellStyle name="Normal 59 2 2 4 2 2" xfId="8991" xr:uid="{00000000-0005-0000-0000-0000FA410000}"/>
    <cellStyle name="Normal 59 2 2 4 2 2 2" xfId="19888" xr:uid="{00000000-0005-0000-0000-0000FB410000}"/>
    <cellStyle name="Normal 59 2 2 4 2 3" xfId="14937" xr:uid="{00000000-0005-0000-0000-0000FC410000}"/>
    <cellStyle name="Normal 59 2 2 4 3" xfId="6679" xr:uid="{00000000-0005-0000-0000-0000FD410000}"/>
    <cellStyle name="Normal 59 2 2 4 3 2" xfId="17576" xr:uid="{00000000-0005-0000-0000-0000FE410000}"/>
    <cellStyle name="Normal 59 2 2 4 4" xfId="12659" xr:uid="{00000000-0005-0000-0000-0000FF410000}"/>
    <cellStyle name="Normal 59 2 2 5" xfId="2862" xr:uid="{00000000-0005-0000-0000-000000420000}"/>
    <cellStyle name="Normal 59 2 2 5 2" xfId="7813" xr:uid="{00000000-0005-0000-0000-000001420000}"/>
    <cellStyle name="Normal 59 2 2 5 2 2" xfId="18710" xr:uid="{00000000-0005-0000-0000-000002420000}"/>
    <cellStyle name="Normal 59 2 2 5 3" xfId="13759" xr:uid="{00000000-0005-0000-0000-000003420000}"/>
    <cellStyle name="Normal 59 2 2 6" xfId="5501" xr:uid="{00000000-0005-0000-0000-000004420000}"/>
    <cellStyle name="Normal 59 2 2 6 2" xfId="16398" xr:uid="{00000000-0005-0000-0000-000005420000}"/>
    <cellStyle name="Normal 59 2 2 7" xfId="11503" xr:uid="{00000000-0005-0000-0000-000006420000}"/>
    <cellStyle name="Normal 59 2 3" xfId="674" xr:uid="{00000000-0005-0000-0000-000007420000}"/>
    <cellStyle name="Normal 59 2 3 2" xfId="1206" xr:uid="{00000000-0005-0000-0000-000008420000}"/>
    <cellStyle name="Normal 59 2 3 2 2" xfId="2363" xr:uid="{00000000-0005-0000-0000-000009420000}"/>
    <cellStyle name="Normal 59 2 3 2 2 2" xfId="4675" xr:uid="{00000000-0005-0000-0000-00000A420000}"/>
    <cellStyle name="Normal 59 2 3 2 2 2 2" xfId="9626" xr:uid="{00000000-0005-0000-0000-00000B420000}"/>
    <cellStyle name="Normal 59 2 3 2 2 2 2 2" xfId="20523" xr:uid="{00000000-0005-0000-0000-00000C420000}"/>
    <cellStyle name="Normal 59 2 3 2 2 2 3" xfId="15572" xr:uid="{00000000-0005-0000-0000-00000D420000}"/>
    <cellStyle name="Normal 59 2 3 2 2 3" xfId="7314" xr:uid="{00000000-0005-0000-0000-00000E420000}"/>
    <cellStyle name="Normal 59 2 3 2 2 3 2" xfId="18211" xr:uid="{00000000-0005-0000-0000-00000F420000}"/>
    <cellStyle name="Normal 59 2 3 2 2 4" xfId="13275" xr:uid="{00000000-0005-0000-0000-000010420000}"/>
    <cellStyle name="Normal 59 2 3 2 3" xfId="3530" xr:uid="{00000000-0005-0000-0000-000011420000}"/>
    <cellStyle name="Normal 59 2 3 2 3 2" xfId="8481" xr:uid="{00000000-0005-0000-0000-000012420000}"/>
    <cellStyle name="Normal 59 2 3 2 3 2 2" xfId="19378" xr:uid="{00000000-0005-0000-0000-000013420000}"/>
    <cellStyle name="Normal 59 2 3 2 3 3" xfId="14427" xr:uid="{00000000-0005-0000-0000-000014420000}"/>
    <cellStyle name="Normal 59 2 3 2 4" xfId="6169" xr:uid="{00000000-0005-0000-0000-000015420000}"/>
    <cellStyle name="Normal 59 2 3 2 4 2" xfId="17066" xr:uid="{00000000-0005-0000-0000-000016420000}"/>
    <cellStyle name="Normal 59 2 3 2 5" xfId="12157" xr:uid="{00000000-0005-0000-0000-000017420000}"/>
    <cellStyle name="Normal 59 2 3 3" xfId="1847" xr:uid="{00000000-0005-0000-0000-000018420000}"/>
    <cellStyle name="Normal 59 2 3 3 2" xfId="4159" xr:uid="{00000000-0005-0000-0000-000019420000}"/>
    <cellStyle name="Normal 59 2 3 3 2 2" xfId="9110" xr:uid="{00000000-0005-0000-0000-00001A420000}"/>
    <cellStyle name="Normal 59 2 3 3 2 2 2" xfId="20007" xr:uid="{00000000-0005-0000-0000-00001B420000}"/>
    <cellStyle name="Normal 59 2 3 3 2 3" xfId="15056" xr:uid="{00000000-0005-0000-0000-00001C420000}"/>
    <cellStyle name="Normal 59 2 3 3 3" xfId="6798" xr:uid="{00000000-0005-0000-0000-00001D420000}"/>
    <cellStyle name="Normal 59 2 3 3 3 2" xfId="17695" xr:uid="{00000000-0005-0000-0000-00001E420000}"/>
    <cellStyle name="Normal 59 2 3 3 4" xfId="12772" xr:uid="{00000000-0005-0000-0000-00001F420000}"/>
    <cellStyle name="Normal 59 2 3 4" xfId="2998" xr:uid="{00000000-0005-0000-0000-000020420000}"/>
    <cellStyle name="Normal 59 2 3 4 2" xfId="7949" xr:uid="{00000000-0005-0000-0000-000021420000}"/>
    <cellStyle name="Normal 59 2 3 4 2 2" xfId="18846" xr:uid="{00000000-0005-0000-0000-000022420000}"/>
    <cellStyle name="Normal 59 2 3 4 3" xfId="13895" xr:uid="{00000000-0005-0000-0000-000023420000}"/>
    <cellStyle name="Normal 59 2 3 5" xfId="5637" xr:uid="{00000000-0005-0000-0000-000024420000}"/>
    <cellStyle name="Normal 59 2 3 5 2" xfId="16534" xr:uid="{00000000-0005-0000-0000-000025420000}"/>
    <cellStyle name="Normal 59 2 3 6" xfId="11636" xr:uid="{00000000-0005-0000-0000-000026420000}"/>
    <cellStyle name="Normal 59 2 4" xfId="941" xr:uid="{00000000-0005-0000-0000-000027420000}"/>
    <cellStyle name="Normal 59 2 4 2" xfId="2098" xr:uid="{00000000-0005-0000-0000-000028420000}"/>
    <cellStyle name="Normal 59 2 4 2 2" xfId="4410" xr:uid="{00000000-0005-0000-0000-000029420000}"/>
    <cellStyle name="Normal 59 2 4 2 2 2" xfId="9361" xr:uid="{00000000-0005-0000-0000-00002A420000}"/>
    <cellStyle name="Normal 59 2 4 2 2 2 2" xfId="20258" xr:uid="{00000000-0005-0000-0000-00002B420000}"/>
    <cellStyle name="Normal 59 2 4 2 2 3" xfId="15307" xr:uid="{00000000-0005-0000-0000-00002C420000}"/>
    <cellStyle name="Normal 59 2 4 2 3" xfId="7049" xr:uid="{00000000-0005-0000-0000-00002D420000}"/>
    <cellStyle name="Normal 59 2 4 2 3 2" xfId="17946" xr:uid="{00000000-0005-0000-0000-00002E420000}"/>
    <cellStyle name="Normal 59 2 4 2 4" xfId="13016" xr:uid="{00000000-0005-0000-0000-00002F420000}"/>
    <cellStyle name="Normal 59 2 4 3" xfId="3265" xr:uid="{00000000-0005-0000-0000-000030420000}"/>
    <cellStyle name="Normal 59 2 4 3 2" xfId="8216" xr:uid="{00000000-0005-0000-0000-000031420000}"/>
    <cellStyle name="Normal 59 2 4 3 2 2" xfId="19113" xr:uid="{00000000-0005-0000-0000-000032420000}"/>
    <cellStyle name="Normal 59 2 4 3 3" xfId="14162" xr:uid="{00000000-0005-0000-0000-000033420000}"/>
    <cellStyle name="Normal 59 2 4 4" xfId="5904" xr:uid="{00000000-0005-0000-0000-000034420000}"/>
    <cellStyle name="Normal 59 2 4 4 2" xfId="16801" xr:uid="{00000000-0005-0000-0000-000035420000}"/>
    <cellStyle name="Normal 59 2 4 5" xfId="11898" xr:uid="{00000000-0005-0000-0000-000036420000}"/>
    <cellStyle name="Normal 59 2 5" xfId="1614" xr:uid="{00000000-0005-0000-0000-000037420000}"/>
    <cellStyle name="Normal 59 2 5 2" xfId="3926" xr:uid="{00000000-0005-0000-0000-000038420000}"/>
    <cellStyle name="Normal 59 2 5 2 2" xfId="8877" xr:uid="{00000000-0005-0000-0000-000039420000}"/>
    <cellStyle name="Normal 59 2 5 2 2 2" xfId="19774" xr:uid="{00000000-0005-0000-0000-00003A420000}"/>
    <cellStyle name="Normal 59 2 5 2 3" xfId="14823" xr:uid="{00000000-0005-0000-0000-00003B420000}"/>
    <cellStyle name="Normal 59 2 5 3" xfId="6565" xr:uid="{00000000-0005-0000-0000-00003C420000}"/>
    <cellStyle name="Normal 59 2 5 3 2" xfId="17462" xr:uid="{00000000-0005-0000-0000-00003D420000}"/>
    <cellStyle name="Normal 59 2 5 4" xfId="12546" xr:uid="{00000000-0005-0000-0000-00003E420000}"/>
    <cellStyle name="Normal 59 2 6" xfId="2733" xr:uid="{00000000-0005-0000-0000-00003F420000}"/>
    <cellStyle name="Normal 59 2 6 2" xfId="7684" xr:uid="{00000000-0005-0000-0000-000040420000}"/>
    <cellStyle name="Normal 59 2 6 2 2" xfId="18581" xr:uid="{00000000-0005-0000-0000-000041420000}"/>
    <cellStyle name="Normal 59 2 6 3" xfId="13630" xr:uid="{00000000-0005-0000-0000-000042420000}"/>
    <cellStyle name="Normal 59 2 7" xfId="5372" xr:uid="{00000000-0005-0000-0000-000043420000}"/>
    <cellStyle name="Normal 59 2 7 2" xfId="16269" xr:uid="{00000000-0005-0000-0000-000044420000}"/>
    <cellStyle name="Normal 59 2 8" xfId="11375" xr:uid="{00000000-0005-0000-0000-000045420000}"/>
    <cellStyle name="Normal 59 3" xfId="487" xr:uid="{00000000-0005-0000-0000-000046420000}"/>
    <cellStyle name="Normal 59 3 2" xfId="752" xr:uid="{00000000-0005-0000-0000-000047420000}"/>
    <cellStyle name="Normal 59 3 2 2" xfId="1284" xr:uid="{00000000-0005-0000-0000-000048420000}"/>
    <cellStyle name="Normal 59 3 2 2 2" xfId="2441" xr:uid="{00000000-0005-0000-0000-000049420000}"/>
    <cellStyle name="Normal 59 3 2 2 2 2" xfId="4753" xr:uid="{00000000-0005-0000-0000-00004A420000}"/>
    <cellStyle name="Normal 59 3 2 2 2 2 2" xfId="9704" xr:uid="{00000000-0005-0000-0000-00004B420000}"/>
    <cellStyle name="Normal 59 3 2 2 2 2 2 2" xfId="20601" xr:uid="{00000000-0005-0000-0000-00004C420000}"/>
    <cellStyle name="Normal 59 3 2 2 2 2 3" xfId="15650" xr:uid="{00000000-0005-0000-0000-00004D420000}"/>
    <cellStyle name="Normal 59 3 2 2 2 3" xfId="7392" xr:uid="{00000000-0005-0000-0000-00004E420000}"/>
    <cellStyle name="Normal 59 3 2 2 2 3 2" xfId="18289" xr:uid="{00000000-0005-0000-0000-00004F420000}"/>
    <cellStyle name="Normal 59 3 2 2 2 4" xfId="13352" xr:uid="{00000000-0005-0000-0000-000050420000}"/>
    <cellStyle name="Normal 59 3 2 2 3" xfId="3608" xr:uid="{00000000-0005-0000-0000-000051420000}"/>
    <cellStyle name="Normal 59 3 2 2 3 2" xfId="8559" xr:uid="{00000000-0005-0000-0000-000052420000}"/>
    <cellStyle name="Normal 59 3 2 2 3 2 2" xfId="19456" xr:uid="{00000000-0005-0000-0000-000053420000}"/>
    <cellStyle name="Normal 59 3 2 2 3 3" xfId="14505" xr:uid="{00000000-0005-0000-0000-000054420000}"/>
    <cellStyle name="Normal 59 3 2 2 4" xfId="6247" xr:uid="{00000000-0005-0000-0000-000055420000}"/>
    <cellStyle name="Normal 59 3 2 2 4 2" xfId="17144" xr:uid="{00000000-0005-0000-0000-000056420000}"/>
    <cellStyle name="Normal 59 3 2 2 5" xfId="12234" xr:uid="{00000000-0005-0000-0000-000057420000}"/>
    <cellStyle name="Normal 59 3 2 3" xfId="1910" xr:uid="{00000000-0005-0000-0000-000058420000}"/>
    <cellStyle name="Normal 59 3 2 3 2" xfId="4222" xr:uid="{00000000-0005-0000-0000-000059420000}"/>
    <cellStyle name="Normal 59 3 2 3 2 2" xfId="9173" xr:uid="{00000000-0005-0000-0000-00005A420000}"/>
    <cellStyle name="Normal 59 3 2 3 2 2 2" xfId="20070" xr:uid="{00000000-0005-0000-0000-00005B420000}"/>
    <cellStyle name="Normal 59 3 2 3 2 3" xfId="15119" xr:uid="{00000000-0005-0000-0000-00005C420000}"/>
    <cellStyle name="Normal 59 3 2 3 3" xfId="6861" xr:uid="{00000000-0005-0000-0000-00005D420000}"/>
    <cellStyle name="Normal 59 3 2 3 3 2" xfId="17758" xr:uid="{00000000-0005-0000-0000-00005E420000}"/>
    <cellStyle name="Normal 59 3 2 3 4" xfId="12834" xr:uid="{00000000-0005-0000-0000-00005F420000}"/>
    <cellStyle name="Normal 59 3 2 4" xfId="3076" xr:uid="{00000000-0005-0000-0000-000060420000}"/>
    <cellStyle name="Normal 59 3 2 4 2" xfId="8027" xr:uid="{00000000-0005-0000-0000-000061420000}"/>
    <cellStyle name="Normal 59 3 2 4 2 2" xfId="18924" xr:uid="{00000000-0005-0000-0000-000062420000}"/>
    <cellStyle name="Normal 59 3 2 4 3" xfId="13973" xr:uid="{00000000-0005-0000-0000-000063420000}"/>
    <cellStyle name="Normal 59 3 2 5" xfId="5715" xr:uid="{00000000-0005-0000-0000-000064420000}"/>
    <cellStyle name="Normal 59 3 2 5 2" xfId="16612" xr:uid="{00000000-0005-0000-0000-000065420000}"/>
    <cellStyle name="Normal 59 3 2 6" xfId="11713" xr:uid="{00000000-0005-0000-0000-000066420000}"/>
    <cellStyle name="Normal 59 3 3" xfId="1019" xr:uid="{00000000-0005-0000-0000-000067420000}"/>
    <cellStyle name="Normal 59 3 3 2" xfId="2176" xr:uid="{00000000-0005-0000-0000-000068420000}"/>
    <cellStyle name="Normal 59 3 3 2 2" xfId="4488" xr:uid="{00000000-0005-0000-0000-000069420000}"/>
    <cellStyle name="Normal 59 3 3 2 2 2" xfId="9439" xr:uid="{00000000-0005-0000-0000-00006A420000}"/>
    <cellStyle name="Normal 59 3 3 2 2 2 2" xfId="20336" xr:uid="{00000000-0005-0000-0000-00006B420000}"/>
    <cellStyle name="Normal 59 3 3 2 2 3" xfId="15385" xr:uid="{00000000-0005-0000-0000-00006C420000}"/>
    <cellStyle name="Normal 59 3 3 2 3" xfId="7127" xr:uid="{00000000-0005-0000-0000-00006D420000}"/>
    <cellStyle name="Normal 59 3 3 2 3 2" xfId="18024" xr:uid="{00000000-0005-0000-0000-00006E420000}"/>
    <cellStyle name="Normal 59 3 3 2 4" xfId="13093" xr:uid="{00000000-0005-0000-0000-00006F420000}"/>
    <cellStyle name="Normal 59 3 3 3" xfId="3343" xr:uid="{00000000-0005-0000-0000-000070420000}"/>
    <cellStyle name="Normal 59 3 3 3 2" xfId="8294" xr:uid="{00000000-0005-0000-0000-000071420000}"/>
    <cellStyle name="Normal 59 3 3 3 2 2" xfId="19191" xr:uid="{00000000-0005-0000-0000-000072420000}"/>
    <cellStyle name="Normal 59 3 3 3 3" xfId="14240" xr:uid="{00000000-0005-0000-0000-000073420000}"/>
    <cellStyle name="Normal 59 3 3 4" xfId="5982" xr:uid="{00000000-0005-0000-0000-000074420000}"/>
    <cellStyle name="Normal 59 3 3 4 2" xfId="16879" xr:uid="{00000000-0005-0000-0000-000075420000}"/>
    <cellStyle name="Normal 59 3 3 5" xfId="11975" xr:uid="{00000000-0005-0000-0000-000076420000}"/>
    <cellStyle name="Normal 59 3 4" xfId="1677" xr:uid="{00000000-0005-0000-0000-000077420000}"/>
    <cellStyle name="Normal 59 3 4 2" xfId="3989" xr:uid="{00000000-0005-0000-0000-000078420000}"/>
    <cellStyle name="Normal 59 3 4 2 2" xfId="8940" xr:uid="{00000000-0005-0000-0000-000079420000}"/>
    <cellStyle name="Normal 59 3 4 2 2 2" xfId="19837" xr:uid="{00000000-0005-0000-0000-00007A420000}"/>
    <cellStyle name="Normal 59 3 4 2 3" xfId="14886" xr:uid="{00000000-0005-0000-0000-00007B420000}"/>
    <cellStyle name="Normal 59 3 4 3" xfId="6628" xr:uid="{00000000-0005-0000-0000-00007C420000}"/>
    <cellStyle name="Normal 59 3 4 3 2" xfId="17525" xr:uid="{00000000-0005-0000-0000-00007D420000}"/>
    <cellStyle name="Normal 59 3 4 4" xfId="12608" xr:uid="{00000000-0005-0000-0000-00007E420000}"/>
    <cellStyle name="Normal 59 3 5" xfId="2811" xr:uid="{00000000-0005-0000-0000-00007F420000}"/>
    <cellStyle name="Normal 59 3 5 2" xfId="7762" xr:uid="{00000000-0005-0000-0000-000080420000}"/>
    <cellStyle name="Normal 59 3 5 2 2" xfId="18659" xr:uid="{00000000-0005-0000-0000-000081420000}"/>
    <cellStyle name="Normal 59 3 5 3" xfId="13708" xr:uid="{00000000-0005-0000-0000-000082420000}"/>
    <cellStyle name="Normal 59 3 6" xfId="5450" xr:uid="{00000000-0005-0000-0000-000083420000}"/>
    <cellStyle name="Normal 59 3 6 2" xfId="16347" xr:uid="{00000000-0005-0000-0000-000084420000}"/>
    <cellStyle name="Normal 59 3 7" xfId="11452" xr:uid="{00000000-0005-0000-0000-000085420000}"/>
    <cellStyle name="Normal 59 4" xfId="611" xr:uid="{00000000-0005-0000-0000-000086420000}"/>
    <cellStyle name="Normal 59 4 2" xfId="1143" xr:uid="{00000000-0005-0000-0000-000087420000}"/>
    <cellStyle name="Normal 59 4 2 2" xfId="2300" xr:uid="{00000000-0005-0000-0000-000088420000}"/>
    <cellStyle name="Normal 59 4 2 2 2" xfId="4612" xr:uid="{00000000-0005-0000-0000-000089420000}"/>
    <cellStyle name="Normal 59 4 2 2 2 2" xfId="9563" xr:uid="{00000000-0005-0000-0000-00008A420000}"/>
    <cellStyle name="Normal 59 4 2 2 2 2 2" xfId="20460" xr:uid="{00000000-0005-0000-0000-00008B420000}"/>
    <cellStyle name="Normal 59 4 2 2 2 3" xfId="15509" xr:uid="{00000000-0005-0000-0000-00008C420000}"/>
    <cellStyle name="Normal 59 4 2 2 3" xfId="7251" xr:uid="{00000000-0005-0000-0000-00008D420000}"/>
    <cellStyle name="Normal 59 4 2 2 3 2" xfId="18148" xr:uid="{00000000-0005-0000-0000-00008E420000}"/>
    <cellStyle name="Normal 59 4 2 2 4" xfId="13215" xr:uid="{00000000-0005-0000-0000-00008F420000}"/>
    <cellStyle name="Normal 59 4 2 3" xfId="3467" xr:uid="{00000000-0005-0000-0000-000090420000}"/>
    <cellStyle name="Normal 59 4 2 3 2" xfId="8418" xr:uid="{00000000-0005-0000-0000-000091420000}"/>
    <cellStyle name="Normal 59 4 2 3 2 2" xfId="19315" xr:uid="{00000000-0005-0000-0000-000092420000}"/>
    <cellStyle name="Normal 59 4 2 3 3" xfId="14364" xr:uid="{00000000-0005-0000-0000-000093420000}"/>
    <cellStyle name="Normal 59 4 2 4" xfId="6106" xr:uid="{00000000-0005-0000-0000-000094420000}"/>
    <cellStyle name="Normal 59 4 2 4 2" xfId="17003" xr:uid="{00000000-0005-0000-0000-000095420000}"/>
    <cellStyle name="Normal 59 4 2 5" xfId="12097" xr:uid="{00000000-0005-0000-0000-000096420000}"/>
    <cellStyle name="Normal 59 4 3" xfId="1792" xr:uid="{00000000-0005-0000-0000-000097420000}"/>
    <cellStyle name="Normal 59 4 3 2" xfId="4104" xr:uid="{00000000-0005-0000-0000-000098420000}"/>
    <cellStyle name="Normal 59 4 3 2 2" xfId="9055" xr:uid="{00000000-0005-0000-0000-000099420000}"/>
    <cellStyle name="Normal 59 4 3 2 2 2" xfId="19952" xr:uid="{00000000-0005-0000-0000-00009A420000}"/>
    <cellStyle name="Normal 59 4 3 2 3" xfId="15001" xr:uid="{00000000-0005-0000-0000-00009B420000}"/>
    <cellStyle name="Normal 59 4 3 3" xfId="6743" xr:uid="{00000000-0005-0000-0000-00009C420000}"/>
    <cellStyle name="Normal 59 4 3 3 2" xfId="17640" xr:uid="{00000000-0005-0000-0000-00009D420000}"/>
    <cellStyle name="Normal 59 4 3 4" xfId="12721" xr:uid="{00000000-0005-0000-0000-00009E420000}"/>
    <cellStyle name="Normal 59 4 4" xfId="2935" xr:uid="{00000000-0005-0000-0000-00009F420000}"/>
    <cellStyle name="Normal 59 4 4 2" xfId="7886" xr:uid="{00000000-0005-0000-0000-0000A0420000}"/>
    <cellStyle name="Normal 59 4 4 2 2" xfId="18783" xr:uid="{00000000-0005-0000-0000-0000A1420000}"/>
    <cellStyle name="Normal 59 4 4 3" xfId="13832" xr:uid="{00000000-0005-0000-0000-0000A2420000}"/>
    <cellStyle name="Normal 59 4 5" xfId="5574" xr:uid="{00000000-0005-0000-0000-0000A3420000}"/>
    <cellStyle name="Normal 59 4 5 2" xfId="16471" xr:uid="{00000000-0005-0000-0000-0000A4420000}"/>
    <cellStyle name="Normal 59 4 6" xfId="11576" xr:uid="{00000000-0005-0000-0000-0000A5420000}"/>
    <cellStyle name="Normal 59 5" xfId="878" xr:uid="{00000000-0005-0000-0000-0000A6420000}"/>
    <cellStyle name="Normal 59 5 2" xfId="2035" xr:uid="{00000000-0005-0000-0000-0000A7420000}"/>
    <cellStyle name="Normal 59 5 2 2" xfId="4347" xr:uid="{00000000-0005-0000-0000-0000A8420000}"/>
    <cellStyle name="Normal 59 5 2 2 2" xfId="9298" xr:uid="{00000000-0005-0000-0000-0000A9420000}"/>
    <cellStyle name="Normal 59 5 2 2 2 2" xfId="20195" xr:uid="{00000000-0005-0000-0000-0000AA420000}"/>
    <cellStyle name="Normal 59 5 2 2 3" xfId="15244" xr:uid="{00000000-0005-0000-0000-0000AB420000}"/>
    <cellStyle name="Normal 59 5 2 3" xfId="6986" xr:uid="{00000000-0005-0000-0000-0000AC420000}"/>
    <cellStyle name="Normal 59 5 2 3 2" xfId="17883" xr:uid="{00000000-0005-0000-0000-0000AD420000}"/>
    <cellStyle name="Normal 59 5 2 4" xfId="12957" xr:uid="{00000000-0005-0000-0000-0000AE420000}"/>
    <cellStyle name="Normal 59 5 3" xfId="3202" xr:uid="{00000000-0005-0000-0000-0000AF420000}"/>
    <cellStyle name="Normal 59 5 3 2" xfId="8153" xr:uid="{00000000-0005-0000-0000-0000B0420000}"/>
    <cellStyle name="Normal 59 5 3 2 2" xfId="19050" xr:uid="{00000000-0005-0000-0000-0000B1420000}"/>
    <cellStyle name="Normal 59 5 3 3" xfId="14099" xr:uid="{00000000-0005-0000-0000-0000B2420000}"/>
    <cellStyle name="Normal 59 5 4" xfId="5841" xr:uid="{00000000-0005-0000-0000-0000B3420000}"/>
    <cellStyle name="Normal 59 5 4 2" xfId="16738" xr:uid="{00000000-0005-0000-0000-0000B4420000}"/>
    <cellStyle name="Normal 59 5 5" xfId="11839" xr:uid="{00000000-0005-0000-0000-0000B5420000}"/>
    <cellStyle name="Normal 59 6" xfId="1559" xr:uid="{00000000-0005-0000-0000-0000B6420000}"/>
    <cellStyle name="Normal 59 6 2" xfId="3871" xr:uid="{00000000-0005-0000-0000-0000B7420000}"/>
    <cellStyle name="Normal 59 6 2 2" xfId="8822" xr:uid="{00000000-0005-0000-0000-0000B8420000}"/>
    <cellStyle name="Normal 59 6 2 2 2" xfId="19719" xr:uid="{00000000-0005-0000-0000-0000B9420000}"/>
    <cellStyle name="Normal 59 6 2 3" xfId="14768" xr:uid="{00000000-0005-0000-0000-0000BA420000}"/>
    <cellStyle name="Normal 59 6 3" xfId="6510" xr:uid="{00000000-0005-0000-0000-0000BB420000}"/>
    <cellStyle name="Normal 59 6 3 2" xfId="17407" xr:uid="{00000000-0005-0000-0000-0000BC420000}"/>
    <cellStyle name="Normal 59 6 4" xfId="12494" xr:uid="{00000000-0005-0000-0000-0000BD420000}"/>
    <cellStyle name="Normal 59 7" xfId="2670" xr:uid="{00000000-0005-0000-0000-0000BE420000}"/>
    <cellStyle name="Normal 59 7 2" xfId="7621" xr:uid="{00000000-0005-0000-0000-0000BF420000}"/>
    <cellStyle name="Normal 59 7 2 2" xfId="18518" xr:uid="{00000000-0005-0000-0000-0000C0420000}"/>
    <cellStyle name="Normal 59 7 3" xfId="13567" xr:uid="{00000000-0005-0000-0000-0000C1420000}"/>
    <cellStyle name="Normal 59 8" xfId="5309" xr:uid="{00000000-0005-0000-0000-0000C2420000}"/>
    <cellStyle name="Normal 59 8 2" xfId="16206" xr:uid="{00000000-0005-0000-0000-0000C3420000}"/>
    <cellStyle name="Normal 59 9" xfId="11314" xr:uid="{00000000-0005-0000-0000-0000C4420000}"/>
    <cellStyle name="Normal 6" xfId="325" xr:uid="{00000000-0005-0000-0000-0000C5420000}"/>
    <cellStyle name="Normal 6 2" xfId="326" xr:uid="{00000000-0005-0000-0000-0000C6420000}"/>
    <cellStyle name="Normal 60" xfId="327" xr:uid="{00000000-0005-0000-0000-0000C7420000}"/>
    <cellStyle name="Normal 60 2" xfId="409" xr:uid="{00000000-0005-0000-0000-0000C8420000}"/>
    <cellStyle name="Normal 60 2 2" xfId="539" xr:uid="{00000000-0005-0000-0000-0000C9420000}"/>
    <cellStyle name="Normal 60 2 2 2" xfId="804" xr:uid="{00000000-0005-0000-0000-0000CA420000}"/>
    <cellStyle name="Normal 60 2 2 2 2" xfId="1336" xr:uid="{00000000-0005-0000-0000-0000CB420000}"/>
    <cellStyle name="Normal 60 2 2 2 2 2" xfId="2493" xr:uid="{00000000-0005-0000-0000-0000CC420000}"/>
    <cellStyle name="Normal 60 2 2 2 2 2 2" xfId="4805" xr:uid="{00000000-0005-0000-0000-0000CD420000}"/>
    <cellStyle name="Normal 60 2 2 2 2 2 2 2" xfId="9756" xr:uid="{00000000-0005-0000-0000-0000CE420000}"/>
    <cellStyle name="Normal 60 2 2 2 2 2 2 2 2" xfId="20653" xr:uid="{00000000-0005-0000-0000-0000CF420000}"/>
    <cellStyle name="Normal 60 2 2 2 2 2 2 3" xfId="15702" xr:uid="{00000000-0005-0000-0000-0000D0420000}"/>
    <cellStyle name="Normal 60 2 2 2 2 2 3" xfId="7444" xr:uid="{00000000-0005-0000-0000-0000D1420000}"/>
    <cellStyle name="Normal 60 2 2 2 2 2 3 2" xfId="18341" xr:uid="{00000000-0005-0000-0000-0000D2420000}"/>
    <cellStyle name="Normal 60 2 2 2 2 2 4" xfId="13404" xr:uid="{00000000-0005-0000-0000-0000D3420000}"/>
    <cellStyle name="Normal 60 2 2 2 2 3" xfId="3660" xr:uid="{00000000-0005-0000-0000-0000D4420000}"/>
    <cellStyle name="Normal 60 2 2 2 2 3 2" xfId="8611" xr:uid="{00000000-0005-0000-0000-0000D5420000}"/>
    <cellStyle name="Normal 60 2 2 2 2 3 2 2" xfId="19508" xr:uid="{00000000-0005-0000-0000-0000D6420000}"/>
    <cellStyle name="Normal 60 2 2 2 2 3 3" xfId="14557" xr:uid="{00000000-0005-0000-0000-0000D7420000}"/>
    <cellStyle name="Normal 60 2 2 2 2 4" xfId="6299" xr:uid="{00000000-0005-0000-0000-0000D8420000}"/>
    <cellStyle name="Normal 60 2 2 2 2 4 2" xfId="17196" xr:uid="{00000000-0005-0000-0000-0000D9420000}"/>
    <cellStyle name="Normal 60 2 2 2 2 5" xfId="12286" xr:uid="{00000000-0005-0000-0000-0000DA420000}"/>
    <cellStyle name="Normal 60 2 2 2 3" xfId="1962" xr:uid="{00000000-0005-0000-0000-0000DB420000}"/>
    <cellStyle name="Normal 60 2 2 2 3 2" xfId="4274" xr:uid="{00000000-0005-0000-0000-0000DC420000}"/>
    <cellStyle name="Normal 60 2 2 2 3 2 2" xfId="9225" xr:uid="{00000000-0005-0000-0000-0000DD420000}"/>
    <cellStyle name="Normal 60 2 2 2 3 2 2 2" xfId="20122" xr:uid="{00000000-0005-0000-0000-0000DE420000}"/>
    <cellStyle name="Normal 60 2 2 2 3 2 3" xfId="15171" xr:uid="{00000000-0005-0000-0000-0000DF420000}"/>
    <cellStyle name="Normal 60 2 2 2 3 3" xfId="6913" xr:uid="{00000000-0005-0000-0000-0000E0420000}"/>
    <cellStyle name="Normal 60 2 2 2 3 3 2" xfId="17810" xr:uid="{00000000-0005-0000-0000-0000E1420000}"/>
    <cellStyle name="Normal 60 2 2 2 3 4" xfId="12886" xr:uid="{00000000-0005-0000-0000-0000E2420000}"/>
    <cellStyle name="Normal 60 2 2 2 4" xfId="3128" xr:uid="{00000000-0005-0000-0000-0000E3420000}"/>
    <cellStyle name="Normal 60 2 2 2 4 2" xfId="8079" xr:uid="{00000000-0005-0000-0000-0000E4420000}"/>
    <cellStyle name="Normal 60 2 2 2 4 2 2" xfId="18976" xr:uid="{00000000-0005-0000-0000-0000E5420000}"/>
    <cellStyle name="Normal 60 2 2 2 4 3" xfId="14025" xr:uid="{00000000-0005-0000-0000-0000E6420000}"/>
    <cellStyle name="Normal 60 2 2 2 5" xfId="5767" xr:uid="{00000000-0005-0000-0000-0000E7420000}"/>
    <cellStyle name="Normal 60 2 2 2 5 2" xfId="16664" xr:uid="{00000000-0005-0000-0000-0000E8420000}"/>
    <cellStyle name="Normal 60 2 2 2 6" xfId="11765" xr:uid="{00000000-0005-0000-0000-0000E9420000}"/>
    <cellStyle name="Normal 60 2 2 3" xfId="1071" xr:uid="{00000000-0005-0000-0000-0000EA420000}"/>
    <cellStyle name="Normal 60 2 2 3 2" xfId="2228" xr:uid="{00000000-0005-0000-0000-0000EB420000}"/>
    <cellStyle name="Normal 60 2 2 3 2 2" xfId="4540" xr:uid="{00000000-0005-0000-0000-0000EC420000}"/>
    <cellStyle name="Normal 60 2 2 3 2 2 2" xfId="9491" xr:uid="{00000000-0005-0000-0000-0000ED420000}"/>
    <cellStyle name="Normal 60 2 2 3 2 2 2 2" xfId="20388" xr:uid="{00000000-0005-0000-0000-0000EE420000}"/>
    <cellStyle name="Normal 60 2 2 3 2 2 3" xfId="15437" xr:uid="{00000000-0005-0000-0000-0000EF420000}"/>
    <cellStyle name="Normal 60 2 2 3 2 3" xfId="7179" xr:uid="{00000000-0005-0000-0000-0000F0420000}"/>
    <cellStyle name="Normal 60 2 2 3 2 3 2" xfId="18076" xr:uid="{00000000-0005-0000-0000-0000F1420000}"/>
    <cellStyle name="Normal 60 2 2 3 2 4" xfId="13145" xr:uid="{00000000-0005-0000-0000-0000F2420000}"/>
    <cellStyle name="Normal 60 2 2 3 3" xfId="3395" xr:uid="{00000000-0005-0000-0000-0000F3420000}"/>
    <cellStyle name="Normal 60 2 2 3 3 2" xfId="8346" xr:uid="{00000000-0005-0000-0000-0000F4420000}"/>
    <cellStyle name="Normal 60 2 2 3 3 2 2" xfId="19243" xr:uid="{00000000-0005-0000-0000-0000F5420000}"/>
    <cellStyle name="Normal 60 2 2 3 3 3" xfId="14292" xr:uid="{00000000-0005-0000-0000-0000F6420000}"/>
    <cellStyle name="Normal 60 2 2 3 4" xfId="6034" xr:uid="{00000000-0005-0000-0000-0000F7420000}"/>
    <cellStyle name="Normal 60 2 2 3 4 2" xfId="16931" xr:uid="{00000000-0005-0000-0000-0000F8420000}"/>
    <cellStyle name="Normal 60 2 2 3 5" xfId="12027" xr:uid="{00000000-0005-0000-0000-0000F9420000}"/>
    <cellStyle name="Normal 60 2 2 4" xfId="1729" xr:uid="{00000000-0005-0000-0000-0000FA420000}"/>
    <cellStyle name="Normal 60 2 2 4 2" xfId="4041" xr:uid="{00000000-0005-0000-0000-0000FB420000}"/>
    <cellStyle name="Normal 60 2 2 4 2 2" xfId="8992" xr:uid="{00000000-0005-0000-0000-0000FC420000}"/>
    <cellStyle name="Normal 60 2 2 4 2 2 2" xfId="19889" xr:uid="{00000000-0005-0000-0000-0000FD420000}"/>
    <cellStyle name="Normal 60 2 2 4 2 3" xfId="14938" xr:uid="{00000000-0005-0000-0000-0000FE420000}"/>
    <cellStyle name="Normal 60 2 2 4 3" xfId="6680" xr:uid="{00000000-0005-0000-0000-0000FF420000}"/>
    <cellStyle name="Normal 60 2 2 4 3 2" xfId="17577" xr:uid="{00000000-0005-0000-0000-000000430000}"/>
    <cellStyle name="Normal 60 2 2 4 4" xfId="12660" xr:uid="{00000000-0005-0000-0000-000001430000}"/>
    <cellStyle name="Normal 60 2 2 5" xfId="2863" xr:uid="{00000000-0005-0000-0000-000002430000}"/>
    <cellStyle name="Normal 60 2 2 5 2" xfId="7814" xr:uid="{00000000-0005-0000-0000-000003430000}"/>
    <cellStyle name="Normal 60 2 2 5 2 2" xfId="18711" xr:uid="{00000000-0005-0000-0000-000004430000}"/>
    <cellStyle name="Normal 60 2 2 5 3" xfId="13760" xr:uid="{00000000-0005-0000-0000-000005430000}"/>
    <cellStyle name="Normal 60 2 2 6" xfId="5502" xr:uid="{00000000-0005-0000-0000-000006430000}"/>
    <cellStyle name="Normal 60 2 2 6 2" xfId="16399" xr:uid="{00000000-0005-0000-0000-000007430000}"/>
    <cellStyle name="Normal 60 2 2 7" xfId="11504" xr:uid="{00000000-0005-0000-0000-000008430000}"/>
    <cellStyle name="Normal 60 2 3" xfId="675" xr:uid="{00000000-0005-0000-0000-000009430000}"/>
    <cellStyle name="Normal 60 2 3 2" xfId="1207" xr:uid="{00000000-0005-0000-0000-00000A430000}"/>
    <cellStyle name="Normal 60 2 3 2 2" xfId="2364" xr:uid="{00000000-0005-0000-0000-00000B430000}"/>
    <cellStyle name="Normal 60 2 3 2 2 2" xfId="4676" xr:uid="{00000000-0005-0000-0000-00000C430000}"/>
    <cellStyle name="Normal 60 2 3 2 2 2 2" xfId="9627" xr:uid="{00000000-0005-0000-0000-00000D430000}"/>
    <cellStyle name="Normal 60 2 3 2 2 2 2 2" xfId="20524" xr:uid="{00000000-0005-0000-0000-00000E430000}"/>
    <cellStyle name="Normal 60 2 3 2 2 2 3" xfId="15573" xr:uid="{00000000-0005-0000-0000-00000F430000}"/>
    <cellStyle name="Normal 60 2 3 2 2 3" xfId="7315" xr:uid="{00000000-0005-0000-0000-000010430000}"/>
    <cellStyle name="Normal 60 2 3 2 2 3 2" xfId="18212" xr:uid="{00000000-0005-0000-0000-000011430000}"/>
    <cellStyle name="Normal 60 2 3 2 2 4" xfId="13276" xr:uid="{00000000-0005-0000-0000-000012430000}"/>
    <cellStyle name="Normal 60 2 3 2 3" xfId="3531" xr:uid="{00000000-0005-0000-0000-000013430000}"/>
    <cellStyle name="Normal 60 2 3 2 3 2" xfId="8482" xr:uid="{00000000-0005-0000-0000-000014430000}"/>
    <cellStyle name="Normal 60 2 3 2 3 2 2" xfId="19379" xr:uid="{00000000-0005-0000-0000-000015430000}"/>
    <cellStyle name="Normal 60 2 3 2 3 3" xfId="14428" xr:uid="{00000000-0005-0000-0000-000016430000}"/>
    <cellStyle name="Normal 60 2 3 2 4" xfId="6170" xr:uid="{00000000-0005-0000-0000-000017430000}"/>
    <cellStyle name="Normal 60 2 3 2 4 2" xfId="17067" xr:uid="{00000000-0005-0000-0000-000018430000}"/>
    <cellStyle name="Normal 60 2 3 2 5" xfId="12158" xr:uid="{00000000-0005-0000-0000-000019430000}"/>
    <cellStyle name="Normal 60 2 3 3" xfId="1848" xr:uid="{00000000-0005-0000-0000-00001A430000}"/>
    <cellStyle name="Normal 60 2 3 3 2" xfId="4160" xr:uid="{00000000-0005-0000-0000-00001B430000}"/>
    <cellStyle name="Normal 60 2 3 3 2 2" xfId="9111" xr:uid="{00000000-0005-0000-0000-00001C430000}"/>
    <cellStyle name="Normal 60 2 3 3 2 2 2" xfId="20008" xr:uid="{00000000-0005-0000-0000-00001D430000}"/>
    <cellStyle name="Normal 60 2 3 3 2 3" xfId="15057" xr:uid="{00000000-0005-0000-0000-00001E430000}"/>
    <cellStyle name="Normal 60 2 3 3 3" xfId="6799" xr:uid="{00000000-0005-0000-0000-00001F430000}"/>
    <cellStyle name="Normal 60 2 3 3 3 2" xfId="17696" xr:uid="{00000000-0005-0000-0000-000020430000}"/>
    <cellStyle name="Normal 60 2 3 3 4" xfId="12773" xr:uid="{00000000-0005-0000-0000-000021430000}"/>
    <cellStyle name="Normal 60 2 3 4" xfId="2999" xr:uid="{00000000-0005-0000-0000-000022430000}"/>
    <cellStyle name="Normal 60 2 3 4 2" xfId="7950" xr:uid="{00000000-0005-0000-0000-000023430000}"/>
    <cellStyle name="Normal 60 2 3 4 2 2" xfId="18847" xr:uid="{00000000-0005-0000-0000-000024430000}"/>
    <cellStyle name="Normal 60 2 3 4 3" xfId="13896" xr:uid="{00000000-0005-0000-0000-000025430000}"/>
    <cellStyle name="Normal 60 2 3 5" xfId="5638" xr:uid="{00000000-0005-0000-0000-000026430000}"/>
    <cellStyle name="Normal 60 2 3 5 2" xfId="16535" xr:uid="{00000000-0005-0000-0000-000027430000}"/>
    <cellStyle name="Normal 60 2 3 6" xfId="11637" xr:uid="{00000000-0005-0000-0000-000028430000}"/>
    <cellStyle name="Normal 60 2 4" xfId="942" xr:uid="{00000000-0005-0000-0000-000029430000}"/>
    <cellStyle name="Normal 60 2 4 2" xfId="2099" xr:uid="{00000000-0005-0000-0000-00002A430000}"/>
    <cellStyle name="Normal 60 2 4 2 2" xfId="4411" xr:uid="{00000000-0005-0000-0000-00002B430000}"/>
    <cellStyle name="Normal 60 2 4 2 2 2" xfId="9362" xr:uid="{00000000-0005-0000-0000-00002C430000}"/>
    <cellStyle name="Normal 60 2 4 2 2 2 2" xfId="20259" xr:uid="{00000000-0005-0000-0000-00002D430000}"/>
    <cellStyle name="Normal 60 2 4 2 2 3" xfId="15308" xr:uid="{00000000-0005-0000-0000-00002E430000}"/>
    <cellStyle name="Normal 60 2 4 2 3" xfId="7050" xr:uid="{00000000-0005-0000-0000-00002F430000}"/>
    <cellStyle name="Normal 60 2 4 2 3 2" xfId="17947" xr:uid="{00000000-0005-0000-0000-000030430000}"/>
    <cellStyle name="Normal 60 2 4 2 4" xfId="13017" xr:uid="{00000000-0005-0000-0000-000031430000}"/>
    <cellStyle name="Normal 60 2 4 3" xfId="3266" xr:uid="{00000000-0005-0000-0000-000032430000}"/>
    <cellStyle name="Normal 60 2 4 3 2" xfId="8217" xr:uid="{00000000-0005-0000-0000-000033430000}"/>
    <cellStyle name="Normal 60 2 4 3 2 2" xfId="19114" xr:uid="{00000000-0005-0000-0000-000034430000}"/>
    <cellStyle name="Normal 60 2 4 3 3" xfId="14163" xr:uid="{00000000-0005-0000-0000-000035430000}"/>
    <cellStyle name="Normal 60 2 4 4" xfId="5905" xr:uid="{00000000-0005-0000-0000-000036430000}"/>
    <cellStyle name="Normal 60 2 4 4 2" xfId="16802" xr:uid="{00000000-0005-0000-0000-000037430000}"/>
    <cellStyle name="Normal 60 2 4 5" xfId="11899" xr:uid="{00000000-0005-0000-0000-000038430000}"/>
    <cellStyle name="Normal 60 2 5" xfId="1615" xr:uid="{00000000-0005-0000-0000-000039430000}"/>
    <cellStyle name="Normal 60 2 5 2" xfId="3927" xr:uid="{00000000-0005-0000-0000-00003A430000}"/>
    <cellStyle name="Normal 60 2 5 2 2" xfId="8878" xr:uid="{00000000-0005-0000-0000-00003B430000}"/>
    <cellStyle name="Normal 60 2 5 2 2 2" xfId="19775" xr:uid="{00000000-0005-0000-0000-00003C430000}"/>
    <cellStyle name="Normal 60 2 5 2 3" xfId="14824" xr:uid="{00000000-0005-0000-0000-00003D430000}"/>
    <cellStyle name="Normal 60 2 5 3" xfId="6566" xr:uid="{00000000-0005-0000-0000-00003E430000}"/>
    <cellStyle name="Normal 60 2 5 3 2" xfId="17463" xr:uid="{00000000-0005-0000-0000-00003F430000}"/>
    <cellStyle name="Normal 60 2 5 4" xfId="12547" xr:uid="{00000000-0005-0000-0000-000040430000}"/>
    <cellStyle name="Normal 60 2 6" xfId="2734" xr:uid="{00000000-0005-0000-0000-000041430000}"/>
    <cellStyle name="Normal 60 2 6 2" xfId="7685" xr:uid="{00000000-0005-0000-0000-000042430000}"/>
    <cellStyle name="Normal 60 2 6 2 2" xfId="18582" xr:uid="{00000000-0005-0000-0000-000043430000}"/>
    <cellStyle name="Normal 60 2 6 3" xfId="13631" xr:uid="{00000000-0005-0000-0000-000044430000}"/>
    <cellStyle name="Normal 60 2 7" xfId="5373" xr:uid="{00000000-0005-0000-0000-000045430000}"/>
    <cellStyle name="Normal 60 2 7 2" xfId="16270" xr:uid="{00000000-0005-0000-0000-000046430000}"/>
    <cellStyle name="Normal 60 2 8" xfId="11376" xr:uid="{00000000-0005-0000-0000-000047430000}"/>
    <cellStyle name="Normal 60 3" xfId="488" xr:uid="{00000000-0005-0000-0000-000048430000}"/>
    <cellStyle name="Normal 60 3 2" xfId="753" xr:uid="{00000000-0005-0000-0000-000049430000}"/>
    <cellStyle name="Normal 60 3 2 2" xfId="1285" xr:uid="{00000000-0005-0000-0000-00004A430000}"/>
    <cellStyle name="Normal 60 3 2 2 2" xfId="2442" xr:uid="{00000000-0005-0000-0000-00004B430000}"/>
    <cellStyle name="Normal 60 3 2 2 2 2" xfId="4754" xr:uid="{00000000-0005-0000-0000-00004C430000}"/>
    <cellStyle name="Normal 60 3 2 2 2 2 2" xfId="9705" xr:uid="{00000000-0005-0000-0000-00004D430000}"/>
    <cellStyle name="Normal 60 3 2 2 2 2 2 2" xfId="20602" xr:uid="{00000000-0005-0000-0000-00004E430000}"/>
    <cellStyle name="Normal 60 3 2 2 2 2 3" xfId="15651" xr:uid="{00000000-0005-0000-0000-00004F430000}"/>
    <cellStyle name="Normal 60 3 2 2 2 3" xfId="7393" xr:uid="{00000000-0005-0000-0000-000050430000}"/>
    <cellStyle name="Normal 60 3 2 2 2 3 2" xfId="18290" xr:uid="{00000000-0005-0000-0000-000051430000}"/>
    <cellStyle name="Normal 60 3 2 2 2 4" xfId="13353" xr:uid="{00000000-0005-0000-0000-000052430000}"/>
    <cellStyle name="Normal 60 3 2 2 3" xfId="3609" xr:uid="{00000000-0005-0000-0000-000053430000}"/>
    <cellStyle name="Normal 60 3 2 2 3 2" xfId="8560" xr:uid="{00000000-0005-0000-0000-000054430000}"/>
    <cellStyle name="Normal 60 3 2 2 3 2 2" xfId="19457" xr:uid="{00000000-0005-0000-0000-000055430000}"/>
    <cellStyle name="Normal 60 3 2 2 3 3" xfId="14506" xr:uid="{00000000-0005-0000-0000-000056430000}"/>
    <cellStyle name="Normal 60 3 2 2 4" xfId="6248" xr:uid="{00000000-0005-0000-0000-000057430000}"/>
    <cellStyle name="Normal 60 3 2 2 4 2" xfId="17145" xr:uid="{00000000-0005-0000-0000-000058430000}"/>
    <cellStyle name="Normal 60 3 2 2 5" xfId="12235" xr:uid="{00000000-0005-0000-0000-000059430000}"/>
    <cellStyle name="Normal 60 3 2 3" xfId="1911" xr:uid="{00000000-0005-0000-0000-00005A430000}"/>
    <cellStyle name="Normal 60 3 2 3 2" xfId="4223" xr:uid="{00000000-0005-0000-0000-00005B430000}"/>
    <cellStyle name="Normal 60 3 2 3 2 2" xfId="9174" xr:uid="{00000000-0005-0000-0000-00005C430000}"/>
    <cellStyle name="Normal 60 3 2 3 2 2 2" xfId="20071" xr:uid="{00000000-0005-0000-0000-00005D430000}"/>
    <cellStyle name="Normal 60 3 2 3 2 3" xfId="15120" xr:uid="{00000000-0005-0000-0000-00005E430000}"/>
    <cellStyle name="Normal 60 3 2 3 3" xfId="6862" xr:uid="{00000000-0005-0000-0000-00005F430000}"/>
    <cellStyle name="Normal 60 3 2 3 3 2" xfId="17759" xr:uid="{00000000-0005-0000-0000-000060430000}"/>
    <cellStyle name="Normal 60 3 2 3 4" xfId="12835" xr:uid="{00000000-0005-0000-0000-000061430000}"/>
    <cellStyle name="Normal 60 3 2 4" xfId="3077" xr:uid="{00000000-0005-0000-0000-000062430000}"/>
    <cellStyle name="Normal 60 3 2 4 2" xfId="8028" xr:uid="{00000000-0005-0000-0000-000063430000}"/>
    <cellStyle name="Normal 60 3 2 4 2 2" xfId="18925" xr:uid="{00000000-0005-0000-0000-000064430000}"/>
    <cellStyle name="Normal 60 3 2 4 3" xfId="13974" xr:uid="{00000000-0005-0000-0000-000065430000}"/>
    <cellStyle name="Normal 60 3 2 5" xfId="5716" xr:uid="{00000000-0005-0000-0000-000066430000}"/>
    <cellStyle name="Normal 60 3 2 5 2" xfId="16613" xr:uid="{00000000-0005-0000-0000-000067430000}"/>
    <cellStyle name="Normal 60 3 2 6" xfId="11714" xr:uid="{00000000-0005-0000-0000-000068430000}"/>
    <cellStyle name="Normal 60 3 3" xfId="1020" xr:uid="{00000000-0005-0000-0000-000069430000}"/>
    <cellStyle name="Normal 60 3 3 2" xfId="2177" xr:uid="{00000000-0005-0000-0000-00006A430000}"/>
    <cellStyle name="Normal 60 3 3 2 2" xfId="4489" xr:uid="{00000000-0005-0000-0000-00006B430000}"/>
    <cellStyle name="Normal 60 3 3 2 2 2" xfId="9440" xr:uid="{00000000-0005-0000-0000-00006C430000}"/>
    <cellStyle name="Normal 60 3 3 2 2 2 2" xfId="20337" xr:uid="{00000000-0005-0000-0000-00006D430000}"/>
    <cellStyle name="Normal 60 3 3 2 2 3" xfId="15386" xr:uid="{00000000-0005-0000-0000-00006E430000}"/>
    <cellStyle name="Normal 60 3 3 2 3" xfId="7128" xr:uid="{00000000-0005-0000-0000-00006F430000}"/>
    <cellStyle name="Normal 60 3 3 2 3 2" xfId="18025" xr:uid="{00000000-0005-0000-0000-000070430000}"/>
    <cellStyle name="Normal 60 3 3 2 4" xfId="13094" xr:uid="{00000000-0005-0000-0000-000071430000}"/>
    <cellStyle name="Normal 60 3 3 3" xfId="3344" xr:uid="{00000000-0005-0000-0000-000072430000}"/>
    <cellStyle name="Normal 60 3 3 3 2" xfId="8295" xr:uid="{00000000-0005-0000-0000-000073430000}"/>
    <cellStyle name="Normal 60 3 3 3 2 2" xfId="19192" xr:uid="{00000000-0005-0000-0000-000074430000}"/>
    <cellStyle name="Normal 60 3 3 3 3" xfId="14241" xr:uid="{00000000-0005-0000-0000-000075430000}"/>
    <cellStyle name="Normal 60 3 3 4" xfId="5983" xr:uid="{00000000-0005-0000-0000-000076430000}"/>
    <cellStyle name="Normal 60 3 3 4 2" xfId="16880" xr:uid="{00000000-0005-0000-0000-000077430000}"/>
    <cellStyle name="Normal 60 3 3 5" xfId="11976" xr:uid="{00000000-0005-0000-0000-000078430000}"/>
    <cellStyle name="Normal 60 3 4" xfId="1678" xr:uid="{00000000-0005-0000-0000-000079430000}"/>
    <cellStyle name="Normal 60 3 4 2" xfId="3990" xr:uid="{00000000-0005-0000-0000-00007A430000}"/>
    <cellStyle name="Normal 60 3 4 2 2" xfId="8941" xr:uid="{00000000-0005-0000-0000-00007B430000}"/>
    <cellStyle name="Normal 60 3 4 2 2 2" xfId="19838" xr:uid="{00000000-0005-0000-0000-00007C430000}"/>
    <cellStyle name="Normal 60 3 4 2 3" xfId="14887" xr:uid="{00000000-0005-0000-0000-00007D430000}"/>
    <cellStyle name="Normal 60 3 4 3" xfId="6629" xr:uid="{00000000-0005-0000-0000-00007E430000}"/>
    <cellStyle name="Normal 60 3 4 3 2" xfId="17526" xr:uid="{00000000-0005-0000-0000-00007F430000}"/>
    <cellStyle name="Normal 60 3 4 4" xfId="12609" xr:uid="{00000000-0005-0000-0000-000080430000}"/>
    <cellStyle name="Normal 60 3 5" xfId="2812" xr:uid="{00000000-0005-0000-0000-000081430000}"/>
    <cellStyle name="Normal 60 3 5 2" xfId="7763" xr:uid="{00000000-0005-0000-0000-000082430000}"/>
    <cellStyle name="Normal 60 3 5 2 2" xfId="18660" xr:uid="{00000000-0005-0000-0000-000083430000}"/>
    <cellStyle name="Normal 60 3 5 3" xfId="13709" xr:uid="{00000000-0005-0000-0000-000084430000}"/>
    <cellStyle name="Normal 60 3 6" xfId="5451" xr:uid="{00000000-0005-0000-0000-000085430000}"/>
    <cellStyle name="Normal 60 3 6 2" xfId="16348" xr:uid="{00000000-0005-0000-0000-000086430000}"/>
    <cellStyle name="Normal 60 3 7" xfId="11453" xr:uid="{00000000-0005-0000-0000-000087430000}"/>
    <cellStyle name="Normal 60 4" xfId="612" xr:uid="{00000000-0005-0000-0000-000088430000}"/>
    <cellStyle name="Normal 60 4 2" xfId="1144" xr:uid="{00000000-0005-0000-0000-000089430000}"/>
    <cellStyle name="Normal 60 4 2 2" xfId="2301" xr:uid="{00000000-0005-0000-0000-00008A430000}"/>
    <cellStyle name="Normal 60 4 2 2 2" xfId="4613" xr:uid="{00000000-0005-0000-0000-00008B430000}"/>
    <cellStyle name="Normal 60 4 2 2 2 2" xfId="9564" xr:uid="{00000000-0005-0000-0000-00008C430000}"/>
    <cellStyle name="Normal 60 4 2 2 2 2 2" xfId="20461" xr:uid="{00000000-0005-0000-0000-00008D430000}"/>
    <cellStyle name="Normal 60 4 2 2 2 3" xfId="15510" xr:uid="{00000000-0005-0000-0000-00008E430000}"/>
    <cellStyle name="Normal 60 4 2 2 3" xfId="7252" xr:uid="{00000000-0005-0000-0000-00008F430000}"/>
    <cellStyle name="Normal 60 4 2 2 3 2" xfId="18149" xr:uid="{00000000-0005-0000-0000-000090430000}"/>
    <cellStyle name="Normal 60 4 2 2 4" xfId="13216" xr:uid="{00000000-0005-0000-0000-000091430000}"/>
    <cellStyle name="Normal 60 4 2 3" xfId="3468" xr:uid="{00000000-0005-0000-0000-000092430000}"/>
    <cellStyle name="Normal 60 4 2 3 2" xfId="8419" xr:uid="{00000000-0005-0000-0000-000093430000}"/>
    <cellStyle name="Normal 60 4 2 3 2 2" xfId="19316" xr:uid="{00000000-0005-0000-0000-000094430000}"/>
    <cellStyle name="Normal 60 4 2 3 3" xfId="14365" xr:uid="{00000000-0005-0000-0000-000095430000}"/>
    <cellStyle name="Normal 60 4 2 4" xfId="6107" xr:uid="{00000000-0005-0000-0000-000096430000}"/>
    <cellStyle name="Normal 60 4 2 4 2" xfId="17004" xr:uid="{00000000-0005-0000-0000-000097430000}"/>
    <cellStyle name="Normal 60 4 2 5" xfId="12098" xr:uid="{00000000-0005-0000-0000-000098430000}"/>
    <cellStyle name="Normal 60 4 3" xfId="1793" xr:uid="{00000000-0005-0000-0000-000099430000}"/>
    <cellStyle name="Normal 60 4 3 2" xfId="4105" xr:uid="{00000000-0005-0000-0000-00009A430000}"/>
    <cellStyle name="Normal 60 4 3 2 2" xfId="9056" xr:uid="{00000000-0005-0000-0000-00009B430000}"/>
    <cellStyle name="Normal 60 4 3 2 2 2" xfId="19953" xr:uid="{00000000-0005-0000-0000-00009C430000}"/>
    <cellStyle name="Normal 60 4 3 2 3" xfId="15002" xr:uid="{00000000-0005-0000-0000-00009D430000}"/>
    <cellStyle name="Normal 60 4 3 3" xfId="6744" xr:uid="{00000000-0005-0000-0000-00009E430000}"/>
    <cellStyle name="Normal 60 4 3 3 2" xfId="17641" xr:uid="{00000000-0005-0000-0000-00009F430000}"/>
    <cellStyle name="Normal 60 4 3 4" xfId="12722" xr:uid="{00000000-0005-0000-0000-0000A0430000}"/>
    <cellStyle name="Normal 60 4 4" xfId="2936" xr:uid="{00000000-0005-0000-0000-0000A1430000}"/>
    <cellStyle name="Normal 60 4 4 2" xfId="7887" xr:uid="{00000000-0005-0000-0000-0000A2430000}"/>
    <cellStyle name="Normal 60 4 4 2 2" xfId="18784" xr:uid="{00000000-0005-0000-0000-0000A3430000}"/>
    <cellStyle name="Normal 60 4 4 3" xfId="13833" xr:uid="{00000000-0005-0000-0000-0000A4430000}"/>
    <cellStyle name="Normal 60 4 5" xfId="5575" xr:uid="{00000000-0005-0000-0000-0000A5430000}"/>
    <cellStyle name="Normal 60 4 5 2" xfId="16472" xr:uid="{00000000-0005-0000-0000-0000A6430000}"/>
    <cellStyle name="Normal 60 4 6" xfId="11577" xr:uid="{00000000-0005-0000-0000-0000A7430000}"/>
    <cellStyle name="Normal 60 5" xfId="879" xr:uid="{00000000-0005-0000-0000-0000A8430000}"/>
    <cellStyle name="Normal 60 5 2" xfId="2036" xr:uid="{00000000-0005-0000-0000-0000A9430000}"/>
    <cellStyle name="Normal 60 5 2 2" xfId="4348" xr:uid="{00000000-0005-0000-0000-0000AA430000}"/>
    <cellStyle name="Normal 60 5 2 2 2" xfId="9299" xr:uid="{00000000-0005-0000-0000-0000AB430000}"/>
    <cellStyle name="Normal 60 5 2 2 2 2" xfId="20196" xr:uid="{00000000-0005-0000-0000-0000AC430000}"/>
    <cellStyle name="Normal 60 5 2 2 3" xfId="15245" xr:uid="{00000000-0005-0000-0000-0000AD430000}"/>
    <cellStyle name="Normal 60 5 2 3" xfId="6987" xr:uid="{00000000-0005-0000-0000-0000AE430000}"/>
    <cellStyle name="Normal 60 5 2 3 2" xfId="17884" xr:uid="{00000000-0005-0000-0000-0000AF430000}"/>
    <cellStyle name="Normal 60 5 2 4" xfId="12958" xr:uid="{00000000-0005-0000-0000-0000B0430000}"/>
    <cellStyle name="Normal 60 5 3" xfId="3203" xr:uid="{00000000-0005-0000-0000-0000B1430000}"/>
    <cellStyle name="Normal 60 5 3 2" xfId="8154" xr:uid="{00000000-0005-0000-0000-0000B2430000}"/>
    <cellStyle name="Normal 60 5 3 2 2" xfId="19051" xr:uid="{00000000-0005-0000-0000-0000B3430000}"/>
    <cellStyle name="Normal 60 5 3 3" xfId="14100" xr:uid="{00000000-0005-0000-0000-0000B4430000}"/>
    <cellStyle name="Normal 60 5 4" xfId="5842" xr:uid="{00000000-0005-0000-0000-0000B5430000}"/>
    <cellStyle name="Normal 60 5 4 2" xfId="16739" xr:uid="{00000000-0005-0000-0000-0000B6430000}"/>
    <cellStyle name="Normal 60 5 5" xfId="11840" xr:uid="{00000000-0005-0000-0000-0000B7430000}"/>
    <cellStyle name="Normal 60 6" xfId="1560" xr:uid="{00000000-0005-0000-0000-0000B8430000}"/>
    <cellStyle name="Normal 60 6 2" xfId="3872" xr:uid="{00000000-0005-0000-0000-0000B9430000}"/>
    <cellStyle name="Normal 60 6 2 2" xfId="8823" xr:uid="{00000000-0005-0000-0000-0000BA430000}"/>
    <cellStyle name="Normal 60 6 2 2 2" xfId="19720" xr:uid="{00000000-0005-0000-0000-0000BB430000}"/>
    <cellStyle name="Normal 60 6 2 3" xfId="14769" xr:uid="{00000000-0005-0000-0000-0000BC430000}"/>
    <cellStyle name="Normal 60 6 3" xfId="6511" xr:uid="{00000000-0005-0000-0000-0000BD430000}"/>
    <cellStyle name="Normal 60 6 3 2" xfId="17408" xr:uid="{00000000-0005-0000-0000-0000BE430000}"/>
    <cellStyle name="Normal 60 6 4" xfId="12495" xr:uid="{00000000-0005-0000-0000-0000BF430000}"/>
    <cellStyle name="Normal 60 7" xfId="2671" xr:uid="{00000000-0005-0000-0000-0000C0430000}"/>
    <cellStyle name="Normal 60 7 2" xfId="7622" xr:uid="{00000000-0005-0000-0000-0000C1430000}"/>
    <cellStyle name="Normal 60 7 2 2" xfId="18519" xr:uid="{00000000-0005-0000-0000-0000C2430000}"/>
    <cellStyle name="Normal 60 7 3" xfId="13568" xr:uid="{00000000-0005-0000-0000-0000C3430000}"/>
    <cellStyle name="Normal 60 8" xfId="5310" xr:uid="{00000000-0005-0000-0000-0000C4430000}"/>
    <cellStyle name="Normal 60 8 2" xfId="16207" xr:uid="{00000000-0005-0000-0000-0000C5430000}"/>
    <cellStyle name="Normal 60 9" xfId="11315" xr:uid="{00000000-0005-0000-0000-0000C6430000}"/>
    <cellStyle name="Normal 61" xfId="328" xr:uid="{00000000-0005-0000-0000-0000C7430000}"/>
    <cellStyle name="Normal 62" xfId="329" xr:uid="{00000000-0005-0000-0000-0000C8430000}"/>
    <cellStyle name="Normal 63" xfId="424" xr:uid="{00000000-0005-0000-0000-0000C9430000}"/>
    <cellStyle name="Normal 63 2" xfId="553" xr:uid="{00000000-0005-0000-0000-0000CA430000}"/>
    <cellStyle name="Normal 63 2 2" xfId="818" xr:uid="{00000000-0005-0000-0000-0000CB430000}"/>
    <cellStyle name="Normal 63 2 2 2" xfId="1350" xr:uid="{00000000-0005-0000-0000-0000CC430000}"/>
    <cellStyle name="Normal 63 2 2 2 2" xfId="2507" xr:uid="{00000000-0005-0000-0000-0000CD430000}"/>
    <cellStyle name="Normal 63 2 2 2 2 2" xfId="4819" xr:uid="{00000000-0005-0000-0000-0000CE430000}"/>
    <cellStyle name="Normal 63 2 2 2 2 2 2" xfId="9770" xr:uid="{00000000-0005-0000-0000-0000CF430000}"/>
    <cellStyle name="Normal 63 2 2 2 2 2 2 2" xfId="20667" xr:uid="{00000000-0005-0000-0000-0000D0430000}"/>
    <cellStyle name="Normal 63 2 2 2 2 2 3" xfId="15716" xr:uid="{00000000-0005-0000-0000-0000D1430000}"/>
    <cellStyle name="Normal 63 2 2 2 2 3" xfId="7458" xr:uid="{00000000-0005-0000-0000-0000D2430000}"/>
    <cellStyle name="Normal 63 2 2 2 2 3 2" xfId="18355" xr:uid="{00000000-0005-0000-0000-0000D3430000}"/>
    <cellStyle name="Normal 63 2 2 2 2 4" xfId="13418" xr:uid="{00000000-0005-0000-0000-0000D4430000}"/>
    <cellStyle name="Normal 63 2 2 2 3" xfId="3674" xr:uid="{00000000-0005-0000-0000-0000D5430000}"/>
    <cellStyle name="Normal 63 2 2 2 3 2" xfId="8625" xr:uid="{00000000-0005-0000-0000-0000D6430000}"/>
    <cellStyle name="Normal 63 2 2 2 3 2 2" xfId="19522" xr:uid="{00000000-0005-0000-0000-0000D7430000}"/>
    <cellStyle name="Normal 63 2 2 2 3 3" xfId="14571" xr:uid="{00000000-0005-0000-0000-0000D8430000}"/>
    <cellStyle name="Normal 63 2 2 2 4" xfId="6313" xr:uid="{00000000-0005-0000-0000-0000D9430000}"/>
    <cellStyle name="Normal 63 2 2 2 4 2" xfId="17210" xr:uid="{00000000-0005-0000-0000-0000DA430000}"/>
    <cellStyle name="Normal 63 2 2 2 5" xfId="12300" xr:uid="{00000000-0005-0000-0000-0000DB430000}"/>
    <cellStyle name="Normal 63 2 2 3" xfId="1976" xr:uid="{00000000-0005-0000-0000-0000DC430000}"/>
    <cellStyle name="Normal 63 2 2 3 2" xfId="4288" xr:uid="{00000000-0005-0000-0000-0000DD430000}"/>
    <cellStyle name="Normal 63 2 2 3 2 2" xfId="9239" xr:uid="{00000000-0005-0000-0000-0000DE430000}"/>
    <cellStyle name="Normal 63 2 2 3 2 2 2" xfId="20136" xr:uid="{00000000-0005-0000-0000-0000DF430000}"/>
    <cellStyle name="Normal 63 2 2 3 2 3" xfId="15185" xr:uid="{00000000-0005-0000-0000-0000E0430000}"/>
    <cellStyle name="Normal 63 2 2 3 3" xfId="6927" xr:uid="{00000000-0005-0000-0000-0000E1430000}"/>
    <cellStyle name="Normal 63 2 2 3 3 2" xfId="17824" xr:uid="{00000000-0005-0000-0000-0000E2430000}"/>
    <cellStyle name="Normal 63 2 2 3 4" xfId="12900" xr:uid="{00000000-0005-0000-0000-0000E3430000}"/>
    <cellStyle name="Normal 63 2 2 4" xfId="3142" xr:uid="{00000000-0005-0000-0000-0000E4430000}"/>
    <cellStyle name="Normal 63 2 2 4 2" xfId="8093" xr:uid="{00000000-0005-0000-0000-0000E5430000}"/>
    <cellStyle name="Normal 63 2 2 4 2 2" xfId="18990" xr:uid="{00000000-0005-0000-0000-0000E6430000}"/>
    <cellStyle name="Normal 63 2 2 4 3" xfId="14039" xr:uid="{00000000-0005-0000-0000-0000E7430000}"/>
    <cellStyle name="Normal 63 2 2 5" xfId="5781" xr:uid="{00000000-0005-0000-0000-0000E8430000}"/>
    <cellStyle name="Normal 63 2 2 5 2" xfId="16678" xr:uid="{00000000-0005-0000-0000-0000E9430000}"/>
    <cellStyle name="Normal 63 2 2 6" xfId="11779" xr:uid="{00000000-0005-0000-0000-0000EA430000}"/>
    <cellStyle name="Normal 63 2 3" xfId="1085" xr:uid="{00000000-0005-0000-0000-0000EB430000}"/>
    <cellStyle name="Normal 63 2 3 2" xfId="2242" xr:uid="{00000000-0005-0000-0000-0000EC430000}"/>
    <cellStyle name="Normal 63 2 3 2 2" xfId="4554" xr:uid="{00000000-0005-0000-0000-0000ED430000}"/>
    <cellStyle name="Normal 63 2 3 2 2 2" xfId="9505" xr:uid="{00000000-0005-0000-0000-0000EE430000}"/>
    <cellStyle name="Normal 63 2 3 2 2 2 2" xfId="20402" xr:uid="{00000000-0005-0000-0000-0000EF430000}"/>
    <cellStyle name="Normal 63 2 3 2 2 3" xfId="15451" xr:uid="{00000000-0005-0000-0000-0000F0430000}"/>
    <cellStyle name="Normal 63 2 3 2 3" xfId="7193" xr:uid="{00000000-0005-0000-0000-0000F1430000}"/>
    <cellStyle name="Normal 63 2 3 2 3 2" xfId="18090" xr:uid="{00000000-0005-0000-0000-0000F2430000}"/>
    <cellStyle name="Normal 63 2 3 2 4" xfId="13159" xr:uid="{00000000-0005-0000-0000-0000F3430000}"/>
    <cellStyle name="Normal 63 2 3 3" xfId="3409" xr:uid="{00000000-0005-0000-0000-0000F4430000}"/>
    <cellStyle name="Normal 63 2 3 3 2" xfId="8360" xr:uid="{00000000-0005-0000-0000-0000F5430000}"/>
    <cellStyle name="Normal 63 2 3 3 2 2" xfId="19257" xr:uid="{00000000-0005-0000-0000-0000F6430000}"/>
    <cellStyle name="Normal 63 2 3 3 3" xfId="14306" xr:uid="{00000000-0005-0000-0000-0000F7430000}"/>
    <cellStyle name="Normal 63 2 3 4" xfId="6048" xr:uid="{00000000-0005-0000-0000-0000F8430000}"/>
    <cellStyle name="Normal 63 2 3 4 2" xfId="16945" xr:uid="{00000000-0005-0000-0000-0000F9430000}"/>
    <cellStyle name="Normal 63 2 3 5" xfId="12041" xr:uid="{00000000-0005-0000-0000-0000FA430000}"/>
    <cellStyle name="Normal 63 2 4" xfId="1743" xr:uid="{00000000-0005-0000-0000-0000FB430000}"/>
    <cellStyle name="Normal 63 2 4 2" xfId="4055" xr:uid="{00000000-0005-0000-0000-0000FC430000}"/>
    <cellStyle name="Normal 63 2 4 2 2" xfId="9006" xr:uid="{00000000-0005-0000-0000-0000FD430000}"/>
    <cellStyle name="Normal 63 2 4 2 2 2" xfId="19903" xr:uid="{00000000-0005-0000-0000-0000FE430000}"/>
    <cellStyle name="Normal 63 2 4 2 3" xfId="14952" xr:uid="{00000000-0005-0000-0000-0000FF430000}"/>
    <cellStyle name="Normal 63 2 4 3" xfId="6694" xr:uid="{00000000-0005-0000-0000-000000440000}"/>
    <cellStyle name="Normal 63 2 4 3 2" xfId="17591" xr:uid="{00000000-0005-0000-0000-000001440000}"/>
    <cellStyle name="Normal 63 2 4 4" xfId="12674" xr:uid="{00000000-0005-0000-0000-000002440000}"/>
    <cellStyle name="Normal 63 2 5" xfId="2877" xr:uid="{00000000-0005-0000-0000-000003440000}"/>
    <cellStyle name="Normal 63 2 5 2" xfId="7828" xr:uid="{00000000-0005-0000-0000-000004440000}"/>
    <cellStyle name="Normal 63 2 5 2 2" xfId="18725" xr:uid="{00000000-0005-0000-0000-000005440000}"/>
    <cellStyle name="Normal 63 2 5 3" xfId="13774" xr:uid="{00000000-0005-0000-0000-000006440000}"/>
    <cellStyle name="Normal 63 2 6" xfId="5516" xr:uid="{00000000-0005-0000-0000-000007440000}"/>
    <cellStyle name="Normal 63 2 6 2" xfId="16413" xr:uid="{00000000-0005-0000-0000-000008440000}"/>
    <cellStyle name="Normal 63 2 7" xfId="11518" xr:uid="{00000000-0005-0000-0000-000009440000}"/>
    <cellStyle name="Normal 63 3" xfId="689" xr:uid="{00000000-0005-0000-0000-00000A440000}"/>
    <cellStyle name="Normal 63 3 2" xfId="1221" xr:uid="{00000000-0005-0000-0000-00000B440000}"/>
    <cellStyle name="Normal 63 3 2 2" xfId="2378" xr:uid="{00000000-0005-0000-0000-00000C440000}"/>
    <cellStyle name="Normal 63 3 2 2 2" xfId="4690" xr:uid="{00000000-0005-0000-0000-00000D440000}"/>
    <cellStyle name="Normal 63 3 2 2 2 2" xfId="9641" xr:uid="{00000000-0005-0000-0000-00000E440000}"/>
    <cellStyle name="Normal 63 3 2 2 2 2 2" xfId="20538" xr:uid="{00000000-0005-0000-0000-00000F440000}"/>
    <cellStyle name="Normal 63 3 2 2 2 3" xfId="15587" xr:uid="{00000000-0005-0000-0000-000010440000}"/>
    <cellStyle name="Normal 63 3 2 2 3" xfId="7329" xr:uid="{00000000-0005-0000-0000-000011440000}"/>
    <cellStyle name="Normal 63 3 2 2 3 2" xfId="18226" xr:uid="{00000000-0005-0000-0000-000012440000}"/>
    <cellStyle name="Normal 63 3 2 2 4" xfId="13290" xr:uid="{00000000-0005-0000-0000-000013440000}"/>
    <cellStyle name="Normal 63 3 2 3" xfId="3545" xr:uid="{00000000-0005-0000-0000-000014440000}"/>
    <cellStyle name="Normal 63 3 2 3 2" xfId="8496" xr:uid="{00000000-0005-0000-0000-000015440000}"/>
    <cellStyle name="Normal 63 3 2 3 2 2" xfId="19393" xr:uid="{00000000-0005-0000-0000-000016440000}"/>
    <cellStyle name="Normal 63 3 2 3 3" xfId="14442" xr:uid="{00000000-0005-0000-0000-000017440000}"/>
    <cellStyle name="Normal 63 3 2 4" xfId="6184" xr:uid="{00000000-0005-0000-0000-000018440000}"/>
    <cellStyle name="Normal 63 3 2 4 2" xfId="17081" xr:uid="{00000000-0005-0000-0000-000019440000}"/>
    <cellStyle name="Normal 63 3 2 5" xfId="12172" xr:uid="{00000000-0005-0000-0000-00001A440000}"/>
    <cellStyle name="Normal 63 3 3" xfId="1862" xr:uid="{00000000-0005-0000-0000-00001B440000}"/>
    <cellStyle name="Normal 63 3 3 2" xfId="4174" xr:uid="{00000000-0005-0000-0000-00001C440000}"/>
    <cellStyle name="Normal 63 3 3 2 2" xfId="9125" xr:uid="{00000000-0005-0000-0000-00001D440000}"/>
    <cellStyle name="Normal 63 3 3 2 2 2" xfId="20022" xr:uid="{00000000-0005-0000-0000-00001E440000}"/>
    <cellStyle name="Normal 63 3 3 2 3" xfId="15071" xr:uid="{00000000-0005-0000-0000-00001F440000}"/>
    <cellStyle name="Normal 63 3 3 3" xfId="6813" xr:uid="{00000000-0005-0000-0000-000020440000}"/>
    <cellStyle name="Normal 63 3 3 3 2" xfId="17710" xr:uid="{00000000-0005-0000-0000-000021440000}"/>
    <cellStyle name="Normal 63 3 3 4" xfId="12787" xr:uid="{00000000-0005-0000-0000-000022440000}"/>
    <cellStyle name="Normal 63 3 4" xfId="3013" xr:uid="{00000000-0005-0000-0000-000023440000}"/>
    <cellStyle name="Normal 63 3 4 2" xfId="7964" xr:uid="{00000000-0005-0000-0000-000024440000}"/>
    <cellStyle name="Normal 63 3 4 2 2" xfId="18861" xr:uid="{00000000-0005-0000-0000-000025440000}"/>
    <cellStyle name="Normal 63 3 4 3" xfId="13910" xr:uid="{00000000-0005-0000-0000-000026440000}"/>
    <cellStyle name="Normal 63 3 5" xfId="5652" xr:uid="{00000000-0005-0000-0000-000027440000}"/>
    <cellStyle name="Normal 63 3 5 2" xfId="16549" xr:uid="{00000000-0005-0000-0000-000028440000}"/>
    <cellStyle name="Normal 63 3 6" xfId="11651" xr:uid="{00000000-0005-0000-0000-000029440000}"/>
    <cellStyle name="Normal 63 4" xfId="956" xr:uid="{00000000-0005-0000-0000-00002A440000}"/>
    <cellStyle name="Normal 63 4 2" xfId="2113" xr:uid="{00000000-0005-0000-0000-00002B440000}"/>
    <cellStyle name="Normal 63 4 2 2" xfId="4425" xr:uid="{00000000-0005-0000-0000-00002C440000}"/>
    <cellStyle name="Normal 63 4 2 2 2" xfId="9376" xr:uid="{00000000-0005-0000-0000-00002D440000}"/>
    <cellStyle name="Normal 63 4 2 2 2 2" xfId="20273" xr:uid="{00000000-0005-0000-0000-00002E440000}"/>
    <cellStyle name="Normal 63 4 2 2 3" xfId="15322" xr:uid="{00000000-0005-0000-0000-00002F440000}"/>
    <cellStyle name="Normal 63 4 2 3" xfId="7064" xr:uid="{00000000-0005-0000-0000-000030440000}"/>
    <cellStyle name="Normal 63 4 2 3 2" xfId="17961" xr:uid="{00000000-0005-0000-0000-000031440000}"/>
    <cellStyle name="Normal 63 4 2 4" xfId="13031" xr:uid="{00000000-0005-0000-0000-000032440000}"/>
    <cellStyle name="Normal 63 4 3" xfId="3280" xr:uid="{00000000-0005-0000-0000-000033440000}"/>
    <cellStyle name="Normal 63 4 3 2" xfId="8231" xr:uid="{00000000-0005-0000-0000-000034440000}"/>
    <cellStyle name="Normal 63 4 3 2 2" xfId="19128" xr:uid="{00000000-0005-0000-0000-000035440000}"/>
    <cellStyle name="Normal 63 4 3 3" xfId="14177" xr:uid="{00000000-0005-0000-0000-000036440000}"/>
    <cellStyle name="Normal 63 4 4" xfId="5919" xr:uid="{00000000-0005-0000-0000-000037440000}"/>
    <cellStyle name="Normal 63 4 4 2" xfId="16816" xr:uid="{00000000-0005-0000-0000-000038440000}"/>
    <cellStyle name="Normal 63 4 5" xfId="11913" xr:uid="{00000000-0005-0000-0000-000039440000}"/>
    <cellStyle name="Normal 63 5" xfId="1629" xr:uid="{00000000-0005-0000-0000-00003A440000}"/>
    <cellStyle name="Normal 63 5 2" xfId="3941" xr:uid="{00000000-0005-0000-0000-00003B440000}"/>
    <cellStyle name="Normal 63 5 2 2" xfId="8892" xr:uid="{00000000-0005-0000-0000-00003C440000}"/>
    <cellStyle name="Normal 63 5 2 2 2" xfId="19789" xr:uid="{00000000-0005-0000-0000-00003D440000}"/>
    <cellStyle name="Normal 63 5 2 3" xfId="14838" xr:uid="{00000000-0005-0000-0000-00003E440000}"/>
    <cellStyle name="Normal 63 5 3" xfId="6580" xr:uid="{00000000-0005-0000-0000-00003F440000}"/>
    <cellStyle name="Normal 63 5 3 2" xfId="17477" xr:uid="{00000000-0005-0000-0000-000040440000}"/>
    <cellStyle name="Normal 63 5 4" xfId="12561" xr:uid="{00000000-0005-0000-0000-000041440000}"/>
    <cellStyle name="Normal 63 6" xfId="2748" xr:uid="{00000000-0005-0000-0000-000042440000}"/>
    <cellStyle name="Normal 63 6 2" xfId="7699" xr:uid="{00000000-0005-0000-0000-000043440000}"/>
    <cellStyle name="Normal 63 6 2 2" xfId="18596" xr:uid="{00000000-0005-0000-0000-000044440000}"/>
    <cellStyle name="Normal 63 6 3" xfId="13645" xr:uid="{00000000-0005-0000-0000-000045440000}"/>
    <cellStyle name="Normal 63 7" xfId="5387" xr:uid="{00000000-0005-0000-0000-000046440000}"/>
    <cellStyle name="Normal 63 7 2" xfId="16284" xr:uid="{00000000-0005-0000-0000-000047440000}"/>
    <cellStyle name="Normal 63 8" xfId="11390" xr:uid="{00000000-0005-0000-0000-000048440000}"/>
    <cellStyle name="Normal 64" xfId="425" xr:uid="{00000000-0005-0000-0000-000049440000}"/>
    <cellStyle name="Normal 64 2" xfId="554" xr:uid="{00000000-0005-0000-0000-00004A440000}"/>
    <cellStyle name="Normal 64 2 2" xfId="819" xr:uid="{00000000-0005-0000-0000-00004B440000}"/>
    <cellStyle name="Normal 64 2 2 2" xfId="1351" xr:uid="{00000000-0005-0000-0000-00004C440000}"/>
    <cellStyle name="Normal 64 2 2 2 2" xfId="2508" xr:uid="{00000000-0005-0000-0000-00004D440000}"/>
    <cellStyle name="Normal 64 2 2 2 2 2" xfId="4820" xr:uid="{00000000-0005-0000-0000-00004E440000}"/>
    <cellStyle name="Normal 64 2 2 2 2 2 2" xfId="9771" xr:uid="{00000000-0005-0000-0000-00004F440000}"/>
    <cellStyle name="Normal 64 2 2 2 2 2 2 2" xfId="20668" xr:uid="{00000000-0005-0000-0000-000050440000}"/>
    <cellStyle name="Normal 64 2 2 2 2 2 3" xfId="15717" xr:uid="{00000000-0005-0000-0000-000051440000}"/>
    <cellStyle name="Normal 64 2 2 2 2 3" xfId="7459" xr:uid="{00000000-0005-0000-0000-000052440000}"/>
    <cellStyle name="Normal 64 2 2 2 2 3 2" xfId="18356" xr:uid="{00000000-0005-0000-0000-000053440000}"/>
    <cellStyle name="Normal 64 2 2 2 2 4" xfId="13419" xr:uid="{00000000-0005-0000-0000-000054440000}"/>
    <cellStyle name="Normal 64 2 2 2 3" xfId="3675" xr:uid="{00000000-0005-0000-0000-000055440000}"/>
    <cellStyle name="Normal 64 2 2 2 3 2" xfId="8626" xr:uid="{00000000-0005-0000-0000-000056440000}"/>
    <cellStyle name="Normal 64 2 2 2 3 2 2" xfId="19523" xr:uid="{00000000-0005-0000-0000-000057440000}"/>
    <cellStyle name="Normal 64 2 2 2 3 3" xfId="14572" xr:uid="{00000000-0005-0000-0000-000058440000}"/>
    <cellStyle name="Normal 64 2 2 2 4" xfId="6314" xr:uid="{00000000-0005-0000-0000-000059440000}"/>
    <cellStyle name="Normal 64 2 2 2 4 2" xfId="17211" xr:uid="{00000000-0005-0000-0000-00005A440000}"/>
    <cellStyle name="Normal 64 2 2 2 5" xfId="12301" xr:uid="{00000000-0005-0000-0000-00005B440000}"/>
    <cellStyle name="Normal 64 2 2 3" xfId="1977" xr:uid="{00000000-0005-0000-0000-00005C440000}"/>
    <cellStyle name="Normal 64 2 2 3 2" xfId="4289" xr:uid="{00000000-0005-0000-0000-00005D440000}"/>
    <cellStyle name="Normal 64 2 2 3 2 2" xfId="9240" xr:uid="{00000000-0005-0000-0000-00005E440000}"/>
    <cellStyle name="Normal 64 2 2 3 2 2 2" xfId="20137" xr:uid="{00000000-0005-0000-0000-00005F440000}"/>
    <cellStyle name="Normal 64 2 2 3 2 3" xfId="15186" xr:uid="{00000000-0005-0000-0000-000060440000}"/>
    <cellStyle name="Normal 64 2 2 3 3" xfId="6928" xr:uid="{00000000-0005-0000-0000-000061440000}"/>
    <cellStyle name="Normal 64 2 2 3 3 2" xfId="17825" xr:uid="{00000000-0005-0000-0000-000062440000}"/>
    <cellStyle name="Normal 64 2 2 3 4" xfId="12901" xr:uid="{00000000-0005-0000-0000-000063440000}"/>
    <cellStyle name="Normal 64 2 2 4" xfId="3143" xr:uid="{00000000-0005-0000-0000-000064440000}"/>
    <cellStyle name="Normal 64 2 2 4 2" xfId="8094" xr:uid="{00000000-0005-0000-0000-000065440000}"/>
    <cellStyle name="Normal 64 2 2 4 2 2" xfId="18991" xr:uid="{00000000-0005-0000-0000-000066440000}"/>
    <cellStyle name="Normal 64 2 2 4 3" xfId="14040" xr:uid="{00000000-0005-0000-0000-000067440000}"/>
    <cellStyle name="Normal 64 2 2 5" xfId="5782" xr:uid="{00000000-0005-0000-0000-000068440000}"/>
    <cellStyle name="Normal 64 2 2 5 2" xfId="16679" xr:uid="{00000000-0005-0000-0000-000069440000}"/>
    <cellStyle name="Normal 64 2 2 6" xfId="11780" xr:uid="{00000000-0005-0000-0000-00006A440000}"/>
    <cellStyle name="Normal 64 2 3" xfId="1086" xr:uid="{00000000-0005-0000-0000-00006B440000}"/>
    <cellStyle name="Normal 64 2 3 2" xfId="2243" xr:uid="{00000000-0005-0000-0000-00006C440000}"/>
    <cellStyle name="Normal 64 2 3 2 2" xfId="4555" xr:uid="{00000000-0005-0000-0000-00006D440000}"/>
    <cellStyle name="Normal 64 2 3 2 2 2" xfId="9506" xr:uid="{00000000-0005-0000-0000-00006E440000}"/>
    <cellStyle name="Normal 64 2 3 2 2 2 2" xfId="20403" xr:uid="{00000000-0005-0000-0000-00006F440000}"/>
    <cellStyle name="Normal 64 2 3 2 2 3" xfId="15452" xr:uid="{00000000-0005-0000-0000-000070440000}"/>
    <cellStyle name="Normal 64 2 3 2 3" xfId="7194" xr:uid="{00000000-0005-0000-0000-000071440000}"/>
    <cellStyle name="Normal 64 2 3 2 3 2" xfId="18091" xr:uid="{00000000-0005-0000-0000-000072440000}"/>
    <cellStyle name="Normal 64 2 3 2 4" xfId="13160" xr:uid="{00000000-0005-0000-0000-000073440000}"/>
    <cellStyle name="Normal 64 2 3 3" xfId="3410" xr:uid="{00000000-0005-0000-0000-000074440000}"/>
    <cellStyle name="Normal 64 2 3 3 2" xfId="8361" xr:uid="{00000000-0005-0000-0000-000075440000}"/>
    <cellStyle name="Normal 64 2 3 3 2 2" xfId="19258" xr:uid="{00000000-0005-0000-0000-000076440000}"/>
    <cellStyle name="Normal 64 2 3 3 3" xfId="14307" xr:uid="{00000000-0005-0000-0000-000077440000}"/>
    <cellStyle name="Normal 64 2 3 4" xfId="6049" xr:uid="{00000000-0005-0000-0000-000078440000}"/>
    <cellStyle name="Normal 64 2 3 4 2" xfId="16946" xr:uid="{00000000-0005-0000-0000-000079440000}"/>
    <cellStyle name="Normal 64 2 3 5" xfId="12042" xr:uid="{00000000-0005-0000-0000-00007A440000}"/>
    <cellStyle name="Normal 64 2 4" xfId="1744" xr:uid="{00000000-0005-0000-0000-00007B440000}"/>
    <cellStyle name="Normal 64 2 4 2" xfId="4056" xr:uid="{00000000-0005-0000-0000-00007C440000}"/>
    <cellStyle name="Normal 64 2 4 2 2" xfId="9007" xr:uid="{00000000-0005-0000-0000-00007D440000}"/>
    <cellStyle name="Normal 64 2 4 2 2 2" xfId="19904" xr:uid="{00000000-0005-0000-0000-00007E440000}"/>
    <cellStyle name="Normal 64 2 4 2 3" xfId="14953" xr:uid="{00000000-0005-0000-0000-00007F440000}"/>
    <cellStyle name="Normal 64 2 4 3" xfId="6695" xr:uid="{00000000-0005-0000-0000-000080440000}"/>
    <cellStyle name="Normal 64 2 4 3 2" xfId="17592" xr:uid="{00000000-0005-0000-0000-000081440000}"/>
    <cellStyle name="Normal 64 2 4 4" xfId="12675" xr:uid="{00000000-0005-0000-0000-000082440000}"/>
    <cellStyle name="Normal 64 2 5" xfId="2878" xr:uid="{00000000-0005-0000-0000-000083440000}"/>
    <cellStyle name="Normal 64 2 5 2" xfId="7829" xr:uid="{00000000-0005-0000-0000-000084440000}"/>
    <cellStyle name="Normal 64 2 5 2 2" xfId="18726" xr:uid="{00000000-0005-0000-0000-000085440000}"/>
    <cellStyle name="Normal 64 2 5 3" xfId="13775" xr:uid="{00000000-0005-0000-0000-000086440000}"/>
    <cellStyle name="Normal 64 2 6" xfId="5517" xr:uid="{00000000-0005-0000-0000-000087440000}"/>
    <cellStyle name="Normal 64 2 6 2" xfId="16414" xr:uid="{00000000-0005-0000-0000-000088440000}"/>
    <cellStyle name="Normal 64 2 7" xfId="11519" xr:uid="{00000000-0005-0000-0000-000089440000}"/>
    <cellStyle name="Normal 64 3" xfId="690" xr:uid="{00000000-0005-0000-0000-00008A440000}"/>
    <cellStyle name="Normal 64 3 2" xfId="1222" xr:uid="{00000000-0005-0000-0000-00008B440000}"/>
    <cellStyle name="Normal 64 3 2 2" xfId="2379" xr:uid="{00000000-0005-0000-0000-00008C440000}"/>
    <cellStyle name="Normal 64 3 2 2 2" xfId="4691" xr:uid="{00000000-0005-0000-0000-00008D440000}"/>
    <cellStyle name="Normal 64 3 2 2 2 2" xfId="9642" xr:uid="{00000000-0005-0000-0000-00008E440000}"/>
    <cellStyle name="Normal 64 3 2 2 2 2 2" xfId="20539" xr:uid="{00000000-0005-0000-0000-00008F440000}"/>
    <cellStyle name="Normal 64 3 2 2 2 3" xfId="15588" xr:uid="{00000000-0005-0000-0000-000090440000}"/>
    <cellStyle name="Normal 64 3 2 2 3" xfId="7330" xr:uid="{00000000-0005-0000-0000-000091440000}"/>
    <cellStyle name="Normal 64 3 2 2 3 2" xfId="18227" xr:uid="{00000000-0005-0000-0000-000092440000}"/>
    <cellStyle name="Normal 64 3 2 2 4" xfId="13291" xr:uid="{00000000-0005-0000-0000-000093440000}"/>
    <cellStyle name="Normal 64 3 2 3" xfId="3546" xr:uid="{00000000-0005-0000-0000-000094440000}"/>
    <cellStyle name="Normal 64 3 2 3 2" xfId="8497" xr:uid="{00000000-0005-0000-0000-000095440000}"/>
    <cellStyle name="Normal 64 3 2 3 2 2" xfId="19394" xr:uid="{00000000-0005-0000-0000-000096440000}"/>
    <cellStyle name="Normal 64 3 2 3 3" xfId="14443" xr:uid="{00000000-0005-0000-0000-000097440000}"/>
    <cellStyle name="Normal 64 3 2 4" xfId="6185" xr:uid="{00000000-0005-0000-0000-000098440000}"/>
    <cellStyle name="Normal 64 3 2 4 2" xfId="17082" xr:uid="{00000000-0005-0000-0000-000099440000}"/>
    <cellStyle name="Normal 64 3 2 5" xfId="12173" xr:uid="{00000000-0005-0000-0000-00009A440000}"/>
    <cellStyle name="Normal 64 3 3" xfId="1863" xr:uid="{00000000-0005-0000-0000-00009B440000}"/>
    <cellStyle name="Normal 64 3 3 2" xfId="4175" xr:uid="{00000000-0005-0000-0000-00009C440000}"/>
    <cellStyle name="Normal 64 3 3 2 2" xfId="9126" xr:uid="{00000000-0005-0000-0000-00009D440000}"/>
    <cellStyle name="Normal 64 3 3 2 2 2" xfId="20023" xr:uid="{00000000-0005-0000-0000-00009E440000}"/>
    <cellStyle name="Normal 64 3 3 2 3" xfId="15072" xr:uid="{00000000-0005-0000-0000-00009F440000}"/>
    <cellStyle name="Normal 64 3 3 3" xfId="6814" xr:uid="{00000000-0005-0000-0000-0000A0440000}"/>
    <cellStyle name="Normal 64 3 3 3 2" xfId="17711" xr:uid="{00000000-0005-0000-0000-0000A1440000}"/>
    <cellStyle name="Normal 64 3 3 4" xfId="12788" xr:uid="{00000000-0005-0000-0000-0000A2440000}"/>
    <cellStyle name="Normal 64 3 4" xfId="3014" xr:uid="{00000000-0005-0000-0000-0000A3440000}"/>
    <cellStyle name="Normal 64 3 4 2" xfId="7965" xr:uid="{00000000-0005-0000-0000-0000A4440000}"/>
    <cellStyle name="Normal 64 3 4 2 2" xfId="18862" xr:uid="{00000000-0005-0000-0000-0000A5440000}"/>
    <cellStyle name="Normal 64 3 4 3" xfId="13911" xr:uid="{00000000-0005-0000-0000-0000A6440000}"/>
    <cellStyle name="Normal 64 3 5" xfId="5653" xr:uid="{00000000-0005-0000-0000-0000A7440000}"/>
    <cellStyle name="Normal 64 3 5 2" xfId="16550" xr:uid="{00000000-0005-0000-0000-0000A8440000}"/>
    <cellStyle name="Normal 64 3 6" xfId="11652" xr:uid="{00000000-0005-0000-0000-0000A9440000}"/>
    <cellStyle name="Normal 64 4" xfId="957" xr:uid="{00000000-0005-0000-0000-0000AA440000}"/>
    <cellStyle name="Normal 64 4 2" xfId="2114" xr:uid="{00000000-0005-0000-0000-0000AB440000}"/>
    <cellStyle name="Normal 64 4 2 2" xfId="4426" xr:uid="{00000000-0005-0000-0000-0000AC440000}"/>
    <cellStyle name="Normal 64 4 2 2 2" xfId="9377" xr:uid="{00000000-0005-0000-0000-0000AD440000}"/>
    <cellStyle name="Normal 64 4 2 2 2 2" xfId="20274" xr:uid="{00000000-0005-0000-0000-0000AE440000}"/>
    <cellStyle name="Normal 64 4 2 2 3" xfId="15323" xr:uid="{00000000-0005-0000-0000-0000AF440000}"/>
    <cellStyle name="Normal 64 4 2 3" xfId="7065" xr:uid="{00000000-0005-0000-0000-0000B0440000}"/>
    <cellStyle name="Normal 64 4 2 3 2" xfId="17962" xr:uid="{00000000-0005-0000-0000-0000B1440000}"/>
    <cellStyle name="Normal 64 4 2 4" xfId="13032" xr:uid="{00000000-0005-0000-0000-0000B2440000}"/>
    <cellStyle name="Normal 64 4 3" xfId="3281" xr:uid="{00000000-0005-0000-0000-0000B3440000}"/>
    <cellStyle name="Normal 64 4 3 2" xfId="8232" xr:uid="{00000000-0005-0000-0000-0000B4440000}"/>
    <cellStyle name="Normal 64 4 3 2 2" xfId="19129" xr:uid="{00000000-0005-0000-0000-0000B5440000}"/>
    <cellStyle name="Normal 64 4 3 3" xfId="14178" xr:uid="{00000000-0005-0000-0000-0000B6440000}"/>
    <cellStyle name="Normal 64 4 4" xfId="5920" xr:uid="{00000000-0005-0000-0000-0000B7440000}"/>
    <cellStyle name="Normal 64 4 4 2" xfId="16817" xr:uid="{00000000-0005-0000-0000-0000B8440000}"/>
    <cellStyle name="Normal 64 4 5" xfId="11914" xr:uid="{00000000-0005-0000-0000-0000B9440000}"/>
    <cellStyle name="Normal 64 5" xfId="1630" xr:uid="{00000000-0005-0000-0000-0000BA440000}"/>
    <cellStyle name="Normal 64 5 2" xfId="3942" xr:uid="{00000000-0005-0000-0000-0000BB440000}"/>
    <cellStyle name="Normal 64 5 2 2" xfId="8893" xr:uid="{00000000-0005-0000-0000-0000BC440000}"/>
    <cellStyle name="Normal 64 5 2 2 2" xfId="19790" xr:uid="{00000000-0005-0000-0000-0000BD440000}"/>
    <cellStyle name="Normal 64 5 2 3" xfId="14839" xr:uid="{00000000-0005-0000-0000-0000BE440000}"/>
    <cellStyle name="Normal 64 5 3" xfId="6581" xr:uid="{00000000-0005-0000-0000-0000BF440000}"/>
    <cellStyle name="Normal 64 5 3 2" xfId="17478" xr:uid="{00000000-0005-0000-0000-0000C0440000}"/>
    <cellStyle name="Normal 64 5 4" xfId="12562" xr:uid="{00000000-0005-0000-0000-0000C1440000}"/>
    <cellStyle name="Normal 64 6" xfId="2749" xr:uid="{00000000-0005-0000-0000-0000C2440000}"/>
    <cellStyle name="Normal 64 6 2" xfId="7700" xr:uid="{00000000-0005-0000-0000-0000C3440000}"/>
    <cellStyle name="Normal 64 6 2 2" xfId="18597" xr:uid="{00000000-0005-0000-0000-0000C4440000}"/>
    <cellStyle name="Normal 64 6 3" xfId="13646" xr:uid="{00000000-0005-0000-0000-0000C5440000}"/>
    <cellStyle name="Normal 64 7" xfId="5388" xr:uid="{00000000-0005-0000-0000-0000C6440000}"/>
    <cellStyle name="Normal 64 7 2" xfId="16285" xr:uid="{00000000-0005-0000-0000-0000C7440000}"/>
    <cellStyle name="Normal 64 8" xfId="11391" xr:uid="{00000000-0005-0000-0000-0000C8440000}"/>
    <cellStyle name="Normal 65" xfId="426" xr:uid="{00000000-0005-0000-0000-0000C9440000}"/>
    <cellStyle name="Normal 65 2" xfId="555" xr:uid="{00000000-0005-0000-0000-0000CA440000}"/>
    <cellStyle name="Normal 65 2 2" xfId="820" xr:uid="{00000000-0005-0000-0000-0000CB440000}"/>
    <cellStyle name="Normal 65 2 2 2" xfId="1352" xr:uid="{00000000-0005-0000-0000-0000CC440000}"/>
    <cellStyle name="Normal 65 2 2 2 2" xfId="2509" xr:uid="{00000000-0005-0000-0000-0000CD440000}"/>
    <cellStyle name="Normal 65 2 2 2 2 2" xfId="4821" xr:uid="{00000000-0005-0000-0000-0000CE440000}"/>
    <cellStyle name="Normal 65 2 2 2 2 2 2" xfId="9772" xr:uid="{00000000-0005-0000-0000-0000CF440000}"/>
    <cellStyle name="Normal 65 2 2 2 2 2 2 2" xfId="20669" xr:uid="{00000000-0005-0000-0000-0000D0440000}"/>
    <cellStyle name="Normal 65 2 2 2 2 2 3" xfId="15718" xr:uid="{00000000-0005-0000-0000-0000D1440000}"/>
    <cellStyle name="Normal 65 2 2 2 2 3" xfId="7460" xr:uid="{00000000-0005-0000-0000-0000D2440000}"/>
    <cellStyle name="Normal 65 2 2 2 2 3 2" xfId="18357" xr:uid="{00000000-0005-0000-0000-0000D3440000}"/>
    <cellStyle name="Normal 65 2 2 2 2 4" xfId="13420" xr:uid="{00000000-0005-0000-0000-0000D4440000}"/>
    <cellStyle name="Normal 65 2 2 2 3" xfId="3676" xr:uid="{00000000-0005-0000-0000-0000D5440000}"/>
    <cellStyle name="Normal 65 2 2 2 3 2" xfId="8627" xr:uid="{00000000-0005-0000-0000-0000D6440000}"/>
    <cellStyle name="Normal 65 2 2 2 3 2 2" xfId="19524" xr:uid="{00000000-0005-0000-0000-0000D7440000}"/>
    <cellStyle name="Normal 65 2 2 2 3 3" xfId="14573" xr:uid="{00000000-0005-0000-0000-0000D8440000}"/>
    <cellStyle name="Normal 65 2 2 2 4" xfId="6315" xr:uid="{00000000-0005-0000-0000-0000D9440000}"/>
    <cellStyle name="Normal 65 2 2 2 4 2" xfId="17212" xr:uid="{00000000-0005-0000-0000-0000DA440000}"/>
    <cellStyle name="Normal 65 2 2 2 5" xfId="12302" xr:uid="{00000000-0005-0000-0000-0000DB440000}"/>
    <cellStyle name="Normal 65 2 2 3" xfId="1978" xr:uid="{00000000-0005-0000-0000-0000DC440000}"/>
    <cellStyle name="Normal 65 2 2 3 2" xfId="4290" xr:uid="{00000000-0005-0000-0000-0000DD440000}"/>
    <cellStyle name="Normal 65 2 2 3 2 2" xfId="9241" xr:uid="{00000000-0005-0000-0000-0000DE440000}"/>
    <cellStyle name="Normal 65 2 2 3 2 2 2" xfId="20138" xr:uid="{00000000-0005-0000-0000-0000DF440000}"/>
    <cellStyle name="Normal 65 2 2 3 2 3" xfId="15187" xr:uid="{00000000-0005-0000-0000-0000E0440000}"/>
    <cellStyle name="Normal 65 2 2 3 3" xfId="6929" xr:uid="{00000000-0005-0000-0000-0000E1440000}"/>
    <cellStyle name="Normal 65 2 2 3 3 2" xfId="17826" xr:uid="{00000000-0005-0000-0000-0000E2440000}"/>
    <cellStyle name="Normal 65 2 2 3 4" xfId="12902" xr:uid="{00000000-0005-0000-0000-0000E3440000}"/>
    <cellStyle name="Normal 65 2 2 4" xfId="3144" xr:uid="{00000000-0005-0000-0000-0000E4440000}"/>
    <cellStyle name="Normal 65 2 2 4 2" xfId="8095" xr:uid="{00000000-0005-0000-0000-0000E5440000}"/>
    <cellStyle name="Normal 65 2 2 4 2 2" xfId="18992" xr:uid="{00000000-0005-0000-0000-0000E6440000}"/>
    <cellStyle name="Normal 65 2 2 4 3" xfId="14041" xr:uid="{00000000-0005-0000-0000-0000E7440000}"/>
    <cellStyle name="Normal 65 2 2 5" xfId="5783" xr:uid="{00000000-0005-0000-0000-0000E8440000}"/>
    <cellStyle name="Normal 65 2 2 5 2" xfId="16680" xr:uid="{00000000-0005-0000-0000-0000E9440000}"/>
    <cellStyle name="Normal 65 2 2 6" xfId="11781" xr:uid="{00000000-0005-0000-0000-0000EA440000}"/>
    <cellStyle name="Normal 65 2 3" xfId="1087" xr:uid="{00000000-0005-0000-0000-0000EB440000}"/>
    <cellStyle name="Normal 65 2 3 2" xfId="2244" xr:uid="{00000000-0005-0000-0000-0000EC440000}"/>
    <cellStyle name="Normal 65 2 3 2 2" xfId="4556" xr:uid="{00000000-0005-0000-0000-0000ED440000}"/>
    <cellStyle name="Normal 65 2 3 2 2 2" xfId="9507" xr:uid="{00000000-0005-0000-0000-0000EE440000}"/>
    <cellStyle name="Normal 65 2 3 2 2 2 2" xfId="20404" xr:uid="{00000000-0005-0000-0000-0000EF440000}"/>
    <cellStyle name="Normal 65 2 3 2 2 3" xfId="15453" xr:uid="{00000000-0005-0000-0000-0000F0440000}"/>
    <cellStyle name="Normal 65 2 3 2 3" xfId="7195" xr:uid="{00000000-0005-0000-0000-0000F1440000}"/>
    <cellStyle name="Normal 65 2 3 2 3 2" xfId="18092" xr:uid="{00000000-0005-0000-0000-0000F2440000}"/>
    <cellStyle name="Normal 65 2 3 2 4" xfId="13161" xr:uid="{00000000-0005-0000-0000-0000F3440000}"/>
    <cellStyle name="Normal 65 2 3 3" xfId="3411" xr:uid="{00000000-0005-0000-0000-0000F4440000}"/>
    <cellStyle name="Normal 65 2 3 3 2" xfId="8362" xr:uid="{00000000-0005-0000-0000-0000F5440000}"/>
    <cellStyle name="Normal 65 2 3 3 2 2" xfId="19259" xr:uid="{00000000-0005-0000-0000-0000F6440000}"/>
    <cellStyle name="Normal 65 2 3 3 3" xfId="14308" xr:uid="{00000000-0005-0000-0000-0000F7440000}"/>
    <cellStyle name="Normal 65 2 3 4" xfId="6050" xr:uid="{00000000-0005-0000-0000-0000F8440000}"/>
    <cellStyle name="Normal 65 2 3 4 2" xfId="16947" xr:uid="{00000000-0005-0000-0000-0000F9440000}"/>
    <cellStyle name="Normal 65 2 3 5" xfId="12043" xr:uid="{00000000-0005-0000-0000-0000FA440000}"/>
    <cellStyle name="Normal 65 2 4" xfId="1745" xr:uid="{00000000-0005-0000-0000-0000FB440000}"/>
    <cellStyle name="Normal 65 2 4 2" xfId="4057" xr:uid="{00000000-0005-0000-0000-0000FC440000}"/>
    <cellStyle name="Normal 65 2 4 2 2" xfId="9008" xr:uid="{00000000-0005-0000-0000-0000FD440000}"/>
    <cellStyle name="Normal 65 2 4 2 2 2" xfId="19905" xr:uid="{00000000-0005-0000-0000-0000FE440000}"/>
    <cellStyle name="Normal 65 2 4 2 3" xfId="14954" xr:uid="{00000000-0005-0000-0000-0000FF440000}"/>
    <cellStyle name="Normal 65 2 4 3" xfId="6696" xr:uid="{00000000-0005-0000-0000-000000450000}"/>
    <cellStyle name="Normal 65 2 4 3 2" xfId="17593" xr:uid="{00000000-0005-0000-0000-000001450000}"/>
    <cellStyle name="Normal 65 2 4 4" xfId="12676" xr:uid="{00000000-0005-0000-0000-000002450000}"/>
    <cellStyle name="Normal 65 2 5" xfId="2879" xr:uid="{00000000-0005-0000-0000-000003450000}"/>
    <cellStyle name="Normal 65 2 5 2" xfId="7830" xr:uid="{00000000-0005-0000-0000-000004450000}"/>
    <cellStyle name="Normal 65 2 5 2 2" xfId="18727" xr:uid="{00000000-0005-0000-0000-000005450000}"/>
    <cellStyle name="Normal 65 2 5 3" xfId="13776" xr:uid="{00000000-0005-0000-0000-000006450000}"/>
    <cellStyle name="Normal 65 2 6" xfId="5518" xr:uid="{00000000-0005-0000-0000-000007450000}"/>
    <cellStyle name="Normal 65 2 6 2" xfId="16415" xr:uid="{00000000-0005-0000-0000-000008450000}"/>
    <cellStyle name="Normal 65 2 7" xfId="11520" xr:uid="{00000000-0005-0000-0000-000009450000}"/>
    <cellStyle name="Normal 65 3" xfId="691" xr:uid="{00000000-0005-0000-0000-00000A450000}"/>
    <cellStyle name="Normal 65 3 2" xfId="1223" xr:uid="{00000000-0005-0000-0000-00000B450000}"/>
    <cellStyle name="Normal 65 3 2 2" xfId="2380" xr:uid="{00000000-0005-0000-0000-00000C450000}"/>
    <cellStyle name="Normal 65 3 2 2 2" xfId="4692" xr:uid="{00000000-0005-0000-0000-00000D450000}"/>
    <cellStyle name="Normal 65 3 2 2 2 2" xfId="9643" xr:uid="{00000000-0005-0000-0000-00000E450000}"/>
    <cellStyle name="Normal 65 3 2 2 2 2 2" xfId="20540" xr:uid="{00000000-0005-0000-0000-00000F450000}"/>
    <cellStyle name="Normal 65 3 2 2 2 3" xfId="15589" xr:uid="{00000000-0005-0000-0000-000010450000}"/>
    <cellStyle name="Normal 65 3 2 2 3" xfId="7331" xr:uid="{00000000-0005-0000-0000-000011450000}"/>
    <cellStyle name="Normal 65 3 2 2 3 2" xfId="18228" xr:uid="{00000000-0005-0000-0000-000012450000}"/>
    <cellStyle name="Normal 65 3 2 2 4" xfId="13292" xr:uid="{00000000-0005-0000-0000-000013450000}"/>
    <cellStyle name="Normal 65 3 2 3" xfId="3547" xr:uid="{00000000-0005-0000-0000-000014450000}"/>
    <cellStyle name="Normal 65 3 2 3 2" xfId="8498" xr:uid="{00000000-0005-0000-0000-000015450000}"/>
    <cellStyle name="Normal 65 3 2 3 2 2" xfId="19395" xr:uid="{00000000-0005-0000-0000-000016450000}"/>
    <cellStyle name="Normal 65 3 2 3 3" xfId="14444" xr:uid="{00000000-0005-0000-0000-000017450000}"/>
    <cellStyle name="Normal 65 3 2 4" xfId="6186" xr:uid="{00000000-0005-0000-0000-000018450000}"/>
    <cellStyle name="Normal 65 3 2 4 2" xfId="17083" xr:uid="{00000000-0005-0000-0000-000019450000}"/>
    <cellStyle name="Normal 65 3 2 5" xfId="12174" xr:uid="{00000000-0005-0000-0000-00001A450000}"/>
    <cellStyle name="Normal 65 3 3" xfId="1864" xr:uid="{00000000-0005-0000-0000-00001B450000}"/>
    <cellStyle name="Normal 65 3 3 2" xfId="4176" xr:uid="{00000000-0005-0000-0000-00001C450000}"/>
    <cellStyle name="Normal 65 3 3 2 2" xfId="9127" xr:uid="{00000000-0005-0000-0000-00001D450000}"/>
    <cellStyle name="Normal 65 3 3 2 2 2" xfId="20024" xr:uid="{00000000-0005-0000-0000-00001E450000}"/>
    <cellStyle name="Normal 65 3 3 2 3" xfId="15073" xr:uid="{00000000-0005-0000-0000-00001F450000}"/>
    <cellStyle name="Normal 65 3 3 3" xfId="6815" xr:uid="{00000000-0005-0000-0000-000020450000}"/>
    <cellStyle name="Normal 65 3 3 3 2" xfId="17712" xr:uid="{00000000-0005-0000-0000-000021450000}"/>
    <cellStyle name="Normal 65 3 3 4" xfId="12789" xr:uid="{00000000-0005-0000-0000-000022450000}"/>
    <cellStyle name="Normal 65 3 4" xfId="3015" xr:uid="{00000000-0005-0000-0000-000023450000}"/>
    <cellStyle name="Normal 65 3 4 2" xfId="7966" xr:uid="{00000000-0005-0000-0000-000024450000}"/>
    <cellStyle name="Normal 65 3 4 2 2" xfId="18863" xr:uid="{00000000-0005-0000-0000-000025450000}"/>
    <cellStyle name="Normal 65 3 4 3" xfId="13912" xr:uid="{00000000-0005-0000-0000-000026450000}"/>
    <cellStyle name="Normal 65 3 5" xfId="5654" xr:uid="{00000000-0005-0000-0000-000027450000}"/>
    <cellStyle name="Normal 65 3 5 2" xfId="16551" xr:uid="{00000000-0005-0000-0000-000028450000}"/>
    <cellStyle name="Normal 65 3 6" xfId="11653" xr:uid="{00000000-0005-0000-0000-000029450000}"/>
    <cellStyle name="Normal 65 4" xfId="958" xr:uid="{00000000-0005-0000-0000-00002A450000}"/>
    <cellStyle name="Normal 65 4 2" xfId="2115" xr:uid="{00000000-0005-0000-0000-00002B450000}"/>
    <cellStyle name="Normal 65 4 2 2" xfId="4427" xr:uid="{00000000-0005-0000-0000-00002C450000}"/>
    <cellStyle name="Normal 65 4 2 2 2" xfId="9378" xr:uid="{00000000-0005-0000-0000-00002D450000}"/>
    <cellStyle name="Normal 65 4 2 2 2 2" xfId="20275" xr:uid="{00000000-0005-0000-0000-00002E450000}"/>
    <cellStyle name="Normal 65 4 2 2 3" xfId="15324" xr:uid="{00000000-0005-0000-0000-00002F450000}"/>
    <cellStyle name="Normal 65 4 2 3" xfId="7066" xr:uid="{00000000-0005-0000-0000-000030450000}"/>
    <cellStyle name="Normal 65 4 2 3 2" xfId="17963" xr:uid="{00000000-0005-0000-0000-000031450000}"/>
    <cellStyle name="Normal 65 4 2 4" xfId="13033" xr:uid="{00000000-0005-0000-0000-000032450000}"/>
    <cellStyle name="Normal 65 4 3" xfId="3282" xr:uid="{00000000-0005-0000-0000-000033450000}"/>
    <cellStyle name="Normal 65 4 3 2" xfId="8233" xr:uid="{00000000-0005-0000-0000-000034450000}"/>
    <cellStyle name="Normal 65 4 3 2 2" xfId="19130" xr:uid="{00000000-0005-0000-0000-000035450000}"/>
    <cellStyle name="Normal 65 4 3 3" xfId="14179" xr:uid="{00000000-0005-0000-0000-000036450000}"/>
    <cellStyle name="Normal 65 4 4" xfId="5921" xr:uid="{00000000-0005-0000-0000-000037450000}"/>
    <cellStyle name="Normal 65 4 4 2" xfId="16818" xr:uid="{00000000-0005-0000-0000-000038450000}"/>
    <cellStyle name="Normal 65 4 5" xfId="11915" xr:uid="{00000000-0005-0000-0000-000039450000}"/>
    <cellStyle name="Normal 65 5" xfId="1631" xr:uid="{00000000-0005-0000-0000-00003A450000}"/>
    <cellStyle name="Normal 65 5 2" xfId="3943" xr:uid="{00000000-0005-0000-0000-00003B450000}"/>
    <cellStyle name="Normal 65 5 2 2" xfId="8894" xr:uid="{00000000-0005-0000-0000-00003C450000}"/>
    <cellStyle name="Normal 65 5 2 2 2" xfId="19791" xr:uid="{00000000-0005-0000-0000-00003D450000}"/>
    <cellStyle name="Normal 65 5 2 3" xfId="14840" xr:uid="{00000000-0005-0000-0000-00003E450000}"/>
    <cellStyle name="Normal 65 5 3" xfId="6582" xr:uid="{00000000-0005-0000-0000-00003F450000}"/>
    <cellStyle name="Normal 65 5 3 2" xfId="17479" xr:uid="{00000000-0005-0000-0000-000040450000}"/>
    <cellStyle name="Normal 65 5 4" xfId="12563" xr:uid="{00000000-0005-0000-0000-000041450000}"/>
    <cellStyle name="Normal 65 6" xfId="2750" xr:uid="{00000000-0005-0000-0000-000042450000}"/>
    <cellStyle name="Normal 65 6 2" xfId="7701" xr:uid="{00000000-0005-0000-0000-000043450000}"/>
    <cellStyle name="Normal 65 6 2 2" xfId="18598" xr:uid="{00000000-0005-0000-0000-000044450000}"/>
    <cellStyle name="Normal 65 6 3" xfId="13647" xr:uid="{00000000-0005-0000-0000-000045450000}"/>
    <cellStyle name="Normal 65 7" xfId="5389" xr:uid="{00000000-0005-0000-0000-000046450000}"/>
    <cellStyle name="Normal 65 7 2" xfId="16286" xr:uid="{00000000-0005-0000-0000-000047450000}"/>
    <cellStyle name="Normal 65 8" xfId="11392" xr:uid="{00000000-0005-0000-0000-000048450000}"/>
    <cellStyle name="Normal 66" xfId="418" xr:uid="{00000000-0005-0000-0000-000049450000}"/>
    <cellStyle name="Normal 66 2" xfId="547" xr:uid="{00000000-0005-0000-0000-00004A450000}"/>
    <cellStyle name="Normal 66 2 2" xfId="812" xr:uid="{00000000-0005-0000-0000-00004B450000}"/>
    <cellStyle name="Normal 66 2 2 2" xfId="1344" xr:uid="{00000000-0005-0000-0000-00004C450000}"/>
    <cellStyle name="Normal 66 2 2 2 2" xfId="2501" xr:uid="{00000000-0005-0000-0000-00004D450000}"/>
    <cellStyle name="Normal 66 2 2 2 2 2" xfId="4813" xr:uid="{00000000-0005-0000-0000-00004E450000}"/>
    <cellStyle name="Normal 66 2 2 2 2 2 2" xfId="9764" xr:uid="{00000000-0005-0000-0000-00004F450000}"/>
    <cellStyle name="Normal 66 2 2 2 2 2 2 2" xfId="20661" xr:uid="{00000000-0005-0000-0000-000050450000}"/>
    <cellStyle name="Normal 66 2 2 2 2 2 3" xfId="15710" xr:uid="{00000000-0005-0000-0000-000051450000}"/>
    <cellStyle name="Normal 66 2 2 2 2 3" xfId="7452" xr:uid="{00000000-0005-0000-0000-000052450000}"/>
    <cellStyle name="Normal 66 2 2 2 2 3 2" xfId="18349" xr:uid="{00000000-0005-0000-0000-000053450000}"/>
    <cellStyle name="Normal 66 2 2 2 2 4" xfId="13412" xr:uid="{00000000-0005-0000-0000-000054450000}"/>
    <cellStyle name="Normal 66 2 2 2 3" xfId="3668" xr:uid="{00000000-0005-0000-0000-000055450000}"/>
    <cellStyle name="Normal 66 2 2 2 3 2" xfId="8619" xr:uid="{00000000-0005-0000-0000-000056450000}"/>
    <cellStyle name="Normal 66 2 2 2 3 2 2" xfId="19516" xr:uid="{00000000-0005-0000-0000-000057450000}"/>
    <cellStyle name="Normal 66 2 2 2 3 3" xfId="14565" xr:uid="{00000000-0005-0000-0000-000058450000}"/>
    <cellStyle name="Normal 66 2 2 2 4" xfId="6307" xr:uid="{00000000-0005-0000-0000-000059450000}"/>
    <cellStyle name="Normal 66 2 2 2 4 2" xfId="17204" xr:uid="{00000000-0005-0000-0000-00005A450000}"/>
    <cellStyle name="Normal 66 2 2 2 5" xfId="12294" xr:uid="{00000000-0005-0000-0000-00005B450000}"/>
    <cellStyle name="Normal 66 2 2 3" xfId="1970" xr:uid="{00000000-0005-0000-0000-00005C450000}"/>
    <cellStyle name="Normal 66 2 2 3 2" xfId="4282" xr:uid="{00000000-0005-0000-0000-00005D450000}"/>
    <cellStyle name="Normal 66 2 2 3 2 2" xfId="9233" xr:uid="{00000000-0005-0000-0000-00005E450000}"/>
    <cellStyle name="Normal 66 2 2 3 2 2 2" xfId="20130" xr:uid="{00000000-0005-0000-0000-00005F450000}"/>
    <cellStyle name="Normal 66 2 2 3 2 3" xfId="15179" xr:uid="{00000000-0005-0000-0000-000060450000}"/>
    <cellStyle name="Normal 66 2 2 3 3" xfId="6921" xr:uid="{00000000-0005-0000-0000-000061450000}"/>
    <cellStyle name="Normal 66 2 2 3 3 2" xfId="17818" xr:uid="{00000000-0005-0000-0000-000062450000}"/>
    <cellStyle name="Normal 66 2 2 3 4" xfId="12894" xr:uid="{00000000-0005-0000-0000-000063450000}"/>
    <cellStyle name="Normal 66 2 2 4" xfId="3136" xr:uid="{00000000-0005-0000-0000-000064450000}"/>
    <cellStyle name="Normal 66 2 2 4 2" xfId="8087" xr:uid="{00000000-0005-0000-0000-000065450000}"/>
    <cellStyle name="Normal 66 2 2 4 2 2" xfId="18984" xr:uid="{00000000-0005-0000-0000-000066450000}"/>
    <cellStyle name="Normal 66 2 2 4 3" xfId="14033" xr:uid="{00000000-0005-0000-0000-000067450000}"/>
    <cellStyle name="Normal 66 2 2 5" xfId="5775" xr:uid="{00000000-0005-0000-0000-000068450000}"/>
    <cellStyle name="Normal 66 2 2 5 2" xfId="16672" xr:uid="{00000000-0005-0000-0000-000069450000}"/>
    <cellStyle name="Normal 66 2 2 6" xfId="11773" xr:uid="{00000000-0005-0000-0000-00006A450000}"/>
    <cellStyle name="Normal 66 2 3" xfId="1079" xr:uid="{00000000-0005-0000-0000-00006B450000}"/>
    <cellStyle name="Normal 66 2 3 2" xfId="2236" xr:uid="{00000000-0005-0000-0000-00006C450000}"/>
    <cellStyle name="Normal 66 2 3 2 2" xfId="4548" xr:uid="{00000000-0005-0000-0000-00006D450000}"/>
    <cellStyle name="Normal 66 2 3 2 2 2" xfId="9499" xr:uid="{00000000-0005-0000-0000-00006E450000}"/>
    <cellStyle name="Normal 66 2 3 2 2 2 2" xfId="20396" xr:uid="{00000000-0005-0000-0000-00006F450000}"/>
    <cellStyle name="Normal 66 2 3 2 2 3" xfId="15445" xr:uid="{00000000-0005-0000-0000-000070450000}"/>
    <cellStyle name="Normal 66 2 3 2 3" xfId="7187" xr:uid="{00000000-0005-0000-0000-000071450000}"/>
    <cellStyle name="Normal 66 2 3 2 3 2" xfId="18084" xr:uid="{00000000-0005-0000-0000-000072450000}"/>
    <cellStyle name="Normal 66 2 3 2 4" xfId="13153" xr:uid="{00000000-0005-0000-0000-000073450000}"/>
    <cellStyle name="Normal 66 2 3 3" xfId="3403" xr:uid="{00000000-0005-0000-0000-000074450000}"/>
    <cellStyle name="Normal 66 2 3 3 2" xfId="8354" xr:uid="{00000000-0005-0000-0000-000075450000}"/>
    <cellStyle name="Normal 66 2 3 3 2 2" xfId="19251" xr:uid="{00000000-0005-0000-0000-000076450000}"/>
    <cellStyle name="Normal 66 2 3 3 3" xfId="14300" xr:uid="{00000000-0005-0000-0000-000077450000}"/>
    <cellStyle name="Normal 66 2 3 4" xfId="6042" xr:uid="{00000000-0005-0000-0000-000078450000}"/>
    <cellStyle name="Normal 66 2 3 4 2" xfId="16939" xr:uid="{00000000-0005-0000-0000-000079450000}"/>
    <cellStyle name="Normal 66 2 3 5" xfId="12035" xr:uid="{00000000-0005-0000-0000-00007A450000}"/>
    <cellStyle name="Normal 66 2 4" xfId="1737" xr:uid="{00000000-0005-0000-0000-00007B450000}"/>
    <cellStyle name="Normal 66 2 4 2" xfId="4049" xr:uid="{00000000-0005-0000-0000-00007C450000}"/>
    <cellStyle name="Normal 66 2 4 2 2" xfId="9000" xr:uid="{00000000-0005-0000-0000-00007D450000}"/>
    <cellStyle name="Normal 66 2 4 2 2 2" xfId="19897" xr:uid="{00000000-0005-0000-0000-00007E450000}"/>
    <cellStyle name="Normal 66 2 4 2 3" xfId="14946" xr:uid="{00000000-0005-0000-0000-00007F450000}"/>
    <cellStyle name="Normal 66 2 4 3" xfId="6688" xr:uid="{00000000-0005-0000-0000-000080450000}"/>
    <cellStyle name="Normal 66 2 4 3 2" xfId="17585" xr:uid="{00000000-0005-0000-0000-000081450000}"/>
    <cellStyle name="Normal 66 2 4 4" xfId="12668" xr:uid="{00000000-0005-0000-0000-000082450000}"/>
    <cellStyle name="Normal 66 2 5" xfId="2871" xr:uid="{00000000-0005-0000-0000-000083450000}"/>
    <cellStyle name="Normal 66 2 5 2" xfId="7822" xr:uid="{00000000-0005-0000-0000-000084450000}"/>
    <cellStyle name="Normal 66 2 5 2 2" xfId="18719" xr:uid="{00000000-0005-0000-0000-000085450000}"/>
    <cellStyle name="Normal 66 2 5 3" xfId="13768" xr:uid="{00000000-0005-0000-0000-000086450000}"/>
    <cellStyle name="Normal 66 2 6" xfId="5510" xr:uid="{00000000-0005-0000-0000-000087450000}"/>
    <cellStyle name="Normal 66 2 6 2" xfId="16407" xr:uid="{00000000-0005-0000-0000-000088450000}"/>
    <cellStyle name="Normal 66 2 7" xfId="11512" xr:uid="{00000000-0005-0000-0000-000089450000}"/>
    <cellStyle name="Normal 66 3" xfId="683" xr:uid="{00000000-0005-0000-0000-00008A450000}"/>
    <cellStyle name="Normal 66 3 2" xfId="1215" xr:uid="{00000000-0005-0000-0000-00008B450000}"/>
    <cellStyle name="Normal 66 3 2 2" xfId="2372" xr:uid="{00000000-0005-0000-0000-00008C450000}"/>
    <cellStyle name="Normal 66 3 2 2 2" xfId="4684" xr:uid="{00000000-0005-0000-0000-00008D450000}"/>
    <cellStyle name="Normal 66 3 2 2 2 2" xfId="9635" xr:uid="{00000000-0005-0000-0000-00008E450000}"/>
    <cellStyle name="Normal 66 3 2 2 2 2 2" xfId="20532" xr:uid="{00000000-0005-0000-0000-00008F450000}"/>
    <cellStyle name="Normal 66 3 2 2 2 3" xfId="15581" xr:uid="{00000000-0005-0000-0000-000090450000}"/>
    <cellStyle name="Normal 66 3 2 2 3" xfId="7323" xr:uid="{00000000-0005-0000-0000-000091450000}"/>
    <cellStyle name="Normal 66 3 2 2 3 2" xfId="18220" xr:uid="{00000000-0005-0000-0000-000092450000}"/>
    <cellStyle name="Normal 66 3 2 2 4" xfId="13284" xr:uid="{00000000-0005-0000-0000-000093450000}"/>
    <cellStyle name="Normal 66 3 2 3" xfId="3539" xr:uid="{00000000-0005-0000-0000-000094450000}"/>
    <cellStyle name="Normal 66 3 2 3 2" xfId="8490" xr:uid="{00000000-0005-0000-0000-000095450000}"/>
    <cellStyle name="Normal 66 3 2 3 2 2" xfId="19387" xr:uid="{00000000-0005-0000-0000-000096450000}"/>
    <cellStyle name="Normal 66 3 2 3 3" xfId="14436" xr:uid="{00000000-0005-0000-0000-000097450000}"/>
    <cellStyle name="Normal 66 3 2 4" xfId="6178" xr:uid="{00000000-0005-0000-0000-000098450000}"/>
    <cellStyle name="Normal 66 3 2 4 2" xfId="17075" xr:uid="{00000000-0005-0000-0000-000099450000}"/>
    <cellStyle name="Normal 66 3 2 5" xfId="12166" xr:uid="{00000000-0005-0000-0000-00009A450000}"/>
    <cellStyle name="Normal 66 3 3" xfId="1856" xr:uid="{00000000-0005-0000-0000-00009B450000}"/>
    <cellStyle name="Normal 66 3 3 2" xfId="4168" xr:uid="{00000000-0005-0000-0000-00009C450000}"/>
    <cellStyle name="Normal 66 3 3 2 2" xfId="9119" xr:uid="{00000000-0005-0000-0000-00009D450000}"/>
    <cellStyle name="Normal 66 3 3 2 2 2" xfId="20016" xr:uid="{00000000-0005-0000-0000-00009E450000}"/>
    <cellStyle name="Normal 66 3 3 2 3" xfId="15065" xr:uid="{00000000-0005-0000-0000-00009F450000}"/>
    <cellStyle name="Normal 66 3 3 3" xfId="6807" xr:uid="{00000000-0005-0000-0000-0000A0450000}"/>
    <cellStyle name="Normal 66 3 3 3 2" xfId="17704" xr:uid="{00000000-0005-0000-0000-0000A1450000}"/>
    <cellStyle name="Normal 66 3 3 4" xfId="12781" xr:uid="{00000000-0005-0000-0000-0000A2450000}"/>
    <cellStyle name="Normal 66 3 4" xfId="3007" xr:uid="{00000000-0005-0000-0000-0000A3450000}"/>
    <cellStyle name="Normal 66 3 4 2" xfId="7958" xr:uid="{00000000-0005-0000-0000-0000A4450000}"/>
    <cellStyle name="Normal 66 3 4 2 2" xfId="18855" xr:uid="{00000000-0005-0000-0000-0000A5450000}"/>
    <cellStyle name="Normal 66 3 4 3" xfId="13904" xr:uid="{00000000-0005-0000-0000-0000A6450000}"/>
    <cellStyle name="Normal 66 3 5" xfId="5646" xr:uid="{00000000-0005-0000-0000-0000A7450000}"/>
    <cellStyle name="Normal 66 3 5 2" xfId="16543" xr:uid="{00000000-0005-0000-0000-0000A8450000}"/>
    <cellStyle name="Normal 66 3 6" xfId="11645" xr:uid="{00000000-0005-0000-0000-0000A9450000}"/>
    <cellStyle name="Normal 66 4" xfId="950" xr:uid="{00000000-0005-0000-0000-0000AA450000}"/>
    <cellStyle name="Normal 66 4 2" xfId="2107" xr:uid="{00000000-0005-0000-0000-0000AB450000}"/>
    <cellStyle name="Normal 66 4 2 2" xfId="4419" xr:uid="{00000000-0005-0000-0000-0000AC450000}"/>
    <cellStyle name="Normal 66 4 2 2 2" xfId="9370" xr:uid="{00000000-0005-0000-0000-0000AD450000}"/>
    <cellStyle name="Normal 66 4 2 2 2 2" xfId="20267" xr:uid="{00000000-0005-0000-0000-0000AE450000}"/>
    <cellStyle name="Normal 66 4 2 2 3" xfId="15316" xr:uid="{00000000-0005-0000-0000-0000AF450000}"/>
    <cellStyle name="Normal 66 4 2 3" xfId="7058" xr:uid="{00000000-0005-0000-0000-0000B0450000}"/>
    <cellStyle name="Normal 66 4 2 3 2" xfId="17955" xr:uid="{00000000-0005-0000-0000-0000B1450000}"/>
    <cellStyle name="Normal 66 4 2 4" xfId="13025" xr:uid="{00000000-0005-0000-0000-0000B2450000}"/>
    <cellStyle name="Normal 66 4 3" xfId="3274" xr:uid="{00000000-0005-0000-0000-0000B3450000}"/>
    <cellStyle name="Normal 66 4 3 2" xfId="8225" xr:uid="{00000000-0005-0000-0000-0000B4450000}"/>
    <cellStyle name="Normal 66 4 3 2 2" xfId="19122" xr:uid="{00000000-0005-0000-0000-0000B5450000}"/>
    <cellStyle name="Normal 66 4 3 3" xfId="14171" xr:uid="{00000000-0005-0000-0000-0000B6450000}"/>
    <cellStyle name="Normal 66 4 4" xfId="5913" xr:uid="{00000000-0005-0000-0000-0000B7450000}"/>
    <cellStyle name="Normal 66 4 4 2" xfId="16810" xr:uid="{00000000-0005-0000-0000-0000B8450000}"/>
    <cellStyle name="Normal 66 4 5" xfId="11907" xr:uid="{00000000-0005-0000-0000-0000B9450000}"/>
    <cellStyle name="Normal 66 5" xfId="1623" xr:uid="{00000000-0005-0000-0000-0000BA450000}"/>
    <cellStyle name="Normal 66 5 2" xfId="3935" xr:uid="{00000000-0005-0000-0000-0000BB450000}"/>
    <cellStyle name="Normal 66 5 2 2" xfId="8886" xr:uid="{00000000-0005-0000-0000-0000BC450000}"/>
    <cellStyle name="Normal 66 5 2 2 2" xfId="19783" xr:uid="{00000000-0005-0000-0000-0000BD450000}"/>
    <cellStyle name="Normal 66 5 2 3" xfId="14832" xr:uid="{00000000-0005-0000-0000-0000BE450000}"/>
    <cellStyle name="Normal 66 5 3" xfId="6574" xr:uid="{00000000-0005-0000-0000-0000BF450000}"/>
    <cellStyle name="Normal 66 5 3 2" xfId="17471" xr:uid="{00000000-0005-0000-0000-0000C0450000}"/>
    <cellStyle name="Normal 66 5 4" xfId="12555" xr:uid="{00000000-0005-0000-0000-0000C1450000}"/>
    <cellStyle name="Normal 66 6" xfId="2742" xr:uid="{00000000-0005-0000-0000-0000C2450000}"/>
    <cellStyle name="Normal 66 6 2" xfId="7693" xr:uid="{00000000-0005-0000-0000-0000C3450000}"/>
    <cellStyle name="Normal 66 6 2 2" xfId="18590" xr:uid="{00000000-0005-0000-0000-0000C4450000}"/>
    <cellStyle name="Normal 66 6 3" xfId="13639" xr:uid="{00000000-0005-0000-0000-0000C5450000}"/>
    <cellStyle name="Normal 66 7" xfId="5381" xr:uid="{00000000-0005-0000-0000-0000C6450000}"/>
    <cellStyle name="Normal 66 7 2" xfId="16278" xr:uid="{00000000-0005-0000-0000-0000C7450000}"/>
    <cellStyle name="Normal 66 8" xfId="11384" xr:uid="{00000000-0005-0000-0000-0000C8450000}"/>
    <cellStyle name="Normal 67" xfId="427" xr:uid="{00000000-0005-0000-0000-0000C9450000}"/>
    <cellStyle name="Normal 67 2" xfId="556" xr:uid="{00000000-0005-0000-0000-0000CA450000}"/>
    <cellStyle name="Normal 67 2 2" xfId="821" xr:uid="{00000000-0005-0000-0000-0000CB450000}"/>
    <cellStyle name="Normal 67 2 2 2" xfId="1353" xr:uid="{00000000-0005-0000-0000-0000CC450000}"/>
    <cellStyle name="Normal 67 2 2 2 2" xfId="2510" xr:uid="{00000000-0005-0000-0000-0000CD450000}"/>
    <cellStyle name="Normal 67 2 2 2 2 2" xfId="4822" xr:uid="{00000000-0005-0000-0000-0000CE450000}"/>
    <cellStyle name="Normal 67 2 2 2 2 2 2" xfId="9773" xr:uid="{00000000-0005-0000-0000-0000CF450000}"/>
    <cellStyle name="Normal 67 2 2 2 2 2 2 2" xfId="20670" xr:uid="{00000000-0005-0000-0000-0000D0450000}"/>
    <cellStyle name="Normal 67 2 2 2 2 2 3" xfId="15719" xr:uid="{00000000-0005-0000-0000-0000D1450000}"/>
    <cellStyle name="Normal 67 2 2 2 2 3" xfId="7461" xr:uid="{00000000-0005-0000-0000-0000D2450000}"/>
    <cellStyle name="Normal 67 2 2 2 2 3 2" xfId="18358" xr:uid="{00000000-0005-0000-0000-0000D3450000}"/>
    <cellStyle name="Normal 67 2 2 2 2 4" xfId="13421" xr:uid="{00000000-0005-0000-0000-0000D4450000}"/>
    <cellStyle name="Normal 67 2 2 2 3" xfId="3677" xr:uid="{00000000-0005-0000-0000-0000D5450000}"/>
    <cellStyle name="Normal 67 2 2 2 3 2" xfId="8628" xr:uid="{00000000-0005-0000-0000-0000D6450000}"/>
    <cellStyle name="Normal 67 2 2 2 3 2 2" xfId="19525" xr:uid="{00000000-0005-0000-0000-0000D7450000}"/>
    <cellStyle name="Normal 67 2 2 2 3 3" xfId="14574" xr:uid="{00000000-0005-0000-0000-0000D8450000}"/>
    <cellStyle name="Normal 67 2 2 2 4" xfId="6316" xr:uid="{00000000-0005-0000-0000-0000D9450000}"/>
    <cellStyle name="Normal 67 2 2 2 4 2" xfId="17213" xr:uid="{00000000-0005-0000-0000-0000DA450000}"/>
    <cellStyle name="Normal 67 2 2 2 5" xfId="12303" xr:uid="{00000000-0005-0000-0000-0000DB450000}"/>
    <cellStyle name="Normal 67 2 2 3" xfId="1979" xr:uid="{00000000-0005-0000-0000-0000DC450000}"/>
    <cellStyle name="Normal 67 2 2 3 2" xfId="4291" xr:uid="{00000000-0005-0000-0000-0000DD450000}"/>
    <cellStyle name="Normal 67 2 2 3 2 2" xfId="9242" xr:uid="{00000000-0005-0000-0000-0000DE450000}"/>
    <cellStyle name="Normal 67 2 2 3 2 2 2" xfId="20139" xr:uid="{00000000-0005-0000-0000-0000DF450000}"/>
    <cellStyle name="Normal 67 2 2 3 2 3" xfId="15188" xr:uid="{00000000-0005-0000-0000-0000E0450000}"/>
    <cellStyle name="Normal 67 2 2 3 3" xfId="6930" xr:uid="{00000000-0005-0000-0000-0000E1450000}"/>
    <cellStyle name="Normal 67 2 2 3 3 2" xfId="17827" xr:uid="{00000000-0005-0000-0000-0000E2450000}"/>
    <cellStyle name="Normal 67 2 2 3 4" xfId="12903" xr:uid="{00000000-0005-0000-0000-0000E3450000}"/>
    <cellStyle name="Normal 67 2 2 4" xfId="3145" xr:uid="{00000000-0005-0000-0000-0000E4450000}"/>
    <cellStyle name="Normal 67 2 2 4 2" xfId="8096" xr:uid="{00000000-0005-0000-0000-0000E5450000}"/>
    <cellStyle name="Normal 67 2 2 4 2 2" xfId="18993" xr:uid="{00000000-0005-0000-0000-0000E6450000}"/>
    <cellStyle name="Normal 67 2 2 4 3" xfId="14042" xr:uid="{00000000-0005-0000-0000-0000E7450000}"/>
    <cellStyle name="Normal 67 2 2 5" xfId="5784" xr:uid="{00000000-0005-0000-0000-0000E8450000}"/>
    <cellStyle name="Normal 67 2 2 5 2" xfId="16681" xr:uid="{00000000-0005-0000-0000-0000E9450000}"/>
    <cellStyle name="Normal 67 2 2 6" xfId="11782" xr:uid="{00000000-0005-0000-0000-0000EA450000}"/>
    <cellStyle name="Normal 67 2 3" xfId="1088" xr:uid="{00000000-0005-0000-0000-0000EB450000}"/>
    <cellStyle name="Normal 67 2 3 2" xfId="2245" xr:uid="{00000000-0005-0000-0000-0000EC450000}"/>
    <cellStyle name="Normal 67 2 3 2 2" xfId="4557" xr:uid="{00000000-0005-0000-0000-0000ED450000}"/>
    <cellStyle name="Normal 67 2 3 2 2 2" xfId="9508" xr:uid="{00000000-0005-0000-0000-0000EE450000}"/>
    <cellStyle name="Normal 67 2 3 2 2 2 2" xfId="20405" xr:uid="{00000000-0005-0000-0000-0000EF450000}"/>
    <cellStyle name="Normal 67 2 3 2 2 3" xfId="15454" xr:uid="{00000000-0005-0000-0000-0000F0450000}"/>
    <cellStyle name="Normal 67 2 3 2 3" xfId="7196" xr:uid="{00000000-0005-0000-0000-0000F1450000}"/>
    <cellStyle name="Normal 67 2 3 2 3 2" xfId="18093" xr:uid="{00000000-0005-0000-0000-0000F2450000}"/>
    <cellStyle name="Normal 67 2 3 2 4" xfId="13162" xr:uid="{00000000-0005-0000-0000-0000F3450000}"/>
    <cellStyle name="Normal 67 2 3 3" xfId="3412" xr:uid="{00000000-0005-0000-0000-0000F4450000}"/>
    <cellStyle name="Normal 67 2 3 3 2" xfId="8363" xr:uid="{00000000-0005-0000-0000-0000F5450000}"/>
    <cellStyle name="Normal 67 2 3 3 2 2" xfId="19260" xr:uid="{00000000-0005-0000-0000-0000F6450000}"/>
    <cellStyle name="Normal 67 2 3 3 3" xfId="14309" xr:uid="{00000000-0005-0000-0000-0000F7450000}"/>
    <cellStyle name="Normal 67 2 3 4" xfId="6051" xr:uid="{00000000-0005-0000-0000-0000F8450000}"/>
    <cellStyle name="Normal 67 2 3 4 2" xfId="16948" xr:uid="{00000000-0005-0000-0000-0000F9450000}"/>
    <cellStyle name="Normal 67 2 3 5" xfId="12044" xr:uid="{00000000-0005-0000-0000-0000FA450000}"/>
    <cellStyle name="Normal 67 2 4" xfId="1746" xr:uid="{00000000-0005-0000-0000-0000FB450000}"/>
    <cellStyle name="Normal 67 2 4 2" xfId="4058" xr:uid="{00000000-0005-0000-0000-0000FC450000}"/>
    <cellStyle name="Normal 67 2 4 2 2" xfId="9009" xr:uid="{00000000-0005-0000-0000-0000FD450000}"/>
    <cellStyle name="Normal 67 2 4 2 2 2" xfId="19906" xr:uid="{00000000-0005-0000-0000-0000FE450000}"/>
    <cellStyle name="Normal 67 2 4 2 3" xfId="14955" xr:uid="{00000000-0005-0000-0000-0000FF450000}"/>
    <cellStyle name="Normal 67 2 4 3" xfId="6697" xr:uid="{00000000-0005-0000-0000-000000460000}"/>
    <cellStyle name="Normal 67 2 4 3 2" xfId="17594" xr:uid="{00000000-0005-0000-0000-000001460000}"/>
    <cellStyle name="Normal 67 2 4 4" xfId="12677" xr:uid="{00000000-0005-0000-0000-000002460000}"/>
    <cellStyle name="Normal 67 2 5" xfId="2880" xr:uid="{00000000-0005-0000-0000-000003460000}"/>
    <cellStyle name="Normal 67 2 5 2" xfId="7831" xr:uid="{00000000-0005-0000-0000-000004460000}"/>
    <cellStyle name="Normal 67 2 5 2 2" xfId="18728" xr:uid="{00000000-0005-0000-0000-000005460000}"/>
    <cellStyle name="Normal 67 2 5 3" xfId="13777" xr:uid="{00000000-0005-0000-0000-000006460000}"/>
    <cellStyle name="Normal 67 2 6" xfId="5519" xr:uid="{00000000-0005-0000-0000-000007460000}"/>
    <cellStyle name="Normal 67 2 6 2" xfId="16416" xr:uid="{00000000-0005-0000-0000-000008460000}"/>
    <cellStyle name="Normal 67 2 7" xfId="11521" xr:uid="{00000000-0005-0000-0000-000009460000}"/>
    <cellStyle name="Normal 67 3" xfId="692" xr:uid="{00000000-0005-0000-0000-00000A460000}"/>
    <cellStyle name="Normal 67 3 2" xfId="1224" xr:uid="{00000000-0005-0000-0000-00000B460000}"/>
    <cellStyle name="Normal 67 3 2 2" xfId="2381" xr:uid="{00000000-0005-0000-0000-00000C460000}"/>
    <cellStyle name="Normal 67 3 2 2 2" xfId="4693" xr:uid="{00000000-0005-0000-0000-00000D460000}"/>
    <cellStyle name="Normal 67 3 2 2 2 2" xfId="9644" xr:uid="{00000000-0005-0000-0000-00000E460000}"/>
    <cellStyle name="Normal 67 3 2 2 2 2 2" xfId="20541" xr:uid="{00000000-0005-0000-0000-00000F460000}"/>
    <cellStyle name="Normal 67 3 2 2 2 3" xfId="15590" xr:uid="{00000000-0005-0000-0000-000010460000}"/>
    <cellStyle name="Normal 67 3 2 2 3" xfId="7332" xr:uid="{00000000-0005-0000-0000-000011460000}"/>
    <cellStyle name="Normal 67 3 2 2 3 2" xfId="18229" xr:uid="{00000000-0005-0000-0000-000012460000}"/>
    <cellStyle name="Normal 67 3 2 2 4" xfId="13293" xr:uid="{00000000-0005-0000-0000-000013460000}"/>
    <cellStyle name="Normal 67 3 2 3" xfId="3548" xr:uid="{00000000-0005-0000-0000-000014460000}"/>
    <cellStyle name="Normal 67 3 2 3 2" xfId="8499" xr:uid="{00000000-0005-0000-0000-000015460000}"/>
    <cellStyle name="Normal 67 3 2 3 2 2" xfId="19396" xr:uid="{00000000-0005-0000-0000-000016460000}"/>
    <cellStyle name="Normal 67 3 2 3 3" xfId="14445" xr:uid="{00000000-0005-0000-0000-000017460000}"/>
    <cellStyle name="Normal 67 3 2 4" xfId="6187" xr:uid="{00000000-0005-0000-0000-000018460000}"/>
    <cellStyle name="Normal 67 3 2 4 2" xfId="17084" xr:uid="{00000000-0005-0000-0000-000019460000}"/>
    <cellStyle name="Normal 67 3 2 5" xfId="12175" xr:uid="{00000000-0005-0000-0000-00001A460000}"/>
    <cellStyle name="Normal 67 3 3" xfId="1865" xr:uid="{00000000-0005-0000-0000-00001B460000}"/>
    <cellStyle name="Normal 67 3 3 2" xfId="4177" xr:uid="{00000000-0005-0000-0000-00001C460000}"/>
    <cellStyle name="Normal 67 3 3 2 2" xfId="9128" xr:uid="{00000000-0005-0000-0000-00001D460000}"/>
    <cellStyle name="Normal 67 3 3 2 2 2" xfId="20025" xr:uid="{00000000-0005-0000-0000-00001E460000}"/>
    <cellStyle name="Normal 67 3 3 2 3" xfId="15074" xr:uid="{00000000-0005-0000-0000-00001F460000}"/>
    <cellStyle name="Normal 67 3 3 3" xfId="6816" xr:uid="{00000000-0005-0000-0000-000020460000}"/>
    <cellStyle name="Normal 67 3 3 3 2" xfId="17713" xr:uid="{00000000-0005-0000-0000-000021460000}"/>
    <cellStyle name="Normal 67 3 3 4" xfId="12790" xr:uid="{00000000-0005-0000-0000-000022460000}"/>
    <cellStyle name="Normal 67 3 4" xfId="3016" xr:uid="{00000000-0005-0000-0000-000023460000}"/>
    <cellStyle name="Normal 67 3 4 2" xfId="7967" xr:uid="{00000000-0005-0000-0000-000024460000}"/>
    <cellStyle name="Normal 67 3 4 2 2" xfId="18864" xr:uid="{00000000-0005-0000-0000-000025460000}"/>
    <cellStyle name="Normal 67 3 4 3" xfId="13913" xr:uid="{00000000-0005-0000-0000-000026460000}"/>
    <cellStyle name="Normal 67 3 5" xfId="5655" xr:uid="{00000000-0005-0000-0000-000027460000}"/>
    <cellStyle name="Normal 67 3 5 2" xfId="16552" xr:uid="{00000000-0005-0000-0000-000028460000}"/>
    <cellStyle name="Normal 67 3 6" xfId="11654" xr:uid="{00000000-0005-0000-0000-000029460000}"/>
    <cellStyle name="Normal 67 4" xfId="827" xr:uid="{00000000-0005-0000-0000-00002A460000}"/>
    <cellStyle name="Normal 67 4 2" xfId="1984" xr:uid="{00000000-0005-0000-0000-00002B460000}"/>
    <cellStyle name="Normal 67 4 2 2" xfId="4296" xr:uid="{00000000-0005-0000-0000-00002C460000}"/>
    <cellStyle name="Normal 67 4 2 2 2" xfId="9247" xr:uid="{00000000-0005-0000-0000-00002D460000}"/>
    <cellStyle name="Normal 67 4 2 2 2 2" xfId="20144" xr:uid="{00000000-0005-0000-0000-00002E460000}"/>
    <cellStyle name="Normal 67 4 2 2 3" xfId="15193" xr:uid="{00000000-0005-0000-0000-00002F460000}"/>
    <cellStyle name="Normal 67 4 2 3" xfId="6935" xr:uid="{00000000-0005-0000-0000-000030460000}"/>
    <cellStyle name="Normal 67 4 2 3 2" xfId="17832" xr:uid="{00000000-0005-0000-0000-000031460000}"/>
    <cellStyle name="Normal 67 4 2 4" xfId="12906" xr:uid="{00000000-0005-0000-0000-000032460000}"/>
    <cellStyle name="Normal 67 4 3" xfId="3151" xr:uid="{00000000-0005-0000-0000-000033460000}"/>
    <cellStyle name="Normal 67 4 3 2" xfId="8102" xr:uid="{00000000-0005-0000-0000-000034460000}"/>
    <cellStyle name="Normal 67 4 3 2 2" xfId="18999" xr:uid="{00000000-0005-0000-0000-000035460000}"/>
    <cellStyle name="Normal 67 4 3 3" xfId="14048" xr:uid="{00000000-0005-0000-0000-000036460000}"/>
    <cellStyle name="Normal 67 4 4" xfId="5790" xr:uid="{00000000-0005-0000-0000-000037460000}"/>
    <cellStyle name="Normal 67 4 4 2" xfId="16687" xr:uid="{00000000-0005-0000-0000-000038460000}"/>
    <cellStyle name="Normal 67 4 5" xfId="11788" xr:uid="{00000000-0005-0000-0000-000039460000}"/>
    <cellStyle name="Normal 67 5" xfId="959" xr:uid="{00000000-0005-0000-0000-00003A460000}"/>
    <cellStyle name="Normal 67 5 2" xfId="2116" xr:uid="{00000000-0005-0000-0000-00003B460000}"/>
    <cellStyle name="Normal 67 5 2 2" xfId="4428" xr:uid="{00000000-0005-0000-0000-00003C460000}"/>
    <cellStyle name="Normal 67 5 2 2 2" xfId="9379" xr:uid="{00000000-0005-0000-0000-00003D460000}"/>
    <cellStyle name="Normal 67 5 2 2 2 2" xfId="20276" xr:uid="{00000000-0005-0000-0000-00003E460000}"/>
    <cellStyle name="Normal 67 5 2 2 3" xfId="15325" xr:uid="{00000000-0005-0000-0000-00003F460000}"/>
    <cellStyle name="Normal 67 5 2 3" xfId="7067" xr:uid="{00000000-0005-0000-0000-000040460000}"/>
    <cellStyle name="Normal 67 5 2 3 2" xfId="17964" xr:uid="{00000000-0005-0000-0000-000041460000}"/>
    <cellStyle name="Normal 67 5 2 4" xfId="13034" xr:uid="{00000000-0005-0000-0000-000042460000}"/>
    <cellStyle name="Normal 67 5 3" xfId="3283" xr:uid="{00000000-0005-0000-0000-000043460000}"/>
    <cellStyle name="Normal 67 5 3 2" xfId="8234" xr:uid="{00000000-0005-0000-0000-000044460000}"/>
    <cellStyle name="Normal 67 5 3 2 2" xfId="19131" xr:uid="{00000000-0005-0000-0000-000045460000}"/>
    <cellStyle name="Normal 67 5 3 3" xfId="14180" xr:uid="{00000000-0005-0000-0000-000046460000}"/>
    <cellStyle name="Normal 67 5 4" xfId="5922" xr:uid="{00000000-0005-0000-0000-000047460000}"/>
    <cellStyle name="Normal 67 5 4 2" xfId="16819" xr:uid="{00000000-0005-0000-0000-000048460000}"/>
    <cellStyle name="Normal 67 5 5" xfId="11916" xr:uid="{00000000-0005-0000-0000-000049460000}"/>
    <cellStyle name="Normal 67 6" xfId="1632" xr:uid="{00000000-0005-0000-0000-00004A460000}"/>
    <cellStyle name="Normal 67 6 2" xfId="3944" xr:uid="{00000000-0005-0000-0000-00004B460000}"/>
    <cellStyle name="Normal 67 6 2 2" xfId="8895" xr:uid="{00000000-0005-0000-0000-00004C460000}"/>
    <cellStyle name="Normal 67 6 2 2 2" xfId="19792" xr:uid="{00000000-0005-0000-0000-00004D460000}"/>
    <cellStyle name="Normal 67 6 2 3" xfId="14841" xr:uid="{00000000-0005-0000-0000-00004E460000}"/>
    <cellStyle name="Normal 67 6 3" xfId="6583" xr:uid="{00000000-0005-0000-0000-00004F460000}"/>
    <cellStyle name="Normal 67 6 3 2" xfId="17480" xr:uid="{00000000-0005-0000-0000-000050460000}"/>
    <cellStyle name="Normal 67 6 4" xfId="12564" xr:uid="{00000000-0005-0000-0000-000051460000}"/>
    <cellStyle name="Normal 67 7" xfId="2751" xr:uid="{00000000-0005-0000-0000-000052460000}"/>
    <cellStyle name="Normal 67 7 2" xfId="7702" xr:uid="{00000000-0005-0000-0000-000053460000}"/>
    <cellStyle name="Normal 67 7 2 2" xfId="18599" xr:uid="{00000000-0005-0000-0000-000054460000}"/>
    <cellStyle name="Normal 67 7 3" xfId="13648" xr:uid="{00000000-0005-0000-0000-000055460000}"/>
    <cellStyle name="Normal 67 8" xfId="5390" xr:uid="{00000000-0005-0000-0000-000056460000}"/>
    <cellStyle name="Normal 67 8 2" xfId="16287" xr:uid="{00000000-0005-0000-0000-000057460000}"/>
    <cellStyle name="Normal 67 9" xfId="11393" xr:uid="{00000000-0005-0000-0000-000058460000}"/>
    <cellStyle name="Normal 68" xfId="560" xr:uid="{00000000-0005-0000-0000-000059460000}"/>
    <cellStyle name="Normal 68 2" xfId="825" xr:uid="{00000000-0005-0000-0000-00005A460000}"/>
    <cellStyle name="Normal 68 2 2" xfId="1357" xr:uid="{00000000-0005-0000-0000-00005B460000}"/>
    <cellStyle name="Normal 68 2 2 2" xfId="2514" xr:uid="{00000000-0005-0000-0000-00005C460000}"/>
    <cellStyle name="Normal 68 2 2 2 2" xfId="4826" xr:uid="{00000000-0005-0000-0000-00005D460000}"/>
    <cellStyle name="Normal 68 2 2 2 2 2" xfId="9777" xr:uid="{00000000-0005-0000-0000-00005E460000}"/>
    <cellStyle name="Normal 68 2 2 2 2 2 2" xfId="20674" xr:uid="{00000000-0005-0000-0000-00005F460000}"/>
    <cellStyle name="Normal 68 2 2 2 2 3" xfId="15723" xr:uid="{00000000-0005-0000-0000-000060460000}"/>
    <cellStyle name="Normal 68 2 2 2 3" xfId="7465" xr:uid="{00000000-0005-0000-0000-000061460000}"/>
    <cellStyle name="Normal 68 2 2 2 3 2" xfId="18362" xr:uid="{00000000-0005-0000-0000-000062460000}"/>
    <cellStyle name="Normal 68 2 2 2 4" xfId="13423" xr:uid="{00000000-0005-0000-0000-000063460000}"/>
    <cellStyle name="Normal 68 2 2 3" xfId="3681" xr:uid="{00000000-0005-0000-0000-000064460000}"/>
    <cellStyle name="Normal 68 2 2 3 2" xfId="8632" xr:uid="{00000000-0005-0000-0000-000065460000}"/>
    <cellStyle name="Normal 68 2 2 3 2 2" xfId="19529" xr:uid="{00000000-0005-0000-0000-000066460000}"/>
    <cellStyle name="Normal 68 2 2 3 3" xfId="14578" xr:uid="{00000000-0005-0000-0000-000067460000}"/>
    <cellStyle name="Normal 68 2 2 4" xfId="6320" xr:uid="{00000000-0005-0000-0000-000068460000}"/>
    <cellStyle name="Normal 68 2 2 4 2" xfId="17217" xr:uid="{00000000-0005-0000-0000-000069460000}"/>
    <cellStyle name="Normal 68 2 2 5" xfId="12306" xr:uid="{00000000-0005-0000-0000-00006A460000}"/>
    <cellStyle name="Normal 68 2 3" xfId="1982" xr:uid="{00000000-0005-0000-0000-00006B460000}"/>
    <cellStyle name="Normal 68 2 3 2" xfId="4294" xr:uid="{00000000-0005-0000-0000-00006C460000}"/>
    <cellStyle name="Normal 68 2 3 2 2" xfId="9245" xr:uid="{00000000-0005-0000-0000-00006D460000}"/>
    <cellStyle name="Normal 68 2 3 2 2 2" xfId="20142" xr:uid="{00000000-0005-0000-0000-00006E460000}"/>
    <cellStyle name="Normal 68 2 3 2 3" xfId="15191" xr:uid="{00000000-0005-0000-0000-00006F460000}"/>
    <cellStyle name="Normal 68 2 3 3" xfId="6933" xr:uid="{00000000-0005-0000-0000-000070460000}"/>
    <cellStyle name="Normal 68 2 3 3 2" xfId="17830" xr:uid="{00000000-0005-0000-0000-000071460000}"/>
    <cellStyle name="Normal 68 2 3 4" xfId="12904" xr:uid="{00000000-0005-0000-0000-000072460000}"/>
    <cellStyle name="Normal 68 2 4" xfId="3149" xr:uid="{00000000-0005-0000-0000-000073460000}"/>
    <cellStyle name="Normal 68 2 4 2" xfId="8100" xr:uid="{00000000-0005-0000-0000-000074460000}"/>
    <cellStyle name="Normal 68 2 4 2 2" xfId="18997" xr:uid="{00000000-0005-0000-0000-000075460000}"/>
    <cellStyle name="Normal 68 2 4 3" xfId="14046" xr:uid="{00000000-0005-0000-0000-000076460000}"/>
    <cellStyle name="Normal 68 2 5" xfId="5788" xr:uid="{00000000-0005-0000-0000-000077460000}"/>
    <cellStyle name="Normal 68 2 5 2" xfId="16685" xr:uid="{00000000-0005-0000-0000-000078460000}"/>
    <cellStyle name="Normal 68 2 6" xfId="11786" xr:uid="{00000000-0005-0000-0000-000079460000}"/>
    <cellStyle name="Normal 68 3" xfId="1092" xr:uid="{00000000-0005-0000-0000-00007A460000}"/>
    <cellStyle name="Normal 68 3 2" xfId="2249" xr:uid="{00000000-0005-0000-0000-00007B460000}"/>
    <cellStyle name="Normal 68 3 2 2" xfId="4561" xr:uid="{00000000-0005-0000-0000-00007C460000}"/>
    <cellStyle name="Normal 68 3 2 2 2" xfId="9512" xr:uid="{00000000-0005-0000-0000-00007D460000}"/>
    <cellStyle name="Normal 68 3 2 2 2 2" xfId="20409" xr:uid="{00000000-0005-0000-0000-00007E460000}"/>
    <cellStyle name="Normal 68 3 2 2 3" xfId="15458" xr:uid="{00000000-0005-0000-0000-00007F460000}"/>
    <cellStyle name="Normal 68 3 2 3" xfId="7200" xr:uid="{00000000-0005-0000-0000-000080460000}"/>
    <cellStyle name="Normal 68 3 2 3 2" xfId="18097" xr:uid="{00000000-0005-0000-0000-000081460000}"/>
    <cellStyle name="Normal 68 3 2 4" xfId="13164" xr:uid="{00000000-0005-0000-0000-000082460000}"/>
    <cellStyle name="Normal 68 3 3" xfId="3416" xr:uid="{00000000-0005-0000-0000-000083460000}"/>
    <cellStyle name="Normal 68 3 3 2" xfId="8367" xr:uid="{00000000-0005-0000-0000-000084460000}"/>
    <cellStyle name="Normal 68 3 3 2 2" xfId="19264" xr:uid="{00000000-0005-0000-0000-000085460000}"/>
    <cellStyle name="Normal 68 3 3 3" xfId="14313" xr:uid="{00000000-0005-0000-0000-000086460000}"/>
    <cellStyle name="Normal 68 3 4" xfId="6055" xr:uid="{00000000-0005-0000-0000-000087460000}"/>
    <cellStyle name="Normal 68 3 4 2" xfId="16952" xr:uid="{00000000-0005-0000-0000-000088460000}"/>
    <cellStyle name="Normal 68 3 5" xfId="12046" xr:uid="{00000000-0005-0000-0000-000089460000}"/>
    <cellStyle name="Normal 68 4" xfId="1749" xr:uid="{00000000-0005-0000-0000-00008A460000}"/>
    <cellStyle name="Normal 68 4 2" xfId="4061" xr:uid="{00000000-0005-0000-0000-00008B460000}"/>
    <cellStyle name="Normal 68 4 2 2" xfId="9012" xr:uid="{00000000-0005-0000-0000-00008C460000}"/>
    <cellStyle name="Normal 68 4 2 2 2" xfId="19909" xr:uid="{00000000-0005-0000-0000-00008D460000}"/>
    <cellStyle name="Normal 68 4 2 3" xfId="14958" xr:uid="{00000000-0005-0000-0000-00008E460000}"/>
    <cellStyle name="Normal 68 4 3" xfId="6700" xr:uid="{00000000-0005-0000-0000-00008F460000}"/>
    <cellStyle name="Normal 68 4 3 2" xfId="17597" xr:uid="{00000000-0005-0000-0000-000090460000}"/>
    <cellStyle name="Normal 68 4 4" xfId="12678" xr:uid="{00000000-0005-0000-0000-000091460000}"/>
    <cellStyle name="Normal 68 5" xfId="2884" xr:uid="{00000000-0005-0000-0000-000092460000}"/>
    <cellStyle name="Normal 68 5 2" xfId="7835" xr:uid="{00000000-0005-0000-0000-000093460000}"/>
    <cellStyle name="Normal 68 5 2 2" xfId="18732" xr:uid="{00000000-0005-0000-0000-000094460000}"/>
    <cellStyle name="Normal 68 5 3" xfId="13781" xr:uid="{00000000-0005-0000-0000-000095460000}"/>
    <cellStyle name="Normal 68 6" xfId="5523" xr:uid="{00000000-0005-0000-0000-000096460000}"/>
    <cellStyle name="Normal 68 6 2" xfId="16420" xr:uid="{00000000-0005-0000-0000-000097460000}"/>
    <cellStyle name="Normal 68 7" xfId="11525" xr:uid="{00000000-0005-0000-0000-000098460000}"/>
    <cellStyle name="Normal 69" xfId="826" xr:uid="{00000000-0005-0000-0000-000099460000}"/>
    <cellStyle name="Normal 69 2" xfId="1983" xr:uid="{00000000-0005-0000-0000-00009A460000}"/>
    <cellStyle name="Normal 69 2 2" xfId="4295" xr:uid="{00000000-0005-0000-0000-00009B460000}"/>
    <cellStyle name="Normal 69 2 2 2" xfId="9246" xr:uid="{00000000-0005-0000-0000-00009C460000}"/>
    <cellStyle name="Normal 69 2 2 2 2" xfId="20143" xr:uid="{00000000-0005-0000-0000-00009D460000}"/>
    <cellStyle name="Normal 69 2 2 3" xfId="15192" xr:uid="{00000000-0005-0000-0000-00009E460000}"/>
    <cellStyle name="Normal 69 2 3" xfId="6934" xr:uid="{00000000-0005-0000-0000-00009F460000}"/>
    <cellStyle name="Normal 69 2 3 2" xfId="17831" xr:uid="{00000000-0005-0000-0000-0000A0460000}"/>
    <cellStyle name="Normal 69 2 4" xfId="12905" xr:uid="{00000000-0005-0000-0000-0000A1460000}"/>
    <cellStyle name="Normal 69 3" xfId="3150" xr:uid="{00000000-0005-0000-0000-0000A2460000}"/>
    <cellStyle name="Normal 69 3 2" xfId="8101" xr:uid="{00000000-0005-0000-0000-0000A3460000}"/>
    <cellStyle name="Normal 69 3 2 2" xfId="18998" xr:uid="{00000000-0005-0000-0000-0000A4460000}"/>
    <cellStyle name="Normal 69 3 3" xfId="14047" xr:uid="{00000000-0005-0000-0000-0000A5460000}"/>
    <cellStyle name="Normal 69 4" xfId="5789" xr:uid="{00000000-0005-0000-0000-0000A6460000}"/>
    <cellStyle name="Normal 69 4 2" xfId="16686" xr:uid="{00000000-0005-0000-0000-0000A7460000}"/>
    <cellStyle name="Normal 69 5" xfId="11787" xr:uid="{00000000-0005-0000-0000-0000A8460000}"/>
    <cellStyle name="Normal 7" xfId="330" xr:uid="{00000000-0005-0000-0000-0000A9460000}"/>
    <cellStyle name="Normal 70" xfId="1418" xr:uid="{00000000-0005-0000-0000-0000AA460000}"/>
    <cellStyle name="Normal 70 2" xfId="2527" xr:uid="{00000000-0005-0000-0000-0000AB460000}"/>
    <cellStyle name="Normal 70 2 2" xfId="4839" xr:uid="{00000000-0005-0000-0000-0000AC460000}"/>
    <cellStyle name="Normal 70 2 2 2" xfId="9790" xr:uid="{00000000-0005-0000-0000-0000AD460000}"/>
    <cellStyle name="Normal 70 2 2 2 2" xfId="20687" xr:uid="{00000000-0005-0000-0000-0000AE460000}"/>
    <cellStyle name="Normal 70 2 2 3" xfId="15736" xr:uid="{00000000-0005-0000-0000-0000AF460000}"/>
    <cellStyle name="Normal 70 2 3" xfId="7478" xr:uid="{00000000-0005-0000-0000-0000B0460000}"/>
    <cellStyle name="Normal 70 2 3 2" xfId="18375" xr:uid="{00000000-0005-0000-0000-0000B1460000}"/>
    <cellStyle name="Normal 70 2 4" xfId="13424" xr:uid="{00000000-0005-0000-0000-0000B2460000}"/>
    <cellStyle name="Normal 70 3" xfId="3742" xr:uid="{00000000-0005-0000-0000-0000B3460000}"/>
    <cellStyle name="Normal 70 3 2" xfId="8693" xr:uid="{00000000-0005-0000-0000-0000B4460000}"/>
    <cellStyle name="Normal 70 3 2 2" xfId="19590" xr:uid="{00000000-0005-0000-0000-0000B5460000}"/>
    <cellStyle name="Normal 70 3 3" xfId="14639" xr:uid="{00000000-0005-0000-0000-0000B6460000}"/>
    <cellStyle name="Normal 70 4" xfId="6381" xr:uid="{00000000-0005-0000-0000-0000B7460000}"/>
    <cellStyle name="Normal 70 4 2" xfId="17278" xr:uid="{00000000-0005-0000-0000-0000B8460000}"/>
    <cellStyle name="Normal 70 5" xfId="12356" xr:uid="{00000000-0005-0000-0000-0000B9460000}"/>
    <cellStyle name="Normal 71" xfId="1425" xr:uid="{00000000-0005-0000-0000-0000BA460000}"/>
    <cellStyle name="Normal 71 2" xfId="2534" xr:uid="{00000000-0005-0000-0000-0000BB460000}"/>
    <cellStyle name="Normal 71 2 2" xfId="4846" xr:uid="{00000000-0005-0000-0000-0000BC460000}"/>
    <cellStyle name="Normal 71 2 2 2" xfId="9797" xr:uid="{00000000-0005-0000-0000-0000BD460000}"/>
    <cellStyle name="Normal 71 2 2 2 2" xfId="20694" xr:uid="{00000000-0005-0000-0000-0000BE460000}"/>
    <cellStyle name="Normal 71 2 2 3" xfId="15743" xr:uid="{00000000-0005-0000-0000-0000BF460000}"/>
    <cellStyle name="Normal 71 2 3" xfId="7485" xr:uid="{00000000-0005-0000-0000-0000C0460000}"/>
    <cellStyle name="Normal 71 2 3 2" xfId="18382" xr:uid="{00000000-0005-0000-0000-0000C1460000}"/>
    <cellStyle name="Normal 71 2 4" xfId="13431" xr:uid="{00000000-0005-0000-0000-0000C2460000}"/>
    <cellStyle name="Normal 71 3" xfId="3749" xr:uid="{00000000-0005-0000-0000-0000C3460000}"/>
    <cellStyle name="Normal 71 3 2" xfId="8700" xr:uid="{00000000-0005-0000-0000-0000C4460000}"/>
    <cellStyle name="Normal 71 3 2 2" xfId="19597" xr:uid="{00000000-0005-0000-0000-0000C5460000}"/>
    <cellStyle name="Normal 71 3 3" xfId="14646" xr:uid="{00000000-0005-0000-0000-0000C6460000}"/>
    <cellStyle name="Normal 71 4" xfId="6388" xr:uid="{00000000-0005-0000-0000-0000C7460000}"/>
    <cellStyle name="Normal 71 4 2" xfId="17285" xr:uid="{00000000-0005-0000-0000-0000C8460000}"/>
    <cellStyle name="Normal 71 5" xfId="12363" xr:uid="{00000000-0005-0000-0000-0000C9460000}"/>
    <cellStyle name="Normal 72" xfId="1430" xr:uid="{00000000-0005-0000-0000-0000CA460000}"/>
    <cellStyle name="Normal 72 2" xfId="1434" xr:uid="{00000000-0005-0000-0000-0000CB460000}"/>
    <cellStyle name="Normal 72 2 2" xfId="2542" xr:uid="{00000000-0005-0000-0000-0000CC460000}"/>
    <cellStyle name="Normal 72 2 2 2" xfId="4854" xr:uid="{00000000-0005-0000-0000-0000CD460000}"/>
    <cellStyle name="Normal 72 2 2 2 2" xfId="9805" xr:uid="{00000000-0005-0000-0000-0000CE460000}"/>
    <cellStyle name="Normal 72 2 2 2 2 2" xfId="20702" xr:uid="{00000000-0005-0000-0000-0000CF460000}"/>
    <cellStyle name="Normal 72 2 2 2 3" xfId="15751" xr:uid="{00000000-0005-0000-0000-0000D0460000}"/>
    <cellStyle name="Normal 72 2 2 3" xfId="7493" xr:uid="{00000000-0005-0000-0000-0000D1460000}"/>
    <cellStyle name="Normal 72 2 2 3 2" xfId="18390" xr:uid="{00000000-0005-0000-0000-0000D2460000}"/>
    <cellStyle name="Normal 72 2 2 4" xfId="13439" xr:uid="{00000000-0005-0000-0000-0000D3460000}"/>
    <cellStyle name="Normal 72 2 3" xfId="3757" xr:uid="{00000000-0005-0000-0000-0000D4460000}"/>
    <cellStyle name="Normal 72 2 3 2" xfId="8708" xr:uid="{00000000-0005-0000-0000-0000D5460000}"/>
    <cellStyle name="Normal 72 2 3 2 2" xfId="19605" xr:uid="{00000000-0005-0000-0000-0000D6460000}"/>
    <cellStyle name="Normal 72 2 3 3" xfId="14654" xr:uid="{00000000-0005-0000-0000-0000D7460000}"/>
    <cellStyle name="Normal 72 2 4" xfId="6396" xr:uid="{00000000-0005-0000-0000-0000D8460000}"/>
    <cellStyle name="Normal 72 2 4 2" xfId="17293" xr:uid="{00000000-0005-0000-0000-0000D9460000}"/>
    <cellStyle name="Normal 72 2 5" xfId="12373" xr:uid="{00000000-0005-0000-0000-0000DA460000}"/>
    <cellStyle name="Normal 72 3" xfId="2538" xr:uid="{00000000-0005-0000-0000-0000DB460000}"/>
    <cellStyle name="Normal 72 3 2" xfId="4850" xr:uid="{00000000-0005-0000-0000-0000DC460000}"/>
    <cellStyle name="Normal 72 3 2 2" xfId="9801" xr:uid="{00000000-0005-0000-0000-0000DD460000}"/>
    <cellStyle name="Normal 72 3 2 2 2" xfId="20698" xr:uid="{00000000-0005-0000-0000-0000DE460000}"/>
    <cellStyle name="Normal 72 3 2 3" xfId="15747" xr:uid="{00000000-0005-0000-0000-0000DF460000}"/>
    <cellStyle name="Normal 72 3 3" xfId="7489" xr:uid="{00000000-0005-0000-0000-0000E0460000}"/>
    <cellStyle name="Normal 72 3 3 2" xfId="18386" xr:uid="{00000000-0005-0000-0000-0000E1460000}"/>
    <cellStyle name="Normal 72 3 4" xfId="13435" xr:uid="{00000000-0005-0000-0000-0000E2460000}"/>
    <cellStyle name="Normal 72 4" xfId="3753" xr:uid="{00000000-0005-0000-0000-0000E3460000}"/>
    <cellStyle name="Normal 72 4 2" xfId="8704" xr:uid="{00000000-0005-0000-0000-0000E4460000}"/>
    <cellStyle name="Normal 72 4 2 2" xfId="19601" xr:uid="{00000000-0005-0000-0000-0000E5460000}"/>
    <cellStyle name="Normal 72 4 3" xfId="14650" xr:uid="{00000000-0005-0000-0000-0000E6460000}"/>
    <cellStyle name="Normal 72 5" xfId="6392" xr:uid="{00000000-0005-0000-0000-0000E7460000}"/>
    <cellStyle name="Normal 72 5 2" xfId="17289" xr:uid="{00000000-0005-0000-0000-0000E8460000}"/>
    <cellStyle name="Normal 72 6" xfId="12368" xr:uid="{00000000-0005-0000-0000-0000E9460000}"/>
    <cellStyle name="Normal 73" xfId="1431" xr:uid="{00000000-0005-0000-0000-0000EA460000}"/>
    <cellStyle name="Normal 73 2" xfId="2539" xr:uid="{00000000-0005-0000-0000-0000EB460000}"/>
    <cellStyle name="Normal 73 2 2" xfId="4851" xr:uid="{00000000-0005-0000-0000-0000EC460000}"/>
    <cellStyle name="Normal 73 2 2 2" xfId="9802" xr:uid="{00000000-0005-0000-0000-0000ED460000}"/>
    <cellStyle name="Normal 73 2 2 2 2" xfId="20699" xr:uid="{00000000-0005-0000-0000-0000EE460000}"/>
    <cellStyle name="Normal 73 2 2 3" xfId="15748" xr:uid="{00000000-0005-0000-0000-0000EF460000}"/>
    <cellStyle name="Normal 73 2 3" xfId="7490" xr:uid="{00000000-0005-0000-0000-0000F0460000}"/>
    <cellStyle name="Normal 73 2 3 2" xfId="18387" xr:uid="{00000000-0005-0000-0000-0000F1460000}"/>
    <cellStyle name="Normal 73 2 4" xfId="13436" xr:uid="{00000000-0005-0000-0000-0000F2460000}"/>
    <cellStyle name="Normal 73 3" xfId="3754" xr:uid="{00000000-0005-0000-0000-0000F3460000}"/>
    <cellStyle name="Normal 73 3 2" xfId="8705" xr:uid="{00000000-0005-0000-0000-0000F4460000}"/>
    <cellStyle name="Normal 73 3 2 2" xfId="19602" xr:uid="{00000000-0005-0000-0000-0000F5460000}"/>
    <cellStyle name="Normal 73 3 3" xfId="14651" xr:uid="{00000000-0005-0000-0000-0000F6460000}"/>
    <cellStyle name="Normal 73 4" xfId="6393" xr:uid="{00000000-0005-0000-0000-0000F7460000}"/>
    <cellStyle name="Normal 73 4 2" xfId="17290" xr:uid="{00000000-0005-0000-0000-0000F8460000}"/>
    <cellStyle name="Normal 73 5" xfId="12369" xr:uid="{00000000-0005-0000-0000-0000F9460000}"/>
    <cellStyle name="Normal 74" xfId="1433" xr:uid="{00000000-0005-0000-0000-0000FA460000}"/>
    <cellStyle name="Normal 74 2" xfId="2541" xr:uid="{00000000-0005-0000-0000-0000FB460000}"/>
    <cellStyle name="Normal 74 2 2" xfId="4853" xr:uid="{00000000-0005-0000-0000-0000FC460000}"/>
    <cellStyle name="Normal 74 2 2 2" xfId="9804" xr:uid="{00000000-0005-0000-0000-0000FD460000}"/>
    <cellStyle name="Normal 74 2 2 2 2" xfId="20701" xr:uid="{00000000-0005-0000-0000-0000FE460000}"/>
    <cellStyle name="Normal 74 2 2 3" xfId="15750" xr:uid="{00000000-0005-0000-0000-0000FF460000}"/>
    <cellStyle name="Normal 74 2 3" xfId="7492" xr:uid="{00000000-0005-0000-0000-000000470000}"/>
    <cellStyle name="Normal 74 2 3 2" xfId="18389" xr:uid="{00000000-0005-0000-0000-000001470000}"/>
    <cellStyle name="Normal 74 2 4" xfId="13438" xr:uid="{00000000-0005-0000-0000-000002470000}"/>
    <cellStyle name="Normal 74 3" xfId="3756" xr:uid="{00000000-0005-0000-0000-000003470000}"/>
    <cellStyle name="Normal 74 3 2" xfId="8707" xr:uid="{00000000-0005-0000-0000-000004470000}"/>
    <cellStyle name="Normal 74 3 2 2" xfId="19604" xr:uid="{00000000-0005-0000-0000-000005470000}"/>
    <cellStyle name="Normal 74 3 3" xfId="14653" xr:uid="{00000000-0005-0000-0000-000006470000}"/>
    <cellStyle name="Normal 74 4" xfId="6395" xr:uid="{00000000-0005-0000-0000-000007470000}"/>
    <cellStyle name="Normal 74 4 2" xfId="17292" xr:uid="{00000000-0005-0000-0000-000008470000}"/>
    <cellStyle name="Normal 74 5" xfId="12372" xr:uid="{00000000-0005-0000-0000-000009470000}"/>
    <cellStyle name="Normal 75" xfId="1437" xr:uid="{00000000-0005-0000-0000-00000A470000}"/>
    <cellStyle name="Normal 75 2" xfId="2545" xr:uid="{00000000-0005-0000-0000-00000B470000}"/>
    <cellStyle name="Normal 75 2 2" xfId="4857" xr:uid="{00000000-0005-0000-0000-00000C470000}"/>
    <cellStyle name="Normal 75 2 2 2" xfId="9808" xr:uid="{00000000-0005-0000-0000-00000D470000}"/>
    <cellStyle name="Normal 75 2 2 2 2" xfId="20705" xr:uid="{00000000-0005-0000-0000-00000E470000}"/>
    <cellStyle name="Normal 75 2 2 3" xfId="15754" xr:uid="{00000000-0005-0000-0000-00000F470000}"/>
    <cellStyle name="Normal 75 2 3" xfId="7496" xr:uid="{00000000-0005-0000-0000-000010470000}"/>
    <cellStyle name="Normal 75 2 3 2" xfId="18393" xr:uid="{00000000-0005-0000-0000-000011470000}"/>
    <cellStyle name="Normal 75 2 4" xfId="13442" xr:uid="{00000000-0005-0000-0000-000012470000}"/>
    <cellStyle name="Normal 75 3" xfId="3760" xr:uid="{00000000-0005-0000-0000-000013470000}"/>
    <cellStyle name="Normal 75 3 2" xfId="8711" xr:uid="{00000000-0005-0000-0000-000014470000}"/>
    <cellStyle name="Normal 75 3 2 2" xfId="19608" xr:uid="{00000000-0005-0000-0000-000015470000}"/>
    <cellStyle name="Normal 75 3 3" xfId="14657" xr:uid="{00000000-0005-0000-0000-000016470000}"/>
    <cellStyle name="Normal 75 4" xfId="6399" xr:uid="{00000000-0005-0000-0000-000017470000}"/>
    <cellStyle name="Normal 75 4 2" xfId="17296" xr:uid="{00000000-0005-0000-0000-000018470000}"/>
    <cellStyle name="Normal 75 5" xfId="12376" xr:uid="{00000000-0005-0000-0000-000019470000}"/>
    <cellStyle name="Normal 76" xfId="1440" xr:uid="{00000000-0005-0000-0000-00001A470000}"/>
    <cellStyle name="Normal 76 2" xfId="2548" xr:uid="{00000000-0005-0000-0000-00001B470000}"/>
    <cellStyle name="Normal 76 2 2" xfId="4860" xr:uid="{00000000-0005-0000-0000-00001C470000}"/>
    <cellStyle name="Normal 76 2 2 2" xfId="9811" xr:uid="{00000000-0005-0000-0000-00001D470000}"/>
    <cellStyle name="Normal 76 2 2 2 2" xfId="20708" xr:uid="{00000000-0005-0000-0000-00001E470000}"/>
    <cellStyle name="Normal 76 2 2 3" xfId="15757" xr:uid="{00000000-0005-0000-0000-00001F470000}"/>
    <cellStyle name="Normal 76 2 3" xfId="7499" xr:uid="{00000000-0005-0000-0000-000020470000}"/>
    <cellStyle name="Normal 76 2 3 2" xfId="18396" xr:uid="{00000000-0005-0000-0000-000021470000}"/>
    <cellStyle name="Normal 76 2 4" xfId="13445" xr:uid="{00000000-0005-0000-0000-000022470000}"/>
    <cellStyle name="Normal 76 3" xfId="3763" xr:uid="{00000000-0005-0000-0000-000023470000}"/>
    <cellStyle name="Normal 76 3 2" xfId="8714" xr:uid="{00000000-0005-0000-0000-000024470000}"/>
    <cellStyle name="Normal 76 3 2 2" xfId="19611" xr:uid="{00000000-0005-0000-0000-000025470000}"/>
    <cellStyle name="Normal 76 3 3" xfId="14660" xr:uid="{00000000-0005-0000-0000-000026470000}"/>
    <cellStyle name="Normal 76 4" xfId="6402" xr:uid="{00000000-0005-0000-0000-000027470000}"/>
    <cellStyle name="Normal 76 4 2" xfId="17299" xr:uid="{00000000-0005-0000-0000-000028470000}"/>
    <cellStyle name="Normal 76 5" xfId="12379" xr:uid="{00000000-0005-0000-0000-000029470000}"/>
    <cellStyle name="Normal 77" xfId="1443" xr:uid="{00000000-0005-0000-0000-00002A470000}"/>
    <cellStyle name="Normal 77 2" xfId="2551" xr:uid="{00000000-0005-0000-0000-00002B470000}"/>
    <cellStyle name="Normal 77 2 2" xfId="4863" xr:uid="{00000000-0005-0000-0000-00002C470000}"/>
    <cellStyle name="Normal 77 2 2 2" xfId="9814" xr:uid="{00000000-0005-0000-0000-00002D470000}"/>
    <cellStyle name="Normal 77 2 2 2 2" xfId="20711" xr:uid="{00000000-0005-0000-0000-00002E470000}"/>
    <cellStyle name="Normal 77 2 2 3" xfId="15760" xr:uid="{00000000-0005-0000-0000-00002F470000}"/>
    <cellStyle name="Normal 77 2 3" xfId="7502" xr:uid="{00000000-0005-0000-0000-000030470000}"/>
    <cellStyle name="Normal 77 2 3 2" xfId="18399" xr:uid="{00000000-0005-0000-0000-000031470000}"/>
    <cellStyle name="Normal 77 2 4" xfId="13448" xr:uid="{00000000-0005-0000-0000-000032470000}"/>
    <cellStyle name="Normal 77 3" xfId="3766" xr:uid="{00000000-0005-0000-0000-000033470000}"/>
    <cellStyle name="Normal 77 3 2" xfId="8717" xr:uid="{00000000-0005-0000-0000-000034470000}"/>
    <cellStyle name="Normal 77 3 2 2" xfId="19614" xr:uid="{00000000-0005-0000-0000-000035470000}"/>
    <cellStyle name="Normal 77 3 3" xfId="14663" xr:uid="{00000000-0005-0000-0000-000036470000}"/>
    <cellStyle name="Normal 77 4" xfId="6405" xr:uid="{00000000-0005-0000-0000-000037470000}"/>
    <cellStyle name="Normal 77 4 2" xfId="17302" xr:uid="{00000000-0005-0000-0000-000038470000}"/>
    <cellStyle name="Normal 77 5" xfId="12383" xr:uid="{00000000-0005-0000-0000-000039470000}"/>
    <cellStyle name="Normal 78" xfId="1444" xr:uid="{00000000-0005-0000-0000-00003A470000}"/>
    <cellStyle name="Normal 78 2" xfId="2552" xr:uid="{00000000-0005-0000-0000-00003B470000}"/>
    <cellStyle name="Normal 78 2 2" xfId="4864" xr:uid="{00000000-0005-0000-0000-00003C470000}"/>
    <cellStyle name="Normal 78 2 2 2" xfId="9815" xr:uid="{00000000-0005-0000-0000-00003D470000}"/>
    <cellStyle name="Normal 78 2 2 2 2" xfId="20712" xr:uid="{00000000-0005-0000-0000-00003E470000}"/>
    <cellStyle name="Normal 78 2 2 3" xfId="15761" xr:uid="{00000000-0005-0000-0000-00003F470000}"/>
    <cellStyle name="Normal 78 2 3" xfId="7503" xr:uid="{00000000-0005-0000-0000-000040470000}"/>
    <cellStyle name="Normal 78 2 3 2" xfId="18400" xr:uid="{00000000-0005-0000-0000-000041470000}"/>
    <cellStyle name="Normal 78 2 4" xfId="13449" xr:uid="{00000000-0005-0000-0000-000042470000}"/>
    <cellStyle name="Normal 78 3" xfId="3767" xr:uid="{00000000-0005-0000-0000-000043470000}"/>
    <cellStyle name="Normal 78 3 2" xfId="8718" xr:uid="{00000000-0005-0000-0000-000044470000}"/>
    <cellStyle name="Normal 78 3 2 2" xfId="19615" xr:uid="{00000000-0005-0000-0000-000045470000}"/>
    <cellStyle name="Normal 78 3 3" xfId="14664" xr:uid="{00000000-0005-0000-0000-000046470000}"/>
    <cellStyle name="Normal 78 4" xfId="6406" xr:uid="{00000000-0005-0000-0000-000047470000}"/>
    <cellStyle name="Normal 78 4 2" xfId="17303" xr:uid="{00000000-0005-0000-0000-000048470000}"/>
    <cellStyle name="Normal 78 5" xfId="12384" xr:uid="{00000000-0005-0000-0000-000049470000}"/>
    <cellStyle name="Normal 79" xfId="1447" xr:uid="{00000000-0005-0000-0000-00004A470000}"/>
    <cellStyle name="Normal 79 2" xfId="2555" xr:uid="{00000000-0005-0000-0000-00004B470000}"/>
    <cellStyle name="Normal 79 2 2" xfId="4867" xr:uid="{00000000-0005-0000-0000-00004C470000}"/>
    <cellStyle name="Normal 79 2 2 2" xfId="9818" xr:uid="{00000000-0005-0000-0000-00004D470000}"/>
    <cellStyle name="Normal 79 2 2 2 2" xfId="20715" xr:uid="{00000000-0005-0000-0000-00004E470000}"/>
    <cellStyle name="Normal 79 2 2 3" xfId="15764" xr:uid="{00000000-0005-0000-0000-00004F470000}"/>
    <cellStyle name="Normal 79 2 3" xfId="7506" xr:uid="{00000000-0005-0000-0000-000050470000}"/>
    <cellStyle name="Normal 79 2 3 2" xfId="18403" xr:uid="{00000000-0005-0000-0000-000051470000}"/>
    <cellStyle name="Normal 79 2 4" xfId="13452" xr:uid="{00000000-0005-0000-0000-000052470000}"/>
    <cellStyle name="Normal 79 3" xfId="3770" xr:uid="{00000000-0005-0000-0000-000053470000}"/>
    <cellStyle name="Normal 79 3 2" xfId="8721" xr:uid="{00000000-0005-0000-0000-000054470000}"/>
    <cellStyle name="Normal 79 3 2 2" xfId="19618" xr:uid="{00000000-0005-0000-0000-000055470000}"/>
    <cellStyle name="Normal 79 3 3" xfId="14667" xr:uid="{00000000-0005-0000-0000-000056470000}"/>
    <cellStyle name="Normal 79 4" xfId="6409" xr:uid="{00000000-0005-0000-0000-000057470000}"/>
    <cellStyle name="Normal 79 4 2" xfId="17306" xr:uid="{00000000-0005-0000-0000-000058470000}"/>
    <cellStyle name="Normal 79 5" xfId="12388" xr:uid="{00000000-0005-0000-0000-000059470000}"/>
    <cellStyle name="Normal 8" xfId="331" xr:uid="{00000000-0005-0000-0000-00005A470000}"/>
    <cellStyle name="Normal 8 2" xfId="410" xr:uid="{00000000-0005-0000-0000-00005B470000}"/>
    <cellStyle name="Normal 8 2 2" xfId="540" xr:uid="{00000000-0005-0000-0000-00005C470000}"/>
    <cellStyle name="Normal 8 2 2 2" xfId="805" xr:uid="{00000000-0005-0000-0000-00005D470000}"/>
    <cellStyle name="Normal 8 2 2 2 2" xfId="1337" xr:uid="{00000000-0005-0000-0000-00005E470000}"/>
    <cellStyle name="Normal 8 2 2 2 2 2" xfId="2494" xr:uid="{00000000-0005-0000-0000-00005F470000}"/>
    <cellStyle name="Normal 8 2 2 2 2 2 2" xfId="4806" xr:uid="{00000000-0005-0000-0000-000060470000}"/>
    <cellStyle name="Normal 8 2 2 2 2 2 2 2" xfId="9757" xr:uid="{00000000-0005-0000-0000-000061470000}"/>
    <cellStyle name="Normal 8 2 2 2 2 2 2 2 2" xfId="20654" xr:uid="{00000000-0005-0000-0000-000062470000}"/>
    <cellStyle name="Normal 8 2 2 2 2 2 2 3" xfId="15703" xr:uid="{00000000-0005-0000-0000-000063470000}"/>
    <cellStyle name="Normal 8 2 2 2 2 2 3" xfId="7445" xr:uid="{00000000-0005-0000-0000-000064470000}"/>
    <cellStyle name="Normal 8 2 2 2 2 2 3 2" xfId="18342" xr:uid="{00000000-0005-0000-0000-000065470000}"/>
    <cellStyle name="Normal 8 2 2 2 2 2 4" xfId="13405" xr:uid="{00000000-0005-0000-0000-000066470000}"/>
    <cellStyle name="Normal 8 2 2 2 2 3" xfId="3661" xr:uid="{00000000-0005-0000-0000-000067470000}"/>
    <cellStyle name="Normal 8 2 2 2 2 3 2" xfId="8612" xr:uid="{00000000-0005-0000-0000-000068470000}"/>
    <cellStyle name="Normal 8 2 2 2 2 3 2 2" xfId="19509" xr:uid="{00000000-0005-0000-0000-000069470000}"/>
    <cellStyle name="Normal 8 2 2 2 2 3 3" xfId="14558" xr:uid="{00000000-0005-0000-0000-00006A470000}"/>
    <cellStyle name="Normal 8 2 2 2 2 4" xfId="6300" xr:uid="{00000000-0005-0000-0000-00006B470000}"/>
    <cellStyle name="Normal 8 2 2 2 2 4 2" xfId="17197" xr:uid="{00000000-0005-0000-0000-00006C470000}"/>
    <cellStyle name="Normal 8 2 2 2 2 5" xfId="12287" xr:uid="{00000000-0005-0000-0000-00006D470000}"/>
    <cellStyle name="Normal 8 2 2 2 3" xfId="1963" xr:uid="{00000000-0005-0000-0000-00006E470000}"/>
    <cellStyle name="Normal 8 2 2 2 3 2" xfId="4275" xr:uid="{00000000-0005-0000-0000-00006F470000}"/>
    <cellStyle name="Normal 8 2 2 2 3 2 2" xfId="9226" xr:uid="{00000000-0005-0000-0000-000070470000}"/>
    <cellStyle name="Normal 8 2 2 2 3 2 2 2" xfId="20123" xr:uid="{00000000-0005-0000-0000-000071470000}"/>
    <cellStyle name="Normal 8 2 2 2 3 2 3" xfId="15172" xr:uid="{00000000-0005-0000-0000-000072470000}"/>
    <cellStyle name="Normal 8 2 2 2 3 3" xfId="6914" xr:uid="{00000000-0005-0000-0000-000073470000}"/>
    <cellStyle name="Normal 8 2 2 2 3 3 2" xfId="17811" xr:uid="{00000000-0005-0000-0000-000074470000}"/>
    <cellStyle name="Normal 8 2 2 2 3 4" xfId="12887" xr:uid="{00000000-0005-0000-0000-000075470000}"/>
    <cellStyle name="Normal 8 2 2 2 4" xfId="3129" xr:uid="{00000000-0005-0000-0000-000076470000}"/>
    <cellStyle name="Normal 8 2 2 2 4 2" xfId="8080" xr:uid="{00000000-0005-0000-0000-000077470000}"/>
    <cellStyle name="Normal 8 2 2 2 4 2 2" xfId="18977" xr:uid="{00000000-0005-0000-0000-000078470000}"/>
    <cellStyle name="Normal 8 2 2 2 4 3" xfId="14026" xr:uid="{00000000-0005-0000-0000-000079470000}"/>
    <cellStyle name="Normal 8 2 2 2 5" xfId="5768" xr:uid="{00000000-0005-0000-0000-00007A470000}"/>
    <cellStyle name="Normal 8 2 2 2 5 2" xfId="16665" xr:uid="{00000000-0005-0000-0000-00007B470000}"/>
    <cellStyle name="Normal 8 2 2 2 6" xfId="11766" xr:uid="{00000000-0005-0000-0000-00007C470000}"/>
    <cellStyle name="Normal 8 2 2 3" xfId="1072" xr:uid="{00000000-0005-0000-0000-00007D470000}"/>
    <cellStyle name="Normal 8 2 2 3 2" xfId="2229" xr:uid="{00000000-0005-0000-0000-00007E470000}"/>
    <cellStyle name="Normal 8 2 2 3 2 2" xfId="4541" xr:uid="{00000000-0005-0000-0000-00007F470000}"/>
    <cellStyle name="Normal 8 2 2 3 2 2 2" xfId="9492" xr:uid="{00000000-0005-0000-0000-000080470000}"/>
    <cellStyle name="Normal 8 2 2 3 2 2 2 2" xfId="20389" xr:uid="{00000000-0005-0000-0000-000081470000}"/>
    <cellStyle name="Normal 8 2 2 3 2 2 3" xfId="15438" xr:uid="{00000000-0005-0000-0000-000082470000}"/>
    <cellStyle name="Normal 8 2 2 3 2 3" xfId="7180" xr:uid="{00000000-0005-0000-0000-000083470000}"/>
    <cellStyle name="Normal 8 2 2 3 2 3 2" xfId="18077" xr:uid="{00000000-0005-0000-0000-000084470000}"/>
    <cellStyle name="Normal 8 2 2 3 2 4" xfId="13146" xr:uid="{00000000-0005-0000-0000-000085470000}"/>
    <cellStyle name="Normal 8 2 2 3 3" xfId="3396" xr:uid="{00000000-0005-0000-0000-000086470000}"/>
    <cellStyle name="Normal 8 2 2 3 3 2" xfId="8347" xr:uid="{00000000-0005-0000-0000-000087470000}"/>
    <cellStyle name="Normal 8 2 2 3 3 2 2" xfId="19244" xr:uid="{00000000-0005-0000-0000-000088470000}"/>
    <cellStyle name="Normal 8 2 2 3 3 3" xfId="14293" xr:uid="{00000000-0005-0000-0000-000089470000}"/>
    <cellStyle name="Normal 8 2 2 3 4" xfId="6035" xr:uid="{00000000-0005-0000-0000-00008A470000}"/>
    <cellStyle name="Normal 8 2 2 3 4 2" xfId="16932" xr:uid="{00000000-0005-0000-0000-00008B470000}"/>
    <cellStyle name="Normal 8 2 2 3 5" xfId="12028" xr:uid="{00000000-0005-0000-0000-00008C470000}"/>
    <cellStyle name="Normal 8 2 2 4" xfId="1730" xr:uid="{00000000-0005-0000-0000-00008D470000}"/>
    <cellStyle name="Normal 8 2 2 4 2" xfId="4042" xr:uid="{00000000-0005-0000-0000-00008E470000}"/>
    <cellStyle name="Normal 8 2 2 4 2 2" xfId="8993" xr:uid="{00000000-0005-0000-0000-00008F470000}"/>
    <cellStyle name="Normal 8 2 2 4 2 2 2" xfId="19890" xr:uid="{00000000-0005-0000-0000-000090470000}"/>
    <cellStyle name="Normal 8 2 2 4 2 3" xfId="14939" xr:uid="{00000000-0005-0000-0000-000091470000}"/>
    <cellStyle name="Normal 8 2 2 4 3" xfId="6681" xr:uid="{00000000-0005-0000-0000-000092470000}"/>
    <cellStyle name="Normal 8 2 2 4 3 2" xfId="17578" xr:uid="{00000000-0005-0000-0000-000093470000}"/>
    <cellStyle name="Normal 8 2 2 4 4" xfId="12661" xr:uid="{00000000-0005-0000-0000-000094470000}"/>
    <cellStyle name="Normal 8 2 2 5" xfId="2864" xr:uid="{00000000-0005-0000-0000-000095470000}"/>
    <cellStyle name="Normal 8 2 2 5 2" xfId="7815" xr:uid="{00000000-0005-0000-0000-000096470000}"/>
    <cellStyle name="Normal 8 2 2 5 2 2" xfId="18712" xr:uid="{00000000-0005-0000-0000-000097470000}"/>
    <cellStyle name="Normal 8 2 2 5 3" xfId="13761" xr:uid="{00000000-0005-0000-0000-000098470000}"/>
    <cellStyle name="Normal 8 2 2 6" xfId="5503" xr:uid="{00000000-0005-0000-0000-000099470000}"/>
    <cellStyle name="Normal 8 2 2 6 2" xfId="16400" xr:uid="{00000000-0005-0000-0000-00009A470000}"/>
    <cellStyle name="Normal 8 2 2 7" xfId="11505" xr:uid="{00000000-0005-0000-0000-00009B470000}"/>
    <cellStyle name="Normal 8 2 3" xfId="676" xr:uid="{00000000-0005-0000-0000-00009C470000}"/>
    <cellStyle name="Normal 8 2 3 2" xfId="1208" xr:uid="{00000000-0005-0000-0000-00009D470000}"/>
    <cellStyle name="Normal 8 2 3 2 2" xfId="2365" xr:uid="{00000000-0005-0000-0000-00009E470000}"/>
    <cellStyle name="Normal 8 2 3 2 2 2" xfId="4677" xr:uid="{00000000-0005-0000-0000-00009F470000}"/>
    <cellStyle name="Normal 8 2 3 2 2 2 2" xfId="9628" xr:uid="{00000000-0005-0000-0000-0000A0470000}"/>
    <cellStyle name="Normal 8 2 3 2 2 2 2 2" xfId="20525" xr:uid="{00000000-0005-0000-0000-0000A1470000}"/>
    <cellStyle name="Normal 8 2 3 2 2 2 3" xfId="15574" xr:uid="{00000000-0005-0000-0000-0000A2470000}"/>
    <cellStyle name="Normal 8 2 3 2 2 3" xfId="7316" xr:uid="{00000000-0005-0000-0000-0000A3470000}"/>
    <cellStyle name="Normal 8 2 3 2 2 3 2" xfId="18213" xr:uid="{00000000-0005-0000-0000-0000A4470000}"/>
    <cellStyle name="Normal 8 2 3 2 2 4" xfId="13277" xr:uid="{00000000-0005-0000-0000-0000A5470000}"/>
    <cellStyle name="Normal 8 2 3 2 3" xfId="3532" xr:uid="{00000000-0005-0000-0000-0000A6470000}"/>
    <cellStyle name="Normal 8 2 3 2 3 2" xfId="8483" xr:uid="{00000000-0005-0000-0000-0000A7470000}"/>
    <cellStyle name="Normal 8 2 3 2 3 2 2" xfId="19380" xr:uid="{00000000-0005-0000-0000-0000A8470000}"/>
    <cellStyle name="Normal 8 2 3 2 3 3" xfId="14429" xr:uid="{00000000-0005-0000-0000-0000A9470000}"/>
    <cellStyle name="Normal 8 2 3 2 4" xfId="6171" xr:uid="{00000000-0005-0000-0000-0000AA470000}"/>
    <cellStyle name="Normal 8 2 3 2 4 2" xfId="17068" xr:uid="{00000000-0005-0000-0000-0000AB470000}"/>
    <cellStyle name="Normal 8 2 3 2 5" xfId="12159" xr:uid="{00000000-0005-0000-0000-0000AC470000}"/>
    <cellStyle name="Normal 8 2 3 3" xfId="1849" xr:uid="{00000000-0005-0000-0000-0000AD470000}"/>
    <cellStyle name="Normal 8 2 3 3 2" xfId="4161" xr:uid="{00000000-0005-0000-0000-0000AE470000}"/>
    <cellStyle name="Normal 8 2 3 3 2 2" xfId="9112" xr:uid="{00000000-0005-0000-0000-0000AF470000}"/>
    <cellStyle name="Normal 8 2 3 3 2 2 2" xfId="20009" xr:uid="{00000000-0005-0000-0000-0000B0470000}"/>
    <cellStyle name="Normal 8 2 3 3 2 3" xfId="15058" xr:uid="{00000000-0005-0000-0000-0000B1470000}"/>
    <cellStyle name="Normal 8 2 3 3 3" xfId="6800" xr:uid="{00000000-0005-0000-0000-0000B2470000}"/>
    <cellStyle name="Normal 8 2 3 3 3 2" xfId="17697" xr:uid="{00000000-0005-0000-0000-0000B3470000}"/>
    <cellStyle name="Normal 8 2 3 3 4" xfId="12774" xr:uid="{00000000-0005-0000-0000-0000B4470000}"/>
    <cellStyle name="Normal 8 2 3 4" xfId="3000" xr:uid="{00000000-0005-0000-0000-0000B5470000}"/>
    <cellStyle name="Normal 8 2 3 4 2" xfId="7951" xr:uid="{00000000-0005-0000-0000-0000B6470000}"/>
    <cellStyle name="Normal 8 2 3 4 2 2" xfId="18848" xr:uid="{00000000-0005-0000-0000-0000B7470000}"/>
    <cellStyle name="Normal 8 2 3 4 3" xfId="13897" xr:uid="{00000000-0005-0000-0000-0000B8470000}"/>
    <cellStyle name="Normal 8 2 3 5" xfId="5639" xr:uid="{00000000-0005-0000-0000-0000B9470000}"/>
    <cellStyle name="Normal 8 2 3 5 2" xfId="16536" xr:uid="{00000000-0005-0000-0000-0000BA470000}"/>
    <cellStyle name="Normal 8 2 3 6" xfId="11638" xr:uid="{00000000-0005-0000-0000-0000BB470000}"/>
    <cellStyle name="Normal 8 2 4" xfId="943" xr:uid="{00000000-0005-0000-0000-0000BC470000}"/>
    <cellStyle name="Normal 8 2 4 2" xfId="2100" xr:uid="{00000000-0005-0000-0000-0000BD470000}"/>
    <cellStyle name="Normal 8 2 4 2 2" xfId="4412" xr:uid="{00000000-0005-0000-0000-0000BE470000}"/>
    <cellStyle name="Normal 8 2 4 2 2 2" xfId="9363" xr:uid="{00000000-0005-0000-0000-0000BF470000}"/>
    <cellStyle name="Normal 8 2 4 2 2 2 2" xfId="20260" xr:uid="{00000000-0005-0000-0000-0000C0470000}"/>
    <cellStyle name="Normal 8 2 4 2 2 3" xfId="15309" xr:uid="{00000000-0005-0000-0000-0000C1470000}"/>
    <cellStyle name="Normal 8 2 4 2 3" xfId="7051" xr:uid="{00000000-0005-0000-0000-0000C2470000}"/>
    <cellStyle name="Normal 8 2 4 2 3 2" xfId="17948" xr:uid="{00000000-0005-0000-0000-0000C3470000}"/>
    <cellStyle name="Normal 8 2 4 2 4" xfId="13018" xr:uid="{00000000-0005-0000-0000-0000C4470000}"/>
    <cellStyle name="Normal 8 2 4 3" xfId="3267" xr:uid="{00000000-0005-0000-0000-0000C5470000}"/>
    <cellStyle name="Normal 8 2 4 3 2" xfId="8218" xr:uid="{00000000-0005-0000-0000-0000C6470000}"/>
    <cellStyle name="Normal 8 2 4 3 2 2" xfId="19115" xr:uid="{00000000-0005-0000-0000-0000C7470000}"/>
    <cellStyle name="Normal 8 2 4 3 3" xfId="14164" xr:uid="{00000000-0005-0000-0000-0000C8470000}"/>
    <cellStyle name="Normal 8 2 4 4" xfId="5906" xr:uid="{00000000-0005-0000-0000-0000C9470000}"/>
    <cellStyle name="Normal 8 2 4 4 2" xfId="16803" xr:uid="{00000000-0005-0000-0000-0000CA470000}"/>
    <cellStyle name="Normal 8 2 4 5" xfId="11900" xr:uid="{00000000-0005-0000-0000-0000CB470000}"/>
    <cellStyle name="Normal 8 2 5" xfId="1616" xr:uid="{00000000-0005-0000-0000-0000CC470000}"/>
    <cellStyle name="Normal 8 2 5 2" xfId="3928" xr:uid="{00000000-0005-0000-0000-0000CD470000}"/>
    <cellStyle name="Normal 8 2 5 2 2" xfId="8879" xr:uid="{00000000-0005-0000-0000-0000CE470000}"/>
    <cellStyle name="Normal 8 2 5 2 2 2" xfId="19776" xr:uid="{00000000-0005-0000-0000-0000CF470000}"/>
    <cellStyle name="Normal 8 2 5 2 3" xfId="14825" xr:uid="{00000000-0005-0000-0000-0000D0470000}"/>
    <cellStyle name="Normal 8 2 5 3" xfId="6567" xr:uid="{00000000-0005-0000-0000-0000D1470000}"/>
    <cellStyle name="Normal 8 2 5 3 2" xfId="17464" xr:uid="{00000000-0005-0000-0000-0000D2470000}"/>
    <cellStyle name="Normal 8 2 5 4" xfId="12548" xr:uid="{00000000-0005-0000-0000-0000D3470000}"/>
    <cellStyle name="Normal 8 2 6" xfId="2735" xr:uid="{00000000-0005-0000-0000-0000D4470000}"/>
    <cellStyle name="Normal 8 2 6 2" xfId="7686" xr:uid="{00000000-0005-0000-0000-0000D5470000}"/>
    <cellStyle name="Normal 8 2 6 2 2" xfId="18583" xr:uid="{00000000-0005-0000-0000-0000D6470000}"/>
    <cellStyle name="Normal 8 2 6 3" xfId="13632" xr:uid="{00000000-0005-0000-0000-0000D7470000}"/>
    <cellStyle name="Normal 8 2 7" xfId="5374" xr:uid="{00000000-0005-0000-0000-0000D8470000}"/>
    <cellStyle name="Normal 8 2 7 2" xfId="16271" xr:uid="{00000000-0005-0000-0000-0000D9470000}"/>
    <cellStyle name="Normal 8 2 8" xfId="11377" xr:uid="{00000000-0005-0000-0000-0000DA470000}"/>
    <cellStyle name="Normal 8 3" xfId="489" xr:uid="{00000000-0005-0000-0000-0000DB470000}"/>
    <cellStyle name="Normal 8 3 2" xfId="754" xr:uid="{00000000-0005-0000-0000-0000DC470000}"/>
    <cellStyle name="Normal 8 3 2 2" xfId="1286" xr:uid="{00000000-0005-0000-0000-0000DD470000}"/>
    <cellStyle name="Normal 8 3 2 2 2" xfId="2443" xr:uid="{00000000-0005-0000-0000-0000DE470000}"/>
    <cellStyle name="Normal 8 3 2 2 2 2" xfId="4755" xr:uid="{00000000-0005-0000-0000-0000DF470000}"/>
    <cellStyle name="Normal 8 3 2 2 2 2 2" xfId="9706" xr:uid="{00000000-0005-0000-0000-0000E0470000}"/>
    <cellStyle name="Normal 8 3 2 2 2 2 2 2" xfId="20603" xr:uid="{00000000-0005-0000-0000-0000E1470000}"/>
    <cellStyle name="Normal 8 3 2 2 2 2 3" xfId="15652" xr:uid="{00000000-0005-0000-0000-0000E2470000}"/>
    <cellStyle name="Normal 8 3 2 2 2 3" xfId="7394" xr:uid="{00000000-0005-0000-0000-0000E3470000}"/>
    <cellStyle name="Normal 8 3 2 2 2 3 2" xfId="18291" xr:uid="{00000000-0005-0000-0000-0000E4470000}"/>
    <cellStyle name="Normal 8 3 2 2 2 4" xfId="13354" xr:uid="{00000000-0005-0000-0000-0000E5470000}"/>
    <cellStyle name="Normal 8 3 2 2 3" xfId="3610" xr:uid="{00000000-0005-0000-0000-0000E6470000}"/>
    <cellStyle name="Normal 8 3 2 2 3 2" xfId="8561" xr:uid="{00000000-0005-0000-0000-0000E7470000}"/>
    <cellStyle name="Normal 8 3 2 2 3 2 2" xfId="19458" xr:uid="{00000000-0005-0000-0000-0000E8470000}"/>
    <cellStyle name="Normal 8 3 2 2 3 3" xfId="14507" xr:uid="{00000000-0005-0000-0000-0000E9470000}"/>
    <cellStyle name="Normal 8 3 2 2 4" xfId="6249" xr:uid="{00000000-0005-0000-0000-0000EA470000}"/>
    <cellStyle name="Normal 8 3 2 2 4 2" xfId="17146" xr:uid="{00000000-0005-0000-0000-0000EB470000}"/>
    <cellStyle name="Normal 8 3 2 2 5" xfId="12236" xr:uid="{00000000-0005-0000-0000-0000EC470000}"/>
    <cellStyle name="Normal 8 3 2 3" xfId="1912" xr:uid="{00000000-0005-0000-0000-0000ED470000}"/>
    <cellStyle name="Normal 8 3 2 3 2" xfId="4224" xr:uid="{00000000-0005-0000-0000-0000EE470000}"/>
    <cellStyle name="Normal 8 3 2 3 2 2" xfId="9175" xr:uid="{00000000-0005-0000-0000-0000EF470000}"/>
    <cellStyle name="Normal 8 3 2 3 2 2 2" xfId="20072" xr:uid="{00000000-0005-0000-0000-0000F0470000}"/>
    <cellStyle name="Normal 8 3 2 3 2 3" xfId="15121" xr:uid="{00000000-0005-0000-0000-0000F1470000}"/>
    <cellStyle name="Normal 8 3 2 3 3" xfId="6863" xr:uid="{00000000-0005-0000-0000-0000F2470000}"/>
    <cellStyle name="Normal 8 3 2 3 3 2" xfId="17760" xr:uid="{00000000-0005-0000-0000-0000F3470000}"/>
    <cellStyle name="Normal 8 3 2 3 4" xfId="12836" xr:uid="{00000000-0005-0000-0000-0000F4470000}"/>
    <cellStyle name="Normal 8 3 2 4" xfId="3078" xr:uid="{00000000-0005-0000-0000-0000F5470000}"/>
    <cellStyle name="Normal 8 3 2 4 2" xfId="8029" xr:uid="{00000000-0005-0000-0000-0000F6470000}"/>
    <cellStyle name="Normal 8 3 2 4 2 2" xfId="18926" xr:uid="{00000000-0005-0000-0000-0000F7470000}"/>
    <cellStyle name="Normal 8 3 2 4 3" xfId="13975" xr:uid="{00000000-0005-0000-0000-0000F8470000}"/>
    <cellStyle name="Normal 8 3 2 5" xfId="5717" xr:uid="{00000000-0005-0000-0000-0000F9470000}"/>
    <cellStyle name="Normal 8 3 2 5 2" xfId="16614" xr:uid="{00000000-0005-0000-0000-0000FA470000}"/>
    <cellStyle name="Normal 8 3 2 6" xfId="11715" xr:uid="{00000000-0005-0000-0000-0000FB470000}"/>
    <cellStyle name="Normal 8 3 3" xfId="1021" xr:uid="{00000000-0005-0000-0000-0000FC470000}"/>
    <cellStyle name="Normal 8 3 3 2" xfId="2178" xr:uid="{00000000-0005-0000-0000-0000FD470000}"/>
    <cellStyle name="Normal 8 3 3 2 2" xfId="4490" xr:uid="{00000000-0005-0000-0000-0000FE470000}"/>
    <cellStyle name="Normal 8 3 3 2 2 2" xfId="9441" xr:uid="{00000000-0005-0000-0000-0000FF470000}"/>
    <cellStyle name="Normal 8 3 3 2 2 2 2" xfId="20338" xr:uid="{00000000-0005-0000-0000-000000480000}"/>
    <cellStyle name="Normal 8 3 3 2 2 3" xfId="15387" xr:uid="{00000000-0005-0000-0000-000001480000}"/>
    <cellStyle name="Normal 8 3 3 2 3" xfId="7129" xr:uid="{00000000-0005-0000-0000-000002480000}"/>
    <cellStyle name="Normal 8 3 3 2 3 2" xfId="18026" xr:uid="{00000000-0005-0000-0000-000003480000}"/>
    <cellStyle name="Normal 8 3 3 2 4" xfId="13095" xr:uid="{00000000-0005-0000-0000-000004480000}"/>
    <cellStyle name="Normal 8 3 3 3" xfId="3345" xr:uid="{00000000-0005-0000-0000-000005480000}"/>
    <cellStyle name="Normal 8 3 3 3 2" xfId="8296" xr:uid="{00000000-0005-0000-0000-000006480000}"/>
    <cellStyle name="Normal 8 3 3 3 2 2" xfId="19193" xr:uid="{00000000-0005-0000-0000-000007480000}"/>
    <cellStyle name="Normal 8 3 3 3 3" xfId="14242" xr:uid="{00000000-0005-0000-0000-000008480000}"/>
    <cellStyle name="Normal 8 3 3 4" xfId="5984" xr:uid="{00000000-0005-0000-0000-000009480000}"/>
    <cellStyle name="Normal 8 3 3 4 2" xfId="16881" xr:uid="{00000000-0005-0000-0000-00000A480000}"/>
    <cellStyle name="Normal 8 3 3 5" xfId="11977" xr:uid="{00000000-0005-0000-0000-00000B480000}"/>
    <cellStyle name="Normal 8 3 4" xfId="1679" xr:uid="{00000000-0005-0000-0000-00000C480000}"/>
    <cellStyle name="Normal 8 3 4 2" xfId="3991" xr:uid="{00000000-0005-0000-0000-00000D480000}"/>
    <cellStyle name="Normal 8 3 4 2 2" xfId="8942" xr:uid="{00000000-0005-0000-0000-00000E480000}"/>
    <cellStyle name="Normal 8 3 4 2 2 2" xfId="19839" xr:uid="{00000000-0005-0000-0000-00000F480000}"/>
    <cellStyle name="Normal 8 3 4 2 3" xfId="14888" xr:uid="{00000000-0005-0000-0000-000010480000}"/>
    <cellStyle name="Normal 8 3 4 3" xfId="6630" xr:uid="{00000000-0005-0000-0000-000011480000}"/>
    <cellStyle name="Normal 8 3 4 3 2" xfId="17527" xr:uid="{00000000-0005-0000-0000-000012480000}"/>
    <cellStyle name="Normal 8 3 4 4" xfId="12610" xr:uid="{00000000-0005-0000-0000-000013480000}"/>
    <cellStyle name="Normal 8 3 5" xfId="2813" xr:uid="{00000000-0005-0000-0000-000014480000}"/>
    <cellStyle name="Normal 8 3 5 2" xfId="7764" xr:uid="{00000000-0005-0000-0000-000015480000}"/>
    <cellStyle name="Normal 8 3 5 2 2" xfId="18661" xr:uid="{00000000-0005-0000-0000-000016480000}"/>
    <cellStyle name="Normal 8 3 5 3" xfId="13710" xr:uid="{00000000-0005-0000-0000-000017480000}"/>
    <cellStyle name="Normal 8 3 6" xfId="5452" xr:uid="{00000000-0005-0000-0000-000018480000}"/>
    <cellStyle name="Normal 8 3 6 2" xfId="16349" xr:uid="{00000000-0005-0000-0000-000019480000}"/>
    <cellStyle name="Normal 8 3 7" xfId="11454" xr:uid="{00000000-0005-0000-0000-00001A480000}"/>
    <cellStyle name="Normal 8 4" xfId="613" xr:uid="{00000000-0005-0000-0000-00001B480000}"/>
    <cellStyle name="Normal 8 4 2" xfId="1145" xr:uid="{00000000-0005-0000-0000-00001C480000}"/>
    <cellStyle name="Normal 8 4 2 2" xfId="2302" xr:uid="{00000000-0005-0000-0000-00001D480000}"/>
    <cellStyle name="Normal 8 4 2 2 2" xfId="4614" xr:uid="{00000000-0005-0000-0000-00001E480000}"/>
    <cellStyle name="Normal 8 4 2 2 2 2" xfId="9565" xr:uid="{00000000-0005-0000-0000-00001F480000}"/>
    <cellStyle name="Normal 8 4 2 2 2 2 2" xfId="20462" xr:uid="{00000000-0005-0000-0000-000020480000}"/>
    <cellStyle name="Normal 8 4 2 2 2 3" xfId="15511" xr:uid="{00000000-0005-0000-0000-000021480000}"/>
    <cellStyle name="Normal 8 4 2 2 3" xfId="7253" xr:uid="{00000000-0005-0000-0000-000022480000}"/>
    <cellStyle name="Normal 8 4 2 2 3 2" xfId="18150" xr:uid="{00000000-0005-0000-0000-000023480000}"/>
    <cellStyle name="Normal 8 4 2 2 4" xfId="13217" xr:uid="{00000000-0005-0000-0000-000024480000}"/>
    <cellStyle name="Normal 8 4 2 3" xfId="3469" xr:uid="{00000000-0005-0000-0000-000025480000}"/>
    <cellStyle name="Normal 8 4 2 3 2" xfId="8420" xr:uid="{00000000-0005-0000-0000-000026480000}"/>
    <cellStyle name="Normal 8 4 2 3 2 2" xfId="19317" xr:uid="{00000000-0005-0000-0000-000027480000}"/>
    <cellStyle name="Normal 8 4 2 3 3" xfId="14366" xr:uid="{00000000-0005-0000-0000-000028480000}"/>
    <cellStyle name="Normal 8 4 2 4" xfId="6108" xr:uid="{00000000-0005-0000-0000-000029480000}"/>
    <cellStyle name="Normal 8 4 2 4 2" xfId="17005" xr:uid="{00000000-0005-0000-0000-00002A480000}"/>
    <cellStyle name="Normal 8 4 2 5" xfId="12099" xr:uid="{00000000-0005-0000-0000-00002B480000}"/>
    <cellStyle name="Normal 8 4 3" xfId="1794" xr:uid="{00000000-0005-0000-0000-00002C480000}"/>
    <cellStyle name="Normal 8 4 3 2" xfId="4106" xr:uid="{00000000-0005-0000-0000-00002D480000}"/>
    <cellStyle name="Normal 8 4 3 2 2" xfId="9057" xr:uid="{00000000-0005-0000-0000-00002E480000}"/>
    <cellStyle name="Normal 8 4 3 2 2 2" xfId="19954" xr:uid="{00000000-0005-0000-0000-00002F480000}"/>
    <cellStyle name="Normal 8 4 3 2 3" xfId="15003" xr:uid="{00000000-0005-0000-0000-000030480000}"/>
    <cellStyle name="Normal 8 4 3 3" xfId="6745" xr:uid="{00000000-0005-0000-0000-000031480000}"/>
    <cellStyle name="Normal 8 4 3 3 2" xfId="17642" xr:uid="{00000000-0005-0000-0000-000032480000}"/>
    <cellStyle name="Normal 8 4 3 4" xfId="12723" xr:uid="{00000000-0005-0000-0000-000033480000}"/>
    <cellStyle name="Normal 8 4 4" xfId="2937" xr:uid="{00000000-0005-0000-0000-000034480000}"/>
    <cellStyle name="Normal 8 4 4 2" xfId="7888" xr:uid="{00000000-0005-0000-0000-000035480000}"/>
    <cellStyle name="Normal 8 4 4 2 2" xfId="18785" xr:uid="{00000000-0005-0000-0000-000036480000}"/>
    <cellStyle name="Normal 8 4 4 3" xfId="13834" xr:uid="{00000000-0005-0000-0000-000037480000}"/>
    <cellStyle name="Normal 8 4 5" xfId="5576" xr:uid="{00000000-0005-0000-0000-000038480000}"/>
    <cellStyle name="Normal 8 4 5 2" xfId="16473" xr:uid="{00000000-0005-0000-0000-000039480000}"/>
    <cellStyle name="Normal 8 4 6" xfId="11578" xr:uid="{00000000-0005-0000-0000-00003A480000}"/>
    <cellStyle name="Normal 8 5" xfId="880" xr:uid="{00000000-0005-0000-0000-00003B480000}"/>
    <cellStyle name="Normal 8 5 2" xfId="2037" xr:uid="{00000000-0005-0000-0000-00003C480000}"/>
    <cellStyle name="Normal 8 5 2 2" xfId="4349" xr:uid="{00000000-0005-0000-0000-00003D480000}"/>
    <cellStyle name="Normal 8 5 2 2 2" xfId="9300" xr:uid="{00000000-0005-0000-0000-00003E480000}"/>
    <cellStyle name="Normal 8 5 2 2 2 2" xfId="20197" xr:uid="{00000000-0005-0000-0000-00003F480000}"/>
    <cellStyle name="Normal 8 5 2 2 3" xfId="15246" xr:uid="{00000000-0005-0000-0000-000040480000}"/>
    <cellStyle name="Normal 8 5 2 3" xfId="6988" xr:uid="{00000000-0005-0000-0000-000041480000}"/>
    <cellStyle name="Normal 8 5 2 3 2" xfId="17885" xr:uid="{00000000-0005-0000-0000-000042480000}"/>
    <cellStyle name="Normal 8 5 2 4" xfId="12959" xr:uid="{00000000-0005-0000-0000-000043480000}"/>
    <cellStyle name="Normal 8 5 3" xfId="3204" xr:uid="{00000000-0005-0000-0000-000044480000}"/>
    <cellStyle name="Normal 8 5 3 2" xfId="8155" xr:uid="{00000000-0005-0000-0000-000045480000}"/>
    <cellStyle name="Normal 8 5 3 2 2" xfId="19052" xr:uid="{00000000-0005-0000-0000-000046480000}"/>
    <cellStyle name="Normal 8 5 3 3" xfId="14101" xr:uid="{00000000-0005-0000-0000-000047480000}"/>
    <cellStyle name="Normal 8 5 4" xfId="5843" xr:uid="{00000000-0005-0000-0000-000048480000}"/>
    <cellStyle name="Normal 8 5 4 2" xfId="16740" xr:uid="{00000000-0005-0000-0000-000049480000}"/>
    <cellStyle name="Normal 8 5 5" xfId="11841" xr:uid="{00000000-0005-0000-0000-00004A480000}"/>
    <cellStyle name="Normal 8 6" xfId="1561" xr:uid="{00000000-0005-0000-0000-00004B480000}"/>
    <cellStyle name="Normal 8 6 2" xfId="3873" xr:uid="{00000000-0005-0000-0000-00004C480000}"/>
    <cellStyle name="Normal 8 6 2 2" xfId="8824" xr:uid="{00000000-0005-0000-0000-00004D480000}"/>
    <cellStyle name="Normal 8 6 2 2 2" xfId="19721" xr:uid="{00000000-0005-0000-0000-00004E480000}"/>
    <cellStyle name="Normal 8 6 2 3" xfId="14770" xr:uid="{00000000-0005-0000-0000-00004F480000}"/>
    <cellStyle name="Normal 8 6 3" xfId="6512" xr:uid="{00000000-0005-0000-0000-000050480000}"/>
    <cellStyle name="Normal 8 6 3 2" xfId="17409" xr:uid="{00000000-0005-0000-0000-000051480000}"/>
    <cellStyle name="Normal 8 6 4" xfId="12496" xr:uid="{00000000-0005-0000-0000-000052480000}"/>
    <cellStyle name="Normal 8 7" xfId="2672" xr:uid="{00000000-0005-0000-0000-000053480000}"/>
    <cellStyle name="Normal 8 7 2" xfId="7623" xr:uid="{00000000-0005-0000-0000-000054480000}"/>
    <cellStyle name="Normal 8 7 2 2" xfId="18520" xr:uid="{00000000-0005-0000-0000-000055480000}"/>
    <cellStyle name="Normal 8 7 3" xfId="13569" xr:uid="{00000000-0005-0000-0000-000056480000}"/>
    <cellStyle name="Normal 8 8" xfId="5311" xr:uid="{00000000-0005-0000-0000-000057480000}"/>
    <cellStyle name="Normal 8 8 2" xfId="16208" xr:uid="{00000000-0005-0000-0000-000058480000}"/>
    <cellStyle name="Normal 8 9" xfId="11316" xr:uid="{00000000-0005-0000-0000-000059480000}"/>
    <cellStyle name="Normal 80" xfId="1448" xr:uid="{00000000-0005-0000-0000-00005A480000}"/>
    <cellStyle name="Normal 80 2" xfId="2556" xr:uid="{00000000-0005-0000-0000-00005B480000}"/>
    <cellStyle name="Normal 80 2 2" xfId="4868" xr:uid="{00000000-0005-0000-0000-00005C480000}"/>
    <cellStyle name="Normal 80 2 2 2" xfId="9819" xr:uid="{00000000-0005-0000-0000-00005D480000}"/>
    <cellStyle name="Normal 80 2 2 2 2" xfId="20716" xr:uid="{00000000-0005-0000-0000-00005E480000}"/>
    <cellStyle name="Normal 80 2 2 3" xfId="15765" xr:uid="{00000000-0005-0000-0000-00005F480000}"/>
    <cellStyle name="Normal 80 2 3" xfId="7507" xr:uid="{00000000-0005-0000-0000-000060480000}"/>
    <cellStyle name="Normal 80 2 3 2" xfId="18404" xr:uid="{00000000-0005-0000-0000-000061480000}"/>
    <cellStyle name="Normal 80 2 4" xfId="13453" xr:uid="{00000000-0005-0000-0000-000062480000}"/>
    <cellStyle name="Normal 80 3" xfId="3771" xr:uid="{00000000-0005-0000-0000-000063480000}"/>
    <cellStyle name="Normal 80 3 2" xfId="8722" xr:uid="{00000000-0005-0000-0000-000064480000}"/>
    <cellStyle name="Normal 80 3 2 2" xfId="19619" xr:uid="{00000000-0005-0000-0000-000065480000}"/>
    <cellStyle name="Normal 80 3 3" xfId="14668" xr:uid="{00000000-0005-0000-0000-000066480000}"/>
    <cellStyle name="Normal 80 4" xfId="6410" xr:uid="{00000000-0005-0000-0000-000067480000}"/>
    <cellStyle name="Normal 80 4 2" xfId="17307" xr:uid="{00000000-0005-0000-0000-000068480000}"/>
    <cellStyle name="Normal 80 5" xfId="12389" xr:uid="{00000000-0005-0000-0000-000069480000}"/>
    <cellStyle name="Normal 81" xfId="1458" xr:uid="{00000000-0005-0000-0000-00006A480000}"/>
    <cellStyle name="Normal 81 2" xfId="2564" xr:uid="{00000000-0005-0000-0000-00006B480000}"/>
    <cellStyle name="Normal 81 2 2" xfId="4876" xr:uid="{00000000-0005-0000-0000-00006C480000}"/>
    <cellStyle name="Normal 81 2 2 2" xfId="9827" xr:uid="{00000000-0005-0000-0000-00006D480000}"/>
    <cellStyle name="Normal 81 2 2 2 2" xfId="20724" xr:uid="{00000000-0005-0000-0000-00006E480000}"/>
    <cellStyle name="Normal 81 2 2 3" xfId="15773" xr:uid="{00000000-0005-0000-0000-00006F480000}"/>
    <cellStyle name="Normal 81 2 3" xfId="7515" xr:uid="{00000000-0005-0000-0000-000070480000}"/>
    <cellStyle name="Normal 81 2 3 2" xfId="18412" xr:uid="{00000000-0005-0000-0000-000071480000}"/>
    <cellStyle name="Normal 81 2 4" xfId="13461" xr:uid="{00000000-0005-0000-0000-000072480000}"/>
    <cellStyle name="Normal 81 3" xfId="3779" xr:uid="{00000000-0005-0000-0000-000073480000}"/>
    <cellStyle name="Normal 81 3 2" xfId="8730" xr:uid="{00000000-0005-0000-0000-000074480000}"/>
    <cellStyle name="Normal 81 3 2 2" xfId="19627" xr:uid="{00000000-0005-0000-0000-000075480000}"/>
    <cellStyle name="Normal 81 3 3" xfId="14676" xr:uid="{00000000-0005-0000-0000-000076480000}"/>
    <cellStyle name="Normal 81 4" xfId="6418" xr:uid="{00000000-0005-0000-0000-000077480000}"/>
    <cellStyle name="Normal 81 4 2" xfId="17315" xr:uid="{00000000-0005-0000-0000-000078480000}"/>
    <cellStyle name="Normal 81 5" xfId="12397" xr:uid="{00000000-0005-0000-0000-000079480000}"/>
    <cellStyle name="Normal 82" xfId="1459" xr:uid="{00000000-0005-0000-0000-00007A480000}"/>
    <cellStyle name="Normal 82 2" xfId="1506" xr:uid="{00000000-0005-0000-0000-00007B480000}"/>
    <cellStyle name="Normal 82 2 2" xfId="2607" xr:uid="{00000000-0005-0000-0000-00007C480000}"/>
    <cellStyle name="Normal 82 2 2 2" xfId="4919" xr:uid="{00000000-0005-0000-0000-00007D480000}"/>
    <cellStyle name="Normal 82 2 2 2 2" xfId="9870" xr:uid="{00000000-0005-0000-0000-00007E480000}"/>
    <cellStyle name="Normal 82 2 2 2 2 2" xfId="20767" xr:uid="{00000000-0005-0000-0000-00007F480000}"/>
    <cellStyle name="Normal 82 2 2 2 3" xfId="15816" xr:uid="{00000000-0005-0000-0000-000080480000}"/>
    <cellStyle name="Normal 82 2 2 3" xfId="7558" xr:uid="{00000000-0005-0000-0000-000081480000}"/>
    <cellStyle name="Normal 82 2 2 3 2" xfId="18455" xr:uid="{00000000-0005-0000-0000-000082480000}"/>
    <cellStyle name="Normal 82 2 2 4" xfId="13504" xr:uid="{00000000-0005-0000-0000-000083480000}"/>
    <cellStyle name="Normal 82 2 3" xfId="3823" xr:uid="{00000000-0005-0000-0000-000084480000}"/>
    <cellStyle name="Normal 82 2 3 2" xfId="8774" xr:uid="{00000000-0005-0000-0000-000085480000}"/>
    <cellStyle name="Normal 82 2 3 2 2" xfId="19671" xr:uid="{00000000-0005-0000-0000-000086480000}"/>
    <cellStyle name="Normal 82 2 3 3" xfId="14720" xr:uid="{00000000-0005-0000-0000-000087480000}"/>
    <cellStyle name="Normal 82 2 4" xfId="6462" xr:uid="{00000000-0005-0000-0000-000088480000}"/>
    <cellStyle name="Normal 82 2 4 2" xfId="17359" xr:uid="{00000000-0005-0000-0000-000089480000}"/>
    <cellStyle name="Normal 82 2 5" xfId="12441" xr:uid="{00000000-0005-0000-0000-00008A480000}"/>
    <cellStyle name="Normal 82 3" xfId="2565" xr:uid="{00000000-0005-0000-0000-00008B480000}"/>
    <cellStyle name="Normal 82 3 2" xfId="4877" xr:uid="{00000000-0005-0000-0000-00008C480000}"/>
    <cellStyle name="Normal 82 3 2 2" xfId="9828" xr:uid="{00000000-0005-0000-0000-00008D480000}"/>
    <cellStyle name="Normal 82 3 2 2 2" xfId="20725" xr:uid="{00000000-0005-0000-0000-00008E480000}"/>
    <cellStyle name="Normal 82 3 2 3" xfId="15774" xr:uid="{00000000-0005-0000-0000-00008F480000}"/>
    <cellStyle name="Normal 82 3 3" xfId="7516" xr:uid="{00000000-0005-0000-0000-000090480000}"/>
    <cellStyle name="Normal 82 3 3 2" xfId="18413" xr:uid="{00000000-0005-0000-0000-000091480000}"/>
    <cellStyle name="Normal 82 3 4" xfId="13462" xr:uid="{00000000-0005-0000-0000-000092480000}"/>
    <cellStyle name="Normal 82 4" xfId="3780" xr:uid="{00000000-0005-0000-0000-000093480000}"/>
    <cellStyle name="Normal 82 4 2" xfId="8731" xr:uid="{00000000-0005-0000-0000-000094480000}"/>
    <cellStyle name="Normal 82 4 2 2" xfId="19628" xr:uid="{00000000-0005-0000-0000-000095480000}"/>
    <cellStyle name="Normal 82 4 3" xfId="14677" xr:uid="{00000000-0005-0000-0000-000096480000}"/>
    <cellStyle name="Normal 82 5" xfId="6419" xr:uid="{00000000-0005-0000-0000-000097480000}"/>
    <cellStyle name="Normal 82 5 2" xfId="17316" xr:uid="{00000000-0005-0000-0000-000098480000}"/>
    <cellStyle name="Normal 82 6" xfId="12398" xr:uid="{00000000-0005-0000-0000-000099480000}"/>
    <cellStyle name="Normal 83" xfId="1462" xr:uid="{00000000-0005-0000-0000-00009A480000}"/>
    <cellStyle name="Normal 83 2" xfId="2568" xr:uid="{00000000-0005-0000-0000-00009B480000}"/>
    <cellStyle name="Normal 83 2 2" xfId="4880" xr:uid="{00000000-0005-0000-0000-00009C480000}"/>
    <cellStyle name="Normal 83 2 2 2" xfId="9831" xr:uid="{00000000-0005-0000-0000-00009D480000}"/>
    <cellStyle name="Normal 83 2 2 2 2" xfId="20728" xr:uid="{00000000-0005-0000-0000-00009E480000}"/>
    <cellStyle name="Normal 83 2 2 3" xfId="15777" xr:uid="{00000000-0005-0000-0000-00009F480000}"/>
    <cellStyle name="Normal 83 2 3" xfId="7519" xr:uid="{00000000-0005-0000-0000-0000A0480000}"/>
    <cellStyle name="Normal 83 2 3 2" xfId="18416" xr:uid="{00000000-0005-0000-0000-0000A1480000}"/>
    <cellStyle name="Normal 83 2 4" xfId="13465" xr:uid="{00000000-0005-0000-0000-0000A2480000}"/>
    <cellStyle name="Normal 83 3" xfId="3783" xr:uid="{00000000-0005-0000-0000-0000A3480000}"/>
    <cellStyle name="Normal 83 3 2" xfId="8734" xr:uid="{00000000-0005-0000-0000-0000A4480000}"/>
    <cellStyle name="Normal 83 3 2 2" xfId="19631" xr:uid="{00000000-0005-0000-0000-0000A5480000}"/>
    <cellStyle name="Normal 83 3 3" xfId="14680" xr:uid="{00000000-0005-0000-0000-0000A6480000}"/>
    <cellStyle name="Normal 83 4" xfId="6422" xr:uid="{00000000-0005-0000-0000-0000A7480000}"/>
    <cellStyle name="Normal 83 4 2" xfId="17319" xr:uid="{00000000-0005-0000-0000-0000A8480000}"/>
    <cellStyle name="Normal 83 5" xfId="12401" xr:uid="{00000000-0005-0000-0000-0000A9480000}"/>
    <cellStyle name="Normal 84" xfId="1463" xr:uid="{00000000-0005-0000-0000-0000AA480000}"/>
    <cellStyle name="Normal 84 2" xfId="1495" xr:uid="{00000000-0005-0000-0000-0000AB480000}"/>
    <cellStyle name="Normal 84 2 2" xfId="2598" xr:uid="{00000000-0005-0000-0000-0000AC480000}"/>
    <cellStyle name="Normal 84 2 2 2" xfId="4910" xr:uid="{00000000-0005-0000-0000-0000AD480000}"/>
    <cellStyle name="Normal 84 2 2 2 2" xfId="9861" xr:uid="{00000000-0005-0000-0000-0000AE480000}"/>
    <cellStyle name="Normal 84 2 2 2 2 2" xfId="20758" xr:uid="{00000000-0005-0000-0000-0000AF480000}"/>
    <cellStyle name="Normal 84 2 2 2 3" xfId="15807" xr:uid="{00000000-0005-0000-0000-0000B0480000}"/>
    <cellStyle name="Normal 84 2 2 3" xfId="7549" xr:uid="{00000000-0005-0000-0000-0000B1480000}"/>
    <cellStyle name="Normal 84 2 2 3 2" xfId="18446" xr:uid="{00000000-0005-0000-0000-0000B2480000}"/>
    <cellStyle name="Normal 84 2 2 4" xfId="13495" xr:uid="{00000000-0005-0000-0000-0000B3480000}"/>
    <cellStyle name="Normal 84 2 3" xfId="3814" xr:uid="{00000000-0005-0000-0000-0000B4480000}"/>
    <cellStyle name="Normal 84 2 3 2" xfId="8765" xr:uid="{00000000-0005-0000-0000-0000B5480000}"/>
    <cellStyle name="Normal 84 2 3 2 2" xfId="19662" xr:uid="{00000000-0005-0000-0000-0000B6480000}"/>
    <cellStyle name="Normal 84 2 3 3" xfId="14711" xr:uid="{00000000-0005-0000-0000-0000B7480000}"/>
    <cellStyle name="Normal 84 2 4" xfId="6453" xr:uid="{00000000-0005-0000-0000-0000B8480000}"/>
    <cellStyle name="Normal 84 2 4 2" xfId="17350" xr:uid="{00000000-0005-0000-0000-0000B9480000}"/>
    <cellStyle name="Normal 84 2 5" xfId="12431" xr:uid="{00000000-0005-0000-0000-0000BA480000}"/>
    <cellStyle name="Normal 84 3" xfId="2569" xr:uid="{00000000-0005-0000-0000-0000BB480000}"/>
    <cellStyle name="Normal 84 3 2" xfId="4881" xr:uid="{00000000-0005-0000-0000-0000BC480000}"/>
    <cellStyle name="Normal 84 3 2 2" xfId="9832" xr:uid="{00000000-0005-0000-0000-0000BD480000}"/>
    <cellStyle name="Normal 84 3 2 2 2" xfId="20729" xr:uid="{00000000-0005-0000-0000-0000BE480000}"/>
    <cellStyle name="Normal 84 3 2 3" xfId="15778" xr:uid="{00000000-0005-0000-0000-0000BF480000}"/>
    <cellStyle name="Normal 84 3 3" xfId="7520" xr:uid="{00000000-0005-0000-0000-0000C0480000}"/>
    <cellStyle name="Normal 84 3 3 2" xfId="18417" xr:uid="{00000000-0005-0000-0000-0000C1480000}"/>
    <cellStyle name="Normal 84 3 4" xfId="13466" xr:uid="{00000000-0005-0000-0000-0000C2480000}"/>
    <cellStyle name="Normal 84 4" xfId="3784" xr:uid="{00000000-0005-0000-0000-0000C3480000}"/>
    <cellStyle name="Normal 84 4 2" xfId="8735" xr:uid="{00000000-0005-0000-0000-0000C4480000}"/>
    <cellStyle name="Normal 84 4 2 2" xfId="19632" xr:uid="{00000000-0005-0000-0000-0000C5480000}"/>
    <cellStyle name="Normal 84 4 3" xfId="14681" xr:uid="{00000000-0005-0000-0000-0000C6480000}"/>
    <cellStyle name="Normal 84 5" xfId="6423" xr:uid="{00000000-0005-0000-0000-0000C7480000}"/>
    <cellStyle name="Normal 84 5 2" xfId="17320" xr:uid="{00000000-0005-0000-0000-0000C8480000}"/>
    <cellStyle name="Normal 84 6" xfId="12402" xr:uid="{00000000-0005-0000-0000-0000C9480000}"/>
    <cellStyle name="Normal 85" xfId="1465" xr:uid="{00000000-0005-0000-0000-0000CA480000}"/>
    <cellStyle name="Normal 85 2" xfId="2571" xr:uid="{00000000-0005-0000-0000-0000CB480000}"/>
    <cellStyle name="Normal 85 2 2" xfId="4883" xr:uid="{00000000-0005-0000-0000-0000CC480000}"/>
    <cellStyle name="Normal 85 2 2 2" xfId="9834" xr:uid="{00000000-0005-0000-0000-0000CD480000}"/>
    <cellStyle name="Normal 85 2 2 2 2" xfId="20731" xr:uid="{00000000-0005-0000-0000-0000CE480000}"/>
    <cellStyle name="Normal 85 2 2 3" xfId="15780" xr:uid="{00000000-0005-0000-0000-0000CF480000}"/>
    <cellStyle name="Normal 85 2 3" xfId="7522" xr:uid="{00000000-0005-0000-0000-0000D0480000}"/>
    <cellStyle name="Normal 85 2 3 2" xfId="18419" xr:uid="{00000000-0005-0000-0000-0000D1480000}"/>
    <cellStyle name="Normal 85 2 4" xfId="13468" xr:uid="{00000000-0005-0000-0000-0000D2480000}"/>
    <cellStyle name="Normal 85 3" xfId="3786" xr:uid="{00000000-0005-0000-0000-0000D3480000}"/>
    <cellStyle name="Normal 85 3 2" xfId="8737" xr:uid="{00000000-0005-0000-0000-0000D4480000}"/>
    <cellStyle name="Normal 85 3 2 2" xfId="19634" xr:uid="{00000000-0005-0000-0000-0000D5480000}"/>
    <cellStyle name="Normal 85 3 3" xfId="14683" xr:uid="{00000000-0005-0000-0000-0000D6480000}"/>
    <cellStyle name="Normal 85 4" xfId="6425" xr:uid="{00000000-0005-0000-0000-0000D7480000}"/>
    <cellStyle name="Normal 85 4 2" xfId="17322" xr:uid="{00000000-0005-0000-0000-0000D8480000}"/>
    <cellStyle name="Normal 85 5" xfId="12404" xr:uid="{00000000-0005-0000-0000-0000D9480000}"/>
    <cellStyle name="Normal 86" xfId="1467" xr:uid="{00000000-0005-0000-0000-0000DA480000}"/>
    <cellStyle name="Normal 86 2" xfId="2573" xr:uid="{00000000-0005-0000-0000-0000DB480000}"/>
    <cellStyle name="Normal 86 2 2" xfId="4885" xr:uid="{00000000-0005-0000-0000-0000DC480000}"/>
    <cellStyle name="Normal 86 2 2 2" xfId="9836" xr:uid="{00000000-0005-0000-0000-0000DD480000}"/>
    <cellStyle name="Normal 86 2 2 2 2" xfId="20733" xr:uid="{00000000-0005-0000-0000-0000DE480000}"/>
    <cellStyle name="Normal 86 2 2 3" xfId="15782" xr:uid="{00000000-0005-0000-0000-0000DF480000}"/>
    <cellStyle name="Normal 86 2 3" xfId="7524" xr:uid="{00000000-0005-0000-0000-0000E0480000}"/>
    <cellStyle name="Normal 86 2 3 2" xfId="18421" xr:uid="{00000000-0005-0000-0000-0000E1480000}"/>
    <cellStyle name="Normal 86 2 4" xfId="13470" xr:uid="{00000000-0005-0000-0000-0000E2480000}"/>
    <cellStyle name="Normal 86 3" xfId="3788" xr:uid="{00000000-0005-0000-0000-0000E3480000}"/>
    <cellStyle name="Normal 86 3 2" xfId="8739" xr:uid="{00000000-0005-0000-0000-0000E4480000}"/>
    <cellStyle name="Normal 86 3 2 2" xfId="19636" xr:uid="{00000000-0005-0000-0000-0000E5480000}"/>
    <cellStyle name="Normal 86 3 3" xfId="14685" xr:uid="{00000000-0005-0000-0000-0000E6480000}"/>
    <cellStyle name="Normal 86 4" xfId="6427" xr:uid="{00000000-0005-0000-0000-0000E7480000}"/>
    <cellStyle name="Normal 86 4 2" xfId="17324" xr:uid="{00000000-0005-0000-0000-0000E8480000}"/>
    <cellStyle name="Normal 86 5" xfId="12406" xr:uid="{00000000-0005-0000-0000-0000E9480000}"/>
    <cellStyle name="Normal 87" xfId="1476" xr:uid="{00000000-0005-0000-0000-0000EA480000}"/>
    <cellStyle name="Normal 87 2" xfId="2580" xr:uid="{00000000-0005-0000-0000-0000EB480000}"/>
    <cellStyle name="Normal 87 2 2" xfId="4892" xr:uid="{00000000-0005-0000-0000-0000EC480000}"/>
    <cellStyle name="Normal 87 2 2 2" xfId="9843" xr:uid="{00000000-0005-0000-0000-0000ED480000}"/>
    <cellStyle name="Normal 87 2 2 2 2" xfId="20740" xr:uid="{00000000-0005-0000-0000-0000EE480000}"/>
    <cellStyle name="Normal 87 2 2 3" xfId="15789" xr:uid="{00000000-0005-0000-0000-0000EF480000}"/>
    <cellStyle name="Normal 87 2 3" xfId="7531" xr:uid="{00000000-0005-0000-0000-0000F0480000}"/>
    <cellStyle name="Normal 87 2 3 2" xfId="18428" xr:uid="{00000000-0005-0000-0000-0000F1480000}"/>
    <cellStyle name="Normal 87 2 4" xfId="13477" xr:uid="{00000000-0005-0000-0000-0000F2480000}"/>
    <cellStyle name="Normal 87 3" xfId="3795" xr:uid="{00000000-0005-0000-0000-0000F3480000}"/>
    <cellStyle name="Normal 87 3 2" xfId="8746" xr:uid="{00000000-0005-0000-0000-0000F4480000}"/>
    <cellStyle name="Normal 87 3 2 2" xfId="19643" xr:uid="{00000000-0005-0000-0000-0000F5480000}"/>
    <cellStyle name="Normal 87 3 3" xfId="14692" xr:uid="{00000000-0005-0000-0000-0000F6480000}"/>
    <cellStyle name="Normal 87 4" xfId="6434" xr:uid="{00000000-0005-0000-0000-0000F7480000}"/>
    <cellStyle name="Normal 87 4 2" xfId="17331" xr:uid="{00000000-0005-0000-0000-0000F8480000}"/>
    <cellStyle name="Normal 87 5" xfId="12413" xr:uid="{00000000-0005-0000-0000-0000F9480000}"/>
    <cellStyle name="Normal 88" xfId="1478" xr:uid="{00000000-0005-0000-0000-0000FA480000}"/>
    <cellStyle name="Normal 88 2" xfId="1494" xr:uid="{00000000-0005-0000-0000-0000FB480000}"/>
    <cellStyle name="Normal 88 2 2" xfId="2597" xr:uid="{00000000-0005-0000-0000-0000FC480000}"/>
    <cellStyle name="Normal 88 2 2 2" xfId="4909" xr:uid="{00000000-0005-0000-0000-0000FD480000}"/>
    <cellStyle name="Normal 88 2 2 2 2" xfId="9860" xr:uid="{00000000-0005-0000-0000-0000FE480000}"/>
    <cellStyle name="Normal 88 2 2 2 2 2" xfId="20757" xr:uid="{00000000-0005-0000-0000-0000FF480000}"/>
    <cellStyle name="Normal 88 2 2 2 3" xfId="15806" xr:uid="{00000000-0005-0000-0000-000000490000}"/>
    <cellStyle name="Normal 88 2 2 3" xfId="7548" xr:uid="{00000000-0005-0000-0000-000001490000}"/>
    <cellStyle name="Normal 88 2 2 3 2" xfId="18445" xr:uid="{00000000-0005-0000-0000-000002490000}"/>
    <cellStyle name="Normal 88 2 2 4" xfId="13494" xr:uid="{00000000-0005-0000-0000-000003490000}"/>
    <cellStyle name="Normal 88 2 3" xfId="3813" xr:uid="{00000000-0005-0000-0000-000004490000}"/>
    <cellStyle name="Normal 88 2 3 2" xfId="8764" xr:uid="{00000000-0005-0000-0000-000005490000}"/>
    <cellStyle name="Normal 88 2 3 2 2" xfId="19661" xr:uid="{00000000-0005-0000-0000-000006490000}"/>
    <cellStyle name="Normal 88 2 3 3" xfId="14710" xr:uid="{00000000-0005-0000-0000-000007490000}"/>
    <cellStyle name="Normal 88 2 4" xfId="6452" xr:uid="{00000000-0005-0000-0000-000008490000}"/>
    <cellStyle name="Normal 88 2 4 2" xfId="17349" xr:uid="{00000000-0005-0000-0000-000009490000}"/>
    <cellStyle name="Normal 88 2 5" xfId="12430" xr:uid="{00000000-0005-0000-0000-00000A490000}"/>
    <cellStyle name="Normal 88 3" xfId="2582" xr:uid="{00000000-0005-0000-0000-00000B490000}"/>
    <cellStyle name="Normal 88 3 2" xfId="4894" xr:uid="{00000000-0005-0000-0000-00000C490000}"/>
    <cellStyle name="Normal 88 3 2 2" xfId="9845" xr:uid="{00000000-0005-0000-0000-00000D490000}"/>
    <cellStyle name="Normal 88 3 2 2 2" xfId="20742" xr:uid="{00000000-0005-0000-0000-00000E490000}"/>
    <cellStyle name="Normal 88 3 2 3" xfId="15791" xr:uid="{00000000-0005-0000-0000-00000F490000}"/>
    <cellStyle name="Normal 88 3 3" xfId="7533" xr:uid="{00000000-0005-0000-0000-000010490000}"/>
    <cellStyle name="Normal 88 3 3 2" xfId="18430" xr:uid="{00000000-0005-0000-0000-000011490000}"/>
    <cellStyle name="Normal 88 3 4" xfId="13479" xr:uid="{00000000-0005-0000-0000-000012490000}"/>
    <cellStyle name="Normal 88 4" xfId="3797" xr:uid="{00000000-0005-0000-0000-000013490000}"/>
    <cellStyle name="Normal 88 4 2" xfId="8748" xr:uid="{00000000-0005-0000-0000-000014490000}"/>
    <cellStyle name="Normal 88 4 2 2" xfId="19645" xr:uid="{00000000-0005-0000-0000-000015490000}"/>
    <cellStyle name="Normal 88 4 3" xfId="14694" xr:uid="{00000000-0005-0000-0000-000016490000}"/>
    <cellStyle name="Normal 88 5" xfId="6436" xr:uid="{00000000-0005-0000-0000-000017490000}"/>
    <cellStyle name="Normal 88 5 2" xfId="17333" xr:uid="{00000000-0005-0000-0000-000018490000}"/>
    <cellStyle name="Normal 88 6" xfId="12415" xr:uid="{00000000-0005-0000-0000-000019490000}"/>
    <cellStyle name="Normal 89" xfId="1479" xr:uid="{00000000-0005-0000-0000-00001A490000}"/>
    <cellStyle name="Normal 89 2" xfId="1515" xr:uid="{00000000-0005-0000-0000-00001B490000}"/>
    <cellStyle name="Normal 89 2 2" xfId="2611" xr:uid="{00000000-0005-0000-0000-00001C490000}"/>
    <cellStyle name="Normal 89 2 2 2" xfId="4923" xr:uid="{00000000-0005-0000-0000-00001D490000}"/>
    <cellStyle name="Normal 89 2 2 2 2" xfId="9874" xr:uid="{00000000-0005-0000-0000-00001E490000}"/>
    <cellStyle name="Normal 89 2 2 2 2 2" xfId="20771" xr:uid="{00000000-0005-0000-0000-00001F490000}"/>
    <cellStyle name="Normal 89 2 2 2 3" xfId="15820" xr:uid="{00000000-0005-0000-0000-000020490000}"/>
    <cellStyle name="Normal 89 2 2 3" xfId="7562" xr:uid="{00000000-0005-0000-0000-000021490000}"/>
    <cellStyle name="Normal 89 2 2 3 2" xfId="18459" xr:uid="{00000000-0005-0000-0000-000022490000}"/>
    <cellStyle name="Normal 89 2 2 4" xfId="13508" xr:uid="{00000000-0005-0000-0000-000023490000}"/>
    <cellStyle name="Normal 89 2 3" xfId="3827" xr:uid="{00000000-0005-0000-0000-000024490000}"/>
    <cellStyle name="Normal 89 2 3 2" xfId="8778" xr:uid="{00000000-0005-0000-0000-000025490000}"/>
    <cellStyle name="Normal 89 2 3 2 2" xfId="19675" xr:uid="{00000000-0005-0000-0000-000026490000}"/>
    <cellStyle name="Normal 89 2 3 3" xfId="14724" xr:uid="{00000000-0005-0000-0000-000027490000}"/>
    <cellStyle name="Normal 89 2 4" xfId="6466" xr:uid="{00000000-0005-0000-0000-000028490000}"/>
    <cellStyle name="Normal 89 2 4 2" xfId="17363" xr:uid="{00000000-0005-0000-0000-000029490000}"/>
    <cellStyle name="Normal 89 2 5" xfId="12450" xr:uid="{00000000-0005-0000-0000-00002A490000}"/>
    <cellStyle name="Normal 89 3" xfId="2583" xr:uid="{00000000-0005-0000-0000-00002B490000}"/>
    <cellStyle name="Normal 89 3 2" xfId="4895" xr:uid="{00000000-0005-0000-0000-00002C490000}"/>
    <cellStyle name="Normal 89 3 2 2" xfId="9846" xr:uid="{00000000-0005-0000-0000-00002D490000}"/>
    <cellStyle name="Normal 89 3 2 2 2" xfId="20743" xr:uid="{00000000-0005-0000-0000-00002E490000}"/>
    <cellStyle name="Normal 89 3 2 3" xfId="15792" xr:uid="{00000000-0005-0000-0000-00002F490000}"/>
    <cellStyle name="Normal 89 3 3" xfId="7534" xr:uid="{00000000-0005-0000-0000-000030490000}"/>
    <cellStyle name="Normal 89 3 3 2" xfId="18431" xr:uid="{00000000-0005-0000-0000-000031490000}"/>
    <cellStyle name="Normal 89 3 4" xfId="13480" xr:uid="{00000000-0005-0000-0000-000032490000}"/>
    <cellStyle name="Normal 89 4" xfId="3798" xr:uid="{00000000-0005-0000-0000-000033490000}"/>
    <cellStyle name="Normal 89 4 2" xfId="8749" xr:uid="{00000000-0005-0000-0000-000034490000}"/>
    <cellStyle name="Normal 89 4 2 2" xfId="19646" xr:uid="{00000000-0005-0000-0000-000035490000}"/>
    <cellStyle name="Normal 89 4 3" xfId="14695" xr:uid="{00000000-0005-0000-0000-000036490000}"/>
    <cellStyle name="Normal 89 5" xfId="6437" xr:uid="{00000000-0005-0000-0000-000037490000}"/>
    <cellStyle name="Normal 89 5 2" xfId="17334" xr:uid="{00000000-0005-0000-0000-000038490000}"/>
    <cellStyle name="Normal 89 6" xfId="12416" xr:uid="{00000000-0005-0000-0000-000039490000}"/>
    <cellStyle name="Normal 9" xfId="332" xr:uid="{00000000-0005-0000-0000-00003A490000}"/>
    <cellStyle name="Normal 90" xfId="1486" xr:uid="{00000000-0005-0000-0000-00003B490000}"/>
    <cellStyle name="Normal 90 2" xfId="2589" xr:uid="{00000000-0005-0000-0000-00003C490000}"/>
    <cellStyle name="Normal 90 2 2" xfId="4901" xr:uid="{00000000-0005-0000-0000-00003D490000}"/>
    <cellStyle name="Normal 90 2 2 2" xfId="9852" xr:uid="{00000000-0005-0000-0000-00003E490000}"/>
    <cellStyle name="Normal 90 2 2 2 2" xfId="20749" xr:uid="{00000000-0005-0000-0000-00003F490000}"/>
    <cellStyle name="Normal 90 2 2 3" xfId="15798" xr:uid="{00000000-0005-0000-0000-000040490000}"/>
    <cellStyle name="Normal 90 2 3" xfId="7540" xr:uid="{00000000-0005-0000-0000-000041490000}"/>
    <cellStyle name="Normal 90 2 3 2" xfId="18437" xr:uid="{00000000-0005-0000-0000-000042490000}"/>
    <cellStyle name="Normal 90 2 4" xfId="13486" xr:uid="{00000000-0005-0000-0000-000043490000}"/>
    <cellStyle name="Normal 90 3" xfId="3805" xr:uid="{00000000-0005-0000-0000-000044490000}"/>
    <cellStyle name="Normal 90 3 2" xfId="8756" xr:uid="{00000000-0005-0000-0000-000045490000}"/>
    <cellStyle name="Normal 90 3 2 2" xfId="19653" xr:uid="{00000000-0005-0000-0000-000046490000}"/>
    <cellStyle name="Normal 90 3 3" xfId="14702" xr:uid="{00000000-0005-0000-0000-000047490000}"/>
    <cellStyle name="Normal 90 4" xfId="6444" xr:uid="{00000000-0005-0000-0000-000048490000}"/>
    <cellStyle name="Normal 90 4 2" xfId="17341" xr:uid="{00000000-0005-0000-0000-000049490000}"/>
    <cellStyle name="Normal 90 5" xfId="12422" xr:uid="{00000000-0005-0000-0000-00004A490000}"/>
    <cellStyle name="Normal 91" xfId="1492" xr:uid="{00000000-0005-0000-0000-00004B490000}"/>
    <cellStyle name="Normal 91 2" xfId="1498" xr:uid="{00000000-0005-0000-0000-00004C490000}"/>
    <cellStyle name="Normal 91 2 2" xfId="2601" xr:uid="{00000000-0005-0000-0000-00004D490000}"/>
    <cellStyle name="Normal 91 2 2 2" xfId="4913" xr:uid="{00000000-0005-0000-0000-00004E490000}"/>
    <cellStyle name="Normal 91 2 2 2 2" xfId="9864" xr:uid="{00000000-0005-0000-0000-00004F490000}"/>
    <cellStyle name="Normal 91 2 2 2 2 2" xfId="20761" xr:uid="{00000000-0005-0000-0000-000050490000}"/>
    <cellStyle name="Normal 91 2 2 2 3" xfId="15810" xr:uid="{00000000-0005-0000-0000-000051490000}"/>
    <cellStyle name="Normal 91 2 2 3" xfId="7552" xr:uid="{00000000-0005-0000-0000-000052490000}"/>
    <cellStyle name="Normal 91 2 2 3 2" xfId="18449" xr:uid="{00000000-0005-0000-0000-000053490000}"/>
    <cellStyle name="Normal 91 2 2 4" xfId="13498" xr:uid="{00000000-0005-0000-0000-000054490000}"/>
    <cellStyle name="Normal 91 2 3" xfId="3817" xr:uid="{00000000-0005-0000-0000-000055490000}"/>
    <cellStyle name="Normal 91 2 3 2" xfId="8768" xr:uid="{00000000-0005-0000-0000-000056490000}"/>
    <cellStyle name="Normal 91 2 3 2 2" xfId="19665" xr:uid="{00000000-0005-0000-0000-000057490000}"/>
    <cellStyle name="Normal 91 2 3 3" xfId="14714" xr:uid="{00000000-0005-0000-0000-000058490000}"/>
    <cellStyle name="Normal 91 2 4" xfId="6456" xr:uid="{00000000-0005-0000-0000-000059490000}"/>
    <cellStyle name="Normal 91 2 4 2" xfId="17353" xr:uid="{00000000-0005-0000-0000-00005A490000}"/>
    <cellStyle name="Normal 91 2 5" xfId="12434" xr:uid="{00000000-0005-0000-0000-00005B490000}"/>
    <cellStyle name="Normal 91 3" xfId="1512" xr:uid="{00000000-0005-0000-0000-00005C490000}"/>
    <cellStyle name="Normal 91 3 2" xfId="2609" xr:uid="{00000000-0005-0000-0000-00005D490000}"/>
    <cellStyle name="Normal 91 3 2 2" xfId="4921" xr:uid="{00000000-0005-0000-0000-00005E490000}"/>
    <cellStyle name="Normal 91 3 2 2 2" xfId="9872" xr:uid="{00000000-0005-0000-0000-00005F490000}"/>
    <cellStyle name="Normal 91 3 2 2 2 2" xfId="20769" xr:uid="{00000000-0005-0000-0000-000060490000}"/>
    <cellStyle name="Normal 91 3 2 2 3" xfId="15818" xr:uid="{00000000-0005-0000-0000-000061490000}"/>
    <cellStyle name="Normal 91 3 2 3" xfId="7560" xr:uid="{00000000-0005-0000-0000-000062490000}"/>
    <cellStyle name="Normal 91 3 2 3 2" xfId="18457" xr:uid="{00000000-0005-0000-0000-000063490000}"/>
    <cellStyle name="Normal 91 3 2 4" xfId="13506" xr:uid="{00000000-0005-0000-0000-000064490000}"/>
    <cellStyle name="Normal 91 3 3" xfId="3825" xr:uid="{00000000-0005-0000-0000-000065490000}"/>
    <cellStyle name="Normal 91 3 3 2" xfId="8776" xr:uid="{00000000-0005-0000-0000-000066490000}"/>
    <cellStyle name="Normal 91 3 3 2 2" xfId="19673" xr:uid="{00000000-0005-0000-0000-000067490000}"/>
    <cellStyle name="Normal 91 3 3 3" xfId="14722" xr:uid="{00000000-0005-0000-0000-000068490000}"/>
    <cellStyle name="Normal 91 3 4" xfId="6464" xr:uid="{00000000-0005-0000-0000-000069490000}"/>
    <cellStyle name="Normal 91 3 4 2" xfId="17361" xr:uid="{00000000-0005-0000-0000-00006A490000}"/>
    <cellStyle name="Normal 91 3 5" xfId="12447" xr:uid="{00000000-0005-0000-0000-00006B490000}"/>
    <cellStyle name="Normal 91 4" xfId="2595" xr:uid="{00000000-0005-0000-0000-00006C490000}"/>
    <cellStyle name="Normal 91 4 2" xfId="4907" xr:uid="{00000000-0005-0000-0000-00006D490000}"/>
    <cellStyle name="Normal 91 4 2 2" xfId="9858" xr:uid="{00000000-0005-0000-0000-00006E490000}"/>
    <cellStyle name="Normal 91 4 2 2 2" xfId="20755" xr:uid="{00000000-0005-0000-0000-00006F490000}"/>
    <cellStyle name="Normal 91 4 2 3" xfId="15804" xr:uid="{00000000-0005-0000-0000-000070490000}"/>
    <cellStyle name="Normal 91 4 3" xfId="7546" xr:uid="{00000000-0005-0000-0000-000071490000}"/>
    <cellStyle name="Normal 91 4 3 2" xfId="18443" xr:uid="{00000000-0005-0000-0000-000072490000}"/>
    <cellStyle name="Normal 91 4 4" xfId="13492" xr:uid="{00000000-0005-0000-0000-000073490000}"/>
    <cellStyle name="Normal 91 5" xfId="3811" xr:uid="{00000000-0005-0000-0000-000074490000}"/>
    <cellStyle name="Normal 91 5 2" xfId="8762" xr:uid="{00000000-0005-0000-0000-000075490000}"/>
    <cellStyle name="Normal 91 5 2 2" xfId="19659" xr:uid="{00000000-0005-0000-0000-000076490000}"/>
    <cellStyle name="Normal 91 5 3" xfId="14708" xr:uid="{00000000-0005-0000-0000-000077490000}"/>
    <cellStyle name="Normal 91 6" xfId="6450" xr:uid="{00000000-0005-0000-0000-000078490000}"/>
    <cellStyle name="Normal 91 6 2" xfId="17347" xr:uid="{00000000-0005-0000-0000-000079490000}"/>
    <cellStyle name="Normal 91 7" xfId="12428" xr:uid="{00000000-0005-0000-0000-00007A490000}"/>
    <cellStyle name="Normal 92" xfId="1497" xr:uid="{00000000-0005-0000-0000-00007B490000}"/>
    <cellStyle name="Normal 92 2" xfId="2600" xr:uid="{00000000-0005-0000-0000-00007C490000}"/>
    <cellStyle name="Normal 92 2 2" xfId="4912" xr:uid="{00000000-0005-0000-0000-00007D490000}"/>
    <cellStyle name="Normal 92 2 2 2" xfId="9863" xr:uid="{00000000-0005-0000-0000-00007E490000}"/>
    <cellStyle name="Normal 92 2 2 2 2" xfId="20760" xr:uid="{00000000-0005-0000-0000-00007F490000}"/>
    <cellStyle name="Normal 92 2 2 3" xfId="15809" xr:uid="{00000000-0005-0000-0000-000080490000}"/>
    <cellStyle name="Normal 92 2 3" xfId="7551" xr:uid="{00000000-0005-0000-0000-000081490000}"/>
    <cellStyle name="Normal 92 2 3 2" xfId="18448" xr:uid="{00000000-0005-0000-0000-000082490000}"/>
    <cellStyle name="Normal 92 2 4" xfId="13497" xr:uid="{00000000-0005-0000-0000-000083490000}"/>
    <cellStyle name="Normal 92 3" xfId="3816" xr:uid="{00000000-0005-0000-0000-000084490000}"/>
    <cellStyle name="Normal 92 3 2" xfId="8767" xr:uid="{00000000-0005-0000-0000-000085490000}"/>
    <cellStyle name="Normal 92 3 2 2" xfId="19664" xr:uid="{00000000-0005-0000-0000-000086490000}"/>
    <cellStyle name="Normal 92 3 3" xfId="14713" xr:uid="{00000000-0005-0000-0000-000087490000}"/>
    <cellStyle name="Normal 92 4" xfId="6455" xr:uid="{00000000-0005-0000-0000-000088490000}"/>
    <cellStyle name="Normal 92 4 2" xfId="17352" xr:uid="{00000000-0005-0000-0000-000089490000}"/>
    <cellStyle name="Normal 92 5" xfId="12433" xr:uid="{00000000-0005-0000-0000-00008A490000}"/>
    <cellStyle name="Normal 93" xfId="1499" xr:uid="{00000000-0005-0000-0000-00008B490000}"/>
    <cellStyle name="Normal 93 2" xfId="2602" xr:uid="{00000000-0005-0000-0000-00008C490000}"/>
    <cellStyle name="Normal 93 2 2" xfId="4914" xr:uid="{00000000-0005-0000-0000-00008D490000}"/>
    <cellStyle name="Normal 93 2 2 2" xfId="9865" xr:uid="{00000000-0005-0000-0000-00008E490000}"/>
    <cellStyle name="Normal 93 2 2 2 2" xfId="20762" xr:uid="{00000000-0005-0000-0000-00008F490000}"/>
    <cellStyle name="Normal 93 2 2 3" xfId="15811" xr:uid="{00000000-0005-0000-0000-000090490000}"/>
    <cellStyle name="Normal 93 2 3" xfId="7553" xr:uid="{00000000-0005-0000-0000-000091490000}"/>
    <cellStyle name="Normal 93 2 3 2" xfId="18450" xr:uid="{00000000-0005-0000-0000-000092490000}"/>
    <cellStyle name="Normal 93 2 4" xfId="13499" xr:uid="{00000000-0005-0000-0000-000093490000}"/>
    <cellStyle name="Normal 93 3" xfId="3818" xr:uid="{00000000-0005-0000-0000-000094490000}"/>
    <cellStyle name="Normal 93 3 2" xfId="8769" xr:uid="{00000000-0005-0000-0000-000095490000}"/>
    <cellStyle name="Normal 93 3 2 2" xfId="19666" xr:uid="{00000000-0005-0000-0000-000096490000}"/>
    <cellStyle name="Normal 93 3 3" xfId="14715" xr:uid="{00000000-0005-0000-0000-000097490000}"/>
    <cellStyle name="Normal 93 4" xfId="6457" xr:uid="{00000000-0005-0000-0000-000098490000}"/>
    <cellStyle name="Normal 93 4 2" xfId="17354" xr:uid="{00000000-0005-0000-0000-000099490000}"/>
    <cellStyle name="Normal 93 5" xfId="12435" xr:uid="{00000000-0005-0000-0000-00009A490000}"/>
    <cellStyle name="Normal 94" xfId="1505" xr:uid="{00000000-0005-0000-0000-00009B490000}"/>
    <cellStyle name="Note 2" xfId="333" xr:uid="{00000000-0005-0000-0000-00009F490000}"/>
    <cellStyle name="Note 2 10" xfId="23725" xr:uid="{00000000-0005-0000-0000-0000A0490000}"/>
    <cellStyle name="Note 2 2" xfId="432" xr:uid="{00000000-0005-0000-0000-0000A1490000}"/>
    <cellStyle name="Note 2 2 10" xfId="23084" xr:uid="{00000000-0005-0000-0000-0000A2490000}"/>
    <cellStyle name="Note 2 2 2" xfId="697" xr:uid="{00000000-0005-0000-0000-0000A3490000}"/>
    <cellStyle name="Note 2 2 2 2" xfId="1229" xr:uid="{00000000-0005-0000-0000-0000A4490000}"/>
    <cellStyle name="Note 2 2 2 2 2" xfId="2386" xr:uid="{00000000-0005-0000-0000-0000A5490000}"/>
    <cellStyle name="Note 2 2 2 2 2 2" xfId="4698" xr:uid="{00000000-0005-0000-0000-0000A6490000}"/>
    <cellStyle name="Note 2 2 2 2 2 2 2" xfId="9649" xr:uid="{00000000-0005-0000-0000-0000A7490000}"/>
    <cellStyle name="Note 2 2 2 2 2 2 2 2" xfId="20546" xr:uid="{00000000-0005-0000-0000-0000A8490000}"/>
    <cellStyle name="Note 2 2 2 2 2 2 2 3" xfId="24817" xr:uid="{00000000-0005-0000-0000-0000A9490000}"/>
    <cellStyle name="Note 2 2 2 2 2 2 2 4" xfId="26386" xr:uid="{00000000-0005-0000-0000-0000AA490000}"/>
    <cellStyle name="Note 2 2 2 2 2 2 3" xfId="10837" xr:uid="{00000000-0005-0000-0000-0000AB490000}"/>
    <cellStyle name="Note 2 2 2 2 2 2 3 2" xfId="21734" xr:uid="{00000000-0005-0000-0000-0000AC490000}"/>
    <cellStyle name="Note 2 2 2 2 2 2 3 3" xfId="25864" xr:uid="{00000000-0005-0000-0000-0000AD490000}"/>
    <cellStyle name="Note 2 2 2 2 2 2 3 4" xfId="27381" xr:uid="{00000000-0005-0000-0000-0000AE490000}"/>
    <cellStyle name="Note 2 2 2 2 2 2 4" xfId="15595" xr:uid="{00000000-0005-0000-0000-0000AF490000}"/>
    <cellStyle name="Note 2 2 2 2 2 2 5" xfId="23130" xr:uid="{00000000-0005-0000-0000-0000B0490000}"/>
    <cellStyle name="Note 2 2 2 2 2 2 6" xfId="23968" xr:uid="{00000000-0005-0000-0000-0000B1490000}"/>
    <cellStyle name="Note 2 2 2 2 2 3" xfId="5217" xr:uid="{00000000-0005-0000-0000-0000B2490000}"/>
    <cellStyle name="Note 2 2 2 2 2 3 2" xfId="10168" xr:uid="{00000000-0005-0000-0000-0000B3490000}"/>
    <cellStyle name="Note 2 2 2 2 2 3 2 2" xfId="21065" xr:uid="{00000000-0005-0000-0000-0000B4490000}"/>
    <cellStyle name="Note 2 2 2 2 2 3 2 3" xfId="25195" xr:uid="{00000000-0005-0000-0000-0000B5490000}"/>
    <cellStyle name="Note 2 2 2 2 2 3 2 4" xfId="26712" xr:uid="{00000000-0005-0000-0000-0000B6490000}"/>
    <cellStyle name="Note 2 2 2 2 2 3 3" xfId="11163" xr:uid="{00000000-0005-0000-0000-0000B7490000}"/>
    <cellStyle name="Note 2 2 2 2 2 3 3 2" xfId="22060" xr:uid="{00000000-0005-0000-0000-0000B8490000}"/>
    <cellStyle name="Note 2 2 2 2 2 3 3 3" xfId="26190" xr:uid="{00000000-0005-0000-0000-0000B9490000}"/>
    <cellStyle name="Note 2 2 2 2 2 3 3 4" xfId="27707" xr:uid="{00000000-0005-0000-0000-0000BA490000}"/>
    <cellStyle name="Note 2 2 2 2 2 3 4" xfId="16114" xr:uid="{00000000-0005-0000-0000-0000BB490000}"/>
    <cellStyle name="Note 2 2 2 2 2 3 5" xfId="23506" xr:uid="{00000000-0005-0000-0000-0000BC490000}"/>
    <cellStyle name="Note 2 2 2 2 2 3 6" xfId="23209" xr:uid="{00000000-0005-0000-0000-0000BD490000}"/>
    <cellStyle name="Note 2 2 2 2 2 4" xfId="7337" xr:uid="{00000000-0005-0000-0000-0000BE490000}"/>
    <cellStyle name="Note 2 2 2 2 2 4 2" xfId="18234" xr:uid="{00000000-0005-0000-0000-0000BF490000}"/>
    <cellStyle name="Note 2 2 2 2 2 4 3" xfId="24144" xr:uid="{00000000-0005-0000-0000-0000C0490000}"/>
    <cellStyle name="Note 2 2 2 2 2 4 4" xfId="23705" xr:uid="{00000000-0005-0000-0000-0000C1490000}"/>
    <cellStyle name="Note 2 2 2 2 2 5" xfId="10495" xr:uid="{00000000-0005-0000-0000-0000C2490000}"/>
    <cellStyle name="Note 2 2 2 2 2 5 2" xfId="21392" xr:uid="{00000000-0005-0000-0000-0000C3490000}"/>
    <cellStyle name="Note 2 2 2 2 2 5 3" xfId="25522" xr:uid="{00000000-0005-0000-0000-0000C4490000}"/>
    <cellStyle name="Note 2 2 2 2 2 5 4" xfId="27039" xr:uid="{00000000-0005-0000-0000-0000C5490000}"/>
    <cellStyle name="Note 2 2 2 2 2 6" xfId="22447" xr:uid="{00000000-0005-0000-0000-0000C6490000}"/>
    <cellStyle name="Note 2 2 2 2 2 7" xfId="22253" xr:uid="{00000000-0005-0000-0000-0000C7490000}"/>
    <cellStyle name="Note 2 2 2 2 3" xfId="3553" xr:uid="{00000000-0005-0000-0000-0000C8490000}"/>
    <cellStyle name="Note 2 2 2 2 3 2" xfId="8504" xr:uid="{00000000-0005-0000-0000-0000C9490000}"/>
    <cellStyle name="Note 2 2 2 2 3 2 2" xfId="19401" xr:uid="{00000000-0005-0000-0000-0000CA490000}"/>
    <cellStyle name="Note 2 2 2 2 3 2 3" xfId="24493" xr:uid="{00000000-0005-0000-0000-0000CB490000}"/>
    <cellStyle name="Note 2 2 2 2 3 2 4" xfId="26226" xr:uid="{00000000-0005-0000-0000-0000CC490000}"/>
    <cellStyle name="Note 2 2 2 2 3 3" xfId="10677" xr:uid="{00000000-0005-0000-0000-0000CD490000}"/>
    <cellStyle name="Note 2 2 2 2 3 3 2" xfId="21574" xr:uid="{00000000-0005-0000-0000-0000CE490000}"/>
    <cellStyle name="Note 2 2 2 2 3 3 3" xfId="25704" xr:uid="{00000000-0005-0000-0000-0000CF490000}"/>
    <cellStyle name="Note 2 2 2 2 3 3 4" xfId="27221" xr:uid="{00000000-0005-0000-0000-0000D0490000}"/>
    <cellStyle name="Note 2 2 2 2 3 4" xfId="14450" xr:uid="{00000000-0005-0000-0000-0000D1490000}"/>
    <cellStyle name="Note 2 2 2 2 3 5" xfId="22804" xr:uid="{00000000-0005-0000-0000-0000D2490000}"/>
    <cellStyle name="Note 2 2 2 2 3 6" xfId="22302" xr:uid="{00000000-0005-0000-0000-0000D3490000}"/>
    <cellStyle name="Note 2 2 2 2 4" xfId="5058" xr:uid="{00000000-0005-0000-0000-0000D4490000}"/>
    <cellStyle name="Note 2 2 2 2 4 2" xfId="10009" xr:uid="{00000000-0005-0000-0000-0000D5490000}"/>
    <cellStyle name="Note 2 2 2 2 4 2 2" xfId="20906" xr:uid="{00000000-0005-0000-0000-0000D6490000}"/>
    <cellStyle name="Note 2 2 2 2 4 2 3" xfId="25036" xr:uid="{00000000-0005-0000-0000-0000D7490000}"/>
    <cellStyle name="Note 2 2 2 2 4 2 4" xfId="26553" xr:uid="{00000000-0005-0000-0000-0000D8490000}"/>
    <cellStyle name="Note 2 2 2 2 4 3" xfId="11004" xr:uid="{00000000-0005-0000-0000-0000D9490000}"/>
    <cellStyle name="Note 2 2 2 2 4 3 2" xfId="21901" xr:uid="{00000000-0005-0000-0000-0000DA490000}"/>
    <cellStyle name="Note 2 2 2 2 4 3 3" xfId="26031" xr:uid="{00000000-0005-0000-0000-0000DB490000}"/>
    <cellStyle name="Note 2 2 2 2 4 3 4" xfId="27548" xr:uid="{00000000-0005-0000-0000-0000DC490000}"/>
    <cellStyle name="Note 2 2 2 2 4 4" xfId="15955" xr:uid="{00000000-0005-0000-0000-0000DD490000}"/>
    <cellStyle name="Note 2 2 2 2 4 5" xfId="23347" xr:uid="{00000000-0005-0000-0000-0000DE490000}"/>
    <cellStyle name="Note 2 2 2 2 4 6" xfId="22249" xr:uid="{00000000-0005-0000-0000-0000DF490000}"/>
    <cellStyle name="Note 2 2 2 2 5" xfId="6192" xr:uid="{00000000-0005-0000-0000-0000E0490000}"/>
    <cellStyle name="Note 2 2 2 2 5 2" xfId="17089" xr:uid="{00000000-0005-0000-0000-0000E1490000}"/>
    <cellStyle name="Note 2 2 2 2 5 3" xfId="23818" xr:uid="{00000000-0005-0000-0000-0000E2490000}"/>
    <cellStyle name="Note 2 2 2 2 5 4" xfId="24295" xr:uid="{00000000-0005-0000-0000-0000E3490000}"/>
    <cellStyle name="Note 2 2 2 2 6" xfId="10336" xr:uid="{00000000-0005-0000-0000-0000E4490000}"/>
    <cellStyle name="Note 2 2 2 2 6 2" xfId="21233" xr:uid="{00000000-0005-0000-0000-0000E5490000}"/>
    <cellStyle name="Note 2 2 2 2 6 3" xfId="25363" xr:uid="{00000000-0005-0000-0000-0000E6490000}"/>
    <cellStyle name="Note 2 2 2 2 6 4" xfId="26880" xr:uid="{00000000-0005-0000-0000-0000E7490000}"/>
    <cellStyle name="Note 2 2 2 2 7" xfId="24842" xr:uid="{00000000-0005-0000-0000-0000E8490000}"/>
    <cellStyle name="Note 2 2 2 3" xfId="1399" xr:uid="{00000000-0005-0000-0000-0000E9490000}"/>
    <cellStyle name="Note 2 2 2 3 2" xfId="2524" xr:uid="{00000000-0005-0000-0000-0000EA490000}"/>
    <cellStyle name="Note 2 2 2 3 2 2" xfId="4836" xr:uid="{00000000-0005-0000-0000-0000EB490000}"/>
    <cellStyle name="Note 2 2 2 3 2 2 2" xfId="9787" xr:uid="{00000000-0005-0000-0000-0000EC490000}"/>
    <cellStyle name="Note 2 2 2 3 2 2 2 2" xfId="20684" xr:uid="{00000000-0005-0000-0000-0000ED490000}"/>
    <cellStyle name="Note 2 2 2 3 2 2 2 3" xfId="24872" xr:uid="{00000000-0005-0000-0000-0000EE490000}"/>
    <cellStyle name="Note 2 2 2 3 2 2 2 4" xfId="26414" xr:uid="{00000000-0005-0000-0000-0000EF490000}"/>
    <cellStyle name="Note 2 2 2 3 2 2 3" xfId="10865" xr:uid="{00000000-0005-0000-0000-0000F0490000}"/>
    <cellStyle name="Note 2 2 2 3 2 2 3 2" xfId="21762" xr:uid="{00000000-0005-0000-0000-0000F1490000}"/>
    <cellStyle name="Note 2 2 2 3 2 2 3 3" xfId="25892" xr:uid="{00000000-0005-0000-0000-0000F2490000}"/>
    <cellStyle name="Note 2 2 2 3 2 2 3 4" xfId="27409" xr:uid="{00000000-0005-0000-0000-0000F3490000}"/>
    <cellStyle name="Note 2 2 2 3 2 2 4" xfId="15733" xr:uid="{00000000-0005-0000-0000-0000F4490000}"/>
    <cellStyle name="Note 2 2 2 3 2 2 5" xfId="23186" xr:uid="{00000000-0005-0000-0000-0000F5490000}"/>
    <cellStyle name="Note 2 2 2 3 2 2 6" xfId="22429" xr:uid="{00000000-0005-0000-0000-0000F6490000}"/>
    <cellStyle name="Note 2 2 2 3 2 3" xfId="5245" xr:uid="{00000000-0005-0000-0000-0000F7490000}"/>
    <cellStyle name="Note 2 2 2 3 2 3 2" xfId="10196" xr:uid="{00000000-0005-0000-0000-0000F8490000}"/>
    <cellStyle name="Note 2 2 2 3 2 3 2 2" xfId="21093" xr:uid="{00000000-0005-0000-0000-0000F9490000}"/>
    <cellStyle name="Note 2 2 2 3 2 3 2 3" xfId="25223" xr:uid="{00000000-0005-0000-0000-0000FA490000}"/>
    <cellStyle name="Note 2 2 2 3 2 3 2 4" xfId="26740" xr:uid="{00000000-0005-0000-0000-0000FB490000}"/>
    <cellStyle name="Note 2 2 2 3 2 3 3" xfId="11191" xr:uid="{00000000-0005-0000-0000-0000FC490000}"/>
    <cellStyle name="Note 2 2 2 3 2 3 3 2" xfId="22088" xr:uid="{00000000-0005-0000-0000-0000FD490000}"/>
    <cellStyle name="Note 2 2 2 3 2 3 3 3" xfId="26218" xr:uid="{00000000-0005-0000-0000-0000FE490000}"/>
    <cellStyle name="Note 2 2 2 3 2 3 3 4" xfId="27735" xr:uid="{00000000-0005-0000-0000-0000FF490000}"/>
    <cellStyle name="Note 2 2 2 3 2 3 4" xfId="16142" xr:uid="{00000000-0005-0000-0000-0000004A0000}"/>
    <cellStyle name="Note 2 2 2 3 2 3 5" xfId="23534" xr:uid="{00000000-0005-0000-0000-0000014A0000}"/>
    <cellStyle name="Note 2 2 2 3 2 3 6" xfId="22720" xr:uid="{00000000-0005-0000-0000-0000024A0000}"/>
    <cellStyle name="Note 2 2 2 3 2 4" xfId="7475" xr:uid="{00000000-0005-0000-0000-0000034A0000}"/>
    <cellStyle name="Note 2 2 2 3 2 4 2" xfId="18372" xr:uid="{00000000-0005-0000-0000-0000044A0000}"/>
    <cellStyle name="Note 2 2 2 3 2 4 3" xfId="24194" xr:uid="{00000000-0005-0000-0000-0000054A0000}"/>
    <cellStyle name="Note 2 2 2 3 2 4 4" xfId="23191" xr:uid="{00000000-0005-0000-0000-0000064A0000}"/>
    <cellStyle name="Note 2 2 2 3 2 5" xfId="10523" xr:uid="{00000000-0005-0000-0000-0000074A0000}"/>
    <cellStyle name="Note 2 2 2 3 2 5 2" xfId="21420" xr:uid="{00000000-0005-0000-0000-0000084A0000}"/>
    <cellStyle name="Note 2 2 2 3 2 5 3" xfId="25550" xr:uid="{00000000-0005-0000-0000-0000094A0000}"/>
    <cellStyle name="Note 2 2 2 3 2 5 4" xfId="27067" xr:uid="{00000000-0005-0000-0000-00000A4A0000}"/>
    <cellStyle name="Note 2 2 2 3 2 6" xfId="22489" xr:uid="{00000000-0005-0000-0000-00000B4A0000}"/>
    <cellStyle name="Note 2 2 2 3 2 7" xfId="24246" xr:uid="{00000000-0005-0000-0000-00000C4A0000}"/>
    <cellStyle name="Note 2 2 2 3 3" xfId="3723" xr:uid="{00000000-0005-0000-0000-00000D4A0000}"/>
    <cellStyle name="Note 2 2 2 3 3 2" xfId="8674" xr:uid="{00000000-0005-0000-0000-00000E4A0000}"/>
    <cellStyle name="Note 2 2 2 3 3 2 2" xfId="19571" xr:uid="{00000000-0005-0000-0000-00000F4A0000}"/>
    <cellStyle name="Note 2 2 2 3 3 2 3" xfId="24568" xr:uid="{00000000-0005-0000-0000-0000104A0000}"/>
    <cellStyle name="Note 2 2 2 3 3 2 4" xfId="26286" xr:uid="{00000000-0005-0000-0000-0000114A0000}"/>
    <cellStyle name="Note 2 2 2 3 3 3" xfId="10737" xr:uid="{00000000-0005-0000-0000-0000124A0000}"/>
    <cellStyle name="Note 2 2 2 3 3 3 2" xfId="21634" xr:uid="{00000000-0005-0000-0000-0000134A0000}"/>
    <cellStyle name="Note 2 2 2 3 3 3 3" xfId="25764" xr:uid="{00000000-0005-0000-0000-0000144A0000}"/>
    <cellStyle name="Note 2 2 2 3 3 3 4" xfId="27281" xr:uid="{00000000-0005-0000-0000-0000154A0000}"/>
    <cellStyle name="Note 2 2 2 3 3 4" xfId="14620" xr:uid="{00000000-0005-0000-0000-0000164A0000}"/>
    <cellStyle name="Note 2 2 2 3 3 5" xfId="22880" xr:uid="{00000000-0005-0000-0000-0000174A0000}"/>
    <cellStyle name="Note 2 2 2 3 3 6" xfId="22662" xr:uid="{00000000-0005-0000-0000-0000184A0000}"/>
    <cellStyle name="Note 2 2 2 3 4" xfId="5118" xr:uid="{00000000-0005-0000-0000-0000194A0000}"/>
    <cellStyle name="Note 2 2 2 3 4 2" xfId="10069" xr:uid="{00000000-0005-0000-0000-00001A4A0000}"/>
    <cellStyle name="Note 2 2 2 3 4 2 2" xfId="20966" xr:uid="{00000000-0005-0000-0000-00001B4A0000}"/>
    <cellStyle name="Note 2 2 2 3 4 2 3" xfId="25096" xr:uid="{00000000-0005-0000-0000-00001C4A0000}"/>
    <cellStyle name="Note 2 2 2 3 4 2 4" xfId="26613" xr:uid="{00000000-0005-0000-0000-00001D4A0000}"/>
    <cellStyle name="Note 2 2 2 3 4 3" xfId="11064" xr:uid="{00000000-0005-0000-0000-00001E4A0000}"/>
    <cellStyle name="Note 2 2 2 3 4 3 2" xfId="21961" xr:uid="{00000000-0005-0000-0000-00001F4A0000}"/>
    <cellStyle name="Note 2 2 2 3 4 3 3" xfId="26091" xr:uid="{00000000-0005-0000-0000-0000204A0000}"/>
    <cellStyle name="Note 2 2 2 3 4 3 4" xfId="27608" xr:uid="{00000000-0005-0000-0000-0000214A0000}"/>
    <cellStyle name="Note 2 2 2 3 4 4" xfId="16015" xr:uid="{00000000-0005-0000-0000-0000224A0000}"/>
    <cellStyle name="Note 2 2 2 3 4 5" xfId="23407" xr:uid="{00000000-0005-0000-0000-0000234A0000}"/>
    <cellStyle name="Note 2 2 2 3 4 6" xfId="22377" xr:uid="{00000000-0005-0000-0000-0000244A0000}"/>
    <cellStyle name="Note 2 2 2 3 5" xfId="6362" xr:uid="{00000000-0005-0000-0000-0000254A0000}"/>
    <cellStyle name="Note 2 2 2 3 5 2" xfId="17259" xr:uid="{00000000-0005-0000-0000-0000264A0000}"/>
    <cellStyle name="Note 2 2 2 3 5 3" xfId="23893" xr:uid="{00000000-0005-0000-0000-0000274A0000}"/>
    <cellStyle name="Note 2 2 2 3 5 4" xfId="22264" xr:uid="{00000000-0005-0000-0000-0000284A0000}"/>
    <cellStyle name="Note 2 2 2 3 6" xfId="10396" xr:uid="{00000000-0005-0000-0000-0000294A0000}"/>
    <cellStyle name="Note 2 2 2 3 6 2" xfId="21293" xr:uid="{00000000-0005-0000-0000-00002A4A0000}"/>
    <cellStyle name="Note 2 2 2 3 6 3" xfId="25423" xr:uid="{00000000-0005-0000-0000-00002B4A0000}"/>
    <cellStyle name="Note 2 2 2 3 6 4" xfId="26940" xr:uid="{00000000-0005-0000-0000-00002C4A0000}"/>
    <cellStyle name="Note 2 2 2 3 7" xfId="22605" xr:uid="{00000000-0005-0000-0000-00002D4A0000}"/>
    <cellStyle name="Note 2 2 2 4" xfId="1870" xr:uid="{00000000-0005-0000-0000-00002E4A0000}"/>
    <cellStyle name="Note 2 2 2 4 2" xfId="4182" xr:uid="{00000000-0005-0000-0000-00002F4A0000}"/>
    <cellStyle name="Note 2 2 2 4 2 2" xfId="9133" xr:uid="{00000000-0005-0000-0000-0000304A0000}"/>
    <cellStyle name="Note 2 2 2 4 2 2 2" xfId="20030" xr:uid="{00000000-0005-0000-0000-0000314A0000}"/>
    <cellStyle name="Note 2 2 2 4 2 2 3" xfId="24683" xr:uid="{00000000-0005-0000-0000-0000324A0000}"/>
    <cellStyle name="Note 2 2 2 4 2 2 4" xfId="26322" xr:uid="{00000000-0005-0000-0000-0000334A0000}"/>
    <cellStyle name="Note 2 2 2 4 2 3" xfId="10773" xr:uid="{00000000-0005-0000-0000-0000344A0000}"/>
    <cellStyle name="Note 2 2 2 4 2 3 2" xfId="21670" xr:uid="{00000000-0005-0000-0000-0000354A0000}"/>
    <cellStyle name="Note 2 2 2 4 2 3 3" xfId="25800" xr:uid="{00000000-0005-0000-0000-0000364A0000}"/>
    <cellStyle name="Note 2 2 2 4 2 3 4" xfId="27317" xr:uid="{00000000-0005-0000-0000-0000374A0000}"/>
    <cellStyle name="Note 2 2 2 4 2 4" xfId="15079" xr:uid="{00000000-0005-0000-0000-0000384A0000}"/>
    <cellStyle name="Note 2 2 2 4 2 5" xfId="22998" xr:uid="{00000000-0005-0000-0000-0000394A0000}"/>
    <cellStyle name="Note 2 2 2 4 2 6" xfId="23165" xr:uid="{00000000-0005-0000-0000-00003A4A0000}"/>
    <cellStyle name="Note 2 2 2 4 3" xfId="5153" xr:uid="{00000000-0005-0000-0000-00003B4A0000}"/>
    <cellStyle name="Note 2 2 2 4 3 2" xfId="10104" xr:uid="{00000000-0005-0000-0000-00003C4A0000}"/>
    <cellStyle name="Note 2 2 2 4 3 2 2" xfId="21001" xr:uid="{00000000-0005-0000-0000-00003D4A0000}"/>
    <cellStyle name="Note 2 2 2 4 3 2 3" xfId="25131" xr:uid="{00000000-0005-0000-0000-00003E4A0000}"/>
    <cellStyle name="Note 2 2 2 4 3 2 4" xfId="26648" xr:uid="{00000000-0005-0000-0000-00003F4A0000}"/>
    <cellStyle name="Note 2 2 2 4 3 3" xfId="11099" xr:uid="{00000000-0005-0000-0000-0000404A0000}"/>
    <cellStyle name="Note 2 2 2 4 3 3 2" xfId="21996" xr:uid="{00000000-0005-0000-0000-0000414A0000}"/>
    <cellStyle name="Note 2 2 2 4 3 3 3" xfId="26126" xr:uid="{00000000-0005-0000-0000-0000424A0000}"/>
    <cellStyle name="Note 2 2 2 4 3 3 4" xfId="27643" xr:uid="{00000000-0005-0000-0000-0000434A0000}"/>
    <cellStyle name="Note 2 2 2 4 3 4" xfId="16050" xr:uid="{00000000-0005-0000-0000-0000444A0000}"/>
    <cellStyle name="Note 2 2 2 4 3 5" xfId="23442" xr:uid="{00000000-0005-0000-0000-0000454A0000}"/>
    <cellStyle name="Note 2 2 2 4 3 6" xfId="22316" xr:uid="{00000000-0005-0000-0000-0000464A0000}"/>
    <cellStyle name="Note 2 2 2 4 4" xfId="6821" xr:uid="{00000000-0005-0000-0000-0000474A0000}"/>
    <cellStyle name="Note 2 2 2 4 4 2" xfId="17718" xr:uid="{00000000-0005-0000-0000-0000484A0000}"/>
    <cellStyle name="Note 2 2 2 4 4 3" xfId="24003" xr:uid="{00000000-0005-0000-0000-0000494A0000}"/>
    <cellStyle name="Note 2 2 2 4 4 4" xfId="23943" xr:uid="{00000000-0005-0000-0000-00004A4A0000}"/>
    <cellStyle name="Note 2 2 2 4 5" xfId="10431" xr:uid="{00000000-0005-0000-0000-00004B4A0000}"/>
    <cellStyle name="Note 2 2 2 4 5 2" xfId="21328" xr:uid="{00000000-0005-0000-0000-00004C4A0000}"/>
    <cellStyle name="Note 2 2 2 4 5 3" xfId="25458" xr:uid="{00000000-0005-0000-0000-00004D4A0000}"/>
    <cellStyle name="Note 2 2 2 4 5 4" xfId="26975" xr:uid="{00000000-0005-0000-0000-00004E4A0000}"/>
    <cellStyle name="Note 2 2 2 4 6" xfId="22364" xr:uid="{00000000-0005-0000-0000-00004F4A0000}"/>
    <cellStyle name="Note 2 2 2 4 7" xfId="22254" xr:uid="{00000000-0005-0000-0000-0000504A0000}"/>
    <cellStyle name="Note 2 2 2 5" xfId="3021" xr:uid="{00000000-0005-0000-0000-0000514A0000}"/>
    <cellStyle name="Note 2 2 2 5 2" xfId="7972" xr:uid="{00000000-0005-0000-0000-0000524A0000}"/>
    <cellStyle name="Note 2 2 2 5 2 2" xfId="18869" xr:uid="{00000000-0005-0000-0000-0000534A0000}"/>
    <cellStyle name="Note 2 2 2 5 2 3" xfId="24338" xr:uid="{00000000-0005-0000-0000-0000544A0000}"/>
    <cellStyle name="Note 2 2 2 5 2 4" xfId="24691" xr:uid="{00000000-0005-0000-0000-0000554A0000}"/>
    <cellStyle name="Note 2 2 2 5 3" xfId="10597" xr:uid="{00000000-0005-0000-0000-0000564A0000}"/>
    <cellStyle name="Note 2 2 2 5 3 2" xfId="21494" xr:uid="{00000000-0005-0000-0000-0000574A0000}"/>
    <cellStyle name="Note 2 2 2 5 3 3" xfId="25624" xr:uid="{00000000-0005-0000-0000-0000584A0000}"/>
    <cellStyle name="Note 2 2 2 5 3 4" xfId="27141" xr:uid="{00000000-0005-0000-0000-0000594A0000}"/>
    <cellStyle name="Note 2 2 2 5 4" xfId="13918" xr:uid="{00000000-0005-0000-0000-00005A4A0000}"/>
    <cellStyle name="Note 2 2 2 5 5" xfId="22642" xr:uid="{00000000-0005-0000-0000-00005B4A0000}"/>
    <cellStyle name="Note 2 2 2 5 6" xfId="23009" xr:uid="{00000000-0005-0000-0000-00005C4A0000}"/>
    <cellStyle name="Note 2 2 2 6" xfId="4978" xr:uid="{00000000-0005-0000-0000-00005D4A0000}"/>
    <cellStyle name="Note 2 2 2 6 2" xfId="9929" xr:uid="{00000000-0005-0000-0000-00005E4A0000}"/>
    <cellStyle name="Note 2 2 2 6 2 2" xfId="20826" xr:uid="{00000000-0005-0000-0000-00005F4A0000}"/>
    <cellStyle name="Note 2 2 2 6 2 3" xfId="24956" xr:uid="{00000000-0005-0000-0000-0000604A0000}"/>
    <cellStyle name="Note 2 2 2 6 2 4" xfId="26473" xr:uid="{00000000-0005-0000-0000-0000614A0000}"/>
    <cellStyle name="Note 2 2 2 6 3" xfId="10924" xr:uid="{00000000-0005-0000-0000-0000624A0000}"/>
    <cellStyle name="Note 2 2 2 6 3 2" xfId="21821" xr:uid="{00000000-0005-0000-0000-0000634A0000}"/>
    <cellStyle name="Note 2 2 2 6 3 3" xfId="25951" xr:uid="{00000000-0005-0000-0000-0000644A0000}"/>
    <cellStyle name="Note 2 2 2 6 3 4" xfId="27468" xr:uid="{00000000-0005-0000-0000-0000654A0000}"/>
    <cellStyle name="Note 2 2 2 6 4" xfId="15875" xr:uid="{00000000-0005-0000-0000-0000664A0000}"/>
    <cellStyle name="Note 2 2 2 6 5" xfId="23267" xr:uid="{00000000-0005-0000-0000-0000674A0000}"/>
    <cellStyle name="Note 2 2 2 6 6" xfId="23067" xr:uid="{00000000-0005-0000-0000-0000684A0000}"/>
    <cellStyle name="Note 2 2 2 7" xfId="5660" xr:uid="{00000000-0005-0000-0000-0000694A0000}"/>
    <cellStyle name="Note 2 2 2 7 2" xfId="16557" xr:uid="{00000000-0005-0000-0000-00006A4A0000}"/>
    <cellStyle name="Note 2 2 2 7 3" xfId="23660" xr:uid="{00000000-0005-0000-0000-00006B4A0000}"/>
    <cellStyle name="Note 2 2 2 7 4" xfId="12439" xr:uid="{00000000-0005-0000-0000-00006C4A0000}"/>
    <cellStyle name="Note 2 2 2 8" xfId="10256" xr:uid="{00000000-0005-0000-0000-00006D4A0000}"/>
    <cellStyle name="Note 2 2 2 8 2" xfId="21153" xr:uid="{00000000-0005-0000-0000-00006E4A0000}"/>
    <cellStyle name="Note 2 2 2 8 3" xfId="25283" xr:uid="{00000000-0005-0000-0000-00006F4A0000}"/>
    <cellStyle name="Note 2 2 2 8 4" xfId="26800" xr:uid="{00000000-0005-0000-0000-0000704A0000}"/>
    <cellStyle name="Note 2 2 2 9" xfId="22460" xr:uid="{00000000-0005-0000-0000-0000714A0000}"/>
    <cellStyle name="Note 2 2 3" xfId="964" xr:uid="{00000000-0005-0000-0000-0000724A0000}"/>
    <cellStyle name="Note 2 2 3 2" xfId="2121" xr:uid="{00000000-0005-0000-0000-0000734A0000}"/>
    <cellStyle name="Note 2 2 3 2 2" xfId="4433" xr:uid="{00000000-0005-0000-0000-0000744A0000}"/>
    <cellStyle name="Note 2 2 3 2 2 2" xfId="9384" xr:uid="{00000000-0005-0000-0000-0000754A0000}"/>
    <cellStyle name="Note 2 2 3 2 2 2 2" xfId="20281" xr:uid="{00000000-0005-0000-0000-0000764A0000}"/>
    <cellStyle name="Note 2 2 3 2 2 2 3" xfId="24745" xr:uid="{00000000-0005-0000-0000-0000774A0000}"/>
    <cellStyle name="Note 2 2 3 2 2 2 4" xfId="26346" xr:uid="{00000000-0005-0000-0000-0000784A0000}"/>
    <cellStyle name="Note 2 2 3 2 2 3" xfId="10797" xr:uid="{00000000-0005-0000-0000-0000794A0000}"/>
    <cellStyle name="Note 2 2 3 2 2 3 2" xfId="21694" xr:uid="{00000000-0005-0000-0000-00007A4A0000}"/>
    <cellStyle name="Note 2 2 3 2 2 3 3" xfId="25824" xr:uid="{00000000-0005-0000-0000-00007B4A0000}"/>
    <cellStyle name="Note 2 2 3 2 2 3 4" xfId="27341" xr:uid="{00000000-0005-0000-0000-00007C4A0000}"/>
    <cellStyle name="Note 2 2 3 2 2 4" xfId="15330" xr:uid="{00000000-0005-0000-0000-00007D4A0000}"/>
    <cellStyle name="Note 2 2 3 2 2 5" xfId="23055" xr:uid="{00000000-0005-0000-0000-00007E4A0000}"/>
    <cellStyle name="Note 2 2 3 2 2 6" xfId="23765" xr:uid="{00000000-0005-0000-0000-00007F4A0000}"/>
    <cellStyle name="Note 2 2 3 2 3" xfId="5177" xr:uid="{00000000-0005-0000-0000-0000804A0000}"/>
    <cellStyle name="Note 2 2 3 2 3 2" xfId="10128" xr:uid="{00000000-0005-0000-0000-0000814A0000}"/>
    <cellStyle name="Note 2 2 3 2 3 2 2" xfId="21025" xr:uid="{00000000-0005-0000-0000-0000824A0000}"/>
    <cellStyle name="Note 2 2 3 2 3 2 3" xfId="25155" xr:uid="{00000000-0005-0000-0000-0000834A0000}"/>
    <cellStyle name="Note 2 2 3 2 3 2 4" xfId="26672" xr:uid="{00000000-0005-0000-0000-0000844A0000}"/>
    <cellStyle name="Note 2 2 3 2 3 3" xfId="11123" xr:uid="{00000000-0005-0000-0000-0000854A0000}"/>
    <cellStyle name="Note 2 2 3 2 3 3 2" xfId="22020" xr:uid="{00000000-0005-0000-0000-0000864A0000}"/>
    <cellStyle name="Note 2 2 3 2 3 3 3" xfId="26150" xr:uid="{00000000-0005-0000-0000-0000874A0000}"/>
    <cellStyle name="Note 2 2 3 2 3 3 4" xfId="27667" xr:uid="{00000000-0005-0000-0000-0000884A0000}"/>
    <cellStyle name="Note 2 2 3 2 3 4" xfId="16074" xr:uid="{00000000-0005-0000-0000-0000894A0000}"/>
    <cellStyle name="Note 2 2 3 2 3 5" xfId="23466" xr:uid="{00000000-0005-0000-0000-00008A4A0000}"/>
    <cellStyle name="Note 2 2 3 2 3 6" xfId="22141" xr:uid="{00000000-0005-0000-0000-00008B4A0000}"/>
    <cellStyle name="Note 2 2 3 2 4" xfId="7072" xr:uid="{00000000-0005-0000-0000-00008C4A0000}"/>
    <cellStyle name="Note 2 2 3 2 4 2" xfId="17969" xr:uid="{00000000-0005-0000-0000-00008D4A0000}"/>
    <cellStyle name="Note 2 2 3 2 4 3" xfId="24067" xr:uid="{00000000-0005-0000-0000-00008E4A0000}"/>
    <cellStyle name="Note 2 2 3 2 4 4" xfId="11212" xr:uid="{00000000-0005-0000-0000-00008F4A0000}"/>
    <cellStyle name="Note 2 2 3 2 5" xfId="10455" xr:uid="{00000000-0005-0000-0000-0000904A0000}"/>
    <cellStyle name="Note 2 2 3 2 5 2" xfId="21352" xr:uid="{00000000-0005-0000-0000-0000914A0000}"/>
    <cellStyle name="Note 2 2 3 2 5 3" xfId="25482" xr:uid="{00000000-0005-0000-0000-0000924A0000}"/>
    <cellStyle name="Note 2 2 3 2 5 4" xfId="26999" xr:uid="{00000000-0005-0000-0000-0000934A0000}"/>
    <cellStyle name="Note 2 2 3 2 6" xfId="22402" xr:uid="{00000000-0005-0000-0000-0000944A0000}"/>
    <cellStyle name="Note 2 2 3 2 7" xfId="23846" xr:uid="{00000000-0005-0000-0000-0000954A0000}"/>
    <cellStyle name="Note 2 2 3 3" xfId="3288" xr:uid="{00000000-0005-0000-0000-0000964A0000}"/>
    <cellStyle name="Note 2 2 3 3 2" xfId="8239" xr:uid="{00000000-0005-0000-0000-0000974A0000}"/>
    <cellStyle name="Note 2 2 3 3 2 2" xfId="19136" xr:uid="{00000000-0005-0000-0000-0000984A0000}"/>
    <cellStyle name="Note 2 2 3 3 2 3" xfId="24416" xr:uid="{00000000-0005-0000-0000-0000994A0000}"/>
    <cellStyle name="Note 2 2 3 3 2 4" xfId="23157" xr:uid="{00000000-0005-0000-0000-00009A4A0000}"/>
    <cellStyle name="Note 2 2 3 3 3" xfId="10637" xr:uid="{00000000-0005-0000-0000-00009B4A0000}"/>
    <cellStyle name="Note 2 2 3 3 3 2" xfId="21534" xr:uid="{00000000-0005-0000-0000-00009C4A0000}"/>
    <cellStyle name="Note 2 2 3 3 3 3" xfId="25664" xr:uid="{00000000-0005-0000-0000-00009D4A0000}"/>
    <cellStyle name="Note 2 2 3 3 3 4" xfId="27181" xr:uid="{00000000-0005-0000-0000-00009E4A0000}"/>
    <cellStyle name="Note 2 2 3 3 4" xfId="14185" xr:uid="{00000000-0005-0000-0000-00009F4A0000}"/>
    <cellStyle name="Note 2 2 3 3 5" xfId="22725" xr:uid="{00000000-0005-0000-0000-0000A04A0000}"/>
    <cellStyle name="Note 2 2 3 3 6" xfId="22117" xr:uid="{00000000-0005-0000-0000-0000A14A0000}"/>
    <cellStyle name="Note 2 2 3 4" xfId="5018" xr:uid="{00000000-0005-0000-0000-0000A24A0000}"/>
    <cellStyle name="Note 2 2 3 4 2" xfId="9969" xr:uid="{00000000-0005-0000-0000-0000A34A0000}"/>
    <cellStyle name="Note 2 2 3 4 2 2" xfId="20866" xr:uid="{00000000-0005-0000-0000-0000A44A0000}"/>
    <cellStyle name="Note 2 2 3 4 2 3" xfId="24996" xr:uid="{00000000-0005-0000-0000-0000A54A0000}"/>
    <cellStyle name="Note 2 2 3 4 2 4" xfId="26513" xr:uid="{00000000-0005-0000-0000-0000A64A0000}"/>
    <cellStyle name="Note 2 2 3 4 3" xfId="10964" xr:uid="{00000000-0005-0000-0000-0000A74A0000}"/>
    <cellStyle name="Note 2 2 3 4 3 2" xfId="21861" xr:uid="{00000000-0005-0000-0000-0000A84A0000}"/>
    <cellStyle name="Note 2 2 3 4 3 3" xfId="25991" xr:uid="{00000000-0005-0000-0000-0000A94A0000}"/>
    <cellStyle name="Note 2 2 3 4 3 4" xfId="27508" xr:uid="{00000000-0005-0000-0000-0000AA4A0000}"/>
    <cellStyle name="Note 2 2 3 4 4" xfId="15915" xr:uid="{00000000-0005-0000-0000-0000AB4A0000}"/>
    <cellStyle name="Note 2 2 3 4 5" xfId="23307" xr:uid="{00000000-0005-0000-0000-0000AC4A0000}"/>
    <cellStyle name="Note 2 2 3 4 6" xfId="22990" xr:uid="{00000000-0005-0000-0000-0000AD4A0000}"/>
    <cellStyle name="Note 2 2 3 5" xfId="5927" xr:uid="{00000000-0005-0000-0000-0000AE4A0000}"/>
    <cellStyle name="Note 2 2 3 5 2" xfId="16824" xr:uid="{00000000-0005-0000-0000-0000AF4A0000}"/>
    <cellStyle name="Note 2 2 3 5 3" xfId="23738" xr:uid="{00000000-0005-0000-0000-0000B04A0000}"/>
    <cellStyle name="Note 2 2 3 5 4" xfId="23772" xr:uid="{00000000-0005-0000-0000-0000B14A0000}"/>
    <cellStyle name="Note 2 2 3 6" xfId="10296" xr:uid="{00000000-0005-0000-0000-0000B24A0000}"/>
    <cellStyle name="Note 2 2 3 6 2" xfId="21193" xr:uid="{00000000-0005-0000-0000-0000B34A0000}"/>
    <cellStyle name="Note 2 2 3 6 3" xfId="25323" xr:uid="{00000000-0005-0000-0000-0000B44A0000}"/>
    <cellStyle name="Note 2 2 3 6 4" xfId="26840" xr:uid="{00000000-0005-0000-0000-0000B54A0000}"/>
    <cellStyle name="Note 2 2 3 7" xfId="22123" xr:uid="{00000000-0005-0000-0000-0000B64A0000}"/>
    <cellStyle name="Note 2 2 4" xfId="1359" xr:uid="{00000000-0005-0000-0000-0000B74A0000}"/>
    <cellStyle name="Note 2 2 4 2" xfId="2516" xr:uid="{00000000-0005-0000-0000-0000B84A0000}"/>
    <cellStyle name="Note 2 2 4 2 2" xfId="4828" xr:uid="{00000000-0005-0000-0000-0000B94A0000}"/>
    <cellStyle name="Note 2 2 4 2 2 2" xfId="9779" xr:uid="{00000000-0005-0000-0000-0000BA4A0000}"/>
    <cellStyle name="Note 2 2 4 2 2 2 2" xfId="20676" xr:uid="{00000000-0005-0000-0000-0000BB4A0000}"/>
    <cellStyle name="Note 2 2 4 2 2 2 3" xfId="24864" xr:uid="{00000000-0005-0000-0000-0000BC4A0000}"/>
    <cellStyle name="Note 2 2 4 2 2 2 4" xfId="26406" xr:uid="{00000000-0005-0000-0000-0000BD4A0000}"/>
    <cellStyle name="Note 2 2 4 2 2 3" xfId="10857" xr:uid="{00000000-0005-0000-0000-0000BE4A0000}"/>
    <cellStyle name="Note 2 2 4 2 2 3 2" xfId="21754" xr:uid="{00000000-0005-0000-0000-0000BF4A0000}"/>
    <cellStyle name="Note 2 2 4 2 2 3 3" xfId="25884" xr:uid="{00000000-0005-0000-0000-0000C04A0000}"/>
    <cellStyle name="Note 2 2 4 2 2 3 4" xfId="27401" xr:uid="{00000000-0005-0000-0000-0000C14A0000}"/>
    <cellStyle name="Note 2 2 4 2 2 4" xfId="15725" xr:uid="{00000000-0005-0000-0000-0000C24A0000}"/>
    <cellStyle name="Note 2 2 4 2 2 5" xfId="23178" xr:uid="{00000000-0005-0000-0000-0000C34A0000}"/>
    <cellStyle name="Note 2 2 4 2 2 6" xfId="22979" xr:uid="{00000000-0005-0000-0000-0000C44A0000}"/>
    <cellStyle name="Note 2 2 4 2 3" xfId="5237" xr:uid="{00000000-0005-0000-0000-0000C54A0000}"/>
    <cellStyle name="Note 2 2 4 2 3 2" xfId="10188" xr:uid="{00000000-0005-0000-0000-0000C64A0000}"/>
    <cellStyle name="Note 2 2 4 2 3 2 2" xfId="21085" xr:uid="{00000000-0005-0000-0000-0000C74A0000}"/>
    <cellStyle name="Note 2 2 4 2 3 2 3" xfId="25215" xr:uid="{00000000-0005-0000-0000-0000C84A0000}"/>
    <cellStyle name="Note 2 2 4 2 3 2 4" xfId="26732" xr:uid="{00000000-0005-0000-0000-0000C94A0000}"/>
    <cellStyle name="Note 2 2 4 2 3 3" xfId="11183" xr:uid="{00000000-0005-0000-0000-0000CA4A0000}"/>
    <cellStyle name="Note 2 2 4 2 3 3 2" xfId="22080" xr:uid="{00000000-0005-0000-0000-0000CB4A0000}"/>
    <cellStyle name="Note 2 2 4 2 3 3 3" xfId="26210" xr:uid="{00000000-0005-0000-0000-0000CC4A0000}"/>
    <cellStyle name="Note 2 2 4 2 3 3 4" xfId="27727" xr:uid="{00000000-0005-0000-0000-0000CD4A0000}"/>
    <cellStyle name="Note 2 2 4 2 3 4" xfId="16134" xr:uid="{00000000-0005-0000-0000-0000CE4A0000}"/>
    <cellStyle name="Note 2 2 4 2 3 5" xfId="23526" xr:uid="{00000000-0005-0000-0000-0000CF4A0000}"/>
    <cellStyle name="Note 2 2 4 2 3 6" xfId="22909" xr:uid="{00000000-0005-0000-0000-0000D04A0000}"/>
    <cellStyle name="Note 2 2 4 2 4" xfId="7467" xr:uid="{00000000-0005-0000-0000-0000D14A0000}"/>
    <cellStyle name="Note 2 2 4 2 4 2" xfId="18364" xr:uid="{00000000-0005-0000-0000-0000D24A0000}"/>
    <cellStyle name="Note 2 2 4 2 4 3" xfId="24186" xr:uid="{00000000-0005-0000-0000-0000D34A0000}"/>
    <cellStyle name="Note 2 2 4 2 4 4" xfId="23201" xr:uid="{00000000-0005-0000-0000-0000D44A0000}"/>
    <cellStyle name="Note 2 2 4 2 5" xfId="10515" xr:uid="{00000000-0005-0000-0000-0000D54A0000}"/>
    <cellStyle name="Note 2 2 4 2 5 2" xfId="21412" xr:uid="{00000000-0005-0000-0000-0000D64A0000}"/>
    <cellStyle name="Note 2 2 4 2 5 3" xfId="25542" xr:uid="{00000000-0005-0000-0000-0000D74A0000}"/>
    <cellStyle name="Note 2 2 4 2 5 4" xfId="27059" xr:uid="{00000000-0005-0000-0000-0000D84A0000}"/>
    <cellStyle name="Note 2 2 4 2 6" xfId="22481" xr:uid="{00000000-0005-0000-0000-0000D94A0000}"/>
    <cellStyle name="Note 2 2 4 2 7" xfId="22118" xr:uid="{00000000-0005-0000-0000-0000DA4A0000}"/>
    <cellStyle name="Note 2 2 4 3" xfId="3683" xr:uid="{00000000-0005-0000-0000-0000DB4A0000}"/>
    <cellStyle name="Note 2 2 4 3 2" xfId="8634" xr:uid="{00000000-0005-0000-0000-0000DC4A0000}"/>
    <cellStyle name="Note 2 2 4 3 2 2" xfId="19531" xr:uid="{00000000-0005-0000-0000-0000DD4A0000}"/>
    <cellStyle name="Note 2 2 4 3 2 3" xfId="24528" xr:uid="{00000000-0005-0000-0000-0000DE4A0000}"/>
    <cellStyle name="Note 2 2 4 3 2 4" xfId="26246" xr:uid="{00000000-0005-0000-0000-0000DF4A0000}"/>
    <cellStyle name="Note 2 2 4 3 3" xfId="10697" xr:uid="{00000000-0005-0000-0000-0000E04A0000}"/>
    <cellStyle name="Note 2 2 4 3 3 2" xfId="21594" xr:uid="{00000000-0005-0000-0000-0000E14A0000}"/>
    <cellStyle name="Note 2 2 4 3 3 3" xfId="25724" xr:uid="{00000000-0005-0000-0000-0000E24A0000}"/>
    <cellStyle name="Note 2 2 4 3 3 4" xfId="27241" xr:uid="{00000000-0005-0000-0000-0000E34A0000}"/>
    <cellStyle name="Note 2 2 4 3 4" xfId="14580" xr:uid="{00000000-0005-0000-0000-0000E44A0000}"/>
    <cellStyle name="Note 2 2 4 3 5" xfId="22840" xr:uid="{00000000-0005-0000-0000-0000E54A0000}"/>
    <cellStyle name="Note 2 2 4 3 6" xfId="24392" xr:uid="{00000000-0005-0000-0000-0000E64A0000}"/>
    <cellStyle name="Note 2 2 4 4" xfId="5078" xr:uid="{00000000-0005-0000-0000-0000E74A0000}"/>
    <cellStyle name="Note 2 2 4 4 2" xfId="10029" xr:uid="{00000000-0005-0000-0000-0000E84A0000}"/>
    <cellStyle name="Note 2 2 4 4 2 2" xfId="20926" xr:uid="{00000000-0005-0000-0000-0000E94A0000}"/>
    <cellStyle name="Note 2 2 4 4 2 3" xfId="25056" xr:uid="{00000000-0005-0000-0000-0000EA4A0000}"/>
    <cellStyle name="Note 2 2 4 4 2 4" xfId="26573" xr:uid="{00000000-0005-0000-0000-0000EB4A0000}"/>
    <cellStyle name="Note 2 2 4 4 3" xfId="11024" xr:uid="{00000000-0005-0000-0000-0000EC4A0000}"/>
    <cellStyle name="Note 2 2 4 4 3 2" xfId="21921" xr:uid="{00000000-0005-0000-0000-0000ED4A0000}"/>
    <cellStyle name="Note 2 2 4 4 3 3" xfId="26051" xr:uid="{00000000-0005-0000-0000-0000EE4A0000}"/>
    <cellStyle name="Note 2 2 4 4 3 4" xfId="27568" xr:uid="{00000000-0005-0000-0000-0000EF4A0000}"/>
    <cellStyle name="Note 2 2 4 4 4" xfId="15975" xr:uid="{00000000-0005-0000-0000-0000F04A0000}"/>
    <cellStyle name="Note 2 2 4 4 5" xfId="23367" xr:uid="{00000000-0005-0000-0000-0000F14A0000}"/>
    <cellStyle name="Note 2 2 4 4 6" xfId="23052" xr:uid="{00000000-0005-0000-0000-0000F24A0000}"/>
    <cellStyle name="Note 2 2 4 5" xfId="6322" xr:uid="{00000000-0005-0000-0000-0000F34A0000}"/>
    <cellStyle name="Note 2 2 4 5 2" xfId="17219" xr:uid="{00000000-0005-0000-0000-0000F44A0000}"/>
    <cellStyle name="Note 2 2 4 5 3" xfId="23853" xr:uid="{00000000-0005-0000-0000-0000F54A0000}"/>
    <cellStyle name="Note 2 2 4 5 4" xfId="22275" xr:uid="{00000000-0005-0000-0000-0000F64A0000}"/>
    <cellStyle name="Note 2 2 4 6" xfId="10356" xr:uid="{00000000-0005-0000-0000-0000F74A0000}"/>
    <cellStyle name="Note 2 2 4 6 2" xfId="21253" xr:uid="{00000000-0005-0000-0000-0000F84A0000}"/>
    <cellStyle name="Note 2 2 4 6 3" xfId="25383" xr:uid="{00000000-0005-0000-0000-0000F94A0000}"/>
    <cellStyle name="Note 2 2 4 6 4" xfId="26900" xr:uid="{00000000-0005-0000-0000-0000FA4A0000}"/>
    <cellStyle name="Note 2 2 4 7" xfId="24203" xr:uid="{00000000-0005-0000-0000-0000FB4A0000}"/>
    <cellStyle name="Note 2 2 5" xfId="1637" xr:uid="{00000000-0005-0000-0000-0000FC4A0000}"/>
    <cellStyle name="Note 2 2 5 2" xfId="3949" xr:uid="{00000000-0005-0000-0000-0000FD4A0000}"/>
    <cellStyle name="Note 2 2 5 2 2" xfId="8900" xr:uid="{00000000-0005-0000-0000-0000FE4A0000}"/>
    <cellStyle name="Note 2 2 5 2 2 2" xfId="19797" xr:uid="{00000000-0005-0000-0000-0000FF4A0000}"/>
    <cellStyle name="Note 2 2 5 2 2 3" xfId="24638" xr:uid="{00000000-0005-0000-0000-0000004B0000}"/>
    <cellStyle name="Note 2 2 5 2 2 4" xfId="26314" xr:uid="{00000000-0005-0000-0000-0000014B0000}"/>
    <cellStyle name="Note 2 2 5 2 3" xfId="10765" xr:uid="{00000000-0005-0000-0000-0000024B0000}"/>
    <cellStyle name="Note 2 2 5 2 3 2" xfId="21662" xr:uid="{00000000-0005-0000-0000-0000034B0000}"/>
    <cellStyle name="Note 2 2 5 2 3 3" xfId="25792" xr:uid="{00000000-0005-0000-0000-0000044B0000}"/>
    <cellStyle name="Note 2 2 5 2 3 4" xfId="27309" xr:uid="{00000000-0005-0000-0000-0000054B0000}"/>
    <cellStyle name="Note 2 2 5 2 4" xfId="14846" xr:uid="{00000000-0005-0000-0000-0000064B0000}"/>
    <cellStyle name="Note 2 2 5 2 5" xfId="22951" xr:uid="{00000000-0005-0000-0000-0000074B0000}"/>
    <cellStyle name="Note 2 2 5 2 6" xfId="24316" xr:uid="{00000000-0005-0000-0000-0000084B0000}"/>
    <cellStyle name="Note 2 2 5 3" xfId="5145" xr:uid="{00000000-0005-0000-0000-0000094B0000}"/>
    <cellStyle name="Note 2 2 5 3 2" xfId="10096" xr:uid="{00000000-0005-0000-0000-00000A4B0000}"/>
    <cellStyle name="Note 2 2 5 3 2 2" xfId="20993" xr:uid="{00000000-0005-0000-0000-00000B4B0000}"/>
    <cellStyle name="Note 2 2 5 3 2 3" xfId="25123" xr:uid="{00000000-0005-0000-0000-00000C4B0000}"/>
    <cellStyle name="Note 2 2 5 3 2 4" xfId="26640" xr:uid="{00000000-0005-0000-0000-00000D4B0000}"/>
    <cellStyle name="Note 2 2 5 3 3" xfId="11091" xr:uid="{00000000-0005-0000-0000-00000E4B0000}"/>
    <cellStyle name="Note 2 2 5 3 3 2" xfId="21988" xr:uid="{00000000-0005-0000-0000-00000F4B0000}"/>
    <cellStyle name="Note 2 2 5 3 3 3" xfId="26118" xr:uid="{00000000-0005-0000-0000-0000104B0000}"/>
    <cellStyle name="Note 2 2 5 3 3 4" xfId="27635" xr:uid="{00000000-0005-0000-0000-0000114B0000}"/>
    <cellStyle name="Note 2 2 5 3 4" xfId="16042" xr:uid="{00000000-0005-0000-0000-0000124B0000}"/>
    <cellStyle name="Note 2 2 5 3 5" xfId="23434" xr:uid="{00000000-0005-0000-0000-0000134B0000}"/>
    <cellStyle name="Note 2 2 5 3 6" xfId="22505" xr:uid="{00000000-0005-0000-0000-0000144B0000}"/>
    <cellStyle name="Note 2 2 5 4" xfId="6588" xr:uid="{00000000-0005-0000-0000-0000154B0000}"/>
    <cellStyle name="Note 2 2 5 4 2" xfId="17485" xr:uid="{00000000-0005-0000-0000-0000164B0000}"/>
    <cellStyle name="Note 2 2 5 4 3" xfId="23966" xr:uid="{00000000-0005-0000-0000-0000174B0000}"/>
    <cellStyle name="Note 2 2 5 4 4" xfId="22211" xr:uid="{00000000-0005-0000-0000-0000184B0000}"/>
    <cellStyle name="Note 2 2 5 5" xfId="10423" xr:uid="{00000000-0005-0000-0000-0000194B0000}"/>
    <cellStyle name="Note 2 2 5 5 2" xfId="21320" xr:uid="{00000000-0005-0000-0000-00001A4B0000}"/>
    <cellStyle name="Note 2 2 5 5 3" xfId="25450" xr:uid="{00000000-0005-0000-0000-00001B4B0000}"/>
    <cellStyle name="Note 2 2 5 5 4" xfId="26967" xr:uid="{00000000-0005-0000-0000-00001C4B0000}"/>
    <cellStyle name="Note 2 2 5 6" xfId="22319" xr:uid="{00000000-0005-0000-0000-00001D4B0000}"/>
    <cellStyle name="Note 2 2 5 7" xfId="22996" xr:uid="{00000000-0005-0000-0000-00001E4B0000}"/>
    <cellStyle name="Note 2 2 6" xfId="2756" xr:uid="{00000000-0005-0000-0000-00001F4B0000}"/>
    <cellStyle name="Note 2 2 6 2" xfId="7707" xr:uid="{00000000-0005-0000-0000-0000204B0000}"/>
    <cellStyle name="Note 2 2 6 2 2" xfId="18604" xr:uid="{00000000-0005-0000-0000-0000214B0000}"/>
    <cellStyle name="Note 2 2 6 2 3" xfId="24270" xr:uid="{00000000-0005-0000-0000-0000224B0000}"/>
    <cellStyle name="Note 2 2 6 2 4" xfId="24092" xr:uid="{00000000-0005-0000-0000-0000234B0000}"/>
    <cellStyle name="Note 2 2 6 3" xfId="10557" xr:uid="{00000000-0005-0000-0000-0000244B0000}"/>
    <cellStyle name="Note 2 2 6 3 2" xfId="21454" xr:uid="{00000000-0005-0000-0000-0000254B0000}"/>
    <cellStyle name="Note 2 2 6 3 3" xfId="25584" xr:uid="{00000000-0005-0000-0000-0000264B0000}"/>
    <cellStyle name="Note 2 2 6 3 4" xfId="27101" xr:uid="{00000000-0005-0000-0000-0000274B0000}"/>
    <cellStyle name="Note 2 2 6 4" xfId="13653" xr:uid="{00000000-0005-0000-0000-0000284B0000}"/>
    <cellStyle name="Note 2 2 6 5" xfId="22570" xr:uid="{00000000-0005-0000-0000-0000294B0000}"/>
    <cellStyle name="Note 2 2 6 6" xfId="24769" xr:uid="{00000000-0005-0000-0000-00002A4B0000}"/>
    <cellStyle name="Note 2 2 7" xfId="4938" xr:uid="{00000000-0005-0000-0000-00002B4B0000}"/>
    <cellStyle name="Note 2 2 7 2" xfId="9889" xr:uid="{00000000-0005-0000-0000-00002C4B0000}"/>
    <cellStyle name="Note 2 2 7 2 2" xfId="20786" xr:uid="{00000000-0005-0000-0000-00002D4B0000}"/>
    <cellStyle name="Note 2 2 7 2 3" xfId="24916" xr:uid="{00000000-0005-0000-0000-00002E4B0000}"/>
    <cellStyle name="Note 2 2 7 2 4" xfId="26433" xr:uid="{00000000-0005-0000-0000-00002F4B0000}"/>
    <cellStyle name="Note 2 2 7 3" xfId="10884" xr:uid="{00000000-0005-0000-0000-0000304B0000}"/>
    <cellStyle name="Note 2 2 7 3 2" xfId="21781" xr:uid="{00000000-0005-0000-0000-0000314B0000}"/>
    <cellStyle name="Note 2 2 7 3 3" xfId="25911" xr:uid="{00000000-0005-0000-0000-0000324B0000}"/>
    <cellStyle name="Note 2 2 7 3 4" xfId="27428" xr:uid="{00000000-0005-0000-0000-0000334B0000}"/>
    <cellStyle name="Note 2 2 7 4" xfId="15835" xr:uid="{00000000-0005-0000-0000-0000344B0000}"/>
    <cellStyle name="Note 2 2 7 5" xfId="23227" xr:uid="{00000000-0005-0000-0000-0000354B0000}"/>
    <cellStyle name="Note 2 2 7 6" xfId="23944" xr:uid="{00000000-0005-0000-0000-0000364B0000}"/>
    <cellStyle name="Note 2 2 8" xfId="5395" xr:uid="{00000000-0005-0000-0000-0000374B0000}"/>
    <cellStyle name="Note 2 2 8 2" xfId="16292" xr:uid="{00000000-0005-0000-0000-0000384B0000}"/>
    <cellStyle name="Note 2 2 8 3" xfId="23589" xr:uid="{00000000-0005-0000-0000-0000394B0000}"/>
    <cellStyle name="Note 2 2 8 4" xfId="22095" xr:uid="{00000000-0005-0000-0000-00003A4B0000}"/>
    <cellStyle name="Note 2 2 9" xfId="10216" xr:uid="{00000000-0005-0000-0000-00003B4B0000}"/>
    <cellStyle name="Note 2 2 9 2" xfId="21113" xr:uid="{00000000-0005-0000-0000-00003C4B0000}"/>
    <cellStyle name="Note 2 2 9 3" xfId="25243" xr:uid="{00000000-0005-0000-0000-00003D4B0000}"/>
    <cellStyle name="Note 2 2 9 4" xfId="26760" xr:uid="{00000000-0005-0000-0000-00003E4B0000}"/>
    <cellStyle name="Note 2 3" xfId="614" xr:uid="{00000000-0005-0000-0000-00003F4B0000}"/>
    <cellStyle name="Note 2 3 2" xfId="1146" xr:uid="{00000000-0005-0000-0000-0000404B0000}"/>
    <cellStyle name="Note 2 3 2 2" xfId="2303" xr:uid="{00000000-0005-0000-0000-0000414B0000}"/>
    <cellStyle name="Note 2 3 2 2 2" xfId="4615" xr:uid="{00000000-0005-0000-0000-0000424B0000}"/>
    <cellStyle name="Note 2 3 2 2 2 2" xfId="9566" xr:uid="{00000000-0005-0000-0000-0000434B0000}"/>
    <cellStyle name="Note 2 3 2 2 2 2 2" xfId="20463" xr:uid="{00000000-0005-0000-0000-0000444B0000}"/>
    <cellStyle name="Note 2 3 2 2 2 2 3" xfId="24796" xr:uid="{00000000-0005-0000-0000-0000454B0000}"/>
    <cellStyle name="Note 2 3 2 2 2 2 4" xfId="26373" xr:uid="{00000000-0005-0000-0000-0000464B0000}"/>
    <cellStyle name="Note 2 3 2 2 2 3" xfId="10824" xr:uid="{00000000-0005-0000-0000-0000474B0000}"/>
    <cellStyle name="Note 2 3 2 2 2 3 2" xfId="21721" xr:uid="{00000000-0005-0000-0000-0000484B0000}"/>
    <cellStyle name="Note 2 3 2 2 2 3 3" xfId="25851" xr:uid="{00000000-0005-0000-0000-0000494B0000}"/>
    <cellStyle name="Note 2 3 2 2 2 3 4" xfId="27368" xr:uid="{00000000-0005-0000-0000-00004A4B0000}"/>
    <cellStyle name="Note 2 3 2 2 2 4" xfId="15512" xr:uid="{00000000-0005-0000-0000-00004B4B0000}"/>
    <cellStyle name="Note 2 3 2 2 2 5" xfId="23109" xr:uid="{00000000-0005-0000-0000-00004C4B0000}"/>
    <cellStyle name="Note 2 3 2 2 2 6" xfId="23561" xr:uid="{00000000-0005-0000-0000-00004D4B0000}"/>
    <cellStyle name="Note 2 3 2 2 3" xfId="5204" xr:uid="{00000000-0005-0000-0000-00004E4B0000}"/>
    <cellStyle name="Note 2 3 2 2 3 2" xfId="10155" xr:uid="{00000000-0005-0000-0000-00004F4B0000}"/>
    <cellStyle name="Note 2 3 2 2 3 2 2" xfId="21052" xr:uid="{00000000-0005-0000-0000-0000504B0000}"/>
    <cellStyle name="Note 2 3 2 2 3 2 3" xfId="25182" xr:uid="{00000000-0005-0000-0000-0000514B0000}"/>
    <cellStyle name="Note 2 3 2 2 3 2 4" xfId="26699" xr:uid="{00000000-0005-0000-0000-0000524B0000}"/>
    <cellStyle name="Note 2 3 2 2 3 3" xfId="11150" xr:uid="{00000000-0005-0000-0000-0000534B0000}"/>
    <cellStyle name="Note 2 3 2 2 3 3 2" xfId="22047" xr:uid="{00000000-0005-0000-0000-0000544B0000}"/>
    <cellStyle name="Note 2 3 2 2 3 3 3" xfId="26177" xr:uid="{00000000-0005-0000-0000-0000554B0000}"/>
    <cellStyle name="Note 2 3 2 2 3 3 4" xfId="27694" xr:uid="{00000000-0005-0000-0000-0000564B0000}"/>
    <cellStyle name="Note 2 3 2 2 3 4" xfId="16101" xr:uid="{00000000-0005-0000-0000-0000574B0000}"/>
    <cellStyle name="Note 2 3 2 2 3 5" xfId="23493" xr:uid="{00000000-0005-0000-0000-0000584B0000}"/>
    <cellStyle name="Note 2 3 2 2 3 6" xfId="24858" xr:uid="{00000000-0005-0000-0000-0000594B0000}"/>
    <cellStyle name="Note 2 3 2 2 4" xfId="7254" xr:uid="{00000000-0005-0000-0000-00005A4B0000}"/>
    <cellStyle name="Note 2 3 2 2 4 2" xfId="18151" xr:uid="{00000000-0005-0000-0000-00005B4B0000}"/>
    <cellStyle name="Note 2 3 2 2 4 3" xfId="24122" xr:uid="{00000000-0005-0000-0000-00005C4B0000}"/>
    <cellStyle name="Note 2 3 2 2 4 4" xfId="22366" xr:uid="{00000000-0005-0000-0000-00005D4B0000}"/>
    <cellStyle name="Note 2 3 2 2 5" xfId="10482" xr:uid="{00000000-0005-0000-0000-00005E4B0000}"/>
    <cellStyle name="Note 2 3 2 2 5 2" xfId="21379" xr:uid="{00000000-0005-0000-0000-00005F4B0000}"/>
    <cellStyle name="Note 2 3 2 2 5 3" xfId="25509" xr:uid="{00000000-0005-0000-0000-0000604B0000}"/>
    <cellStyle name="Note 2 3 2 2 5 4" xfId="27026" xr:uid="{00000000-0005-0000-0000-0000614B0000}"/>
    <cellStyle name="Note 2 3 2 2 6" xfId="22435" xr:uid="{00000000-0005-0000-0000-0000624B0000}"/>
    <cellStyle name="Note 2 3 2 2 7" xfId="22746" xr:uid="{00000000-0005-0000-0000-0000634B0000}"/>
    <cellStyle name="Note 2 3 2 3" xfId="3470" xr:uid="{00000000-0005-0000-0000-0000644B0000}"/>
    <cellStyle name="Note 2 3 2 3 2" xfId="8421" xr:uid="{00000000-0005-0000-0000-0000654B0000}"/>
    <cellStyle name="Note 2 3 2 3 2 2" xfId="19318" xr:uid="{00000000-0005-0000-0000-0000664B0000}"/>
    <cellStyle name="Note 2 3 2 3 2 3" xfId="24474" xr:uid="{00000000-0005-0000-0000-0000674B0000}"/>
    <cellStyle name="Note 2 3 2 3 2 4" xfId="12794" xr:uid="{00000000-0005-0000-0000-0000684B0000}"/>
    <cellStyle name="Note 2 3 2 3 3" xfId="10664" xr:uid="{00000000-0005-0000-0000-0000694B0000}"/>
    <cellStyle name="Note 2 3 2 3 3 2" xfId="21561" xr:uid="{00000000-0005-0000-0000-00006A4B0000}"/>
    <cellStyle name="Note 2 3 2 3 3 3" xfId="25691" xr:uid="{00000000-0005-0000-0000-00006B4B0000}"/>
    <cellStyle name="Note 2 3 2 3 3 4" xfId="27208" xr:uid="{00000000-0005-0000-0000-00006C4B0000}"/>
    <cellStyle name="Note 2 3 2 3 4" xfId="14367" xr:uid="{00000000-0005-0000-0000-00006D4B0000}"/>
    <cellStyle name="Note 2 3 2 3 5" xfId="22782" xr:uid="{00000000-0005-0000-0000-00006E4B0000}"/>
    <cellStyle name="Note 2 3 2 3 6" xfId="23003" xr:uid="{00000000-0005-0000-0000-00006F4B0000}"/>
    <cellStyle name="Note 2 3 2 4" xfId="5045" xr:uid="{00000000-0005-0000-0000-0000704B0000}"/>
    <cellStyle name="Note 2 3 2 4 2" xfId="9996" xr:uid="{00000000-0005-0000-0000-0000714B0000}"/>
    <cellStyle name="Note 2 3 2 4 2 2" xfId="20893" xr:uid="{00000000-0005-0000-0000-0000724B0000}"/>
    <cellStyle name="Note 2 3 2 4 2 3" xfId="25023" xr:uid="{00000000-0005-0000-0000-0000734B0000}"/>
    <cellStyle name="Note 2 3 2 4 2 4" xfId="26540" xr:uid="{00000000-0005-0000-0000-0000744B0000}"/>
    <cellStyle name="Note 2 3 2 4 3" xfId="10991" xr:uid="{00000000-0005-0000-0000-0000754B0000}"/>
    <cellStyle name="Note 2 3 2 4 3 2" xfId="21888" xr:uid="{00000000-0005-0000-0000-0000764B0000}"/>
    <cellStyle name="Note 2 3 2 4 3 3" xfId="26018" xr:uid="{00000000-0005-0000-0000-0000774B0000}"/>
    <cellStyle name="Note 2 3 2 4 3 4" xfId="27535" xr:uid="{00000000-0005-0000-0000-0000784B0000}"/>
    <cellStyle name="Note 2 3 2 4 4" xfId="15942" xr:uid="{00000000-0005-0000-0000-0000794B0000}"/>
    <cellStyle name="Note 2 3 2 4 5" xfId="23334" xr:uid="{00000000-0005-0000-0000-00007A4B0000}"/>
    <cellStyle name="Note 2 3 2 4 6" xfId="24365" xr:uid="{00000000-0005-0000-0000-00007B4B0000}"/>
    <cellStyle name="Note 2 3 2 5" xfId="6109" xr:uid="{00000000-0005-0000-0000-00007C4B0000}"/>
    <cellStyle name="Note 2 3 2 5 2" xfId="17006" xr:uid="{00000000-0005-0000-0000-00007D4B0000}"/>
    <cellStyle name="Note 2 3 2 5 3" xfId="23797" xr:uid="{00000000-0005-0000-0000-00007E4B0000}"/>
    <cellStyle name="Note 2 3 2 5 4" xfId="23024" xr:uid="{00000000-0005-0000-0000-00007F4B0000}"/>
    <cellStyle name="Note 2 3 2 6" xfId="10323" xr:uid="{00000000-0005-0000-0000-0000804B0000}"/>
    <cellStyle name="Note 2 3 2 6 2" xfId="21220" xr:uid="{00000000-0005-0000-0000-0000814B0000}"/>
    <cellStyle name="Note 2 3 2 6 3" xfId="25350" xr:uid="{00000000-0005-0000-0000-0000824B0000}"/>
    <cellStyle name="Note 2 3 2 6 4" xfId="26867" xr:uid="{00000000-0005-0000-0000-0000834B0000}"/>
    <cellStyle name="Note 2 3 2 7" xfId="22508" xr:uid="{00000000-0005-0000-0000-0000844B0000}"/>
    <cellStyle name="Note 2 3 3" xfId="1386" xr:uid="{00000000-0005-0000-0000-0000854B0000}"/>
    <cellStyle name="Note 2 3 3 2" xfId="2519" xr:uid="{00000000-0005-0000-0000-0000864B0000}"/>
    <cellStyle name="Note 2 3 3 2 2" xfId="4831" xr:uid="{00000000-0005-0000-0000-0000874B0000}"/>
    <cellStyle name="Note 2 3 3 2 2 2" xfId="9782" xr:uid="{00000000-0005-0000-0000-0000884B0000}"/>
    <cellStyle name="Note 2 3 3 2 2 2 2" xfId="20679" xr:uid="{00000000-0005-0000-0000-0000894B0000}"/>
    <cellStyle name="Note 2 3 3 2 2 2 3" xfId="24867" xr:uid="{00000000-0005-0000-0000-00008A4B0000}"/>
    <cellStyle name="Note 2 3 3 2 2 2 4" xfId="26409" xr:uid="{00000000-0005-0000-0000-00008B4B0000}"/>
    <cellStyle name="Note 2 3 3 2 2 3" xfId="10860" xr:uid="{00000000-0005-0000-0000-00008C4B0000}"/>
    <cellStyle name="Note 2 3 3 2 2 3 2" xfId="21757" xr:uid="{00000000-0005-0000-0000-00008D4B0000}"/>
    <cellStyle name="Note 2 3 3 2 2 3 3" xfId="25887" xr:uid="{00000000-0005-0000-0000-00008E4B0000}"/>
    <cellStyle name="Note 2 3 3 2 2 3 4" xfId="27404" xr:uid="{00000000-0005-0000-0000-00008F4B0000}"/>
    <cellStyle name="Note 2 3 3 2 2 4" xfId="15728" xr:uid="{00000000-0005-0000-0000-0000904B0000}"/>
    <cellStyle name="Note 2 3 3 2 2 5" xfId="23181" xr:uid="{00000000-0005-0000-0000-0000914B0000}"/>
    <cellStyle name="Note 2 3 3 2 2 6" xfId="24467" xr:uid="{00000000-0005-0000-0000-0000924B0000}"/>
    <cellStyle name="Note 2 3 3 2 3" xfId="5240" xr:uid="{00000000-0005-0000-0000-0000934B0000}"/>
    <cellStyle name="Note 2 3 3 2 3 2" xfId="10191" xr:uid="{00000000-0005-0000-0000-0000944B0000}"/>
    <cellStyle name="Note 2 3 3 2 3 2 2" xfId="21088" xr:uid="{00000000-0005-0000-0000-0000954B0000}"/>
    <cellStyle name="Note 2 3 3 2 3 2 3" xfId="25218" xr:uid="{00000000-0005-0000-0000-0000964B0000}"/>
    <cellStyle name="Note 2 3 3 2 3 2 4" xfId="26735" xr:uid="{00000000-0005-0000-0000-0000974B0000}"/>
    <cellStyle name="Note 2 3 3 2 3 3" xfId="11186" xr:uid="{00000000-0005-0000-0000-0000984B0000}"/>
    <cellStyle name="Note 2 3 3 2 3 3 2" xfId="22083" xr:uid="{00000000-0005-0000-0000-0000994B0000}"/>
    <cellStyle name="Note 2 3 3 2 3 3 3" xfId="26213" xr:uid="{00000000-0005-0000-0000-00009A4B0000}"/>
    <cellStyle name="Note 2 3 3 2 3 3 4" xfId="27730" xr:uid="{00000000-0005-0000-0000-00009B4B0000}"/>
    <cellStyle name="Note 2 3 3 2 3 4" xfId="16137" xr:uid="{00000000-0005-0000-0000-00009C4B0000}"/>
    <cellStyle name="Note 2 3 3 2 3 5" xfId="23529" xr:uid="{00000000-0005-0000-0000-00009D4B0000}"/>
    <cellStyle name="Note 2 3 3 2 3 6" xfId="23198" xr:uid="{00000000-0005-0000-0000-00009E4B0000}"/>
    <cellStyle name="Note 2 3 3 2 4" xfId="7470" xr:uid="{00000000-0005-0000-0000-00009F4B0000}"/>
    <cellStyle name="Note 2 3 3 2 4 2" xfId="18367" xr:uid="{00000000-0005-0000-0000-0000A04B0000}"/>
    <cellStyle name="Note 2 3 3 2 4 3" xfId="24189" xr:uid="{00000000-0005-0000-0000-0000A14B0000}"/>
    <cellStyle name="Note 2 3 3 2 4 4" xfId="23914" xr:uid="{00000000-0005-0000-0000-0000A24B0000}"/>
    <cellStyle name="Note 2 3 3 2 5" xfId="10518" xr:uid="{00000000-0005-0000-0000-0000A34B0000}"/>
    <cellStyle name="Note 2 3 3 2 5 2" xfId="21415" xr:uid="{00000000-0005-0000-0000-0000A44B0000}"/>
    <cellStyle name="Note 2 3 3 2 5 3" xfId="25545" xr:uid="{00000000-0005-0000-0000-0000A54B0000}"/>
    <cellStyle name="Note 2 3 3 2 5 4" xfId="27062" xr:uid="{00000000-0005-0000-0000-0000A64B0000}"/>
    <cellStyle name="Note 2 3 3 2 6" xfId="22484" xr:uid="{00000000-0005-0000-0000-0000A74B0000}"/>
    <cellStyle name="Note 2 3 3 2 7" xfId="11225" xr:uid="{00000000-0005-0000-0000-0000A84B0000}"/>
    <cellStyle name="Note 2 3 3 3" xfId="3710" xr:uid="{00000000-0005-0000-0000-0000A94B0000}"/>
    <cellStyle name="Note 2 3 3 3 2" xfId="8661" xr:uid="{00000000-0005-0000-0000-0000AA4B0000}"/>
    <cellStyle name="Note 2 3 3 3 2 2" xfId="19558" xr:uid="{00000000-0005-0000-0000-0000AB4B0000}"/>
    <cellStyle name="Note 2 3 3 3 2 3" xfId="24555" xr:uid="{00000000-0005-0000-0000-0000AC4B0000}"/>
    <cellStyle name="Note 2 3 3 3 2 4" xfId="26273" xr:uid="{00000000-0005-0000-0000-0000AD4B0000}"/>
    <cellStyle name="Note 2 3 3 3 3" xfId="10724" xr:uid="{00000000-0005-0000-0000-0000AE4B0000}"/>
    <cellStyle name="Note 2 3 3 3 3 2" xfId="21621" xr:uid="{00000000-0005-0000-0000-0000AF4B0000}"/>
    <cellStyle name="Note 2 3 3 3 3 3" xfId="25751" xr:uid="{00000000-0005-0000-0000-0000B04B0000}"/>
    <cellStyle name="Note 2 3 3 3 3 4" xfId="27268" xr:uid="{00000000-0005-0000-0000-0000B14B0000}"/>
    <cellStyle name="Note 2 3 3 3 4" xfId="14607" xr:uid="{00000000-0005-0000-0000-0000B24B0000}"/>
    <cellStyle name="Note 2 3 3 3 5" xfId="22867" xr:uid="{00000000-0005-0000-0000-0000B34B0000}"/>
    <cellStyle name="Note 2 3 3 3 6" xfId="24644" xr:uid="{00000000-0005-0000-0000-0000B44B0000}"/>
    <cellStyle name="Note 2 3 3 4" xfId="5105" xr:uid="{00000000-0005-0000-0000-0000B54B0000}"/>
    <cellStyle name="Note 2 3 3 4 2" xfId="10056" xr:uid="{00000000-0005-0000-0000-0000B64B0000}"/>
    <cellStyle name="Note 2 3 3 4 2 2" xfId="20953" xr:uid="{00000000-0005-0000-0000-0000B74B0000}"/>
    <cellStyle name="Note 2 3 3 4 2 3" xfId="25083" xr:uid="{00000000-0005-0000-0000-0000B84B0000}"/>
    <cellStyle name="Note 2 3 3 4 2 4" xfId="26600" xr:uid="{00000000-0005-0000-0000-0000B94B0000}"/>
    <cellStyle name="Note 2 3 3 4 3" xfId="11051" xr:uid="{00000000-0005-0000-0000-0000BA4B0000}"/>
    <cellStyle name="Note 2 3 3 4 3 2" xfId="21948" xr:uid="{00000000-0005-0000-0000-0000BB4B0000}"/>
    <cellStyle name="Note 2 3 3 4 3 3" xfId="26078" xr:uid="{00000000-0005-0000-0000-0000BC4B0000}"/>
    <cellStyle name="Note 2 3 3 4 3 4" xfId="27595" xr:uid="{00000000-0005-0000-0000-0000BD4B0000}"/>
    <cellStyle name="Note 2 3 3 4 4" xfId="16002" xr:uid="{00000000-0005-0000-0000-0000BE4B0000}"/>
    <cellStyle name="Note 2 3 3 4 5" xfId="23394" xr:uid="{00000000-0005-0000-0000-0000BF4B0000}"/>
    <cellStyle name="Note 2 3 3 4 6" xfId="24450" xr:uid="{00000000-0005-0000-0000-0000C04B0000}"/>
    <cellStyle name="Note 2 3 3 5" xfId="6349" xr:uid="{00000000-0005-0000-0000-0000C14B0000}"/>
    <cellStyle name="Note 2 3 3 5 2" xfId="17246" xr:uid="{00000000-0005-0000-0000-0000C24B0000}"/>
    <cellStyle name="Note 2 3 3 5 3" xfId="23880" xr:uid="{00000000-0005-0000-0000-0000C34B0000}"/>
    <cellStyle name="Note 2 3 3 5 4" xfId="22904" xr:uid="{00000000-0005-0000-0000-0000C44B0000}"/>
    <cellStyle name="Note 2 3 3 6" xfId="10383" xr:uid="{00000000-0005-0000-0000-0000C54B0000}"/>
    <cellStyle name="Note 2 3 3 6 2" xfId="21280" xr:uid="{00000000-0005-0000-0000-0000C64B0000}"/>
    <cellStyle name="Note 2 3 3 6 3" xfId="25410" xr:uid="{00000000-0005-0000-0000-0000C74B0000}"/>
    <cellStyle name="Note 2 3 3 6 4" xfId="26927" xr:uid="{00000000-0005-0000-0000-0000C84B0000}"/>
    <cellStyle name="Note 2 3 3 7" xfId="22492" xr:uid="{00000000-0005-0000-0000-0000C94B0000}"/>
    <cellStyle name="Note 2 3 4" xfId="1795" xr:uid="{00000000-0005-0000-0000-0000CA4B0000}"/>
    <cellStyle name="Note 2 3 4 2" xfId="4107" xr:uid="{00000000-0005-0000-0000-0000CB4B0000}"/>
    <cellStyle name="Note 2 3 4 2 2" xfId="9058" xr:uid="{00000000-0005-0000-0000-0000CC4B0000}"/>
    <cellStyle name="Note 2 3 4 2 2 2" xfId="19955" xr:uid="{00000000-0005-0000-0000-0000CD4B0000}"/>
    <cellStyle name="Note 2 3 4 2 2 3" xfId="24671" xr:uid="{00000000-0005-0000-0000-0000CE4B0000}"/>
    <cellStyle name="Note 2 3 4 2 2 4" xfId="26317" xr:uid="{00000000-0005-0000-0000-0000CF4B0000}"/>
    <cellStyle name="Note 2 3 4 2 3" xfId="10768" xr:uid="{00000000-0005-0000-0000-0000D04B0000}"/>
    <cellStyle name="Note 2 3 4 2 3 2" xfId="21665" xr:uid="{00000000-0005-0000-0000-0000D14B0000}"/>
    <cellStyle name="Note 2 3 4 2 3 3" xfId="25795" xr:uid="{00000000-0005-0000-0000-0000D24B0000}"/>
    <cellStyle name="Note 2 3 4 2 3 4" xfId="27312" xr:uid="{00000000-0005-0000-0000-0000D34B0000}"/>
    <cellStyle name="Note 2 3 4 2 4" xfId="15004" xr:uid="{00000000-0005-0000-0000-0000D44B0000}"/>
    <cellStyle name="Note 2 3 4 2 5" xfId="22986" xr:uid="{00000000-0005-0000-0000-0000D54B0000}"/>
    <cellStyle name="Note 2 3 4 2 6" xfId="23681" xr:uid="{00000000-0005-0000-0000-0000D64B0000}"/>
    <cellStyle name="Note 2 3 4 3" xfId="5148" xr:uid="{00000000-0005-0000-0000-0000D74B0000}"/>
    <cellStyle name="Note 2 3 4 3 2" xfId="10099" xr:uid="{00000000-0005-0000-0000-0000D84B0000}"/>
    <cellStyle name="Note 2 3 4 3 2 2" xfId="20996" xr:uid="{00000000-0005-0000-0000-0000D94B0000}"/>
    <cellStyle name="Note 2 3 4 3 2 3" xfId="25126" xr:uid="{00000000-0005-0000-0000-0000DA4B0000}"/>
    <cellStyle name="Note 2 3 4 3 2 4" xfId="26643" xr:uid="{00000000-0005-0000-0000-0000DB4B0000}"/>
    <cellStyle name="Note 2 3 4 3 3" xfId="11094" xr:uid="{00000000-0005-0000-0000-0000DC4B0000}"/>
    <cellStyle name="Note 2 3 4 3 3 2" xfId="21991" xr:uid="{00000000-0005-0000-0000-0000DD4B0000}"/>
    <cellStyle name="Note 2 3 4 3 3 3" xfId="26121" xr:uid="{00000000-0005-0000-0000-0000DE4B0000}"/>
    <cellStyle name="Note 2 3 4 3 3 4" xfId="27638" xr:uid="{00000000-0005-0000-0000-0000DF4B0000}"/>
    <cellStyle name="Note 2 3 4 3 4" xfId="16045" xr:uid="{00000000-0005-0000-0000-0000E04B0000}"/>
    <cellStyle name="Note 2 3 4 3 5" xfId="23437" xr:uid="{00000000-0005-0000-0000-0000E14B0000}"/>
    <cellStyle name="Note 2 3 4 3 6" xfId="24266" xr:uid="{00000000-0005-0000-0000-0000E24B0000}"/>
    <cellStyle name="Note 2 3 4 4" xfId="6746" xr:uid="{00000000-0005-0000-0000-0000E34B0000}"/>
    <cellStyle name="Note 2 3 4 4 2" xfId="17643" xr:uid="{00000000-0005-0000-0000-0000E44B0000}"/>
    <cellStyle name="Note 2 3 4 4 3" xfId="23993" xr:uid="{00000000-0005-0000-0000-0000E54B0000}"/>
    <cellStyle name="Note 2 3 4 4 4" xfId="24150" xr:uid="{00000000-0005-0000-0000-0000E64B0000}"/>
    <cellStyle name="Note 2 3 4 5" xfId="10426" xr:uid="{00000000-0005-0000-0000-0000E74B0000}"/>
    <cellStyle name="Note 2 3 4 5 2" xfId="21323" xr:uid="{00000000-0005-0000-0000-0000E84B0000}"/>
    <cellStyle name="Note 2 3 4 5 3" xfId="25453" xr:uid="{00000000-0005-0000-0000-0000E94B0000}"/>
    <cellStyle name="Note 2 3 4 5 4" xfId="26970" xr:uid="{00000000-0005-0000-0000-0000EA4B0000}"/>
    <cellStyle name="Note 2 3 4 6" xfId="22354" xr:uid="{00000000-0005-0000-0000-0000EB4B0000}"/>
    <cellStyle name="Note 2 3 4 7" xfId="22667" xr:uid="{00000000-0005-0000-0000-0000EC4B0000}"/>
    <cellStyle name="Note 2 3 5" xfId="2938" xr:uid="{00000000-0005-0000-0000-0000ED4B0000}"/>
    <cellStyle name="Note 2 3 5 2" xfId="7889" xr:uid="{00000000-0005-0000-0000-0000EE4B0000}"/>
    <cellStyle name="Note 2 3 5 2 2" xfId="18786" xr:uid="{00000000-0005-0000-0000-0000EF4B0000}"/>
    <cellStyle name="Note 2 3 5 2 3" xfId="24320" xr:uid="{00000000-0005-0000-0000-0000F04B0000}"/>
    <cellStyle name="Note 2 3 5 2 4" xfId="22124" xr:uid="{00000000-0005-0000-0000-0000F14B0000}"/>
    <cellStyle name="Note 2 3 5 3" xfId="10584" xr:uid="{00000000-0005-0000-0000-0000F24B0000}"/>
    <cellStyle name="Note 2 3 5 3 2" xfId="21481" xr:uid="{00000000-0005-0000-0000-0000F34B0000}"/>
    <cellStyle name="Note 2 3 5 3 3" xfId="25611" xr:uid="{00000000-0005-0000-0000-0000F44B0000}"/>
    <cellStyle name="Note 2 3 5 3 4" xfId="27128" xr:uid="{00000000-0005-0000-0000-0000F54B0000}"/>
    <cellStyle name="Note 2 3 5 4" xfId="13835" xr:uid="{00000000-0005-0000-0000-0000F64B0000}"/>
    <cellStyle name="Note 2 3 5 5" xfId="22624" xr:uid="{00000000-0005-0000-0000-0000F74B0000}"/>
    <cellStyle name="Note 2 3 5 6" xfId="23612" xr:uid="{00000000-0005-0000-0000-0000F84B0000}"/>
    <cellStyle name="Note 2 3 6" xfId="4965" xr:uid="{00000000-0005-0000-0000-0000F94B0000}"/>
    <cellStyle name="Note 2 3 6 2" xfId="9916" xr:uid="{00000000-0005-0000-0000-0000FA4B0000}"/>
    <cellStyle name="Note 2 3 6 2 2" xfId="20813" xr:uid="{00000000-0005-0000-0000-0000FB4B0000}"/>
    <cellStyle name="Note 2 3 6 2 3" xfId="24943" xr:uid="{00000000-0005-0000-0000-0000FC4B0000}"/>
    <cellStyle name="Note 2 3 6 2 4" xfId="26460" xr:uid="{00000000-0005-0000-0000-0000FD4B0000}"/>
    <cellStyle name="Note 2 3 6 3" xfId="10911" xr:uid="{00000000-0005-0000-0000-0000FE4B0000}"/>
    <cellStyle name="Note 2 3 6 3 2" xfId="21808" xr:uid="{00000000-0005-0000-0000-0000FF4B0000}"/>
    <cellStyle name="Note 2 3 6 3 3" xfId="25938" xr:uid="{00000000-0005-0000-0000-0000004C0000}"/>
    <cellStyle name="Note 2 3 6 3 4" xfId="27455" xr:uid="{00000000-0005-0000-0000-0000014C0000}"/>
    <cellStyle name="Note 2 3 6 4" xfId="15862" xr:uid="{00000000-0005-0000-0000-0000024C0000}"/>
    <cellStyle name="Note 2 3 6 5" xfId="23254" xr:uid="{00000000-0005-0000-0000-0000034C0000}"/>
    <cellStyle name="Note 2 3 6 6" xfId="22129" xr:uid="{00000000-0005-0000-0000-0000044C0000}"/>
    <cellStyle name="Note 2 3 7" xfId="5577" xr:uid="{00000000-0005-0000-0000-0000054C0000}"/>
    <cellStyle name="Note 2 3 7 2" xfId="16474" xr:uid="{00000000-0005-0000-0000-0000064C0000}"/>
    <cellStyle name="Note 2 3 7 3" xfId="23640" xr:uid="{00000000-0005-0000-0000-0000074C0000}"/>
    <cellStyle name="Note 2 3 7 4" xfId="23669" xr:uid="{00000000-0005-0000-0000-0000084C0000}"/>
    <cellStyle name="Note 2 3 8" xfId="10243" xr:uid="{00000000-0005-0000-0000-0000094C0000}"/>
    <cellStyle name="Note 2 3 8 2" xfId="21140" xr:uid="{00000000-0005-0000-0000-00000A4C0000}"/>
    <cellStyle name="Note 2 3 8 3" xfId="25270" xr:uid="{00000000-0005-0000-0000-00000B4C0000}"/>
    <cellStyle name="Note 2 3 8 4" xfId="26787" xr:uid="{00000000-0005-0000-0000-00000C4C0000}"/>
    <cellStyle name="Note 2 3 9" xfId="24770" xr:uid="{00000000-0005-0000-0000-00000D4C0000}"/>
    <cellStyle name="Note 2 4" xfId="881" xr:uid="{00000000-0005-0000-0000-00000E4C0000}"/>
    <cellStyle name="Note 2 4 2" xfId="2038" xr:uid="{00000000-0005-0000-0000-00000F4C0000}"/>
    <cellStyle name="Note 2 4 2 2" xfId="4350" xr:uid="{00000000-0005-0000-0000-0000104C0000}"/>
    <cellStyle name="Note 2 4 2 2 2" xfId="9301" xr:uid="{00000000-0005-0000-0000-0000114C0000}"/>
    <cellStyle name="Note 2 4 2 2 2 2" xfId="20198" xr:uid="{00000000-0005-0000-0000-0000124C0000}"/>
    <cellStyle name="Note 2 4 2 2 2 3" xfId="24726" xr:uid="{00000000-0005-0000-0000-0000134C0000}"/>
    <cellStyle name="Note 2 4 2 2 2 4" xfId="26333" xr:uid="{00000000-0005-0000-0000-0000144C0000}"/>
    <cellStyle name="Note 2 4 2 2 3" xfId="10784" xr:uid="{00000000-0005-0000-0000-0000154C0000}"/>
    <cellStyle name="Note 2 4 2 2 3 2" xfId="21681" xr:uid="{00000000-0005-0000-0000-0000164C0000}"/>
    <cellStyle name="Note 2 4 2 2 3 3" xfId="25811" xr:uid="{00000000-0005-0000-0000-0000174C0000}"/>
    <cellStyle name="Note 2 4 2 2 3 4" xfId="27328" xr:uid="{00000000-0005-0000-0000-0000184C0000}"/>
    <cellStyle name="Note 2 4 2 2 4" xfId="15247" xr:uid="{00000000-0005-0000-0000-0000194C0000}"/>
    <cellStyle name="Note 2 4 2 2 5" xfId="23035" xr:uid="{00000000-0005-0000-0000-00001A4C0000}"/>
    <cellStyle name="Note 2 4 2 2 6" xfId="23983" xr:uid="{00000000-0005-0000-0000-00001B4C0000}"/>
    <cellStyle name="Note 2 4 2 3" xfId="5164" xr:uid="{00000000-0005-0000-0000-00001C4C0000}"/>
    <cellStyle name="Note 2 4 2 3 2" xfId="10115" xr:uid="{00000000-0005-0000-0000-00001D4C0000}"/>
    <cellStyle name="Note 2 4 2 3 2 2" xfId="21012" xr:uid="{00000000-0005-0000-0000-00001E4C0000}"/>
    <cellStyle name="Note 2 4 2 3 2 3" xfId="25142" xr:uid="{00000000-0005-0000-0000-00001F4C0000}"/>
    <cellStyle name="Note 2 4 2 3 2 4" xfId="26659" xr:uid="{00000000-0005-0000-0000-0000204C0000}"/>
    <cellStyle name="Note 2 4 2 3 3" xfId="11110" xr:uid="{00000000-0005-0000-0000-0000214C0000}"/>
    <cellStyle name="Note 2 4 2 3 3 2" xfId="22007" xr:uid="{00000000-0005-0000-0000-0000224C0000}"/>
    <cellStyle name="Note 2 4 2 3 3 3" xfId="26137" xr:uid="{00000000-0005-0000-0000-0000234C0000}"/>
    <cellStyle name="Note 2 4 2 3 3 4" xfId="27654" xr:uid="{00000000-0005-0000-0000-0000244C0000}"/>
    <cellStyle name="Note 2 4 2 3 4" xfId="16061" xr:uid="{00000000-0005-0000-0000-0000254C0000}"/>
    <cellStyle name="Note 2 4 2 3 5" xfId="23453" xr:uid="{00000000-0005-0000-0000-0000264C0000}"/>
    <cellStyle name="Note 2 4 2 3 6" xfId="22639" xr:uid="{00000000-0005-0000-0000-0000274C0000}"/>
    <cellStyle name="Note 2 4 2 4" xfId="6989" xr:uid="{00000000-0005-0000-0000-0000284C0000}"/>
    <cellStyle name="Note 2 4 2 4 2" xfId="17886" xr:uid="{00000000-0005-0000-0000-0000294C0000}"/>
    <cellStyle name="Note 2 4 2 4 3" xfId="24047" xr:uid="{00000000-0005-0000-0000-00002A4C0000}"/>
    <cellStyle name="Note 2 4 2 4 4" xfId="23062" xr:uid="{00000000-0005-0000-0000-00002B4C0000}"/>
    <cellStyle name="Note 2 4 2 5" xfId="10442" xr:uid="{00000000-0005-0000-0000-00002C4C0000}"/>
    <cellStyle name="Note 2 4 2 5 2" xfId="21339" xr:uid="{00000000-0005-0000-0000-00002D4C0000}"/>
    <cellStyle name="Note 2 4 2 5 3" xfId="25469" xr:uid="{00000000-0005-0000-0000-00002E4C0000}"/>
    <cellStyle name="Note 2 4 2 5 4" xfId="26986" xr:uid="{00000000-0005-0000-0000-00002F4C0000}"/>
    <cellStyle name="Note 2 4 2 6" xfId="22390" xr:uid="{00000000-0005-0000-0000-0000304C0000}"/>
    <cellStyle name="Note 2 4 2 7" xfId="22593" xr:uid="{00000000-0005-0000-0000-0000314C0000}"/>
    <cellStyle name="Note 2 4 3" xfId="3205" xr:uid="{00000000-0005-0000-0000-0000324C0000}"/>
    <cellStyle name="Note 2 4 3 2" xfId="8156" xr:uid="{00000000-0005-0000-0000-0000334C0000}"/>
    <cellStyle name="Note 2 4 3 2 2" xfId="19053" xr:uid="{00000000-0005-0000-0000-0000344C0000}"/>
    <cellStyle name="Note 2 4 3 2 3" xfId="24395" xr:uid="{00000000-0005-0000-0000-0000354C0000}"/>
    <cellStyle name="Note 2 4 3 2 4" xfId="23744" xr:uid="{00000000-0005-0000-0000-0000364C0000}"/>
    <cellStyle name="Note 2 4 3 3" xfId="10624" xr:uid="{00000000-0005-0000-0000-0000374C0000}"/>
    <cellStyle name="Note 2 4 3 3 2" xfId="21521" xr:uid="{00000000-0005-0000-0000-0000384C0000}"/>
    <cellStyle name="Note 2 4 3 3 3" xfId="25651" xr:uid="{00000000-0005-0000-0000-0000394C0000}"/>
    <cellStyle name="Note 2 4 3 3 4" xfId="27168" xr:uid="{00000000-0005-0000-0000-00003A4C0000}"/>
    <cellStyle name="Note 2 4 3 4" xfId="14102" xr:uid="{00000000-0005-0000-0000-00003B4C0000}"/>
    <cellStyle name="Note 2 4 3 5" xfId="22704" xr:uid="{00000000-0005-0000-0000-00003C4C0000}"/>
    <cellStyle name="Note 2 4 3 6" xfId="24764" xr:uid="{00000000-0005-0000-0000-00003D4C0000}"/>
    <cellStyle name="Note 2 4 4" xfId="5005" xr:uid="{00000000-0005-0000-0000-00003E4C0000}"/>
    <cellStyle name="Note 2 4 4 2" xfId="9956" xr:uid="{00000000-0005-0000-0000-00003F4C0000}"/>
    <cellStyle name="Note 2 4 4 2 2" xfId="20853" xr:uid="{00000000-0005-0000-0000-0000404C0000}"/>
    <cellStyle name="Note 2 4 4 2 3" xfId="24983" xr:uid="{00000000-0005-0000-0000-0000414C0000}"/>
    <cellStyle name="Note 2 4 4 2 4" xfId="26500" xr:uid="{00000000-0005-0000-0000-0000424C0000}"/>
    <cellStyle name="Note 2 4 4 3" xfId="10951" xr:uid="{00000000-0005-0000-0000-0000434C0000}"/>
    <cellStyle name="Note 2 4 4 3 2" xfId="21848" xr:uid="{00000000-0005-0000-0000-0000444C0000}"/>
    <cellStyle name="Note 2 4 4 3 3" xfId="25978" xr:uid="{00000000-0005-0000-0000-0000454C0000}"/>
    <cellStyle name="Note 2 4 4 3 4" xfId="27495" xr:uid="{00000000-0005-0000-0000-0000464C0000}"/>
    <cellStyle name="Note 2 4 4 4" xfId="15902" xr:uid="{00000000-0005-0000-0000-0000474C0000}"/>
    <cellStyle name="Note 2 4 4 5" xfId="23294" xr:uid="{00000000-0005-0000-0000-0000484C0000}"/>
    <cellStyle name="Note 2 4 4 6" xfId="23730" xr:uid="{00000000-0005-0000-0000-0000494C0000}"/>
    <cellStyle name="Note 2 4 5" xfId="5844" xr:uid="{00000000-0005-0000-0000-00004A4C0000}"/>
    <cellStyle name="Note 2 4 5 2" xfId="16741" xr:uid="{00000000-0005-0000-0000-00004B4C0000}"/>
    <cellStyle name="Note 2 4 5 3" xfId="23716" xr:uid="{00000000-0005-0000-0000-00004C4C0000}"/>
    <cellStyle name="Note 2 4 5 4" xfId="24213" xr:uid="{00000000-0005-0000-0000-00004D4C0000}"/>
    <cellStyle name="Note 2 4 6" xfId="10283" xr:uid="{00000000-0005-0000-0000-00004E4C0000}"/>
    <cellStyle name="Note 2 4 6 2" xfId="21180" xr:uid="{00000000-0005-0000-0000-00004F4C0000}"/>
    <cellStyle name="Note 2 4 6 3" xfId="25310" xr:uid="{00000000-0005-0000-0000-0000504C0000}"/>
    <cellStyle name="Note 2 4 6 4" xfId="26827" xr:uid="{00000000-0005-0000-0000-0000514C0000}"/>
    <cellStyle name="Note 2 4 7" xfId="24516" xr:uid="{00000000-0005-0000-0000-0000524C0000}"/>
    <cellStyle name="Note 2 5" xfId="1562" xr:uid="{00000000-0005-0000-0000-0000534C0000}"/>
    <cellStyle name="Note 2 5 2" xfId="3874" xr:uid="{00000000-0005-0000-0000-0000544C0000}"/>
    <cellStyle name="Note 2 5 2 2" xfId="8825" xr:uid="{00000000-0005-0000-0000-0000554C0000}"/>
    <cellStyle name="Note 2 5 2 2 2" xfId="19722" xr:uid="{00000000-0005-0000-0000-0000564C0000}"/>
    <cellStyle name="Note 2 5 2 2 3" xfId="24623" xr:uid="{00000000-0005-0000-0000-0000574C0000}"/>
    <cellStyle name="Note 2 5 2 2 4" xfId="26309" xr:uid="{00000000-0005-0000-0000-0000584C0000}"/>
    <cellStyle name="Note 2 5 2 3" xfId="10760" xr:uid="{00000000-0005-0000-0000-0000594C0000}"/>
    <cellStyle name="Note 2 5 2 3 2" xfId="21657" xr:uid="{00000000-0005-0000-0000-00005A4C0000}"/>
    <cellStyle name="Note 2 5 2 3 3" xfId="25787" xr:uid="{00000000-0005-0000-0000-00005B4C0000}"/>
    <cellStyle name="Note 2 5 2 3 4" xfId="27304" xr:uid="{00000000-0005-0000-0000-00005C4C0000}"/>
    <cellStyle name="Note 2 5 2 4" xfId="14771" xr:uid="{00000000-0005-0000-0000-00005D4C0000}"/>
    <cellStyle name="Note 2 5 2 5" xfId="22936" xr:uid="{00000000-0005-0000-0000-00005E4C0000}"/>
    <cellStyle name="Note 2 5 2 6" xfId="22312" xr:uid="{00000000-0005-0000-0000-00005F4C0000}"/>
    <cellStyle name="Note 2 5 3" xfId="5140" xr:uid="{00000000-0005-0000-0000-0000604C0000}"/>
    <cellStyle name="Note 2 5 3 2" xfId="10091" xr:uid="{00000000-0005-0000-0000-0000614C0000}"/>
    <cellStyle name="Note 2 5 3 2 2" xfId="20988" xr:uid="{00000000-0005-0000-0000-0000624C0000}"/>
    <cellStyle name="Note 2 5 3 2 3" xfId="25118" xr:uid="{00000000-0005-0000-0000-0000634C0000}"/>
    <cellStyle name="Note 2 5 3 2 4" xfId="26635" xr:uid="{00000000-0005-0000-0000-0000644C0000}"/>
    <cellStyle name="Note 2 5 3 3" xfId="11086" xr:uid="{00000000-0005-0000-0000-0000654C0000}"/>
    <cellStyle name="Note 2 5 3 3 2" xfId="21983" xr:uid="{00000000-0005-0000-0000-0000664C0000}"/>
    <cellStyle name="Note 2 5 3 3 3" xfId="26113" xr:uid="{00000000-0005-0000-0000-0000674C0000}"/>
    <cellStyle name="Note 2 5 3 3 4" xfId="27630" xr:uid="{00000000-0005-0000-0000-0000684C0000}"/>
    <cellStyle name="Note 2 5 3 4" xfId="16037" xr:uid="{00000000-0005-0000-0000-0000694C0000}"/>
    <cellStyle name="Note 2 5 3 5" xfId="23429" xr:uid="{00000000-0005-0000-0000-00006A4C0000}"/>
    <cellStyle name="Note 2 5 3 6" xfId="24600" xr:uid="{00000000-0005-0000-0000-00006B4C0000}"/>
    <cellStyle name="Note 2 5 4" xfId="6513" xr:uid="{00000000-0005-0000-0000-00006C4C0000}"/>
    <cellStyle name="Note 2 5 4 2" xfId="17410" xr:uid="{00000000-0005-0000-0000-00006D4C0000}"/>
    <cellStyle name="Note 2 5 4 3" xfId="23951" xr:uid="{00000000-0005-0000-0000-00006E4C0000}"/>
    <cellStyle name="Note 2 5 4 4" xfId="23809" xr:uid="{00000000-0005-0000-0000-00006F4C0000}"/>
    <cellStyle name="Note 2 5 5" xfId="10418" xr:uid="{00000000-0005-0000-0000-0000704C0000}"/>
    <cellStyle name="Note 2 5 5 2" xfId="21315" xr:uid="{00000000-0005-0000-0000-0000714C0000}"/>
    <cellStyle name="Note 2 5 5 3" xfId="25445" xr:uid="{00000000-0005-0000-0000-0000724C0000}"/>
    <cellStyle name="Note 2 5 5 4" xfId="26962" xr:uid="{00000000-0005-0000-0000-0000734C0000}"/>
    <cellStyle name="Note 2 5 6" xfId="22304" xr:uid="{00000000-0005-0000-0000-0000744C0000}"/>
    <cellStyle name="Note 2 5 7" xfId="22723" xr:uid="{00000000-0005-0000-0000-0000754C0000}"/>
    <cellStyle name="Note 2 6" xfId="2673" xr:uid="{00000000-0005-0000-0000-0000764C0000}"/>
    <cellStyle name="Note 2 6 2" xfId="7624" xr:uid="{00000000-0005-0000-0000-0000774C0000}"/>
    <cellStyle name="Note 2 6 2 2" xfId="18521" xr:uid="{00000000-0005-0000-0000-0000784C0000}"/>
    <cellStyle name="Note 2 6 2 3" xfId="24248" xr:uid="{00000000-0005-0000-0000-0000794C0000}"/>
    <cellStyle name="Note 2 6 2 4" xfId="22344" xr:uid="{00000000-0005-0000-0000-00007A4C0000}"/>
    <cellStyle name="Note 2 6 3" xfId="10544" xr:uid="{00000000-0005-0000-0000-00007B4C0000}"/>
    <cellStyle name="Note 2 6 3 2" xfId="21441" xr:uid="{00000000-0005-0000-0000-00007C4C0000}"/>
    <cellStyle name="Note 2 6 3 3" xfId="25571" xr:uid="{00000000-0005-0000-0000-00007D4C0000}"/>
    <cellStyle name="Note 2 6 3 4" xfId="27088" xr:uid="{00000000-0005-0000-0000-00007E4C0000}"/>
    <cellStyle name="Note 2 6 4" xfId="13570" xr:uid="{00000000-0005-0000-0000-00007F4C0000}"/>
    <cellStyle name="Note 2 6 5" xfId="22548" xr:uid="{00000000-0005-0000-0000-0000804C0000}"/>
    <cellStyle name="Note 2 6 6" xfId="23795" xr:uid="{00000000-0005-0000-0000-0000814C0000}"/>
    <cellStyle name="Note 2 7" xfId="4925" xr:uid="{00000000-0005-0000-0000-0000824C0000}"/>
    <cellStyle name="Note 2 7 2" xfId="9876" xr:uid="{00000000-0005-0000-0000-0000834C0000}"/>
    <cellStyle name="Note 2 7 2 2" xfId="20773" xr:uid="{00000000-0005-0000-0000-0000844C0000}"/>
    <cellStyle name="Note 2 7 2 3" xfId="24903" xr:uid="{00000000-0005-0000-0000-0000854C0000}"/>
    <cellStyle name="Note 2 7 2 4" xfId="26420" xr:uid="{00000000-0005-0000-0000-0000864C0000}"/>
    <cellStyle name="Note 2 7 3" xfId="10871" xr:uid="{00000000-0005-0000-0000-0000874C0000}"/>
    <cellStyle name="Note 2 7 3 2" xfId="21768" xr:uid="{00000000-0005-0000-0000-0000884C0000}"/>
    <cellStyle name="Note 2 7 3 3" xfId="25898" xr:uid="{00000000-0005-0000-0000-0000894C0000}"/>
    <cellStyle name="Note 2 7 3 4" xfId="27415" xr:uid="{00000000-0005-0000-0000-00008A4C0000}"/>
    <cellStyle name="Note 2 7 4" xfId="15822" xr:uid="{00000000-0005-0000-0000-00008B4C0000}"/>
    <cellStyle name="Note 2 7 5" xfId="23214" xr:uid="{00000000-0005-0000-0000-00008C4C0000}"/>
    <cellStyle name="Note 2 7 6" xfId="24518" xr:uid="{00000000-0005-0000-0000-00008D4C0000}"/>
    <cellStyle name="Note 2 8" xfId="5312" xr:uid="{00000000-0005-0000-0000-00008E4C0000}"/>
    <cellStyle name="Note 2 8 2" xfId="16209" xr:uid="{00000000-0005-0000-0000-00008F4C0000}"/>
    <cellStyle name="Note 2 8 3" xfId="23568" xr:uid="{00000000-0005-0000-0000-0000904C0000}"/>
    <cellStyle name="Note 2 8 4" xfId="12445" xr:uid="{00000000-0005-0000-0000-0000914C0000}"/>
    <cellStyle name="Note 2 9" xfId="10203" xr:uid="{00000000-0005-0000-0000-0000924C0000}"/>
    <cellStyle name="Note 2 9 2" xfId="21100" xr:uid="{00000000-0005-0000-0000-0000934C0000}"/>
    <cellStyle name="Note 2 9 3" xfId="25230" xr:uid="{00000000-0005-0000-0000-0000944C0000}"/>
    <cellStyle name="Note 2 9 4" xfId="26747" xr:uid="{00000000-0005-0000-0000-0000954C0000}"/>
    <cellStyle name="Note 3" xfId="334" xr:uid="{00000000-0005-0000-0000-0000964C0000}"/>
    <cellStyle name="Note 3 10" xfId="24403" xr:uid="{00000000-0005-0000-0000-0000974C0000}"/>
    <cellStyle name="Note 3 2" xfId="558" xr:uid="{00000000-0005-0000-0000-0000984C0000}"/>
    <cellStyle name="Note 3 2 10" xfId="24012" xr:uid="{00000000-0005-0000-0000-0000994C0000}"/>
    <cellStyle name="Note 3 2 2" xfId="823" xr:uid="{00000000-0005-0000-0000-00009A4C0000}"/>
    <cellStyle name="Note 3 2 2 2" xfId="1355" xr:uid="{00000000-0005-0000-0000-00009B4C0000}"/>
    <cellStyle name="Note 3 2 2 2 2" xfId="2512" xr:uid="{00000000-0005-0000-0000-00009C4C0000}"/>
    <cellStyle name="Note 3 2 2 2 2 2" xfId="4824" xr:uid="{00000000-0005-0000-0000-00009D4C0000}"/>
    <cellStyle name="Note 3 2 2 2 2 2 2" xfId="9775" xr:uid="{00000000-0005-0000-0000-00009E4C0000}"/>
    <cellStyle name="Note 3 2 2 2 2 2 2 2" xfId="20672" xr:uid="{00000000-0005-0000-0000-00009F4C0000}"/>
    <cellStyle name="Note 3 2 2 2 2 2 2 3" xfId="24861" xr:uid="{00000000-0005-0000-0000-0000A04C0000}"/>
    <cellStyle name="Note 3 2 2 2 2 2 2 4" xfId="26403" xr:uid="{00000000-0005-0000-0000-0000A14C0000}"/>
    <cellStyle name="Note 3 2 2 2 2 2 3" xfId="10854" xr:uid="{00000000-0005-0000-0000-0000A24C0000}"/>
    <cellStyle name="Note 3 2 2 2 2 2 3 2" xfId="21751" xr:uid="{00000000-0005-0000-0000-0000A34C0000}"/>
    <cellStyle name="Note 3 2 2 2 2 2 3 3" xfId="25881" xr:uid="{00000000-0005-0000-0000-0000A44C0000}"/>
    <cellStyle name="Note 3 2 2 2 2 2 3 4" xfId="27398" xr:uid="{00000000-0005-0000-0000-0000A54C0000}"/>
    <cellStyle name="Note 3 2 2 2 2 2 4" xfId="15721" xr:uid="{00000000-0005-0000-0000-0000A64C0000}"/>
    <cellStyle name="Note 3 2 2 2 2 2 5" xfId="23175" xr:uid="{00000000-0005-0000-0000-0000A74C0000}"/>
    <cellStyle name="Note 3 2 2 2 2 2 6" xfId="24314" xr:uid="{00000000-0005-0000-0000-0000A84C0000}"/>
    <cellStyle name="Note 3 2 2 2 2 3" xfId="5234" xr:uid="{00000000-0005-0000-0000-0000A94C0000}"/>
    <cellStyle name="Note 3 2 2 2 2 3 2" xfId="10185" xr:uid="{00000000-0005-0000-0000-0000AA4C0000}"/>
    <cellStyle name="Note 3 2 2 2 2 3 2 2" xfId="21082" xr:uid="{00000000-0005-0000-0000-0000AB4C0000}"/>
    <cellStyle name="Note 3 2 2 2 2 3 2 3" xfId="25212" xr:uid="{00000000-0005-0000-0000-0000AC4C0000}"/>
    <cellStyle name="Note 3 2 2 2 2 3 2 4" xfId="26729" xr:uid="{00000000-0005-0000-0000-0000AD4C0000}"/>
    <cellStyle name="Note 3 2 2 2 2 3 3" xfId="11180" xr:uid="{00000000-0005-0000-0000-0000AE4C0000}"/>
    <cellStyle name="Note 3 2 2 2 2 3 3 2" xfId="22077" xr:uid="{00000000-0005-0000-0000-0000AF4C0000}"/>
    <cellStyle name="Note 3 2 2 2 2 3 3 3" xfId="26207" xr:uid="{00000000-0005-0000-0000-0000B04C0000}"/>
    <cellStyle name="Note 3 2 2 2 2 3 3 4" xfId="27724" xr:uid="{00000000-0005-0000-0000-0000B14C0000}"/>
    <cellStyle name="Note 3 2 2 2 2 3 4" xfId="16131" xr:uid="{00000000-0005-0000-0000-0000B24C0000}"/>
    <cellStyle name="Note 3 2 2 2 2 3 5" xfId="23523" xr:uid="{00000000-0005-0000-0000-0000B34C0000}"/>
    <cellStyle name="Note 3 2 2 2 2 3 6" xfId="22315" xr:uid="{00000000-0005-0000-0000-0000B44C0000}"/>
    <cellStyle name="Note 3 2 2 2 2 4" xfId="7463" xr:uid="{00000000-0005-0000-0000-0000B54C0000}"/>
    <cellStyle name="Note 3 2 2 2 2 4 2" xfId="18360" xr:uid="{00000000-0005-0000-0000-0000B64C0000}"/>
    <cellStyle name="Note 3 2 2 2 2 4 3" xfId="24183" xr:uid="{00000000-0005-0000-0000-0000B74C0000}"/>
    <cellStyle name="Note 3 2 2 2 2 4 4" xfId="24601" xr:uid="{00000000-0005-0000-0000-0000B84C0000}"/>
    <cellStyle name="Note 3 2 2 2 2 5" xfId="10512" xr:uid="{00000000-0005-0000-0000-0000B94C0000}"/>
    <cellStyle name="Note 3 2 2 2 2 5 2" xfId="21409" xr:uid="{00000000-0005-0000-0000-0000BA4C0000}"/>
    <cellStyle name="Note 3 2 2 2 2 5 3" xfId="25539" xr:uid="{00000000-0005-0000-0000-0000BB4C0000}"/>
    <cellStyle name="Note 3 2 2 2 2 5 4" xfId="27056" xr:uid="{00000000-0005-0000-0000-0000BC4C0000}"/>
    <cellStyle name="Note 3 2 2 2 2 6" xfId="22478" xr:uid="{00000000-0005-0000-0000-0000BD4C0000}"/>
    <cellStyle name="Note 3 2 2 2 2 7" xfId="23168" xr:uid="{00000000-0005-0000-0000-0000BE4C0000}"/>
    <cellStyle name="Note 3 2 2 2 3" xfId="3679" xr:uid="{00000000-0005-0000-0000-0000BF4C0000}"/>
    <cellStyle name="Note 3 2 2 2 3 2" xfId="8630" xr:uid="{00000000-0005-0000-0000-0000C04C0000}"/>
    <cellStyle name="Note 3 2 2 2 3 2 2" xfId="19527" xr:uid="{00000000-0005-0000-0000-0000C14C0000}"/>
    <cellStyle name="Note 3 2 2 2 3 2 3" xfId="24525" xr:uid="{00000000-0005-0000-0000-0000C24C0000}"/>
    <cellStyle name="Note 3 2 2 2 3 2 4" xfId="26243" xr:uid="{00000000-0005-0000-0000-0000C34C0000}"/>
    <cellStyle name="Note 3 2 2 2 3 3" xfId="10694" xr:uid="{00000000-0005-0000-0000-0000C44C0000}"/>
    <cellStyle name="Note 3 2 2 2 3 3 2" xfId="21591" xr:uid="{00000000-0005-0000-0000-0000C54C0000}"/>
    <cellStyle name="Note 3 2 2 2 3 3 3" xfId="25721" xr:uid="{00000000-0005-0000-0000-0000C64C0000}"/>
    <cellStyle name="Note 3 2 2 2 3 3 4" xfId="27238" xr:uid="{00000000-0005-0000-0000-0000C74C0000}"/>
    <cellStyle name="Note 3 2 2 2 3 4" xfId="14576" xr:uid="{00000000-0005-0000-0000-0000C84C0000}"/>
    <cellStyle name="Note 3 2 2 2 3 5" xfId="22837" xr:uid="{00000000-0005-0000-0000-0000C94C0000}"/>
    <cellStyle name="Note 3 2 2 2 3 6" xfId="24619" xr:uid="{00000000-0005-0000-0000-0000CA4C0000}"/>
    <cellStyle name="Note 3 2 2 2 4" xfId="5075" xr:uid="{00000000-0005-0000-0000-0000CB4C0000}"/>
    <cellStyle name="Note 3 2 2 2 4 2" xfId="10026" xr:uid="{00000000-0005-0000-0000-0000CC4C0000}"/>
    <cellStyle name="Note 3 2 2 2 4 2 2" xfId="20923" xr:uid="{00000000-0005-0000-0000-0000CD4C0000}"/>
    <cellStyle name="Note 3 2 2 2 4 2 3" xfId="25053" xr:uid="{00000000-0005-0000-0000-0000CE4C0000}"/>
    <cellStyle name="Note 3 2 2 2 4 2 4" xfId="26570" xr:uid="{00000000-0005-0000-0000-0000CF4C0000}"/>
    <cellStyle name="Note 3 2 2 2 4 3" xfId="11021" xr:uid="{00000000-0005-0000-0000-0000D04C0000}"/>
    <cellStyle name="Note 3 2 2 2 4 3 2" xfId="21918" xr:uid="{00000000-0005-0000-0000-0000D14C0000}"/>
    <cellStyle name="Note 3 2 2 2 4 3 3" xfId="26048" xr:uid="{00000000-0005-0000-0000-0000D24C0000}"/>
    <cellStyle name="Note 3 2 2 2 4 3 4" xfId="27565" xr:uid="{00000000-0005-0000-0000-0000D34C0000}"/>
    <cellStyle name="Note 3 2 2 2 4 4" xfId="15972" xr:uid="{00000000-0005-0000-0000-0000D44C0000}"/>
    <cellStyle name="Note 3 2 2 2 4 5" xfId="23364" xr:uid="{00000000-0005-0000-0000-0000D54C0000}"/>
    <cellStyle name="Note 3 2 2 2 4 6" xfId="22722" xr:uid="{00000000-0005-0000-0000-0000D64C0000}"/>
    <cellStyle name="Note 3 2 2 2 5" xfId="6318" xr:uid="{00000000-0005-0000-0000-0000D74C0000}"/>
    <cellStyle name="Note 3 2 2 2 5 2" xfId="17215" xr:uid="{00000000-0005-0000-0000-0000D84C0000}"/>
    <cellStyle name="Note 3 2 2 2 5 3" xfId="23850" xr:uid="{00000000-0005-0000-0000-0000D94C0000}"/>
    <cellStyle name="Note 3 2 2 2 5 4" xfId="24209" xr:uid="{00000000-0005-0000-0000-0000DA4C0000}"/>
    <cellStyle name="Note 3 2 2 2 6" xfId="10353" xr:uid="{00000000-0005-0000-0000-0000DB4C0000}"/>
    <cellStyle name="Note 3 2 2 2 6 2" xfId="21250" xr:uid="{00000000-0005-0000-0000-0000DC4C0000}"/>
    <cellStyle name="Note 3 2 2 2 6 3" xfId="25380" xr:uid="{00000000-0005-0000-0000-0000DD4C0000}"/>
    <cellStyle name="Note 3 2 2 2 6 4" xfId="26897" xr:uid="{00000000-0005-0000-0000-0000DE4C0000}"/>
    <cellStyle name="Note 3 2 2 2 7" xfId="22269" xr:uid="{00000000-0005-0000-0000-0000DF4C0000}"/>
    <cellStyle name="Note 3 2 2 3" xfId="1416" xr:uid="{00000000-0005-0000-0000-0000E04C0000}"/>
    <cellStyle name="Note 3 2 2 3 2" xfId="2525" xr:uid="{00000000-0005-0000-0000-0000E14C0000}"/>
    <cellStyle name="Note 3 2 2 3 2 2" xfId="4837" xr:uid="{00000000-0005-0000-0000-0000E24C0000}"/>
    <cellStyle name="Note 3 2 2 3 2 2 2" xfId="9788" xr:uid="{00000000-0005-0000-0000-0000E34C0000}"/>
    <cellStyle name="Note 3 2 2 3 2 2 2 2" xfId="20685" xr:uid="{00000000-0005-0000-0000-0000E44C0000}"/>
    <cellStyle name="Note 3 2 2 3 2 2 2 3" xfId="24873" xr:uid="{00000000-0005-0000-0000-0000E54C0000}"/>
    <cellStyle name="Note 3 2 2 3 2 2 2 4" xfId="26415" xr:uid="{00000000-0005-0000-0000-0000E64C0000}"/>
    <cellStyle name="Note 3 2 2 3 2 2 3" xfId="10866" xr:uid="{00000000-0005-0000-0000-0000E74C0000}"/>
    <cellStyle name="Note 3 2 2 3 2 2 3 2" xfId="21763" xr:uid="{00000000-0005-0000-0000-0000E84C0000}"/>
    <cellStyle name="Note 3 2 2 3 2 2 3 3" xfId="25893" xr:uid="{00000000-0005-0000-0000-0000E94C0000}"/>
    <cellStyle name="Note 3 2 2 3 2 2 3 4" xfId="27410" xr:uid="{00000000-0005-0000-0000-0000EA4C0000}"/>
    <cellStyle name="Note 3 2 2 3 2 2 4" xfId="15734" xr:uid="{00000000-0005-0000-0000-0000EB4C0000}"/>
    <cellStyle name="Note 3 2 2 3 2 2 5" xfId="23187" xr:uid="{00000000-0005-0000-0000-0000EC4C0000}"/>
    <cellStyle name="Note 3 2 2 3 2 2 6" xfId="22215" xr:uid="{00000000-0005-0000-0000-0000ED4C0000}"/>
    <cellStyle name="Note 3 2 2 3 2 3" xfId="5246" xr:uid="{00000000-0005-0000-0000-0000EE4C0000}"/>
    <cellStyle name="Note 3 2 2 3 2 3 2" xfId="10197" xr:uid="{00000000-0005-0000-0000-0000EF4C0000}"/>
    <cellStyle name="Note 3 2 2 3 2 3 2 2" xfId="21094" xr:uid="{00000000-0005-0000-0000-0000F04C0000}"/>
    <cellStyle name="Note 3 2 2 3 2 3 2 3" xfId="25224" xr:uid="{00000000-0005-0000-0000-0000F14C0000}"/>
    <cellStyle name="Note 3 2 2 3 2 3 2 4" xfId="26741" xr:uid="{00000000-0005-0000-0000-0000F24C0000}"/>
    <cellStyle name="Note 3 2 2 3 2 3 3" xfId="11192" xr:uid="{00000000-0005-0000-0000-0000F34C0000}"/>
    <cellStyle name="Note 3 2 2 3 2 3 3 2" xfId="22089" xr:uid="{00000000-0005-0000-0000-0000F44C0000}"/>
    <cellStyle name="Note 3 2 2 3 2 3 3 3" xfId="26219" xr:uid="{00000000-0005-0000-0000-0000F54C0000}"/>
    <cellStyle name="Note 3 2 2 3 2 3 3 4" xfId="27736" xr:uid="{00000000-0005-0000-0000-0000F64C0000}"/>
    <cellStyle name="Note 3 2 2 3 2 3 4" xfId="16143" xr:uid="{00000000-0005-0000-0000-0000F74C0000}"/>
    <cellStyle name="Note 3 2 2 3 2 3 5" xfId="23535" xr:uid="{00000000-0005-0000-0000-0000F84C0000}"/>
    <cellStyle name="Note 3 2 2 3 2 3 6" xfId="24062" xr:uid="{00000000-0005-0000-0000-0000F94C0000}"/>
    <cellStyle name="Note 3 2 2 3 2 4" xfId="7476" xr:uid="{00000000-0005-0000-0000-0000FA4C0000}"/>
    <cellStyle name="Note 3 2 2 3 2 4 2" xfId="18373" xr:uid="{00000000-0005-0000-0000-0000FB4C0000}"/>
    <cellStyle name="Note 3 2 2 3 2 4 3" xfId="24195" xr:uid="{00000000-0005-0000-0000-0000FC4C0000}"/>
    <cellStyle name="Note 3 2 2 3 2 4 4" xfId="22494" xr:uid="{00000000-0005-0000-0000-0000FD4C0000}"/>
    <cellStyle name="Note 3 2 2 3 2 5" xfId="10524" xr:uid="{00000000-0005-0000-0000-0000FE4C0000}"/>
    <cellStyle name="Note 3 2 2 3 2 5 2" xfId="21421" xr:uid="{00000000-0005-0000-0000-0000FF4C0000}"/>
    <cellStyle name="Note 3 2 2 3 2 5 3" xfId="25551" xr:uid="{00000000-0005-0000-0000-0000004D0000}"/>
    <cellStyle name="Note 3 2 2 3 2 5 4" xfId="27068" xr:uid="{00000000-0005-0000-0000-0000014D0000}"/>
    <cellStyle name="Note 3 2 2 3 2 6" xfId="22490" xr:uid="{00000000-0005-0000-0000-0000024D0000}"/>
    <cellStyle name="Note 3 2 2 3 2 7" xfId="22547" xr:uid="{00000000-0005-0000-0000-0000034D0000}"/>
    <cellStyle name="Note 3 2 2 3 3" xfId="3740" xr:uid="{00000000-0005-0000-0000-0000044D0000}"/>
    <cellStyle name="Note 3 2 2 3 3 2" xfId="8691" xr:uid="{00000000-0005-0000-0000-0000054D0000}"/>
    <cellStyle name="Note 3 2 2 3 3 2 2" xfId="19588" xr:uid="{00000000-0005-0000-0000-0000064D0000}"/>
    <cellStyle name="Note 3 2 2 3 3 2 3" xfId="24585" xr:uid="{00000000-0005-0000-0000-0000074D0000}"/>
    <cellStyle name="Note 3 2 2 3 3 2 4" xfId="26303" xr:uid="{00000000-0005-0000-0000-0000084D0000}"/>
    <cellStyle name="Note 3 2 2 3 3 3" xfId="10754" xr:uid="{00000000-0005-0000-0000-0000094D0000}"/>
    <cellStyle name="Note 3 2 2 3 3 3 2" xfId="21651" xr:uid="{00000000-0005-0000-0000-00000A4D0000}"/>
    <cellStyle name="Note 3 2 2 3 3 3 3" xfId="25781" xr:uid="{00000000-0005-0000-0000-00000B4D0000}"/>
    <cellStyle name="Note 3 2 2 3 3 3 4" xfId="27298" xr:uid="{00000000-0005-0000-0000-00000C4D0000}"/>
    <cellStyle name="Note 3 2 2 3 3 4" xfId="14637" xr:uid="{00000000-0005-0000-0000-00000D4D0000}"/>
    <cellStyle name="Note 3 2 2 3 3 5" xfId="22897" xr:uid="{00000000-0005-0000-0000-00000E4D0000}"/>
    <cellStyle name="Note 3 2 2 3 3 6" xfId="22562" xr:uid="{00000000-0005-0000-0000-00000F4D0000}"/>
    <cellStyle name="Note 3 2 2 3 4" xfId="5135" xr:uid="{00000000-0005-0000-0000-0000104D0000}"/>
    <cellStyle name="Note 3 2 2 3 4 2" xfId="10086" xr:uid="{00000000-0005-0000-0000-0000114D0000}"/>
    <cellStyle name="Note 3 2 2 3 4 2 2" xfId="20983" xr:uid="{00000000-0005-0000-0000-0000124D0000}"/>
    <cellStyle name="Note 3 2 2 3 4 2 3" xfId="25113" xr:uid="{00000000-0005-0000-0000-0000134D0000}"/>
    <cellStyle name="Note 3 2 2 3 4 2 4" xfId="26630" xr:uid="{00000000-0005-0000-0000-0000144D0000}"/>
    <cellStyle name="Note 3 2 2 3 4 3" xfId="11081" xr:uid="{00000000-0005-0000-0000-0000154D0000}"/>
    <cellStyle name="Note 3 2 2 3 4 3 2" xfId="21978" xr:uid="{00000000-0005-0000-0000-0000164D0000}"/>
    <cellStyle name="Note 3 2 2 3 4 3 3" xfId="26108" xr:uid="{00000000-0005-0000-0000-0000174D0000}"/>
    <cellStyle name="Note 3 2 2 3 4 3 4" xfId="27625" xr:uid="{00000000-0005-0000-0000-0000184D0000}"/>
    <cellStyle name="Note 3 2 2 3 4 4" xfId="16032" xr:uid="{00000000-0005-0000-0000-0000194D0000}"/>
    <cellStyle name="Note 3 2 2 3 4 5" xfId="23424" xr:uid="{00000000-0005-0000-0000-00001A4D0000}"/>
    <cellStyle name="Note 3 2 2 3 4 6" xfId="24893" xr:uid="{00000000-0005-0000-0000-00001B4D0000}"/>
    <cellStyle name="Note 3 2 2 3 5" xfId="6379" xr:uid="{00000000-0005-0000-0000-00001C4D0000}"/>
    <cellStyle name="Note 3 2 2 3 5 2" xfId="17276" xr:uid="{00000000-0005-0000-0000-00001D4D0000}"/>
    <cellStyle name="Note 3 2 2 3 5 3" xfId="23910" xr:uid="{00000000-0005-0000-0000-00001E4D0000}"/>
    <cellStyle name="Note 3 2 2 3 5 4" xfId="24334" xr:uid="{00000000-0005-0000-0000-00001F4D0000}"/>
    <cellStyle name="Note 3 2 2 3 6" xfId="10413" xr:uid="{00000000-0005-0000-0000-0000204D0000}"/>
    <cellStyle name="Note 3 2 2 3 6 2" xfId="21310" xr:uid="{00000000-0005-0000-0000-0000214D0000}"/>
    <cellStyle name="Note 3 2 2 3 6 3" xfId="25440" xr:uid="{00000000-0005-0000-0000-0000224D0000}"/>
    <cellStyle name="Note 3 2 2 3 6 4" xfId="26957" xr:uid="{00000000-0005-0000-0000-0000234D0000}"/>
    <cellStyle name="Note 3 2 2 3 7" xfId="24705" xr:uid="{00000000-0005-0000-0000-0000244D0000}"/>
    <cellStyle name="Note 3 2 2 4" xfId="1980" xr:uid="{00000000-0005-0000-0000-0000254D0000}"/>
    <cellStyle name="Note 3 2 2 4 2" xfId="4292" xr:uid="{00000000-0005-0000-0000-0000264D0000}"/>
    <cellStyle name="Note 3 2 2 4 2 2" xfId="9243" xr:uid="{00000000-0005-0000-0000-0000274D0000}"/>
    <cellStyle name="Note 3 2 2 4 2 2 2" xfId="20140" xr:uid="{00000000-0005-0000-0000-0000284D0000}"/>
    <cellStyle name="Note 3 2 2 4 2 2 3" xfId="24703" xr:uid="{00000000-0005-0000-0000-0000294D0000}"/>
    <cellStyle name="Note 3 2 2 4 2 2 4" xfId="26323" xr:uid="{00000000-0005-0000-0000-00002A4D0000}"/>
    <cellStyle name="Note 3 2 2 4 2 3" xfId="10774" xr:uid="{00000000-0005-0000-0000-00002B4D0000}"/>
    <cellStyle name="Note 3 2 2 4 2 3 2" xfId="21671" xr:uid="{00000000-0005-0000-0000-00002C4D0000}"/>
    <cellStyle name="Note 3 2 2 4 2 3 3" xfId="25801" xr:uid="{00000000-0005-0000-0000-00002D4D0000}"/>
    <cellStyle name="Note 3 2 2 4 2 3 4" xfId="27318" xr:uid="{00000000-0005-0000-0000-00002E4D0000}"/>
    <cellStyle name="Note 3 2 2 4 2 4" xfId="15189" xr:uid="{00000000-0005-0000-0000-00002F4D0000}"/>
    <cellStyle name="Note 3 2 2 4 2 5" xfId="23014" xr:uid="{00000000-0005-0000-0000-0000304D0000}"/>
    <cellStyle name="Note 3 2 2 4 2 6" xfId="24652" xr:uid="{00000000-0005-0000-0000-0000314D0000}"/>
    <cellStyle name="Note 3 2 2 4 3" xfId="5154" xr:uid="{00000000-0005-0000-0000-0000324D0000}"/>
    <cellStyle name="Note 3 2 2 4 3 2" xfId="10105" xr:uid="{00000000-0005-0000-0000-0000334D0000}"/>
    <cellStyle name="Note 3 2 2 4 3 2 2" xfId="21002" xr:uid="{00000000-0005-0000-0000-0000344D0000}"/>
    <cellStyle name="Note 3 2 2 4 3 2 3" xfId="25132" xr:uid="{00000000-0005-0000-0000-0000354D0000}"/>
    <cellStyle name="Note 3 2 2 4 3 2 4" xfId="26649" xr:uid="{00000000-0005-0000-0000-0000364D0000}"/>
    <cellStyle name="Note 3 2 2 4 3 3" xfId="11100" xr:uid="{00000000-0005-0000-0000-0000374D0000}"/>
    <cellStyle name="Note 3 2 2 4 3 3 2" xfId="21997" xr:uid="{00000000-0005-0000-0000-0000384D0000}"/>
    <cellStyle name="Note 3 2 2 4 3 3 3" xfId="26127" xr:uid="{00000000-0005-0000-0000-0000394D0000}"/>
    <cellStyle name="Note 3 2 2 4 3 3 4" xfId="27644" xr:uid="{00000000-0005-0000-0000-00003A4D0000}"/>
    <cellStyle name="Note 3 2 2 4 3 4" xfId="16051" xr:uid="{00000000-0005-0000-0000-00003B4D0000}"/>
    <cellStyle name="Note 3 2 2 4 3 5" xfId="23443" xr:uid="{00000000-0005-0000-0000-00003C4D0000}"/>
    <cellStyle name="Note 3 2 2 4 3 6" xfId="23735" xr:uid="{00000000-0005-0000-0000-00003D4D0000}"/>
    <cellStyle name="Note 3 2 2 4 4" xfId="6931" xr:uid="{00000000-0005-0000-0000-00003E4D0000}"/>
    <cellStyle name="Note 3 2 2 4 4 2" xfId="17828" xr:uid="{00000000-0005-0000-0000-00003F4D0000}"/>
    <cellStyle name="Note 3 2 2 4 4 3" xfId="24025" xr:uid="{00000000-0005-0000-0000-0000404D0000}"/>
    <cellStyle name="Note 3 2 2 4 4 4" xfId="24692" xr:uid="{00000000-0005-0000-0000-0000414D0000}"/>
    <cellStyle name="Note 3 2 2 4 5" xfId="10432" xr:uid="{00000000-0005-0000-0000-0000424D0000}"/>
    <cellStyle name="Note 3 2 2 4 5 2" xfId="21329" xr:uid="{00000000-0005-0000-0000-0000434D0000}"/>
    <cellStyle name="Note 3 2 2 4 5 3" xfId="25459" xr:uid="{00000000-0005-0000-0000-0000444D0000}"/>
    <cellStyle name="Note 3 2 2 4 5 4" xfId="26976" xr:uid="{00000000-0005-0000-0000-0000454D0000}"/>
    <cellStyle name="Note 3 2 2 4 6" xfId="22378" xr:uid="{00000000-0005-0000-0000-0000464D0000}"/>
    <cellStyle name="Note 3 2 2 4 7" xfId="22755" xr:uid="{00000000-0005-0000-0000-0000474D0000}"/>
    <cellStyle name="Note 3 2 2 5" xfId="3147" xr:uid="{00000000-0005-0000-0000-0000484D0000}"/>
    <cellStyle name="Note 3 2 2 5 2" xfId="8098" xr:uid="{00000000-0005-0000-0000-0000494D0000}"/>
    <cellStyle name="Note 3 2 2 5 2 2" xfId="18995" xr:uid="{00000000-0005-0000-0000-00004A4D0000}"/>
    <cellStyle name="Note 3 2 2 5 2 3" xfId="24374" xr:uid="{00000000-0005-0000-0000-00004B4D0000}"/>
    <cellStyle name="Note 3 2 2 5 2 4" xfId="22669" xr:uid="{00000000-0005-0000-0000-00004C4D0000}"/>
    <cellStyle name="Note 3 2 2 5 3" xfId="10614" xr:uid="{00000000-0005-0000-0000-00004D4D0000}"/>
    <cellStyle name="Note 3 2 2 5 3 2" xfId="21511" xr:uid="{00000000-0005-0000-0000-00004E4D0000}"/>
    <cellStyle name="Note 3 2 2 5 3 3" xfId="25641" xr:uid="{00000000-0005-0000-0000-00004F4D0000}"/>
    <cellStyle name="Note 3 2 2 5 3 4" xfId="27158" xr:uid="{00000000-0005-0000-0000-0000504D0000}"/>
    <cellStyle name="Note 3 2 2 5 4" xfId="14044" xr:uid="{00000000-0005-0000-0000-0000514D0000}"/>
    <cellStyle name="Note 3 2 2 5 5" xfId="22681" xr:uid="{00000000-0005-0000-0000-0000524D0000}"/>
    <cellStyle name="Note 3 2 2 5 6" xfId="24017" xr:uid="{00000000-0005-0000-0000-0000534D0000}"/>
    <cellStyle name="Note 3 2 2 6" xfId="4995" xr:uid="{00000000-0005-0000-0000-0000544D0000}"/>
    <cellStyle name="Note 3 2 2 6 2" xfId="9946" xr:uid="{00000000-0005-0000-0000-0000554D0000}"/>
    <cellStyle name="Note 3 2 2 6 2 2" xfId="20843" xr:uid="{00000000-0005-0000-0000-0000564D0000}"/>
    <cellStyle name="Note 3 2 2 6 2 3" xfId="24973" xr:uid="{00000000-0005-0000-0000-0000574D0000}"/>
    <cellStyle name="Note 3 2 2 6 2 4" xfId="26490" xr:uid="{00000000-0005-0000-0000-0000584D0000}"/>
    <cellStyle name="Note 3 2 2 6 3" xfId="10941" xr:uid="{00000000-0005-0000-0000-0000594D0000}"/>
    <cellStyle name="Note 3 2 2 6 3 2" xfId="21838" xr:uid="{00000000-0005-0000-0000-00005A4D0000}"/>
    <cellStyle name="Note 3 2 2 6 3 3" xfId="25968" xr:uid="{00000000-0005-0000-0000-00005B4D0000}"/>
    <cellStyle name="Note 3 2 2 6 3 4" xfId="27485" xr:uid="{00000000-0005-0000-0000-00005C4D0000}"/>
    <cellStyle name="Note 3 2 2 6 4" xfId="15892" xr:uid="{00000000-0005-0000-0000-00005D4D0000}"/>
    <cellStyle name="Note 3 2 2 6 5" xfId="23284" xr:uid="{00000000-0005-0000-0000-00005E4D0000}"/>
    <cellStyle name="Note 3 2 2 6 6" xfId="22238" xr:uid="{00000000-0005-0000-0000-00005F4D0000}"/>
    <cellStyle name="Note 3 2 2 7" xfId="5786" xr:uid="{00000000-0005-0000-0000-0000604D0000}"/>
    <cellStyle name="Note 3 2 2 7 2" xfId="16683" xr:uid="{00000000-0005-0000-0000-0000614D0000}"/>
    <cellStyle name="Note 3 2 2 7 3" xfId="23696" xr:uid="{00000000-0005-0000-0000-0000624D0000}"/>
    <cellStyle name="Note 3 2 2 7 4" xfId="22136" xr:uid="{00000000-0005-0000-0000-0000634D0000}"/>
    <cellStyle name="Note 3 2 2 8" xfId="10273" xr:uid="{00000000-0005-0000-0000-0000644D0000}"/>
    <cellStyle name="Note 3 2 2 8 2" xfId="21170" xr:uid="{00000000-0005-0000-0000-0000654D0000}"/>
    <cellStyle name="Note 3 2 2 8 3" xfId="25300" xr:uid="{00000000-0005-0000-0000-0000664D0000}"/>
    <cellStyle name="Note 3 2 2 8 4" xfId="26817" xr:uid="{00000000-0005-0000-0000-0000674D0000}"/>
    <cellStyle name="Note 3 2 2 9" xfId="22237" xr:uid="{00000000-0005-0000-0000-0000684D0000}"/>
    <cellStyle name="Note 3 2 3" xfId="1090" xr:uid="{00000000-0005-0000-0000-0000694D0000}"/>
    <cellStyle name="Note 3 2 3 2" xfId="2247" xr:uid="{00000000-0005-0000-0000-00006A4D0000}"/>
    <cellStyle name="Note 3 2 3 2 2" xfId="4559" xr:uid="{00000000-0005-0000-0000-00006B4D0000}"/>
    <cellStyle name="Note 3 2 3 2 2 2" xfId="9510" xr:uid="{00000000-0005-0000-0000-00006C4D0000}"/>
    <cellStyle name="Note 3 2 3 2 2 2 2" xfId="20407" xr:uid="{00000000-0005-0000-0000-00006D4D0000}"/>
    <cellStyle name="Note 3 2 3 2 2 2 3" xfId="24776" xr:uid="{00000000-0005-0000-0000-00006E4D0000}"/>
    <cellStyle name="Note 3 2 3 2 2 2 4" xfId="26363" xr:uid="{00000000-0005-0000-0000-00006F4D0000}"/>
    <cellStyle name="Note 3 2 3 2 2 3" xfId="10814" xr:uid="{00000000-0005-0000-0000-0000704D0000}"/>
    <cellStyle name="Note 3 2 3 2 2 3 2" xfId="21711" xr:uid="{00000000-0005-0000-0000-0000714D0000}"/>
    <cellStyle name="Note 3 2 3 2 2 3 3" xfId="25841" xr:uid="{00000000-0005-0000-0000-0000724D0000}"/>
    <cellStyle name="Note 3 2 3 2 2 3 4" xfId="27358" xr:uid="{00000000-0005-0000-0000-0000734D0000}"/>
    <cellStyle name="Note 3 2 3 2 2 4" xfId="15456" xr:uid="{00000000-0005-0000-0000-0000744D0000}"/>
    <cellStyle name="Note 3 2 3 2 2 5" xfId="23089" xr:uid="{00000000-0005-0000-0000-0000754D0000}"/>
    <cellStyle name="Note 3 2 3 2 2 6" xfId="22227" xr:uid="{00000000-0005-0000-0000-0000764D0000}"/>
    <cellStyle name="Note 3 2 3 2 3" xfId="5194" xr:uid="{00000000-0005-0000-0000-0000774D0000}"/>
    <cellStyle name="Note 3 2 3 2 3 2" xfId="10145" xr:uid="{00000000-0005-0000-0000-0000784D0000}"/>
    <cellStyle name="Note 3 2 3 2 3 2 2" xfId="21042" xr:uid="{00000000-0005-0000-0000-0000794D0000}"/>
    <cellStyle name="Note 3 2 3 2 3 2 3" xfId="25172" xr:uid="{00000000-0005-0000-0000-00007A4D0000}"/>
    <cellStyle name="Note 3 2 3 2 3 2 4" xfId="26689" xr:uid="{00000000-0005-0000-0000-00007B4D0000}"/>
    <cellStyle name="Note 3 2 3 2 3 3" xfId="11140" xr:uid="{00000000-0005-0000-0000-00007C4D0000}"/>
    <cellStyle name="Note 3 2 3 2 3 3 2" xfId="22037" xr:uid="{00000000-0005-0000-0000-00007D4D0000}"/>
    <cellStyle name="Note 3 2 3 2 3 3 3" xfId="26167" xr:uid="{00000000-0005-0000-0000-00007E4D0000}"/>
    <cellStyle name="Note 3 2 3 2 3 3 4" xfId="27684" xr:uid="{00000000-0005-0000-0000-00007F4D0000}"/>
    <cellStyle name="Note 3 2 3 2 3 4" xfId="16091" xr:uid="{00000000-0005-0000-0000-0000804D0000}"/>
    <cellStyle name="Note 3 2 3 2 3 5" xfId="23483" xr:uid="{00000000-0005-0000-0000-0000814D0000}"/>
    <cellStyle name="Note 3 2 3 2 3 6" xfId="24371" xr:uid="{00000000-0005-0000-0000-0000824D0000}"/>
    <cellStyle name="Note 3 2 3 2 4" xfId="7198" xr:uid="{00000000-0005-0000-0000-0000834D0000}"/>
    <cellStyle name="Note 3 2 3 2 4 2" xfId="18095" xr:uid="{00000000-0005-0000-0000-0000844D0000}"/>
    <cellStyle name="Note 3 2 3 2 4 3" xfId="24102" xr:uid="{00000000-0005-0000-0000-0000854D0000}"/>
    <cellStyle name="Note 3 2 3 2 4 4" xfId="22157" xr:uid="{00000000-0005-0000-0000-0000864D0000}"/>
    <cellStyle name="Note 3 2 3 2 5" xfId="10472" xr:uid="{00000000-0005-0000-0000-0000874D0000}"/>
    <cellStyle name="Note 3 2 3 2 5 2" xfId="21369" xr:uid="{00000000-0005-0000-0000-0000884D0000}"/>
    <cellStyle name="Note 3 2 3 2 5 3" xfId="25499" xr:uid="{00000000-0005-0000-0000-0000894D0000}"/>
    <cellStyle name="Note 3 2 3 2 5 4" xfId="27016" xr:uid="{00000000-0005-0000-0000-00008A4D0000}"/>
    <cellStyle name="Note 3 2 3 2 6" xfId="22419" xr:uid="{00000000-0005-0000-0000-00008B4D0000}"/>
    <cellStyle name="Note 3 2 3 2 7" xfId="24697" xr:uid="{00000000-0005-0000-0000-00008C4D0000}"/>
    <cellStyle name="Note 3 2 3 3" xfId="3414" xr:uid="{00000000-0005-0000-0000-00008D4D0000}"/>
    <cellStyle name="Note 3 2 3 3 2" xfId="8365" xr:uid="{00000000-0005-0000-0000-00008E4D0000}"/>
    <cellStyle name="Note 3 2 3 3 2 2" xfId="19262" xr:uid="{00000000-0005-0000-0000-00008F4D0000}"/>
    <cellStyle name="Note 3 2 3 3 2 3" xfId="24452" xr:uid="{00000000-0005-0000-0000-0000904D0000}"/>
    <cellStyle name="Note 3 2 3 3 2 4" xfId="12382" xr:uid="{00000000-0005-0000-0000-0000914D0000}"/>
    <cellStyle name="Note 3 2 3 3 3" xfId="10654" xr:uid="{00000000-0005-0000-0000-0000924D0000}"/>
    <cellStyle name="Note 3 2 3 3 3 2" xfId="21551" xr:uid="{00000000-0005-0000-0000-0000934D0000}"/>
    <cellStyle name="Note 3 2 3 3 3 3" xfId="25681" xr:uid="{00000000-0005-0000-0000-0000944D0000}"/>
    <cellStyle name="Note 3 2 3 3 3 4" xfId="27198" xr:uid="{00000000-0005-0000-0000-0000954D0000}"/>
    <cellStyle name="Note 3 2 3 3 4" xfId="14311" xr:uid="{00000000-0005-0000-0000-0000964D0000}"/>
    <cellStyle name="Note 3 2 3 3 5" xfId="22761" xr:uid="{00000000-0005-0000-0000-0000974D0000}"/>
    <cellStyle name="Note 3 2 3 3 6" xfId="22250" xr:uid="{00000000-0005-0000-0000-0000984D0000}"/>
    <cellStyle name="Note 3 2 3 4" xfId="5035" xr:uid="{00000000-0005-0000-0000-0000994D0000}"/>
    <cellStyle name="Note 3 2 3 4 2" xfId="9986" xr:uid="{00000000-0005-0000-0000-00009A4D0000}"/>
    <cellStyle name="Note 3 2 3 4 2 2" xfId="20883" xr:uid="{00000000-0005-0000-0000-00009B4D0000}"/>
    <cellStyle name="Note 3 2 3 4 2 3" xfId="25013" xr:uid="{00000000-0005-0000-0000-00009C4D0000}"/>
    <cellStyle name="Note 3 2 3 4 2 4" xfId="26530" xr:uid="{00000000-0005-0000-0000-00009D4D0000}"/>
    <cellStyle name="Note 3 2 3 4 3" xfId="10981" xr:uid="{00000000-0005-0000-0000-00009E4D0000}"/>
    <cellStyle name="Note 3 2 3 4 3 2" xfId="21878" xr:uid="{00000000-0005-0000-0000-00009F4D0000}"/>
    <cellStyle name="Note 3 2 3 4 3 3" xfId="26008" xr:uid="{00000000-0005-0000-0000-0000A04D0000}"/>
    <cellStyle name="Note 3 2 3 4 3 4" xfId="27525" xr:uid="{00000000-0005-0000-0000-0000A14D0000}"/>
    <cellStyle name="Note 3 2 3 4 4" xfId="15932" xr:uid="{00000000-0005-0000-0000-0000A24D0000}"/>
    <cellStyle name="Note 3 2 3 4 5" xfId="23324" xr:uid="{00000000-0005-0000-0000-0000A34D0000}"/>
    <cellStyle name="Note 3 2 3 4 6" xfId="22334" xr:uid="{00000000-0005-0000-0000-0000A44D0000}"/>
    <cellStyle name="Note 3 2 3 5" xfId="6053" xr:uid="{00000000-0005-0000-0000-0000A54D0000}"/>
    <cellStyle name="Note 3 2 3 5 2" xfId="16950" xr:uid="{00000000-0005-0000-0000-0000A64D0000}"/>
    <cellStyle name="Note 3 2 3 5 3" xfId="23777" xr:uid="{00000000-0005-0000-0000-0000A74D0000}"/>
    <cellStyle name="Note 3 2 3 5 4" xfId="22333" xr:uid="{00000000-0005-0000-0000-0000A84D0000}"/>
    <cellStyle name="Note 3 2 3 6" xfId="10313" xr:uid="{00000000-0005-0000-0000-0000A94D0000}"/>
    <cellStyle name="Note 3 2 3 6 2" xfId="21210" xr:uid="{00000000-0005-0000-0000-0000AA4D0000}"/>
    <cellStyle name="Note 3 2 3 6 3" xfId="25340" xr:uid="{00000000-0005-0000-0000-0000AB4D0000}"/>
    <cellStyle name="Note 3 2 3 6 4" xfId="26857" xr:uid="{00000000-0005-0000-0000-0000AC4D0000}"/>
    <cellStyle name="Note 3 2 3 7" xfId="22290" xr:uid="{00000000-0005-0000-0000-0000AD4D0000}"/>
    <cellStyle name="Note 3 2 4" xfId="1376" xr:uid="{00000000-0005-0000-0000-0000AE4D0000}"/>
    <cellStyle name="Note 3 2 4 2" xfId="2517" xr:uid="{00000000-0005-0000-0000-0000AF4D0000}"/>
    <cellStyle name="Note 3 2 4 2 2" xfId="4829" xr:uid="{00000000-0005-0000-0000-0000B04D0000}"/>
    <cellStyle name="Note 3 2 4 2 2 2" xfId="9780" xr:uid="{00000000-0005-0000-0000-0000B14D0000}"/>
    <cellStyle name="Note 3 2 4 2 2 2 2" xfId="20677" xr:uid="{00000000-0005-0000-0000-0000B24D0000}"/>
    <cellStyle name="Note 3 2 4 2 2 2 3" xfId="24865" xr:uid="{00000000-0005-0000-0000-0000B34D0000}"/>
    <cellStyle name="Note 3 2 4 2 2 2 4" xfId="26407" xr:uid="{00000000-0005-0000-0000-0000B44D0000}"/>
    <cellStyle name="Note 3 2 4 2 2 3" xfId="10858" xr:uid="{00000000-0005-0000-0000-0000B54D0000}"/>
    <cellStyle name="Note 3 2 4 2 2 3 2" xfId="21755" xr:uid="{00000000-0005-0000-0000-0000B64D0000}"/>
    <cellStyle name="Note 3 2 4 2 2 3 3" xfId="25885" xr:uid="{00000000-0005-0000-0000-0000B74D0000}"/>
    <cellStyle name="Note 3 2 4 2 2 3 4" xfId="27402" xr:uid="{00000000-0005-0000-0000-0000B84D0000}"/>
    <cellStyle name="Note 3 2 4 2 2 4" xfId="15726" xr:uid="{00000000-0005-0000-0000-0000B94D0000}"/>
    <cellStyle name="Note 3 2 4 2 2 5" xfId="23179" xr:uid="{00000000-0005-0000-0000-0000BA4D0000}"/>
    <cellStyle name="Note 3 2 4 2 2 6" xfId="22346" xr:uid="{00000000-0005-0000-0000-0000BB4D0000}"/>
    <cellStyle name="Note 3 2 4 2 3" xfId="5238" xr:uid="{00000000-0005-0000-0000-0000BC4D0000}"/>
    <cellStyle name="Note 3 2 4 2 3 2" xfId="10189" xr:uid="{00000000-0005-0000-0000-0000BD4D0000}"/>
    <cellStyle name="Note 3 2 4 2 3 2 2" xfId="21086" xr:uid="{00000000-0005-0000-0000-0000BE4D0000}"/>
    <cellStyle name="Note 3 2 4 2 3 2 3" xfId="25216" xr:uid="{00000000-0005-0000-0000-0000BF4D0000}"/>
    <cellStyle name="Note 3 2 4 2 3 2 4" xfId="26733" xr:uid="{00000000-0005-0000-0000-0000C04D0000}"/>
    <cellStyle name="Note 3 2 4 2 3 3" xfId="11184" xr:uid="{00000000-0005-0000-0000-0000C14D0000}"/>
    <cellStyle name="Note 3 2 4 2 3 3 2" xfId="22081" xr:uid="{00000000-0005-0000-0000-0000C24D0000}"/>
    <cellStyle name="Note 3 2 4 2 3 3 3" xfId="26211" xr:uid="{00000000-0005-0000-0000-0000C34D0000}"/>
    <cellStyle name="Note 3 2 4 2 3 3 4" xfId="27728" xr:uid="{00000000-0005-0000-0000-0000C44D0000}"/>
    <cellStyle name="Note 3 2 4 2 3 4" xfId="16135" xr:uid="{00000000-0005-0000-0000-0000C54D0000}"/>
    <cellStyle name="Note 3 2 4 2 3 5" xfId="23527" xr:uid="{00000000-0005-0000-0000-0000C64D0000}"/>
    <cellStyle name="Note 3 2 4 2 3 6" xfId="24207" xr:uid="{00000000-0005-0000-0000-0000C74D0000}"/>
    <cellStyle name="Note 3 2 4 2 4" xfId="7468" xr:uid="{00000000-0005-0000-0000-0000C84D0000}"/>
    <cellStyle name="Note 3 2 4 2 4 2" xfId="18365" xr:uid="{00000000-0005-0000-0000-0000C94D0000}"/>
    <cellStyle name="Note 3 2 4 2 4 3" xfId="24187" xr:uid="{00000000-0005-0000-0000-0000CA4D0000}"/>
    <cellStyle name="Note 3 2 4 2 4 4" xfId="22506" xr:uid="{00000000-0005-0000-0000-0000CB4D0000}"/>
    <cellStyle name="Note 3 2 4 2 5" xfId="10516" xr:uid="{00000000-0005-0000-0000-0000CC4D0000}"/>
    <cellStyle name="Note 3 2 4 2 5 2" xfId="21413" xr:uid="{00000000-0005-0000-0000-0000CD4D0000}"/>
    <cellStyle name="Note 3 2 4 2 5 3" xfId="25543" xr:uid="{00000000-0005-0000-0000-0000CE4D0000}"/>
    <cellStyle name="Note 3 2 4 2 5 4" xfId="27060" xr:uid="{00000000-0005-0000-0000-0000CF4D0000}"/>
    <cellStyle name="Note 3 2 4 2 6" xfId="22482" xr:uid="{00000000-0005-0000-0000-0000D04D0000}"/>
    <cellStyle name="Note 3 2 4 2 7" xfId="11205" xr:uid="{00000000-0005-0000-0000-0000D14D0000}"/>
    <cellStyle name="Note 3 2 4 3" xfId="3700" xr:uid="{00000000-0005-0000-0000-0000D24D0000}"/>
    <cellStyle name="Note 3 2 4 3 2" xfId="8651" xr:uid="{00000000-0005-0000-0000-0000D34D0000}"/>
    <cellStyle name="Note 3 2 4 3 2 2" xfId="19548" xr:uid="{00000000-0005-0000-0000-0000D44D0000}"/>
    <cellStyle name="Note 3 2 4 3 2 3" xfId="24545" xr:uid="{00000000-0005-0000-0000-0000D54D0000}"/>
    <cellStyle name="Note 3 2 4 3 2 4" xfId="26263" xr:uid="{00000000-0005-0000-0000-0000D64D0000}"/>
    <cellStyle name="Note 3 2 4 3 3" xfId="10714" xr:uid="{00000000-0005-0000-0000-0000D74D0000}"/>
    <cellStyle name="Note 3 2 4 3 3 2" xfId="21611" xr:uid="{00000000-0005-0000-0000-0000D84D0000}"/>
    <cellStyle name="Note 3 2 4 3 3 3" xfId="25741" xr:uid="{00000000-0005-0000-0000-0000D94D0000}"/>
    <cellStyle name="Note 3 2 4 3 3 4" xfId="27258" xr:uid="{00000000-0005-0000-0000-0000DA4D0000}"/>
    <cellStyle name="Note 3 2 4 3 4" xfId="14597" xr:uid="{00000000-0005-0000-0000-0000DB4D0000}"/>
    <cellStyle name="Note 3 2 4 3 5" xfId="22857" xr:uid="{00000000-0005-0000-0000-0000DC4D0000}"/>
    <cellStyle name="Note 3 2 4 3 6" xfId="24118" xr:uid="{00000000-0005-0000-0000-0000DD4D0000}"/>
    <cellStyle name="Note 3 2 4 4" xfId="5095" xr:uid="{00000000-0005-0000-0000-0000DE4D0000}"/>
    <cellStyle name="Note 3 2 4 4 2" xfId="10046" xr:uid="{00000000-0005-0000-0000-0000DF4D0000}"/>
    <cellStyle name="Note 3 2 4 4 2 2" xfId="20943" xr:uid="{00000000-0005-0000-0000-0000E04D0000}"/>
    <cellStyle name="Note 3 2 4 4 2 3" xfId="25073" xr:uid="{00000000-0005-0000-0000-0000E14D0000}"/>
    <cellStyle name="Note 3 2 4 4 2 4" xfId="26590" xr:uid="{00000000-0005-0000-0000-0000E24D0000}"/>
    <cellStyle name="Note 3 2 4 4 3" xfId="11041" xr:uid="{00000000-0005-0000-0000-0000E34D0000}"/>
    <cellStyle name="Note 3 2 4 4 3 2" xfId="21938" xr:uid="{00000000-0005-0000-0000-0000E44D0000}"/>
    <cellStyle name="Note 3 2 4 4 3 3" xfId="26068" xr:uid="{00000000-0005-0000-0000-0000E54D0000}"/>
    <cellStyle name="Note 3 2 4 4 3 4" xfId="27585" xr:uid="{00000000-0005-0000-0000-0000E64D0000}"/>
    <cellStyle name="Note 3 2 4 4 4" xfId="15992" xr:uid="{00000000-0005-0000-0000-0000E74D0000}"/>
    <cellStyle name="Note 3 2 4 4 5" xfId="23384" xr:uid="{00000000-0005-0000-0000-0000E84D0000}"/>
    <cellStyle name="Note 3 2 4 4 6" xfId="22231" xr:uid="{00000000-0005-0000-0000-0000E94D0000}"/>
    <cellStyle name="Note 3 2 4 5" xfId="6339" xr:uid="{00000000-0005-0000-0000-0000EA4D0000}"/>
    <cellStyle name="Note 3 2 4 5 2" xfId="17236" xr:uid="{00000000-0005-0000-0000-0000EB4D0000}"/>
    <cellStyle name="Note 3 2 4 5 3" xfId="23870" xr:uid="{00000000-0005-0000-0000-0000EC4D0000}"/>
    <cellStyle name="Note 3 2 4 5 4" xfId="23919" xr:uid="{00000000-0005-0000-0000-0000ED4D0000}"/>
    <cellStyle name="Note 3 2 4 6" xfId="10373" xr:uid="{00000000-0005-0000-0000-0000EE4D0000}"/>
    <cellStyle name="Note 3 2 4 6 2" xfId="21270" xr:uid="{00000000-0005-0000-0000-0000EF4D0000}"/>
    <cellStyle name="Note 3 2 4 6 3" xfId="25400" xr:uid="{00000000-0005-0000-0000-0000F04D0000}"/>
    <cellStyle name="Note 3 2 4 6 4" xfId="26917" xr:uid="{00000000-0005-0000-0000-0000F14D0000}"/>
    <cellStyle name="Note 3 2 4 7" xfId="24878" xr:uid="{00000000-0005-0000-0000-0000F24D0000}"/>
    <cellStyle name="Note 3 2 5" xfId="1747" xr:uid="{00000000-0005-0000-0000-0000F34D0000}"/>
    <cellStyle name="Note 3 2 5 2" xfId="4059" xr:uid="{00000000-0005-0000-0000-0000F44D0000}"/>
    <cellStyle name="Note 3 2 5 2 2" xfId="9010" xr:uid="{00000000-0005-0000-0000-0000F54D0000}"/>
    <cellStyle name="Note 3 2 5 2 2 2" xfId="19907" xr:uid="{00000000-0005-0000-0000-0000F64D0000}"/>
    <cellStyle name="Note 3 2 5 2 2 3" xfId="24656" xr:uid="{00000000-0005-0000-0000-0000F74D0000}"/>
    <cellStyle name="Note 3 2 5 2 2 4" xfId="26315" xr:uid="{00000000-0005-0000-0000-0000F84D0000}"/>
    <cellStyle name="Note 3 2 5 2 3" xfId="10766" xr:uid="{00000000-0005-0000-0000-0000F94D0000}"/>
    <cellStyle name="Note 3 2 5 2 3 2" xfId="21663" xr:uid="{00000000-0005-0000-0000-0000FA4D0000}"/>
    <cellStyle name="Note 3 2 5 2 3 3" xfId="25793" xr:uid="{00000000-0005-0000-0000-0000FB4D0000}"/>
    <cellStyle name="Note 3 2 5 2 3 4" xfId="27310" xr:uid="{00000000-0005-0000-0000-0000FC4D0000}"/>
    <cellStyle name="Note 3 2 5 2 4" xfId="14956" xr:uid="{00000000-0005-0000-0000-0000FD4D0000}"/>
    <cellStyle name="Note 3 2 5 2 5" xfId="22971" xr:uid="{00000000-0005-0000-0000-0000FE4D0000}"/>
    <cellStyle name="Note 3 2 5 2 6" xfId="11207" xr:uid="{00000000-0005-0000-0000-0000FF4D0000}"/>
    <cellStyle name="Note 3 2 5 3" xfId="5146" xr:uid="{00000000-0005-0000-0000-0000004E0000}"/>
    <cellStyle name="Note 3 2 5 3 2" xfId="10097" xr:uid="{00000000-0005-0000-0000-0000014E0000}"/>
    <cellStyle name="Note 3 2 5 3 2 2" xfId="20994" xr:uid="{00000000-0005-0000-0000-0000024E0000}"/>
    <cellStyle name="Note 3 2 5 3 2 3" xfId="25124" xr:uid="{00000000-0005-0000-0000-0000034E0000}"/>
    <cellStyle name="Note 3 2 5 3 2 4" xfId="26641" xr:uid="{00000000-0005-0000-0000-0000044E0000}"/>
    <cellStyle name="Note 3 2 5 3 3" xfId="11092" xr:uid="{00000000-0005-0000-0000-0000054E0000}"/>
    <cellStyle name="Note 3 2 5 3 3 2" xfId="21989" xr:uid="{00000000-0005-0000-0000-0000064E0000}"/>
    <cellStyle name="Note 3 2 5 3 3 3" xfId="26119" xr:uid="{00000000-0005-0000-0000-0000074E0000}"/>
    <cellStyle name="Note 3 2 5 3 3 4" xfId="27636" xr:uid="{00000000-0005-0000-0000-0000084E0000}"/>
    <cellStyle name="Note 3 2 5 3 4" xfId="16043" xr:uid="{00000000-0005-0000-0000-0000094E0000}"/>
    <cellStyle name="Note 3 2 5 3 5" xfId="23435" xr:uid="{00000000-0005-0000-0000-00000A4E0000}"/>
    <cellStyle name="Note 3 2 5 3 6" xfId="22277" xr:uid="{00000000-0005-0000-0000-00000B4E0000}"/>
    <cellStyle name="Note 3 2 5 4" xfId="6698" xr:uid="{00000000-0005-0000-0000-00000C4E0000}"/>
    <cellStyle name="Note 3 2 5 4 2" xfId="17595" xr:uid="{00000000-0005-0000-0000-00000D4E0000}"/>
    <cellStyle name="Note 3 2 5 4 3" xfId="23980" xr:uid="{00000000-0005-0000-0000-00000E4E0000}"/>
    <cellStyle name="Note 3 2 5 4 4" xfId="24385" xr:uid="{00000000-0005-0000-0000-00000F4E0000}"/>
    <cellStyle name="Note 3 2 5 5" xfId="10424" xr:uid="{00000000-0005-0000-0000-0000104E0000}"/>
    <cellStyle name="Note 3 2 5 5 2" xfId="21321" xr:uid="{00000000-0005-0000-0000-0000114E0000}"/>
    <cellStyle name="Note 3 2 5 5 3" xfId="25451" xr:uid="{00000000-0005-0000-0000-0000124E0000}"/>
    <cellStyle name="Note 3 2 5 5 4" xfId="26968" xr:uid="{00000000-0005-0000-0000-0000134E0000}"/>
    <cellStyle name="Note 3 2 5 6" xfId="22340" xr:uid="{00000000-0005-0000-0000-0000144E0000}"/>
    <cellStyle name="Note 3 2 5 7" xfId="23567" xr:uid="{00000000-0005-0000-0000-0000154E0000}"/>
    <cellStyle name="Note 3 2 6" xfId="2882" xr:uid="{00000000-0005-0000-0000-0000164E0000}"/>
    <cellStyle name="Note 3 2 6 2" xfId="7833" xr:uid="{00000000-0005-0000-0000-0000174E0000}"/>
    <cellStyle name="Note 3 2 6 2 2" xfId="18730" xr:uid="{00000000-0005-0000-0000-0000184E0000}"/>
    <cellStyle name="Note 3 2 6 2 3" xfId="24301" xr:uid="{00000000-0005-0000-0000-0000194E0000}"/>
    <cellStyle name="Note 3 2 6 2 4" xfId="24445" xr:uid="{00000000-0005-0000-0000-00001A4E0000}"/>
    <cellStyle name="Note 3 2 6 3" xfId="10574" xr:uid="{00000000-0005-0000-0000-00001B4E0000}"/>
    <cellStyle name="Note 3 2 6 3 2" xfId="21471" xr:uid="{00000000-0005-0000-0000-00001C4E0000}"/>
    <cellStyle name="Note 3 2 6 3 3" xfId="25601" xr:uid="{00000000-0005-0000-0000-00001D4E0000}"/>
    <cellStyle name="Note 3 2 6 3 4" xfId="27118" xr:uid="{00000000-0005-0000-0000-00001E4E0000}"/>
    <cellStyle name="Note 3 2 6 4" xfId="13779" xr:uid="{00000000-0005-0000-0000-00001F4E0000}"/>
    <cellStyle name="Note 3 2 6 5" xfId="22603" xr:uid="{00000000-0005-0000-0000-0000204E0000}"/>
    <cellStyle name="Note 3 2 6 6" xfId="22754" xr:uid="{00000000-0005-0000-0000-0000214E0000}"/>
    <cellStyle name="Note 3 2 7" xfId="4955" xr:uid="{00000000-0005-0000-0000-0000224E0000}"/>
    <cellStyle name="Note 3 2 7 2" xfId="9906" xr:uid="{00000000-0005-0000-0000-0000234E0000}"/>
    <cellStyle name="Note 3 2 7 2 2" xfId="20803" xr:uid="{00000000-0005-0000-0000-0000244E0000}"/>
    <cellStyle name="Note 3 2 7 2 3" xfId="24933" xr:uid="{00000000-0005-0000-0000-0000254E0000}"/>
    <cellStyle name="Note 3 2 7 2 4" xfId="26450" xr:uid="{00000000-0005-0000-0000-0000264E0000}"/>
    <cellStyle name="Note 3 2 7 3" xfId="10901" xr:uid="{00000000-0005-0000-0000-0000274E0000}"/>
    <cellStyle name="Note 3 2 7 3 2" xfId="21798" xr:uid="{00000000-0005-0000-0000-0000284E0000}"/>
    <cellStyle name="Note 3 2 7 3 3" xfId="25928" xr:uid="{00000000-0005-0000-0000-0000294E0000}"/>
    <cellStyle name="Note 3 2 7 3 4" xfId="27445" xr:uid="{00000000-0005-0000-0000-00002A4E0000}"/>
    <cellStyle name="Note 3 2 7 4" xfId="15852" xr:uid="{00000000-0005-0000-0000-00002B4E0000}"/>
    <cellStyle name="Note 3 2 7 5" xfId="23244" xr:uid="{00000000-0005-0000-0000-00002C4E0000}"/>
    <cellStyle name="Note 3 2 7 6" xfId="22980" xr:uid="{00000000-0005-0000-0000-00002D4E0000}"/>
    <cellStyle name="Note 3 2 8" xfId="5521" xr:uid="{00000000-0005-0000-0000-00002E4E0000}"/>
    <cellStyle name="Note 3 2 8 2" xfId="16418" xr:uid="{00000000-0005-0000-0000-00002F4E0000}"/>
    <cellStyle name="Note 3 2 8 3" xfId="23621" xr:uid="{00000000-0005-0000-0000-0000304E0000}"/>
    <cellStyle name="Note 3 2 8 4" xfId="24848" xr:uid="{00000000-0005-0000-0000-0000314E0000}"/>
    <cellStyle name="Note 3 2 9" xfId="10233" xr:uid="{00000000-0005-0000-0000-0000324E0000}"/>
    <cellStyle name="Note 3 2 9 2" xfId="21130" xr:uid="{00000000-0005-0000-0000-0000334E0000}"/>
    <cellStyle name="Note 3 2 9 3" xfId="25260" xr:uid="{00000000-0005-0000-0000-0000344E0000}"/>
    <cellStyle name="Note 3 2 9 4" xfId="26777" xr:uid="{00000000-0005-0000-0000-0000354E0000}"/>
    <cellStyle name="Note 3 3" xfId="615" xr:uid="{00000000-0005-0000-0000-0000364E0000}"/>
    <cellStyle name="Note 3 3 2" xfId="1147" xr:uid="{00000000-0005-0000-0000-0000374E0000}"/>
    <cellStyle name="Note 3 3 2 2" xfId="2304" xr:uid="{00000000-0005-0000-0000-0000384E0000}"/>
    <cellStyle name="Note 3 3 2 2 2" xfId="4616" xr:uid="{00000000-0005-0000-0000-0000394E0000}"/>
    <cellStyle name="Note 3 3 2 2 2 2" xfId="9567" xr:uid="{00000000-0005-0000-0000-00003A4E0000}"/>
    <cellStyle name="Note 3 3 2 2 2 2 2" xfId="20464" xr:uid="{00000000-0005-0000-0000-00003B4E0000}"/>
    <cellStyle name="Note 3 3 2 2 2 2 3" xfId="24797" xr:uid="{00000000-0005-0000-0000-00003C4E0000}"/>
    <cellStyle name="Note 3 3 2 2 2 2 4" xfId="26374" xr:uid="{00000000-0005-0000-0000-00003D4E0000}"/>
    <cellStyle name="Note 3 3 2 2 2 3" xfId="10825" xr:uid="{00000000-0005-0000-0000-00003E4E0000}"/>
    <cellStyle name="Note 3 3 2 2 2 3 2" xfId="21722" xr:uid="{00000000-0005-0000-0000-00003F4E0000}"/>
    <cellStyle name="Note 3 3 2 2 2 3 3" xfId="25852" xr:uid="{00000000-0005-0000-0000-0000404E0000}"/>
    <cellStyle name="Note 3 3 2 2 2 3 4" xfId="27369" xr:uid="{00000000-0005-0000-0000-0000414E0000}"/>
    <cellStyle name="Note 3 3 2 2 2 4" xfId="15513" xr:uid="{00000000-0005-0000-0000-0000424E0000}"/>
    <cellStyle name="Note 3 3 2 2 2 5" xfId="23110" xr:uid="{00000000-0005-0000-0000-0000434E0000}"/>
    <cellStyle name="Note 3 3 2 2 2 6" xfId="24241" xr:uid="{00000000-0005-0000-0000-0000444E0000}"/>
    <cellStyle name="Note 3 3 2 2 3" xfId="5205" xr:uid="{00000000-0005-0000-0000-0000454E0000}"/>
    <cellStyle name="Note 3 3 2 2 3 2" xfId="10156" xr:uid="{00000000-0005-0000-0000-0000464E0000}"/>
    <cellStyle name="Note 3 3 2 2 3 2 2" xfId="21053" xr:uid="{00000000-0005-0000-0000-0000474E0000}"/>
    <cellStyle name="Note 3 3 2 2 3 2 3" xfId="25183" xr:uid="{00000000-0005-0000-0000-0000484E0000}"/>
    <cellStyle name="Note 3 3 2 2 3 2 4" xfId="26700" xr:uid="{00000000-0005-0000-0000-0000494E0000}"/>
    <cellStyle name="Note 3 3 2 2 3 3" xfId="11151" xr:uid="{00000000-0005-0000-0000-00004A4E0000}"/>
    <cellStyle name="Note 3 3 2 2 3 3 2" xfId="22048" xr:uid="{00000000-0005-0000-0000-00004B4E0000}"/>
    <cellStyle name="Note 3 3 2 2 3 3 3" xfId="26178" xr:uid="{00000000-0005-0000-0000-00004C4E0000}"/>
    <cellStyle name="Note 3 3 2 2 3 3 4" xfId="27695" xr:uid="{00000000-0005-0000-0000-00004D4E0000}"/>
    <cellStyle name="Note 3 3 2 2 3 4" xfId="16102" xr:uid="{00000000-0005-0000-0000-00004E4E0000}"/>
    <cellStyle name="Note 3 3 2 2 3 5" xfId="23494" xr:uid="{00000000-0005-0000-0000-00004F4E0000}"/>
    <cellStyle name="Note 3 3 2 2 3 6" xfId="23172" xr:uid="{00000000-0005-0000-0000-0000504E0000}"/>
    <cellStyle name="Note 3 3 2 2 4" xfId="7255" xr:uid="{00000000-0005-0000-0000-0000514E0000}"/>
    <cellStyle name="Note 3 3 2 2 4 2" xfId="18152" xr:uid="{00000000-0005-0000-0000-0000524E0000}"/>
    <cellStyle name="Note 3 3 2 2 4 3" xfId="24123" xr:uid="{00000000-0005-0000-0000-0000534E0000}"/>
    <cellStyle name="Note 3 3 2 2 4 4" xfId="23825" xr:uid="{00000000-0005-0000-0000-0000544E0000}"/>
    <cellStyle name="Note 3 3 2 2 5" xfId="10483" xr:uid="{00000000-0005-0000-0000-0000554E0000}"/>
    <cellStyle name="Note 3 3 2 2 5 2" xfId="21380" xr:uid="{00000000-0005-0000-0000-0000564E0000}"/>
    <cellStyle name="Note 3 3 2 2 5 3" xfId="25510" xr:uid="{00000000-0005-0000-0000-0000574E0000}"/>
    <cellStyle name="Note 3 3 2 2 5 4" xfId="27027" xr:uid="{00000000-0005-0000-0000-0000584E0000}"/>
    <cellStyle name="Note 3 3 2 2 6" xfId="22436" xr:uid="{00000000-0005-0000-0000-0000594E0000}"/>
    <cellStyle name="Note 3 3 2 2 7" xfId="24088" xr:uid="{00000000-0005-0000-0000-00005A4E0000}"/>
    <cellStyle name="Note 3 3 2 3" xfId="3471" xr:uid="{00000000-0005-0000-0000-00005B4E0000}"/>
    <cellStyle name="Note 3 3 2 3 2" xfId="8422" xr:uid="{00000000-0005-0000-0000-00005C4E0000}"/>
    <cellStyle name="Note 3 3 2 3 2 2" xfId="19319" xr:uid="{00000000-0005-0000-0000-00005D4E0000}"/>
    <cellStyle name="Note 3 3 2 3 2 3" xfId="24475" xr:uid="{00000000-0005-0000-0000-00005E4E0000}"/>
    <cellStyle name="Note 3 3 2 3 2 4" xfId="11920" xr:uid="{00000000-0005-0000-0000-00005F4E0000}"/>
    <cellStyle name="Note 3 3 2 3 3" xfId="10665" xr:uid="{00000000-0005-0000-0000-0000604E0000}"/>
    <cellStyle name="Note 3 3 2 3 3 2" xfId="21562" xr:uid="{00000000-0005-0000-0000-0000614E0000}"/>
    <cellStyle name="Note 3 3 2 3 3 3" xfId="25692" xr:uid="{00000000-0005-0000-0000-0000624E0000}"/>
    <cellStyle name="Note 3 3 2 3 3 4" xfId="27209" xr:uid="{00000000-0005-0000-0000-0000634E0000}"/>
    <cellStyle name="Note 3 3 2 3 4" xfId="14368" xr:uid="{00000000-0005-0000-0000-0000644E0000}"/>
    <cellStyle name="Note 3 3 2 3 5" xfId="22783" xr:uid="{00000000-0005-0000-0000-0000654E0000}"/>
    <cellStyle name="Note 3 3 2 3 6" xfId="22370" xr:uid="{00000000-0005-0000-0000-0000664E0000}"/>
    <cellStyle name="Note 3 3 2 4" xfId="5046" xr:uid="{00000000-0005-0000-0000-0000674E0000}"/>
    <cellStyle name="Note 3 3 2 4 2" xfId="9997" xr:uid="{00000000-0005-0000-0000-0000684E0000}"/>
    <cellStyle name="Note 3 3 2 4 2 2" xfId="20894" xr:uid="{00000000-0005-0000-0000-0000694E0000}"/>
    <cellStyle name="Note 3 3 2 4 2 3" xfId="25024" xr:uid="{00000000-0005-0000-0000-00006A4E0000}"/>
    <cellStyle name="Note 3 3 2 4 2 4" xfId="26541" xr:uid="{00000000-0005-0000-0000-00006B4E0000}"/>
    <cellStyle name="Note 3 3 2 4 3" xfId="10992" xr:uid="{00000000-0005-0000-0000-00006C4E0000}"/>
    <cellStyle name="Note 3 3 2 4 3 2" xfId="21889" xr:uid="{00000000-0005-0000-0000-00006D4E0000}"/>
    <cellStyle name="Note 3 3 2 4 3 3" xfId="26019" xr:uid="{00000000-0005-0000-0000-00006E4E0000}"/>
    <cellStyle name="Note 3 3 2 4 3 4" xfId="27536" xr:uid="{00000000-0005-0000-0000-00006F4E0000}"/>
    <cellStyle name="Note 3 3 2 4 4" xfId="15943" xr:uid="{00000000-0005-0000-0000-0000704E0000}"/>
    <cellStyle name="Note 3 3 2 4 5" xfId="23335" xr:uid="{00000000-0005-0000-0000-0000714E0000}"/>
    <cellStyle name="Note 3 3 2 4 6" xfId="22671" xr:uid="{00000000-0005-0000-0000-0000724E0000}"/>
    <cellStyle name="Note 3 3 2 5" xfId="6110" xr:uid="{00000000-0005-0000-0000-0000734E0000}"/>
    <cellStyle name="Note 3 3 2 5 2" xfId="17007" xr:uid="{00000000-0005-0000-0000-0000744E0000}"/>
    <cellStyle name="Note 3 3 2 5 3" xfId="23798" xr:uid="{00000000-0005-0000-0000-0000754E0000}"/>
    <cellStyle name="Note 3 3 2 5 4" xfId="22382" xr:uid="{00000000-0005-0000-0000-0000764E0000}"/>
    <cellStyle name="Note 3 3 2 6" xfId="10324" xr:uid="{00000000-0005-0000-0000-0000774E0000}"/>
    <cellStyle name="Note 3 3 2 6 2" xfId="21221" xr:uid="{00000000-0005-0000-0000-0000784E0000}"/>
    <cellStyle name="Note 3 3 2 6 3" xfId="25351" xr:uid="{00000000-0005-0000-0000-0000794E0000}"/>
    <cellStyle name="Note 3 3 2 6 4" xfId="26868" xr:uid="{00000000-0005-0000-0000-00007A4E0000}"/>
    <cellStyle name="Note 3 3 2 7" xfId="23936" xr:uid="{00000000-0005-0000-0000-00007B4E0000}"/>
    <cellStyle name="Note 3 3 3" xfId="1387" xr:uid="{00000000-0005-0000-0000-00007C4E0000}"/>
    <cellStyle name="Note 3 3 3 2" xfId="2520" xr:uid="{00000000-0005-0000-0000-00007D4E0000}"/>
    <cellStyle name="Note 3 3 3 2 2" xfId="4832" xr:uid="{00000000-0005-0000-0000-00007E4E0000}"/>
    <cellStyle name="Note 3 3 3 2 2 2" xfId="9783" xr:uid="{00000000-0005-0000-0000-00007F4E0000}"/>
    <cellStyle name="Note 3 3 3 2 2 2 2" xfId="20680" xr:uid="{00000000-0005-0000-0000-0000804E0000}"/>
    <cellStyle name="Note 3 3 3 2 2 2 3" xfId="24868" xr:uid="{00000000-0005-0000-0000-0000814E0000}"/>
    <cellStyle name="Note 3 3 3 2 2 2 4" xfId="26410" xr:uid="{00000000-0005-0000-0000-0000824E0000}"/>
    <cellStyle name="Note 3 3 3 2 2 3" xfId="10861" xr:uid="{00000000-0005-0000-0000-0000834E0000}"/>
    <cellStyle name="Note 3 3 3 2 2 3 2" xfId="21758" xr:uid="{00000000-0005-0000-0000-0000844E0000}"/>
    <cellStyle name="Note 3 3 3 2 2 3 3" xfId="25888" xr:uid="{00000000-0005-0000-0000-0000854E0000}"/>
    <cellStyle name="Note 3 3 3 2 2 3 4" xfId="27405" xr:uid="{00000000-0005-0000-0000-0000864E0000}"/>
    <cellStyle name="Note 3 3 3 2 2 4" xfId="15729" xr:uid="{00000000-0005-0000-0000-0000874E0000}"/>
    <cellStyle name="Note 3 3 3 2 2 5" xfId="23182" xr:uid="{00000000-0005-0000-0000-0000884E0000}"/>
    <cellStyle name="Note 3 3 3 2 2 6" xfId="22777" xr:uid="{00000000-0005-0000-0000-0000894E0000}"/>
    <cellStyle name="Note 3 3 3 2 3" xfId="5241" xr:uid="{00000000-0005-0000-0000-00008A4E0000}"/>
    <cellStyle name="Note 3 3 3 2 3 2" xfId="10192" xr:uid="{00000000-0005-0000-0000-00008B4E0000}"/>
    <cellStyle name="Note 3 3 3 2 3 2 2" xfId="21089" xr:uid="{00000000-0005-0000-0000-00008C4E0000}"/>
    <cellStyle name="Note 3 3 3 2 3 2 3" xfId="25219" xr:uid="{00000000-0005-0000-0000-00008D4E0000}"/>
    <cellStyle name="Note 3 3 3 2 3 2 4" xfId="26736" xr:uid="{00000000-0005-0000-0000-00008E4E0000}"/>
    <cellStyle name="Note 3 3 3 2 3 3" xfId="11187" xr:uid="{00000000-0005-0000-0000-00008F4E0000}"/>
    <cellStyle name="Note 3 3 3 2 3 3 2" xfId="22084" xr:uid="{00000000-0005-0000-0000-0000904E0000}"/>
    <cellStyle name="Note 3 3 3 2 3 3 3" xfId="26214" xr:uid="{00000000-0005-0000-0000-0000914E0000}"/>
    <cellStyle name="Note 3 3 3 2 3 3 4" xfId="27731" xr:uid="{00000000-0005-0000-0000-0000924E0000}"/>
    <cellStyle name="Note 3 3 3 2 3 4" xfId="16138" xr:uid="{00000000-0005-0000-0000-0000934E0000}"/>
    <cellStyle name="Note 3 3 3 2 3 5" xfId="23530" xr:uid="{00000000-0005-0000-0000-0000944E0000}"/>
    <cellStyle name="Note 3 3 3 2 3 6" xfId="22502" xr:uid="{00000000-0005-0000-0000-0000954E0000}"/>
    <cellStyle name="Note 3 3 3 2 4" xfId="7471" xr:uid="{00000000-0005-0000-0000-0000964E0000}"/>
    <cellStyle name="Note 3 3 3 2 4 2" xfId="18368" xr:uid="{00000000-0005-0000-0000-0000974E0000}"/>
    <cellStyle name="Note 3 3 3 2 4 3" xfId="24190" xr:uid="{00000000-0005-0000-0000-0000984E0000}"/>
    <cellStyle name="Note 3 3 3 2 4 4" xfId="24589" xr:uid="{00000000-0005-0000-0000-0000994E0000}"/>
    <cellStyle name="Note 3 3 3 2 5" xfId="10519" xr:uid="{00000000-0005-0000-0000-00009A4E0000}"/>
    <cellStyle name="Note 3 3 3 2 5 2" xfId="21416" xr:uid="{00000000-0005-0000-0000-00009B4E0000}"/>
    <cellStyle name="Note 3 3 3 2 5 3" xfId="25546" xr:uid="{00000000-0005-0000-0000-00009C4E0000}"/>
    <cellStyle name="Note 3 3 3 2 5 4" xfId="27063" xr:uid="{00000000-0005-0000-0000-00009D4E0000}"/>
    <cellStyle name="Note 3 3 3 2 6" xfId="22485" xr:uid="{00000000-0005-0000-0000-00009E4E0000}"/>
    <cellStyle name="Note 3 3 3 2 7" xfId="11226" xr:uid="{00000000-0005-0000-0000-00009F4E0000}"/>
    <cellStyle name="Note 3 3 3 3" xfId="3711" xr:uid="{00000000-0005-0000-0000-0000A04E0000}"/>
    <cellStyle name="Note 3 3 3 3 2" xfId="8662" xr:uid="{00000000-0005-0000-0000-0000A14E0000}"/>
    <cellStyle name="Note 3 3 3 3 2 2" xfId="19559" xr:uid="{00000000-0005-0000-0000-0000A24E0000}"/>
    <cellStyle name="Note 3 3 3 3 2 3" xfId="24556" xr:uid="{00000000-0005-0000-0000-0000A34E0000}"/>
    <cellStyle name="Note 3 3 3 3 2 4" xfId="26274" xr:uid="{00000000-0005-0000-0000-0000A44E0000}"/>
    <cellStyle name="Note 3 3 3 3 3" xfId="10725" xr:uid="{00000000-0005-0000-0000-0000A54E0000}"/>
    <cellStyle name="Note 3 3 3 3 3 2" xfId="21622" xr:uid="{00000000-0005-0000-0000-0000A64E0000}"/>
    <cellStyle name="Note 3 3 3 3 3 3" xfId="25752" xr:uid="{00000000-0005-0000-0000-0000A74E0000}"/>
    <cellStyle name="Note 3 3 3 3 3 4" xfId="27269" xr:uid="{00000000-0005-0000-0000-0000A84E0000}"/>
    <cellStyle name="Note 3 3 3 3 4" xfId="14608" xr:uid="{00000000-0005-0000-0000-0000A94E0000}"/>
    <cellStyle name="Note 3 3 3 3 5" xfId="22868" xr:uid="{00000000-0005-0000-0000-0000AA4E0000}"/>
    <cellStyle name="Note 3 3 3 3 6" xfId="22956" xr:uid="{00000000-0005-0000-0000-0000AB4E0000}"/>
    <cellStyle name="Note 3 3 3 4" xfId="5106" xr:uid="{00000000-0005-0000-0000-0000AC4E0000}"/>
    <cellStyle name="Note 3 3 3 4 2" xfId="10057" xr:uid="{00000000-0005-0000-0000-0000AD4E0000}"/>
    <cellStyle name="Note 3 3 3 4 2 2" xfId="20954" xr:uid="{00000000-0005-0000-0000-0000AE4E0000}"/>
    <cellStyle name="Note 3 3 3 4 2 3" xfId="25084" xr:uid="{00000000-0005-0000-0000-0000AF4E0000}"/>
    <cellStyle name="Note 3 3 3 4 2 4" xfId="26601" xr:uid="{00000000-0005-0000-0000-0000B04E0000}"/>
    <cellStyle name="Note 3 3 3 4 3" xfId="11052" xr:uid="{00000000-0005-0000-0000-0000B14E0000}"/>
    <cellStyle name="Note 3 3 3 4 3 2" xfId="21949" xr:uid="{00000000-0005-0000-0000-0000B24E0000}"/>
    <cellStyle name="Note 3 3 3 4 3 3" xfId="26079" xr:uid="{00000000-0005-0000-0000-0000B34E0000}"/>
    <cellStyle name="Note 3 3 3 4 3 4" xfId="27596" xr:uid="{00000000-0005-0000-0000-0000B44E0000}"/>
    <cellStyle name="Note 3 3 3 4 4" xfId="16003" xr:uid="{00000000-0005-0000-0000-0000B54E0000}"/>
    <cellStyle name="Note 3 3 3 4 5" xfId="23395" xr:uid="{00000000-0005-0000-0000-0000B64E0000}"/>
    <cellStyle name="Note 3 3 3 4 6" xfId="22759" xr:uid="{00000000-0005-0000-0000-0000B74E0000}"/>
    <cellStyle name="Note 3 3 3 5" xfId="6350" xr:uid="{00000000-0005-0000-0000-0000B84E0000}"/>
    <cellStyle name="Note 3 3 3 5 2" xfId="17247" xr:uid="{00000000-0005-0000-0000-0000B94E0000}"/>
    <cellStyle name="Note 3 3 3 5 3" xfId="23881" xr:uid="{00000000-0005-0000-0000-0000BA4E0000}"/>
    <cellStyle name="Note 3 3 3 5 4" xfId="24202" xr:uid="{00000000-0005-0000-0000-0000BB4E0000}"/>
    <cellStyle name="Note 3 3 3 6" xfId="10384" xr:uid="{00000000-0005-0000-0000-0000BC4E0000}"/>
    <cellStyle name="Note 3 3 3 6 2" xfId="21281" xr:uid="{00000000-0005-0000-0000-0000BD4E0000}"/>
    <cellStyle name="Note 3 3 3 6 3" xfId="25411" xr:uid="{00000000-0005-0000-0000-0000BE4E0000}"/>
    <cellStyle name="Note 3 3 3 6 4" xfId="26928" xr:uid="{00000000-0005-0000-0000-0000BF4E0000}"/>
    <cellStyle name="Note 3 3 3 7" xfId="22263" xr:uid="{00000000-0005-0000-0000-0000C04E0000}"/>
    <cellStyle name="Note 3 3 4" xfId="1796" xr:uid="{00000000-0005-0000-0000-0000C14E0000}"/>
    <cellStyle name="Note 3 3 4 2" xfId="4108" xr:uid="{00000000-0005-0000-0000-0000C24E0000}"/>
    <cellStyle name="Note 3 3 4 2 2" xfId="9059" xr:uid="{00000000-0005-0000-0000-0000C34E0000}"/>
    <cellStyle name="Note 3 3 4 2 2 2" xfId="19956" xr:uid="{00000000-0005-0000-0000-0000C44E0000}"/>
    <cellStyle name="Note 3 3 4 2 2 3" xfId="24672" xr:uid="{00000000-0005-0000-0000-0000C54E0000}"/>
    <cellStyle name="Note 3 3 4 2 2 4" xfId="26318" xr:uid="{00000000-0005-0000-0000-0000C64E0000}"/>
    <cellStyle name="Note 3 3 4 2 3" xfId="10769" xr:uid="{00000000-0005-0000-0000-0000C74E0000}"/>
    <cellStyle name="Note 3 3 4 2 3 2" xfId="21666" xr:uid="{00000000-0005-0000-0000-0000C84E0000}"/>
    <cellStyle name="Note 3 3 4 2 3 3" xfId="25796" xr:uid="{00000000-0005-0000-0000-0000C94E0000}"/>
    <cellStyle name="Note 3 3 4 2 3 4" xfId="27313" xr:uid="{00000000-0005-0000-0000-0000CA4E0000}"/>
    <cellStyle name="Note 3 3 4 2 4" xfId="15005" xr:uid="{00000000-0005-0000-0000-0000CB4E0000}"/>
    <cellStyle name="Note 3 3 4 2 5" xfId="22987" xr:uid="{00000000-0005-0000-0000-0000CC4E0000}"/>
    <cellStyle name="Note 3 3 4 2 6" xfId="24357" xr:uid="{00000000-0005-0000-0000-0000CD4E0000}"/>
    <cellStyle name="Note 3 3 4 3" xfId="5149" xr:uid="{00000000-0005-0000-0000-0000CE4E0000}"/>
    <cellStyle name="Note 3 3 4 3 2" xfId="10100" xr:uid="{00000000-0005-0000-0000-0000CF4E0000}"/>
    <cellStyle name="Note 3 3 4 3 2 2" xfId="20997" xr:uid="{00000000-0005-0000-0000-0000D04E0000}"/>
    <cellStyle name="Note 3 3 4 3 2 3" xfId="25127" xr:uid="{00000000-0005-0000-0000-0000D14E0000}"/>
    <cellStyle name="Note 3 3 4 3 2 4" xfId="26644" xr:uid="{00000000-0005-0000-0000-0000D24E0000}"/>
    <cellStyle name="Note 3 3 4 3 3" xfId="11095" xr:uid="{00000000-0005-0000-0000-0000D34E0000}"/>
    <cellStyle name="Note 3 3 4 3 3 2" xfId="21992" xr:uid="{00000000-0005-0000-0000-0000D44E0000}"/>
    <cellStyle name="Note 3 3 4 3 3 3" xfId="26122" xr:uid="{00000000-0005-0000-0000-0000D54E0000}"/>
    <cellStyle name="Note 3 3 4 3 3 4" xfId="27639" xr:uid="{00000000-0005-0000-0000-0000D64E0000}"/>
    <cellStyle name="Note 3 3 4 3 4" xfId="16046" xr:uid="{00000000-0005-0000-0000-0000D74E0000}"/>
    <cellStyle name="Note 3 3 4 3 5" xfId="23438" xr:uid="{00000000-0005-0000-0000-0000D84E0000}"/>
    <cellStyle name="Note 3 3 4 3 6" xfId="22566" xr:uid="{00000000-0005-0000-0000-0000D94E0000}"/>
    <cellStyle name="Note 3 3 4 4" xfId="6747" xr:uid="{00000000-0005-0000-0000-0000DA4E0000}"/>
    <cellStyle name="Note 3 3 4 4 2" xfId="17644" xr:uid="{00000000-0005-0000-0000-0000DB4E0000}"/>
    <cellStyle name="Note 3 3 4 4 3" xfId="23994" xr:uid="{00000000-0005-0000-0000-0000DC4E0000}"/>
    <cellStyle name="Note 3 3 4 4 4" xfId="24825" xr:uid="{00000000-0005-0000-0000-0000DD4E0000}"/>
    <cellStyle name="Note 3 3 4 5" xfId="10427" xr:uid="{00000000-0005-0000-0000-0000DE4E0000}"/>
    <cellStyle name="Note 3 3 4 5 2" xfId="21324" xr:uid="{00000000-0005-0000-0000-0000DF4E0000}"/>
    <cellStyle name="Note 3 3 4 5 3" xfId="25454" xr:uid="{00000000-0005-0000-0000-0000E04E0000}"/>
    <cellStyle name="Note 3 3 4 5 4" xfId="26971" xr:uid="{00000000-0005-0000-0000-0000E14E0000}"/>
    <cellStyle name="Note 3 3 4 6" xfId="22355" xr:uid="{00000000-0005-0000-0000-0000E24E0000}"/>
    <cellStyle name="Note 3 3 4 7" xfId="24011" xr:uid="{00000000-0005-0000-0000-0000E34E0000}"/>
    <cellStyle name="Note 3 3 5" xfId="2939" xr:uid="{00000000-0005-0000-0000-0000E44E0000}"/>
    <cellStyle name="Note 3 3 5 2" xfId="7890" xr:uid="{00000000-0005-0000-0000-0000E54E0000}"/>
    <cellStyle name="Note 3 3 5 2 2" xfId="18787" xr:uid="{00000000-0005-0000-0000-0000E64E0000}"/>
    <cellStyle name="Note 3 3 5 2 3" xfId="24321" xr:uid="{00000000-0005-0000-0000-0000E74E0000}"/>
    <cellStyle name="Note 3 3 5 2 4" xfId="23595" xr:uid="{00000000-0005-0000-0000-0000E84E0000}"/>
    <cellStyle name="Note 3 3 5 3" xfId="10585" xr:uid="{00000000-0005-0000-0000-0000E94E0000}"/>
    <cellStyle name="Note 3 3 5 3 2" xfId="21482" xr:uid="{00000000-0005-0000-0000-0000EA4E0000}"/>
    <cellStyle name="Note 3 3 5 3 3" xfId="25612" xr:uid="{00000000-0005-0000-0000-0000EB4E0000}"/>
    <cellStyle name="Note 3 3 5 3 4" xfId="27129" xr:uid="{00000000-0005-0000-0000-0000EC4E0000}"/>
    <cellStyle name="Note 3 3 5 4" xfId="13836" xr:uid="{00000000-0005-0000-0000-0000ED4E0000}"/>
    <cellStyle name="Note 3 3 5 5" xfId="22625" xr:uid="{00000000-0005-0000-0000-0000EE4E0000}"/>
    <cellStyle name="Note 3 3 5 6" xfId="24293" xr:uid="{00000000-0005-0000-0000-0000EF4E0000}"/>
    <cellStyle name="Note 3 3 6" xfId="4966" xr:uid="{00000000-0005-0000-0000-0000F04E0000}"/>
    <cellStyle name="Note 3 3 6 2" xfId="9917" xr:uid="{00000000-0005-0000-0000-0000F14E0000}"/>
    <cellStyle name="Note 3 3 6 2 2" xfId="20814" xr:uid="{00000000-0005-0000-0000-0000F24E0000}"/>
    <cellStyle name="Note 3 3 6 2 3" xfId="24944" xr:uid="{00000000-0005-0000-0000-0000F34E0000}"/>
    <cellStyle name="Note 3 3 6 2 4" xfId="26461" xr:uid="{00000000-0005-0000-0000-0000F44E0000}"/>
    <cellStyle name="Note 3 3 6 3" xfId="10912" xr:uid="{00000000-0005-0000-0000-0000F54E0000}"/>
    <cellStyle name="Note 3 3 6 3 2" xfId="21809" xr:uid="{00000000-0005-0000-0000-0000F64E0000}"/>
    <cellStyle name="Note 3 3 6 3 3" xfId="25939" xr:uid="{00000000-0005-0000-0000-0000F74E0000}"/>
    <cellStyle name="Note 3 3 6 3 4" xfId="27456" xr:uid="{00000000-0005-0000-0000-0000F84E0000}"/>
    <cellStyle name="Note 3 3 6 4" xfId="15863" xr:uid="{00000000-0005-0000-0000-0000F94E0000}"/>
    <cellStyle name="Note 3 3 6 5" xfId="23255" xr:uid="{00000000-0005-0000-0000-0000FA4E0000}"/>
    <cellStyle name="Note 3 3 6 6" xfId="23602" xr:uid="{00000000-0005-0000-0000-0000FB4E0000}"/>
    <cellStyle name="Note 3 3 7" xfId="5578" xr:uid="{00000000-0005-0000-0000-0000FC4E0000}"/>
    <cellStyle name="Note 3 3 7 2" xfId="16475" xr:uid="{00000000-0005-0000-0000-0000FD4E0000}"/>
    <cellStyle name="Note 3 3 7 3" xfId="23641" xr:uid="{00000000-0005-0000-0000-0000FE4E0000}"/>
    <cellStyle name="Note 3 3 7 4" xfId="24345" xr:uid="{00000000-0005-0000-0000-0000FF4E0000}"/>
    <cellStyle name="Note 3 3 8" xfId="10244" xr:uid="{00000000-0005-0000-0000-0000004F0000}"/>
    <cellStyle name="Note 3 3 8 2" xfId="21141" xr:uid="{00000000-0005-0000-0000-0000014F0000}"/>
    <cellStyle name="Note 3 3 8 3" xfId="25271" xr:uid="{00000000-0005-0000-0000-0000024F0000}"/>
    <cellStyle name="Note 3 3 8 4" xfId="26788" xr:uid="{00000000-0005-0000-0000-0000034F0000}"/>
    <cellStyle name="Note 3 3 9" xfId="23083" xr:uid="{00000000-0005-0000-0000-0000044F0000}"/>
    <cellStyle name="Note 3 4" xfId="882" xr:uid="{00000000-0005-0000-0000-0000054F0000}"/>
    <cellStyle name="Note 3 4 2" xfId="2039" xr:uid="{00000000-0005-0000-0000-0000064F0000}"/>
    <cellStyle name="Note 3 4 2 2" xfId="4351" xr:uid="{00000000-0005-0000-0000-0000074F0000}"/>
    <cellStyle name="Note 3 4 2 2 2" xfId="9302" xr:uid="{00000000-0005-0000-0000-0000084F0000}"/>
    <cellStyle name="Note 3 4 2 2 2 2" xfId="20199" xr:uid="{00000000-0005-0000-0000-0000094F0000}"/>
    <cellStyle name="Note 3 4 2 2 2 3" xfId="24727" xr:uid="{00000000-0005-0000-0000-00000A4F0000}"/>
    <cellStyle name="Note 3 4 2 2 2 4" xfId="26334" xr:uid="{00000000-0005-0000-0000-00000B4F0000}"/>
    <cellStyle name="Note 3 4 2 2 3" xfId="10785" xr:uid="{00000000-0005-0000-0000-00000C4F0000}"/>
    <cellStyle name="Note 3 4 2 2 3 2" xfId="21682" xr:uid="{00000000-0005-0000-0000-00000D4F0000}"/>
    <cellStyle name="Note 3 4 2 2 3 3" xfId="25812" xr:uid="{00000000-0005-0000-0000-00000E4F0000}"/>
    <cellStyle name="Note 3 4 2 2 3 4" xfId="27329" xr:uid="{00000000-0005-0000-0000-00000F4F0000}"/>
    <cellStyle name="Note 3 4 2 2 4" xfId="15248" xr:uid="{00000000-0005-0000-0000-0000104F0000}"/>
    <cellStyle name="Note 3 4 2 2 5" xfId="23036" xr:uid="{00000000-0005-0000-0000-0000114F0000}"/>
    <cellStyle name="Note 3 4 2 2 6" xfId="24659" xr:uid="{00000000-0005-0000-0000-0000124F0000}"/>
    <cellStyle name="Note 3 4 2 3" xfId="5165" xr:uid="{00000000-0005-0000-0000-0000134F0000}"/>
    <cellStyle name="Note 3 4 2 3 2" xfId="10116" xr:uid="{00000000-0005-0000-0000-0000144F0000}"/>
    <cellStyle name="Note 3 4 2 3 2 2" xfId="21013" xr:uid="{00000000-0005-0000-0000-0000154F0000}"/>
    <cellStyle name="Note 3 4 2 3 2 3" xfId="25143" xr:uid="{00000000-0005-0000-0000-0000164F0000}"/>
    <cellStyle name="Note 3 4 2 3 2 4" xfId="26660" xr:uid="{00000000-0005-0000-0000-0000174F0000}"/>
    <cellStyle name="Note 3 4 2 3 3" xfId="11111" xr:uid="{00000000-0005-0000-0000-0000184F0000}"/>
    <cellStyle name="Note 3 4 2 3 3 2" xfId="22008" xr:uid="{00000000-0005-0000-0000-0000194F0000}"/>
    <cellStyle name="Note 3 4 2 3 3 3" xfId="26138" xr:uid="{00000000-0005-0000-0000-00001A4F0000}"/>
    <cellStyle name="Note 3 4 2 3 3 4" xfId="27655" xr:uid="{00000000-0005-0000-0000-00001B4F0000}"/>
    <cellStyle name="Note 3 4 2 3 4" xfId="16062" xr:uid="{00000000-0005-0000-0000-00001C4F0000}"/>
    <cellStyle name="Note 3 4 2 3 5" xfId="23454" xr:uid="{00000000-0005-0000-0000-00001D4F0000}"/>
    <cellStyle name="Note 3 4 2 3 6" xfId="24000" xr:uid="{00000000-0005-0000-0000-00001E4F0000}"/>
    <cellStyle name="Note 3 4 2 4" xfId="6990" xr:uid="{00000000-0005-0000-0000-00001F4F0000}"/>
    <cellStyle name="Note 3 4 2 4 2" xfId="17887" xr:uid="{00000000-0005-0000-0000-0000204F0000}"/>
    <cellStyle name="Note 3 4 2 4 3" xfId="24048" xr:uid="{00000000-0005-0000-0000-0000214F0000}"/>
    <cellStyle name="Note 3 4 2 4 4" xfId="22406" xr:uid="{00000000-0005-0000-0000-0000224F0000}"/>
    <cellStyle name="Note 3 4 2 5" xfId="10443" xr:uid="{00000000-0005-0000-0000-0000234F0000}"/>
    <cellStyle name="Note 3 4 2 5 2" xfId="21340" xr:uid="{00000000-0005-0000-0000-0000244F0000}"/>
    <cellStyle name="Note 3 4 2 5 3" xfId="25470" xr:uid="{00000000-0005-0000-0000-0000254F0000}"/>
    <cellStyle name="Note 3 4 2 5 4" xfId="26987" xr:uid="{00000000-0005-0000-0000-0000264F0000}"/>
    <cellStyle name="Note 3 4 2 6" xfId="22391" xr:uid="{00000000-0005-0000-0000-0000274F0000}"/>
    <cellStyle name="Note 3 4 2 7" xfId="23971" xr:uid="{00000000-0005-0000-0000-0000284F0000}"/>
    <cellStyle name="Note 3 4 3" xfId="3206" xr:uid="{00000000-0005-0000-0000-0000294F0000}"/>
    <cellStyle name="Note 3 4 3 2" xfId="8157" xr:uid="{00000000-0005-0000-0000-00002A4F0000}"/>
    <cellStyle name="Note 3 4 3 2 2" xfId="19054" xr:uid="{00000000-0005-0000-0000-00002B4F0000}"/>
    <cellStyle name="Note 3 4 3 2 3" xfId="24396" xr:uid="{00000000-0005-0000-0000-00002C4F0000}"/>
    <cellStyle name="Note 3 4 3 2 4" xfId="24422" xr:uid="{00000000-0005-0000-0000-00002D4F0000}"/>
    <cellStyle name="Note 3 4 3 3" xfId="10625" xr:uid="{00000000-0005-0000-0000-00002E4F0000}"/>
    <cellStyle name="Note 3 4 3 3 2" xfId="21522" xr:uid="{00000000-0005-0000-0000-00002F4F0000}"/>
    <cellStyle name="Note 3 4 3 3 3" xfId="25652" xr:uid="{00000000-0005-0000-0000-0000304F0000}"/>
    <cellStyle name="Note 3 4 3 3 4" xfId="27169" xr:uid="{00000000-0005-0000-0000-0000314F0000}"/>
    <cellStyle name="Note 3 4 3 4" xfId="14103" xr:uid="{00000000-0005-0000-0000-0000324F0000}"/>
    <cellStyle name="Note 3 4 3 5" xfId="22705" xr:uid="{00000000-0005-0000-0000-0000334F0000}"/>
    <cellStyle name="Note 3 4 3 6" xfId="23075" xr:uid="{00000000-0005-0000-0000-0000344F0000}"/>
    <cellStyle name="Note 3 4 4" xfId="5006" xr:uid="{00000000-0005-0000-0000-0000354F0000}"/>
    <cellStyle name="Note 3 4 4 2" xfId="9957" xr:uid="{00000000-0005-0000-0000-0000364F0000}"/>
    <cellStyle name="Note 3 4 4 2 2" xfId="20854" xr:uid="{00000000-0005-0000-0000-0000374F0000}"/>
    <cellStyle name="Note 3 4 4 2 3" xfId="24984" xr:uid="{00000000-0005-0000-0000-0000384F0000}"/>
    <cellStyle name="Note 3 4 4 2 4" xfId="26501" xr:uid="{00000000-0005-0000-0000-0000394F0000}"/>
    <cellStyle name="Note 3 4 4 3" xfId="10952" xr:uid="{00000000-0005-0000-0000-00003A4F0000}"/>
    <cellStyle name="Note 3 4 4 3 2" xfId="21849" xr:uid="{00000000-0005-0000-0000-00003B4F0000}"/>
    <cellStyle name="Note 3 4 4 3 3" xfId="25979" xr:uid="{00000000-0005-0000-0000-00003C4F0000}"/>
    <cellStyle name="Note 3 4 4 3 4" xfId="27496" xr:uid="{00000000-0005-0000-0000-00003D4F0000}"/>
    <cellStyle name="Note 3 4 4 4" xfId="15903" xr:uid="{00000000-0005-0000-0000-00003E4F0000}"/>
    <cellStyle name="Note 3 4 4 5" xfId="23295" xr:uid="{00000000-0005-0000-0000-00003F4F0000}"/>
    <cellStyle name="Note 3 4 4 6" xfId="24408" xr:uid="{00000000-0005-0000-0000-0000404F0000}"/>
    <cellStyle name="Note 3 4 5" xfId="5845" xr:uid="{00000000-0005-0000-0000-0000414F0000}"/>
    <cellStyle name="Note 3 4 5 2" xfId="16742" xr:uid="{00000000-0005-0000-0000-0000424F0000}"/>
    <cellStyle name="Note 3 4 5 3" xfId="23717" xr:uid="{00000000-0005-0000-0000-0000434F0000}"/>
    <cellStyle name="Note 3 4 5 4" xfId="24891" xr:uid="{00000000-0005-0000-0000-0000444F0000}"/>
    <cellStyle name="Note 3 4 6" xfId="10284" xr:uid="{00000000-0005-0000-0000-0000454F0000}"/>
    <cellStyle name="Note 3 4 6 2" xfId="21181" xr:uid="{00000000-0005-0000-0000-0000464F0000}"/>
    <cellStyle name="Note 3 4 6 3" xfId="25311" xr:uid="{00000000-0005-0000-0000-0000474F0000}"/>
    <cellStyle name="Note 3 4 6 4" xfId="26828" xr:uid="{00000000-0005-0000-0000-0000484F0000}"/>
    <cellStyle name="Note 3 4 7" xfId="22825" xr:uid="{00000000-0005-0000-0000-0000494F0000}"/>
    <cellStyle name="Note 3 5" xfId="1563" xr:uid="{00000000-0005-0000-0000-00004A4F0000}"/>
    <cellStyle name="Note 3 5 2" xfId="3875" xr:uid="{00000000-0005-0000-0000-00004B4F0000}"/>
    <cellStyle name="Note 3 5 2 2" xfId="8826" xr:uid="{00000000-0005-0000-0000-00004C4F0000}"/>
    <cellStyle name="Note 3 5 2 2 2" xfId="19723" xr:uid="{00000000-0005-0000-0000-00004D4F0000}"/>
    <cellStyle name="Note 3 5 2 2 3" xfId="24624" xr:uid="{00000000-0005-0000-0000-00004E4F0000}"/>
    <cellStyle name="Note 3 5 2 2 4" xfId="26310" xr:uid="{00000000-0005-0000-0000-00004F4F0000}"/>
    <cellStyle name="Note 3 5 2 3" xfId="10761" xr:uid="{00000000-0005-0000-0000-0000504F0000}"/>
    <cellStyle name="Note 3 5 2 3 2" xfId="21658" xr:uid="{00000000-0005-0000-0000-0000514F0000}"/>
    <cellStyle name="Note 3 5 2 3 3" xfId="25788" xr:uid="{00000000-0005-0000-0000-0000524F0000}"/>
    <cellStyle name="Note 3 5 2 3 4" xfId="27305" xr:uid="{00000000-0005-0000-0000-0000534F0000}"/>
    <cellStyle name="Note 3 5 2 4" xfId="14772" xr:uid="{00000000-0005-0000-0000-0000544F0000}"/>
    <cellStyle name="Note 3 5 2 5" xfId="22937" xr:uid="{00000000-0005-0000-0000-0000554F0000}"/>
    <cellStyle name="Note 3 5 2 6" xfId="23731" xr:uid="{00000000-0005-0000-0000-0000564F0000}"/>
    <cellStyle name="Note 3 5 3" xfId="5141" xr:uid="{00000000-0005-0000-0000-0000574F0000}"/>
    <cellStyle name="Note 3 5 3 2" xfId="10092" xr:uid="{00000000-0005-0000-0000-0000584F0000}"/>
    <cellStyle name="Note 3 5 3 2 2" xfId="20989" xr:uid="{00000000-0005-0000-0000-0000594F0000}"/>
    <cellStyle name="Note 3 5 3 2 3" xfId="25119" xr:uid="{00000000-0005-0000-0000-00005A4F0000}"/>
    <cellStyle name="Note 3 5 3 2 4" xfId="26636" xr:uid="{00000000-0005-0000-0000-00005B4F0000}"/>
    <cellStyle name="Note 3 5 3 3" xfId="11087" xr:uid="{00000000-0005-0000-0000-00005C4F0000}"/>
    <cellStyle name="Note 3 5 3 3 2" xfId="21984" xr:uid="{00000000-0005-0000-0000-00005D4F0000}"/>
    <cellStyle name="Note 3 5 3 3 3" xfId="26114" xr:uid="{00000000-0005-0000-0000-00005E4F0000}"/>
    <cellStyle name="Note 3 5 3 3 4" xfId="27631" xr:uid="{00000000-0005-0000-0000-00005F4F0000}"/>
    <cellStyle name="Note 3 5 3 4" xfId="16038" xr:uid="{00000000-0005-0000-0000-0000604F0000}"/>
    <cellStyle name="Note 3 5 3 5" xfId="23430" xr:uid="{00000000-0005-0000-0000-0000614F0000}"/>
    <cellStyle name="Note 3 5 3 6" xfId="22914" xr:uid="{00000000-0005-0000-0000-0000624F0000}"/>
    <cellStyle name="Note 3 5 4" xfId="6514" xr:uid="{00000000-0005-0000-0000-0000634F0000}"/>
    <cellStyle name="Note 3 5 4 2" xfId="17411" xr:uid="{00000000-0005-0000-0000-0000644F0000}"/>
    <cellStyle name="Note 3 5 4 3" xfId="23952" xr:uid="{00000000-0005-0000-0000-0000654F0000}"/>
    <cellStyle name="Note 3 5 4 4" xfId="24486" xr:uid="{00000000-0005-0000-0000-0000664F0000}"/>
    <cellStyle name="Note 3 5 5" xfId="10419" xr:uid="{00000000-0005-0000-0000-0000674F0000}"/>
    <cellStyle name="Note 3 5 5 2" xfId="21316" xr:uid="{00000000-0005-0000-0000-0000684F0000}"/>
    <cellStyle name="Note 3 5 5 3" xfId="25446" xr:uid="{00000000-0005-0000-0000-0000694F0000}"/>
    <cellStyle name="Note 3 5 5 4" xfId="26963" xr:uid="{00000000-0005-0000-0000-00006A4F0000}"/>
    <cellStyle name="Note 3 5 6" xfId="22305" xr:uid="{00000000-0005-0000-0000-00006B4F0000}"/>
    <cellStyle name="Note 3 5 7" xfId="24065" xr:uid="{00000000-0005-0000-0000-00006C4F0000}"/>
    <cellStyle name="Note 3 6" xfId="2674" xr:uid="{00000000-0005-0000-0000-00006D4F0000}"/>
    <cellStyle name="Note 3 6 2" xfId="7625" xr:uid="{00000000-0005-0000-0000-00006E4F0000}"/>
    <cellStyle name="Note 3 6 2 2" xfId="18522" xr:uid="{00000000-0005-0000-0000-00006F4F0000}"/>
    <cellStyle name="Note 3 6 2 3" xfId="24249" xr:uid="{00000000-0005-0000-0000-0000704F0000}"/>
    <cellStyle name="Note 3 6 2 4" xfId="23784" xr:uid="{00000000-0005-0000-0000-0000714F0000}"/>
    <cellStyle name="Note 3 6 3" xfId="10545" xr:uid="{00000000-0005-0000-0000-0000724F0000}"/>
    <cellStyle name="Note 3 6 3 2" xfId="21442" xr:uid="{00000000-0005-0000-0000-0000734F0000}"/>
    <cellStyle name="Note 3 6 3 3" xfId="25572" xr:uid="{00000000-0005-0000-0000-0000744F0000}"/>
    <cellStyle name="Note 3 6 3 4" xfId="27089" xr:uid="{00000000-0005-0000-0000-0000754F0000}"/>
    <cellStyle name="Note 3 6 4" xfId="13571" xr:uid="{00000000-0005-0000-0000-0000764F0000}"/>
    <cellStyle name="Note 3 6 5" xfId="22549" xr:uid="{00000000-0005-0000-0000-0000774F0000}"/>
    <cellStyle name="Note 3 6 6" xfId="24473" xr:uid="{00000000-0005-0000-0000-0000784F0000}"/>
    <cellStyle name="Note 3 7" xfId="4926" xr:uid="{00000000-0005-0000-0000-0000794F0000}"/>
    <cellStyle name="Note 3 7 2" xfId="9877" xr:uid="{00000000-0005-0000-0000-00007A4F0000}"/>
    <cellStyle name="Note 3 7 2 2" xfId="20774" xr:uid="{00000000-0005-0000-0000-00007B4F0000}"/>
    <cellStyle name="Note 3 7 2 3" xfId="24904" xr:uid="{00000000-0005-0000-0000-00007C4F0000}"/>
    <cellStyle name="Note 3 7 2 4" xfId="26421" xr:uid="{00000000-0005-0000-0000-00007D4F0000}"/>
    <cellStyle name="Note 3 7 3" xfId="10872" xr:uid="{00000000-0005-0000-0000-00007E4F0000}"/>
    <cellStyle name="Note 3 7 3 2" xfId="21769" xr:uid="{00000000-0005-0000-0000-00007F4F0000}"/>
    <cellStyle name="Note 3 7 3 3" xfId="25899" xr:uid="{00000000-0005-0000-0000-0000804F0000}"/>
    <cellStyle name="Note 3 7 3 4" xfId="27416" xr:uid="{00000000-0005-0000-0000-0000814F0000}"/>
    <cellStyle name="Note 3 7 4" xfId="15823" xr:uid="{00000000-0005-0000-0000-0000824F0000}"/>
    <cellStyle name="Note 3 7 5" xfId="23215" xr:uid="{00000000-0005-0000-0000-0000834F0000}"/>
    <cellStyle name="Note 3 7 6" xfId="22830" xr:uid="{00000000-0005-0000-0000-0000844F0000}"/>
    <cellStyle name="Note 3 8" xfId="5313" xr:uid="{00000000-0005-0000-0000-0000854F0000}"/>
    <cellStyle name="Note 3 8 2" xfId="16210" xr:uid="{00000000-0005-0000-0000-0000864F0000}"/>
    <cellStyle name="Note 3 8 3" xfId="23569" xr:uid="{00000000-0005-0000-0000-0000874F0000}"/>
    <cellStyle name="Note 3 8 4" xfId="11262" xr:uid="{00000000-0005-0000-0000-0000884F0000}"/>
    <cellStyle name="Note 3 9" xfId="10204" xr:uid="{00000000-0005-0000-0000-0000894F0000}"/>
    <cellStyle name="Note 3 9 2" xfId="21101" xr:uid="{00000000-0005-0000-0000-00008A4F0000}"/>
    <cellStyle name="Note 3 9 3" xfId="25231" xr:uid="{00000000-0005-0000-0000-00008B4F0000}"/>
    <cellStyle name="Note 3 9 4" xfId="26748" xr:uid="{00000000-0005-0000-0000-00008C4F0000}"/>
    <cellStyle name="Note 4" xfId="335" xr:uid="{00000000-0005-0000-0000-00008D4F0000}"/>
    <cellStyle name="Note 4 10" xfId="22712" xr:uid="{00000000-0005-0000-0000-00008E4F0000}"/>
    <cellStyle name="Note 4 2" xfId="431" xr:uid="{00000000-0005-0000-0000-00008F4F0000}"/>
    <cellStyle name="Note 4 2 10" xfId="24771" xr:uid="{00000000-0005-0000-0000-0000904F0000}"/>
    <cellStyle name="Note 4 2 2" xfId="696" xr:uid="{00000000-0005-0000-0000-0000914F0000}"/>
    <cellStyle name="Note 4 2 2 2" xfId="1228" xr:uid="{00000000-0005-0000-0000-0000924F0000}"/>
    <cellStyle name="Note 4 2 2 2 2" xfId="2385" xr:uid="{00000000-0005-0000-0000-0000934F0000}"/>
    <cellStyle name="Note 4 2 2 2 2 2" xfId="4697" xr:uid="{00000000-0005-0000-0000-0000944F0000}"/>
    <cellStyle name="Note 4 2 2 2 2 2 2" xfId="9648" xr:uid="{00000000-0005-0000-0000-0000954F0000}"/>
    <cellStyle name="Note 4 2 2 2 2 2 2 2" xfId="20545" xr:uid="{00000000-0005-0000-0000-0000964F0000}"/>
    <cellStyle name="Note 4 2 2 2 2 2 2 3" xfId="24816" xr:uid="{00000000-0005-0000-0000-0000974F0000}"/>
    <cellStyle name="Note 4 2 2 2 2 2 2 4" xfId="26385" xr:uid="{00000000-0005-0000-0000-0000984F0000}"/>
    <cellStyle name="Note 4 2 2 2 2 2 3" xfId="10836" xr:uid="{00000000-0005-0000-0000-0000994F0000}"/>
    <cellStyle name="Note 4 2 2 2 2 2 3 2" xfId="21733" xr:uid="{00000000-0005-0000-0000-00009A4F0000}"/>
    <cellStyle name="Note 4 2 2 2 2 2 3 3" xfId="25863" xr:uid="{00000000-0005-0000-0000-00009B4F0000}"/>
    <cellStyle name="Note 4 2 2 2 2 2 3 4" xfId="27380" xr:uid="{00000000-0005-0000-0000-00009C4F0000}"/>
    <cellStyle name="Note 4 2 2 2 2 2 4" xfId="15594" xr:uid="{00000000-0005-0000-0000-00009D4F0000}"/>
    <cellStyle name="Note 4 2 2 2 2 2 5" xfId="23129" xr:uid="{00000000-0005-0000-0000-00009E4F0000}"/>
    <cellStyle name="Note 4 2 2 2 2 2 6" xfId="22584" xr:uid="{00000000-0005-0000-0000-00009F4F0000}"/>
    <cellStyle name="Note 4 2 2 2 2 3" xfId="5216" xr:uid="{00000000-0005-0000-0000-0000A04F0000}"/>
    <cellStyle name="Note 4 2 2 2 2 3 2" xfId="10167" xr:uid="{00000000-0005-0000-0000-0000A14F0000}"/>
    <cellStyle name="Note 4 2 2 2 2 3 2 2" xfId="21064" xr:uid="{00000000-0005-0000-0000-0000A24F0000}"/>
    <cellStyle name="Note 4 2 2 2 2 3 2 3" xfId="25194" xr:uid="{00000000-0005-0000-0000-0000A34F0000}"/>
    <cellStyle name="Note 4 2 2 2 2 3 2 4" xfId="26711" xr:uid="{00000000-0005-0000-0000-0000A44F0000}"/>
    <cellStyle name="Note 4 2 2 2 2 3 3" xfId="11162" xr:uid="{00000000-0005-0000-0000-0000A54F0000}"/>
    <cellStyle name="Note 4 2 2 2 2 3 3 2" xfId="22059" xr:uid="{00000000-0005-0000-0000-0000A64F0000}"/>
    <cellStyle name="Note 4 2 2 2 2 3 3 3" xfId="26189" xr:uid="{00000000-0005-0000-0000-0000A74F0000}"/>
    <cellStyle name="Note 4 2 2 2 2 3 3 4" xfId="27706" xr:uid="{00000000-0005-0000-0000-0000A84F0000}"/>
    <cellStyle name="Note 4 2 2 2 2 3 4" xfId="16113" xr:uid="{00000000-0005-0000-0000-0000A94F0000}"/>
    <cellStyle name="Note 4 2 2 2 2 3 5" xfId="23505" xr:uid="{00000000-0005-0000-0000-0000AA4F0000}"/>
    <cellStyle name="Note 4 2 2 2 2 3 6" xfId="24898" xr:uid="{00000000-0005-0000-0000-0000AB4F0000}"/>
    <cellStyle name="Note 4 2 2 2 2 4" xfId="7336" xr:uid="{00000000-0005-0000-0000-0000AC4F0000}"/>
    <cellStyle name="Note 4 2 2 2 2 4 2" xfId="18233" xr:uid="{00000000-0005-0000-0000-0000AD4F0000}"/>
    <cellStyle name="Note 4 2 2 2 2 4 3" xfId="24143" xr:uid="{00000000-0005-0000-0000-0000AE4F0000}"/>
    <cellStyle name="Note 4 2 2 2 2 4 4" xfId="22298" xr:uid="{00000000-0005-0000-0000-0000AF4F0000}"/>
    <cellStyle name="Note 4 2 2 2 2 5" xfId="10494" xr:uid="{00000000-0005-0000-0000-0000B04F0000}"/>
    <cellStyle name="Note 4 2 2 2 2 5 2" xfId="21391" xr:uid="{00000000-0005-0000-0000-0000B14F0000}"/>
    <cellStyle name="Note 4 2 2 2 2 5 3" xfId="25521" xr:uid="{00000000-0005-0000-0000-0000B24F0000}"/>
    <cellStyle name="Note 4 2 2 2 2 5 4" xfId="27038" xr:uid="{00000000-0005-0000-0000-0000B34F0000}"/>
    <cellStyle name="Note 4 2 2 2 2 6" xfId="22446" xr:uid="{00000000-0005-0000-0000-0000B44F0000}"/>
    <cellStyle name="Note 4 2 2 2 2 7" xfId="22472" xr:uid="{00000000-0005-0000-0000-0000B54F0000}"/>
    <cellStyle name="Note 4 2 2 2 3" xfId="3552" xr:uid="{00000000-0005-0000-0000-0000B64F0000}"/>
    <cellStyle name="Note 4 2 2 2 3 2" xfId="8503" xr:uid="{00000000-0005-0000-0000-0000B74F0000}"/>
    <cellStyle name="Note 4 2 2 2 3 2 2" xfId="19400" xr:uid="{00000000-0005-0000-0000-0000B84F0000}"/>
    <cellStyle name="Note 4 2 2 2 3 2 3" xfId="24492" xr:uid="{00000000-0005-0000-0000-0000B94F0000}"/>
    <cellStyle name="Note 4 2 2 2 3 2 4" xfId="26225" xr:uid="{00000000-0005-0000-0000-0000BA4F0000}"/>
    <cellStyle name="Note 4 2 2 2 3 3" xfId="10676" xr:uid="{00000000-0005-0000-0000-0000BB4F0000}"/>
    <cellStyle name="Note 4 2 2 2 3 3 2" xfId="21573" xr:uid="{00000000-0005-0000-0000-0000BC4F0000}"/>
    <cellStyle name="Note 4 2 2 2 3 3 3" xfId="25703" xr:uid="{00000000-0005-0000-0000-0000BD4F0000}"/>
    <cellStyle name="Note 4 2 2 2 3 3 4" xfId="27220" xr:uid="{00000000-0005-0000-0000-0000BE4F0000}"/>
    <cellStyle name="Note 4 2 2 2 3 4" xfId="14449" xr:uid="{00000000-0005-0000-0000-0000BF4F0000}"/>
    <cellStyle name="Note 4 2 2 2 3 5" xfId="22803" xr:uid="{00000000-0005-0000-0000-0000C04F0000}"/>
    <cellStyle name="Note 4 2 2 2 3 6" xfId="22933" xr:uid="{00000000-0005-0000-0000-0000C14F0000}"/>
    <cellStyle name="Note 4 2 2 2 4" xfId="5057" xr:uid="{00000000-0005-0000-0000-0000C24F0000}"/>
    <cellStyle name="Note 4 2 2 2 4 2" xfId="10008" xr:uid="{00000000-0005-0000-0000-0000C34F0000}"/>
    <cellStyle name="Note 4 2 2 2 4 2 2" xfId="20905" xr:uid="{00000000-0005-0000-0000-0000C44F0000}"/>
    <cellStyle name="Note 4 2 2 2 4 2 3" xfId="25035" xr:uid="{00000000-0005-0000-0000-0000C54F0000}"/>
    <cellStyle name="Note 4 2 2 2 4 2 4" xfId="26552" xr:uid="{00000000-0005-0000-0000-0000C64F0000}"/>
    <cellStyle name="Note 4 2 2 2 4 3" xfId="11003" xr:uid="{00000000-0005-0000-0000-0000C74F0000}"/>
    <cellStyle name="Note 4 2 2 2 4 3 2" xfId="21900" xr:uid="{00000000-0005-0000-0000-0000C84F0000}"/>
    <cellStyle name="Note 4 2 2 2 4 3 3" xfId="26030" xr:uid="{00000000-0005-0000-0000-0000C94F0000}"/>
    <cellStyle name="Note 4 2 2 2 4 3 4" xfId="27547" xr:uid="{00000000-0005-0000-0000-0000CA4F0000}"/>
    <cellStyle name="Note 4 2 2 2 4 4" xfId="15954" xr:uid="{00000000-0005-0000-0000-0000CB4F0000}"/>
    <cellStyle name="Note 4 2 2 2 4 5" xfId="23346" xr:uid="{00000000-0005-0000-0000-0000CC4F0000}"/>
    <cellStyle name="Note 4 2 2 2 4 6" xfId="22466" xr:uid="{00000000-0005-0000-0000-0000CD4F0000}"/>
    <cellStyle name="Note 4 2 2 2 5" xfId="6191" xr:uid="{00000000-0005-0000-0000-0000CE4F0000}"/>
    <cellStyle name="Note 4 2 2 2 5 2" xfId="17088" xr:uid="{00000000-0005-0000-0000-0000CF4F0000}"/>
    <cellStyle name="Note 4 2 2 2 5 3" xfId="23817" xr:uid="{00000000-0005-0000-0000-0000D04F0000}"/>
    <cellStyle name="Note 4 2 2 2 5 4" xfId="23614" xr:uid="{00000000-0005-0000-0000-0000D14F0000}"/>
    <cellStyle name="Note 4 2 2 2 6" xfId="10335" xr:uid="{00000000-0005-0000-0000-0000D24F0000}"/>
    <cellStyle name="Note 4 2 2 2 6 2" xfId="21232" xr:uid="{00000000-0005-0000-0000-0000D34F0000}"/>
    <cellStyle name="Note 4 2 2 2 6 3" xfId="25362" xr:uid="{00000000-0005-0000-0000-0000D44F0000}"/>
    <cellStyle name="Note 4 2 2 2 6 4" xfId="26879" xr:uid="{00000000-0005-0000-0000-0000D54F0000}"/>
    <cellStyle name="Note 4 2 2 2 7" xfId="24166" xr:uid="{00000000-0005-0000-0000-0000D64F0000}"/>
    <cellStyle name="Note 4 2 2 3" xfId="1398" xr:uid="{00000000-0005-0000-0000-0000D74F0000}"/>
    <cellStyle name="Note 4 2 2 3 2" xfId="2523" xr:uid="{00000000-0005-0000-0000-0000D84F0000}"/>
    <cellStyle name="Note 4 2 2 3 2 2" xfId="4835" xr:uid="{00000000-0005-0000-0000-0000D94F0000}"/>
    <cellStyle name="Note 4 2 2 3 2 2 2" xfId="9786" xr:uid="{00000000-0005-0000-0000-0000DA4F0000}"/>
    <cellStyle name="Note 4 2 2 3 2 2 2 2" xfId="20683" xr:uid="{00000000-0005-0000-0000-0000DB4F0000}"/>
    <cellStyle name="Note 4 2 2 3 2 2 2 3" xfId="24871" xr:uid="{00000000-0005-0000-0000-0000DC4F0000}"/>
    <cellStyle name="Note 4 2 2 3 2 2 2 4" xfId="26413" xr:uid="{00000000-0005-0000-0000-0000DD4F0000}"/>
    <cellStyle name="Note 4 2 2 3 2 2 3" xfId="10864" xr:uid="{00000000-0005-0000-0000-0000DE4F0000}"/>
    <cellStyle name="Note 4 2 2 3 2 2 3 2" xfId="21761" xr:uid="{00000000-0005-0000-0000-0000DF4F0000}"/>
    <cellStyle name="Note 4 2 2 3 2 2 3 3" xfId="25891" xr:uid="{00000000-0005-0000-0000-0000E04F0000}"/>
    <cellStyle name="Note 4 2 2 3 2 2 3 4" xfId="27408" xr:uid="{00000000-0005-0000-0000-0000E14F0000}"/>
    <cellStyle name="Note 4 2 2 3 2 2 4" xfId="15732" xr:uid="{00000000-0005-0000-0000-0000E24F0000}"/>
    <cellStyle name="Note 4 2 2 3 2 2 5" xfId="23185" xr:uid="{00000000-0005-0000-0000-0000E34F0000}"/>
    <cellStyle name="Note 4 2 2 3 2 2 6" xfId="23103" xr:uid="{00000000-0005-0000-0000-0000E44F0000}"/>
    <cellStyle name="Note 4 2 2 3 2 3" xfId="5244" xr:uid="{00000000-0005-0000-0000-0000E54F0000}"/>
    <cellStyle name="Note 4 2 2 3 2 3 2" xfId="10195" xr:uid="{00000000-0005-0000-0000-0000E64F0000}"/>
    <cellStyle name="Note 4 2 2 3 2 3 2 2" xfId="21092" xr:uid="{00000000-0005-0000-0000-0000E74F0000}"/>
    <cellStyle name="Note 4 2 2 3 2 3 2 3" xfId="25222" xr:uid="{00000000-0005-0000-0000-0000E84F0000}"/>
    <cellStyle name="Note 4 2 2 3 2 3 2 4" xfId="26739" xr:uid="{00000000-0005-0000-0000-0000E94F0000}"/>
    <cellStyle name="Note 4 2 2 3 2 3 3" xfId="11190" xr:uid="{00000000-0005-0000-0000-0000EA4F0000}"/>
    <cellStyle name="Note 4 2 2 3 2 3 3 2" xfId="22087" xr:uid="{00000000-0005-0000-0000-0000EB4F0000}"/>
    <cellStyle name="Note 4 2 2 3 2 3 3 3" xfId="26217" xr:uid="{00000000-0005-0000-0000-0000EC4F0000}"/>
    <cellStyle name="Note 4 2 2 3 2 3 3 4" xfId="27734" xr:uid="{00000000-0005-0000-0000-0000ED4F0000}"/>
    <cellStyle name="Note 4 2 2 3 2 3 4" xfId="16141" xr:uid="{00000000-0005-0000-0000-0000EE4F0000}"/>
    <cellStyle name="Note 4 2 2 3 2 3 5" xfId="23533" xr:uid="{00000000-0005-0000-0000-0000EF4F0000}"/>
    <cellStyle name="Note 4 2 2 3 2 3 6" xfId="24412" xr:uid="{00000000-0005-0000-0000-0000F04F0000}"/>
    <cellStyle name="Note 4 2 2 3 2 4" xfId="7474" xr:uid="{00000000-0005-0000-0000-0000F14F0000}"/>
    <cellStyle name="Note 4 2 2 3 2 4 2" xfId="18371" xr:uid="{00000000-0005-0000-0000-0000F24F0000}"/>
    <cellStyle name="Note 4 2 2 3 2 4 3" xfId="24193" xr:uid="{00000000-0005-0000-0000-0000F34F0000}"/>
    <cellStyle name="Note 4 2 2 3 2 4 4" xfId="24877" xr:uid="{00000000-0005-0000-0000-0000F44F0000}"/>
    <cellStyle name="Note 4 2 2 3 2 5" xfId="10522" xr:uid="{00000000-0005-0000-0000-0000F54F0000}"/>
    <cellStyle name="Note 4 2 2 3 2 5 2" xfId="21419" xr:uid="{00000000-0005-0000-0000-0000F64F0000}"/>
    <cellStyle name="Note 4 2 2 3 2 5 3" xfId="25549" xr:uid="{00000000-0005-0000-0000-0000F74F0000}"/>
    <cellStyle name="Note 4 2 2 3 2 5 4" xfId="27066" xr:uid="{00000000-0005-0000-0000-0000F84F0000}"/>
    <cellStyle name="Note 4 2 2 3 2 6" xfId="22488" xr:uid="{00000000-0005-0000-0000-0000F94F0000}"/>
    <cellStyle name="Note 4 2 2 3 2 7" xfId="23565" xr:uid="{00000000-0005-0000-0000-0000FA4F0000}"/>
    <cellStyle name="Note 4 2 2 3 3" xfId="3722" xr:uid="{00000000-0005-0000-0000-0000FB4F0000}"/>
    <cellStyle name="Note 4 2 2 3 3 2" xfId="8673" xr:uid="{00000000-0005-0000-0000-0000FC4F0000}"/>
    <cellStyle name="Note 4 2 2 3 3 2 2" xfId="19570" xr:uid="{00000000-0005-0000-0000-0000FD4F0000}"/>
    <cellStyle name="Note 4 2 2 3 3 2 3" xfId="24567" xr:uid="{00000000-0005-0000-0000-0000FE4F0000}"/>
    <cellStyle name="Note 4 2 2 3 3 2 4" xfId="26285" xr:uid="{00000000-0005-0000-0000-0000FF4F0000}"/>
    <cellStyle name="Note 4 2 2 3 3 3" xfId="10736" xr:uid="{00000000-0005-0000-0000-000000500000}"/>
    <cellStyle name="Note 4 2 2 3 3 3 2" xfId="21633" xr:uid="{00000000-0005-0000-0000-000001500000}"/>
    <cellStyle name="Note 4 2 2 3 3 3 3" xfId="25763" xr:uid="{00000000-0005-0000-0000-000002500000}"/>
    <cellStyle name="Note 4 2 2 3 3 3 4" xfId="27280" xr:uid="{00000000-0005-0000-0000-000003500000}"/>
    <cellStyle name="Note 4 2 2 3 3 4" xfId="14619" xr:uid="{00000000-0005-0000-0000-000004500000}"/>
    <cellStyle name="Note 4 2 2 3 3 5" xfId="22879" xr:uid="{00000000-0005-0000-0000-000005500000}"/>
    <cellStyle name="Note 4 2 2 3 3 6" xfId="24358" xr:uid="{00000000-0005-0000-0000-000006500000}"/>
    <cellStyle name="Note 4 2 2 3 4" xfId="5117" xr:uid="{00000000-0005-0000-0000-000007500000}"/>
    <cellStyle name="Note 4 2 2 3 4 2" xfId="10068" xr:uid="{00000000-0005-0000-0000-000008500000}"/>
    <cellStyle name="Note 4 2 2 3 4 2 2" xfId="20965" xr:uid="{00000000-0005-0000-0000-000009500000}"/>
    <cellStyle name="Note 4 2 2 3 4 2 3" xfId="25095" xr:uid="{00000000-0005-0000-0000-00000A500000}"/>
    <cellStyle name="Note 4 2 2 3 4 2 4" xfId="26612" xr:uid="{00000000-0005-0000-0000-00000B500000}"/>
    <cellStyle name="Note 4 2 2 3 4 3" xfId="11063" xr:uid="{00000000-0005-0000-0000-00000C500000}"/>
    <cellStyle name="Note 4 2 2 3 4 3 2" xfId="21960" xr:uid="{00000000-0005-0000-0000-00000D500000}"/>
    <cellStyle name="Note 4 2 2 3 4 3 3" xfId="26090" xr:uid="{00000000-0005-0000-0000-00000E500000}"/>
    <cellStyle name="Note 4 2 2 3 4 3 4" xfId="27607" xr:uid="{00000000-0005-0000-0000-00000F500000}"/>
    <cellStyle name="Note 4 2 2 3 4 4" xfId="16014" xr:uid="{00000000-0005-0000-0000-000010500000}"/>
    <cellStyle name="Note 4 2 2 3 4 5" xfId="23406" xr:uid="{00000000-0005-0000-0000-000011500000}"/>
    <cellStyle name="Note 4 2 2 3 4 6" xfId="23013" xr:uid="{00000000-0005-0000-0000-000012500000}"/>
    <cellStyle name="Note 4 2 2 3 5" xfId="6361" xr:uid="{00000000-0005-0000-0000-000013500000}"/>
    <cellStyle name="Note 4 2 2 3 5 2" xfId="17258" xr:uid="{00000000-0005-0000-0000-000014500000}"/>
    <cellStyle name="Note 4 2 2 3 5 3" xfId="23892" xr:uid="{00000000-0005-0000-0000-000015500000}"/>
    <cellStyle name="Note 4 2 2 3 5 4" xfId="22493" xr:uid="{00000000-0005-0000-0000-000016500000}"/>
    <cellStyle name="Note 4 2 2 3 6" xfId="10395" xr:uid="{00000000-0005-0000-0000-000017500000}"/>
    <cellStyle name="Note 4 2 2 3 6 2" xfId="21292" xr:uid="{00000000-0005-0000-0000-000018500000}"/>
    <cellStyle name="Note 4 2 2 3 6 3" xfId="25422" xr:uid="{00000000-0005-0000-0000-000019500000}"/>
    <cellStyle name="Note 4 2 2 3 6 4" xfId="26939" xr:uid="{00000000-0005-0000-0000-00001A500000}"/>
    <cellStyle name="Note 4 2 2 3 7" xfId="24303" xr:uid="{00000000-0005-0000-0000-00001B500000}"/>
    <cellStyle name="Note 4 2 2 4" xfId="1869" xr:uid="{00000000-0005-0000-0000-00001C500000}"/>
    <cellStyle name="Note 4 2 2 4 2" xfId="4181" xr:uid="{00000000-0005-0000-0000-00001D500000}"/>
    <cellStyle name="Note 4 2 2 4 2 2" xfId="9132" xr:uid="{00000000-0005-0000-0000-00001E500000}"/>
    <cellStyle name="Note 4 2 2 4 2 2 2" xfId="20029" xr:uid="{00000000-0005-0000-0000-00001F500000}"/>
    <cellStyle name="Note 4 2 2 4 2 2 3" xfId="24682" xr:uid="{00000000-0005-0000-0000-000020500000}"/>
    <cellStyle name="Note 4 2 2 4 2 2 4" xfId="26321" xr:uid="{00000000-0005-0000-0000-000021500000}"/>
    <cellStyle name="Note 4 2 2 4 2 3" xfId="10772" xr:uid="{00000000-0005-0000-0000-000022500000}"/>
    <cellStyle name="Note 4 2 2 4 2 3 2" xfId="21669" xr:uid="{00000000-0005-0000-0000-000023500000}"/>
    <cellStyle name="Note 4 2 2 4 2 3 3" xfId="25799" xr:uid="{00000000-0005-0000-0000-000024500000}"/>
    <cellStyle name="Note 4 2 2 4 2 3 4" xfId="27316" xr:uid="{00000000-0005-0000-0000-000025500000}"/>
    <cellStyle name="Note 4 2 2 4 2 4" xfId="15078" xr:uid="{00000000-0005-0000-0000-000026500000}"/>
    <cellStyle name="Note 4 2 2 4 2 5" xfId="22997" xr:uid="{00000000-0005-0000-0000-000027500000}"/>
    <cellStyle name="Note 4 2 2 4 2 6" xfId="24852" xr:uid="{00000000-0005-0000-0000-000028500000}"/>
    <cellStyle name="Note 4 2 2 4 3" xfId="5152" xr:uid="{00000000-0005-0000-0000-000029500000}"/>
    <cellStyle name="Note 4 2 2 4 3 2" xfId="10103" xr:uid="{00000000-0005-0000-0000-00002A500000}"/>
    <cellStyle name="Note 4 2 2 4 3 2 2" xfId="21000" xr:uid="{00000000-0005-0000-0000-00002B500000}"/>
    <cellStyle name="Note 4 2 2 4 3 2 3" xfId="25130" xr:uid="{00000000-0005-0000-0000-00002C500000}"/>
    <cellStyle name="Note 4 2 2 4 3 2 4" xfId="26647" xr:uid="{00000000-0005-0000-0000-00002D500000}"/>
    <cellStyle name="Note 4 2 2 4 3 3" xfId="11098" xr:uid="{00000000-0005-0000-0000-00002E500000}"/>
    <cellStyle name="Note 4 2 2 4 3 3 2" xfId="21995" xr:uid="{00000000-0005-0000-0000-00002F500000}"/>
    <cellStyle name="Note 4 2 2 4 3 3 3" xfId="26125" xr:uid="{00000000-0005-0000-0000-000030500000}"/>
    <cellStyle name="Note 4 2 2 4 3 3 4" xfId="27642" xr:uid="{00000000-0005-0000-0000-000031500000}"/>
    <cellStyle name="Note 4 2 2 4 3 4" xfId="16049" xr:uid="{00000000-0005-0000-0000-000032500000}"/>
    <cellStyle name="Note 4 2 2 4 3 5" xfId="23441" xr:uid="{00000000-0005-0000-0000-000033500000}"/>
    <cellStyle name="Note 4 2 2 4 3 6" xfId="22948" xr:uid="{00000000-0005-0000-0000-000034500000}"/>
    <cellStyle name="Note 4 2 2 4 4" xfId="6820" xr:uid="{00000000-0005-0000-0000-000035500000}"/>
    <cellStyle name="Note 4 2 2 4 4 2" xfId="17717" xr:uid="{00000000-0005-0000-0000-000036500000}"/>
    <cellStyle name="Note 4 2 2 4 4 3" xfId="24002" xr:uid="{00000000-0005-0000-0000-000037500000}"/>
    <cellStyle name="Note 4 2 2 4 4 4" xfId="22533" xr:uid="{00000000-0005-0000-0000-000038500000}"/>
    <cellStyle name="Note 4 2 2 4 5" xfId="10430" xr:uid="{00000000-0005-0000-0000-000039500000}"/>
    <cellStyle name="Note 4 2 2 4 5 2" xfId="21327" xr:uid="{00000000-0005-0000-0000-00003A500000}"/>
    <cellStyle name="Note 4 2 2 4 5 3" xfId="25457" xr:uid="{00000000-0005-0000-0000-00003B500000}"/>
    <cellStyle name="Note 4 2 2 4 5 4" xfId="26974" xr:uid="{00000000-0005-0000-0000-00003C500000}"/>
    <cellStyle name="Note 4 2 2 4 6" xfId="22363" xr:uid="{00000000-0005-0000-0000-00003D500000}"/>
    <cellStyle name="Note 4 2 2 4 7" xfId="22474" xr:uid="{00000000-0005-0000-0000-00003E500000}"/>
    <cellStyle name="Note 4 2 2 5" xfId="3020" xr:uid="{00000000-0005-0000-0000-00003F500000}"/>
    <cellStyle name="Note 4 2 2 5 2" xfId="7971" xr:uid="{00000000-0005-0000-0000-000040500000}"/>
    <cellStyle name="Note 4 2 2 5 2 2" xfId="18868" xr:uid="{00000000-0005-0000-0000-000041500000}"/>
    <cellStyle name="Note 4 2 2 5 2 3" xfId="24337" xr:uid="{00000000-0005-0000-0000-000042500000}"/>
    <cellStyle name="Note 4 2 2 5 2 4" xfId="24014" xr:uid="{00000000-0005-0000-0000-000043500000}"/>
    <cellStyle name="Note 4 2 2 5 3" xfId="10596" xr:uid="{00000000-0005-0000-0000-000044500000}"/>
    <cellStyle name="Note 4 2 2 5 3 2" xfId="21493" xr:uid="{00000000-0005-0000-0000-000045500000}"/>
    <cellStyle name="Note 4 2 2 5 3 3" xfId="25623" xr:uid="{00000000-0005-0000-0000-000046500000}"/>
    <cellStyle name="Note 4 2 2 5 3 4" xfId="27140" xr:uid="{00000000-0005-0000-0000-000047500000}"/>
    <cellStyle name="Note 4 2 2 5 4" xfId="13917" xr:uid="{00000000-0005-0000-0000-000048500000}"/>
    <cellStyle name="Note 4 2 2 5 5" xfId="22641" xr:uid="{00000000-0005-0000-0000-000049500000}"/>
    <cellStyle name="Note 4 2 2 5 6" xfId="24695" xr:uid="{00000000-0005-0000-0000-00004A500000}"/>
    <cellStyle name="Note 4 2 2 6" xfId="4977" xr:uid="{00000000-0005-0000-0000-00004B500000}"/>
    <cellStyle name="Note 4 2 2 6 2" xfId="9928" xr:uid="{00000000-0005-0000-0000-00004C500000}"/>
    <cellStyle name="Note 4 2 2 6 2 2" xfId="20825" xr:uid="{00000000-0005-0000-0000-00004D500000}"/>
    <cellStyle name="Note 4 2 2 6 2 3" xfId="24955" xr:uid="{00000000-0005-0000-0000-00004E500000}"/>
    <cellStyle name="Note 4 2 2 6 2 4" xfId="26472" xr:uid="{00000000-0005-0000-0000-00004F500000}"/>
    <cellStyle name="Note 4 2 2 6 3" xfId="10923" xr:uid="{00000000-0005-0000-0000-000050500000}"/>
    <cellStyle name="Note 4 2 2 6 3 2" xfId="21820" xr:uid="{00000000-0005-0000-0000-000051500000}"/>
    <cellStyle name="Note 4 2 2 6 3 3" xfId="25950" xr:uid="{00000000-0005-0000-0000-000052500000}"/>
    <cellStyle name="Note 4 2 2 6 3 4" xfId="27467" xr:uid="{00000000-0005-0000-0000-000053500000}"/>
    <cellStyle name="Note 4 2 2 6 4" xfId="15874" xr:uid="{00000000-0005-0000-0000-000054500000}"/>
    <cellStyle name="Note 4 2 2 6 5" xfId="23266" xr:uid="{00000000-0005-0000-0000-000055500000}"/>
    <cellStyle name="Note 4 2 2 6 6" xfId="24756" xr:uid="{00000000-0005-0000-0000-000056500000}"/>
    <cellStyle name="Note 4 2 2 7" xfId="5659" xr:uid="{00000000-0005-0000-0000-000057500000}"/>
    <cellStyle name="Note 4 2 2 7 2" xfId="16556" xr:uid="{00000000-0005-0000-0000-000058500000}"/>
    <cellStyle name="Note 4 2 2 7 3" xfId="23659" xr:uid="{00000000-0005-0000-0000-000059500000}"/>
    <cellStyle name="Note 4 2 2 7 4" xfId="12443" xr:uid="{00000000-0005-0000-0000-00005A500000}"/>
    <cellStyle name="Note 4 2 2 8" xfId="10255" xr:uid="{00000000-0005-0000-0000-00005B500000}"/>
    <cellStyle name="Note 4 2 2 8 2" xfId="21152" xr:uid="{00000000-0005-0000-0000-00005C500000}"/>
    <cellStyle name="Note 4 2 2 8 3" xfId="25282" xr:uid="{00000000-0005-0000-0000-00005D500000}"/>
    <cellStyle name="Note 4 2 2 8 4" xfId="26799" xr:uid="{00000000-0005-0000-0000-00005E500000}"/>
    <cellStyle name="Note 4 2 2 9" xfId="23155" xr:uid="{00000000-0005-0000-0000-00005F500000}"/>
    <cellStyle name="Note 4 2 3" xfId="963" xr:uid="{00000000-0005-0000-0000-000060500000}"/>
    <cellStyle name="Note 4 2 3 2" xfId="2120" xr:uid="{00000000-0005-0000-0000-000061500000}"/>
    <cellStyle name="Note 4 2 3 2 2" xfId="4432" xr:uid="{00000000-0005-0000-0000-000062500000}"/>
    <cellStyle name="Note 4 2 3 2 2 2" xfId="9383" xr:uid="{00000000-0005-0000-0000-000063500000}"/>
    <cellStyle name="Note 4 2 3 2 2 2 2" xfId="20280" xr:uid="{00000000-0005-0000-0000-000064500000}"/>
    <cellStyle name="Note 4 2 3 2 2 2 3" xfId="24744" xr:uid="{00000000-0005-0000-0000-000065500000}"/>
    <cellStyle name="Note 4 2 3 2 2 2 4" xfId="26345" xr:uid="{00000000-0005-0000-0000-000066500000}"/>
    <cellStyle name="Note 4 2 3 2 2 3" xfId="10796" xr:uid="{00000000-0005-0000-0000-000067500000}"/>
    <cellStyle name="Note 4 2 3 2 2 3 2" xfId="21693" xr:uid="{00000000-0005-0000-0000-000068500000}"/>
    <cellStyle name="Note 4 2 3 2 2 3 3" xfId="25823" xr:uid="{00000000-0005-0000-0000-000069500000}"/>
    <cellStyle name="Note 4 2 3 2 2 3 4" xfId="27340" xr:uid="{00000000-0005-0000-0000-00006A500000}"/>
    <cellStyle name="Note 4 2 3 2 2 4" xfId="15329" xr:uid="{00000000-0005-0000-0000-00006B500000}"/>
    <cellStyle name="Note 4 2 3 2 2 5" xfId="23054" xr:uid="{00000000-0005-0000-0000-00006C500000}"/>
    <cellStyle name="Note 4 2 3 2 2 6" xfId="22330" xr:uid="{00000000-0005-0000-0000-00006D500000}"/>
    <cellStyle name="Note 4 2 3 2 3" xfId="5176" xr:uid="{00000000-0005-0000-0000-00006E500000}"/>
    <cellStyle name="Note 4 2 3 2 3 2" xfId="10127" xr:uid="{00000000-0005-0000-0000-00006F500000}"/>
    <cellStyle name="Note 4 2 3 2 3 2 2" xfId="21024" xr:uid="{00000000-0005-0000-0000-000070500000}"/>
    <cellStyle name="Note 4 2 3 2 3 2 3" xfId="25154" xr:uid="{00000000-0005-0000-0000-000071500000}"/>
    <cellStyle name="Note 4 2 3 2 3 2 4" xfId="26671" xr:uid="{00000000-0005-0000-0000-000072500000}"/>
    <cellStyle name="Note 4 2 3 2 3 3" xfId="11122" xr:uid="{00000000-0005-0000-0000-000073500000}"/>
    <cellStyle name="Note 4 2 3 2 3 3 2" xfId="22019" xr:uid="{00000000-0005-0000-0000-000074500000}"/>
    <cellStyle name="Note 4 2 3 2 3 3 3" xfId="26149" xr:uid="{00000000-0005-0000-0000-000075500000}"/>
    <cellStyle name="Note 4 2 3 2 3 3 4" xfId="27666" xr:uid="{00000000-0005-0000-0000-000076500000}"/>
    <cellStyle name="Note 4 2 3 2 3 4" xfId="16073" xr:uid="{00000000-0005-0000-0000-000077500000}"/>
    <cellStyle name="Note 4 2 3 2 3 5" xfId="23465" xr:uid="{00000000-0005-0000-0000-000078500000}"/>
    <cellStyle name="Note 4 2 3 2 3 6" xfId="22230" xr:uid="{00000000-0005-0000-0000-000079500000}"/>
    <cellStyle name="Note 4 2 3 2 4" xfId="7071" xr:uid="{00000000-0005-0000-0000-00007A500000}"/>
    <cellStyle name="Note 4 2 3 2 4 2" xfId="17968" xr:uid="{00000000-0005-0000-0000-00007B500000}"/>
    <cellStyle name="Note 4 2 3 2 4 3" xfId="24066" xr:uid="{00000000-0005-0000-0000-00007C500000}"/>
    <cellStyle name="Note 4 2 3 2 4 4" xfId="22113" xr:uid="{00000000-0005-0000-0000-00007D500000}"/>
    <cellStyle name="Note 4 2 3 2 5" xfId="10454" xr:uid="{00000000-0005-0000-0000-00007E500000}"/>
    <cellStyle name="Note 4 2 3 2 5 2" xfId="21351" xr:uid="{00000000-0005-0000-0000-00007F500000}"/>
    <cellStyle name="Note 4 2 3 2 5 3" xfId="25481" xr:uid="{00000000-0005-0000-0000-000080500000}"/>
    <cellStyle name="Note 4 2 3 2 5 4" xfId="26998" xr:uid="{00000000-0005-0000-0000-000081500000}"/>
    <cellStyle name="Note 4 2 3 2 6" xfId="22401" xr:uid="{00000000-0005-0000-0000-000082500000}"/>
    <cellStyle name="Note 4 2 3 2 7" xfId="22375" xr:uid="{00000000-0005-0000-0000-000083500000}"/>
    <cellStyle name="Note 4 2 3 3" xfId="3287" xr:uid="{00000000-0005-0000-0000-000084500000}"/>
    <cellStyle name="Note 4 2 3 3 2" xfId="8238" xr:uid="{00000000-0005-0000-0000-000085500000}"/>
    <cellStyle name="Note 4 2 3 3 2 2" xfId="19135" xr:uid="{00000000-0005-0000-0000-000086500000}"/>
    <cellStyle name="Note 4 2 3 3 2 3" xfId="24415" xr:uid="{00000000-0005-0000-0000-000087500000}"/>
    <cellStyle name="Note 4 2 3 3 2 4" xfId="24845" xr:uid="{00000000-0005-0000-0000-000088500000}"/>
    <cellStyle name="Note 4 2 3 3 3" xfId="10636" xr:uid="{00000000-0005-0000-0000-000089500000}"/>
    <cellStyle name="Note 4 2 3 3 3 2" xfId="21533" xr:uid="{00000000-0005-0000-0000-00008A500000}"/>
    <cellStyle name="Note 4 2 3 3 3 3" xfId="25663" xr:uid="{00000000-0005-0000-0000-00008B500000}"/>
    <cellStyle name="Note 4 2 3 3 3 4" xfId="27180" xr:uid="{00000000-0005-0000-0000-00008C500000}"/>
    <cellStyle name="Note 4 2 3 3 4" xfId="14184" xr:uid="{00000000-0005-0000-0000-00008D500000}"/>
    <cellStyle name="Note 4 2 3 3 5" xfId="22724" xr:uid="{00000000-0005-0000-0000-00008E500000}"/>
    <cellStyle name="Note 4 2 3 3 6" xfId="22162" xr:uid="{00000000-0005-0000-0000-00008F500000}"/>
    <cellStyle name="Note 4 2 3 4" xfId="5017" xr:uid="{00000000-0005-0000-0000-000090500000}"/>
    <cellStyle name="Note 4 2 3 4 2" xfId="9968" xr:uid="{00000000-0005-0000-0000-000091500000}"/>
    <cellStyle name="Note 4 2 3 4 2 2" xfId="20865" xr:uid="{00000000-0005-0000-0000-000092500000}"/>
    <cellStyle name="Note 4 2 3 4 2 3" xfId="24995" xr:uid="{00000000-0005-0000-0000-000093500000}"/>
    <cellStyle name="Note 4 2 3 4 2 4" xfId="26512" xr:uid="{00000000-0005-0000-0000-000094500000}"/>
    <cellStyle name="Note 4 2 3 4 3" xfId="10963" xr:uid="{00000000-0005-0000-0000-000095500000}"/>
    <cellStyle name="Note 4 2 3 4 3 2" xfId="21860" xr:uid="{00000000-0005-0000-0000-000096500000}"/>
    <cellStyle name="Note 4 2 3 4 3 3" xfId="25990" xr:uid="{00000000-0005-0000-0000-000097500000}"/>
    <cellStyle name="Note 4 2 3 4 3 4" xfId="27507" xr:uid="{00000000-0005-0000-0000-000098500000}"/>
    <cellStyle name="Note 4 2 3 4 4" xfId="15914" xr:uid="{00000000-0005-0000-0000-000099500000}"/>
    <cellStyle name="Note 4 2 3 4 5" xfId="23306" xr:uid="{00000000-0005-0000-0000-00009A500000}"/>
    <cellStyle name="Note 4 2 3 4 6" xfId="24675" xr:uid="{00000000-0005-0000-0000-00009B500000}"/>
    <cellStyle name="Note 4 2 3 5" xfId="5926" xr:uid="{00000000-0005-0000-0000-00009C500000}"/>
    <cellStyle name="Note 4 2 3 5 2" xfId="16823" xr:uid="{00000000-0005-0000-0000-00009D500000}"/>
    <cellStyle name="Note 4 2 3 5 3" xfId="23737" xr:uid="{00000000-0005-0000-0000-00009E500000}"/>
    <cellStyle name="Note 4 2 3 5 4" xfId="22337" xr:uid="{00000000-0005-0000-0000-00009F500000}"/>
    <cellStyle name="Note 4 2 3 6" xfId="10295" xr:uid="{00000000-0005-0000-0000-0000A0500000}"/>
    <cellStyle name="Note 4 2 3 6 2" xfId="21192" xr:uid="{00000000-0005-0000-0000-0000A1500000}"/>
    <cellStyle name="Note 4 2 3 6 3" xfId="25322" xr:uid="{00000000-0005-0000-0000-0000A2500000}"/>
    <cellStyle name="Note 4 2 3 6 4" xfId="26839" xr:uid="{00000000-0005-0000-0000-0000A3500000}"/>
    <cellStyle name="Note 4 2 3 7" xfId="22169" xr:uid="{00000000-0005-0000-0000-0000A4500000}"/>
    <cellStyle name="Note 4 2 4" xfId="1358" xr:uid="{00000000-0005-0000-0000-0000A5500000}"/>
    <cellStyle name="Note 4 2 4 2" xfId="2515" xr:uid="{00000000-0005-0000-0000-0000A6500000}"/>
    <cellStyle name="Note 4 2 4 2 2" xfId="4827" xr:uid="{00000000-0005-0000-0000-0000A7500000}"/>
    <cellStyle name="Note 4 2 4 2 2 2" xfId="9778" xr:uid="{00000000-0005-0000-0000-0000A8500000}"/>
    <cellStyle name="Note 4 2 4 2 2 2 2" xfId="20675" xr:uid="{00000000-0005-0000-0000-0000A9500000}"/>
    <cellStyle name="Note 4 2 4 2 2 2 3" xfId="24863" xr:uid="{00000000-0005-0000-0000-0000AA500000}"/>
    <cellStyle name="Note 4 2 4 2 2 2 4" xfId="26405" xr:uid="{00000000-0005-0000-0000-0000AB500000}"/>
    <cellStyle name="Note 4 2 4 2 2 3" xfId="10856" xr:uid="{00000000-0005-0000-0000-0000AC500000}"/>
    <cellStyle name="Note 4 2 4 2 2 3 2" xfId="21753" xr:uid="{00000000-0005-0000-0000-0000AD500000}"/>
    <cellStyle name="Note 4 2 4 2 2 3 3" xfId="25883" xr:uid="{00000000-0005-0000-0000-0000AE500000}"/>
    <cellStyle name="Note 4 2 4 2 2 3 4" xfId="27400" xr:uid="{00000000-0005-0000-0000-0000AF500000}"/>
    <cellStyle name="Note 4 2 4 2 2 4" xfId="15724" xr:uid="{00000000-0005-0000-0000-0000B0500000}"/>
    <cellStyle name="Note 4 2 4 2 2 5" xfId="23177" xr:uid="{00000000-0005-0000-0000-0000B1500000}"/>
    <cellStyle name="Note 4 2 4 2 2 6" xfId="24664" xr:uid="{00000000-0005-0000-0000-0000B2500000}"/>
    <cellStyle name="Note 4 2 4 2 3" xfId="5236" xr:uid="{00000000-0005-0000-0000-0000B3500000}"/>
    <cellStyle name="Note 4 2 4 2 3 2" xfId="10187" xr:uid="{00000000-0005-0000-0000-0000B4500000}"/>
    <cellStyle name="Note 4 2 4 2 3 2 2" xfId="21084" xr:uid="{00000000-0005-0000-0000-0000B5500000}"/>
    <cellStyle name="Note 4 2 4 2 3 2 3" xfId="25214" xr:uid="{00000000-0005-0000-0000-0000B6500000}"/>
    <cellStyle name="Note 4 2 4 2 3 2 4" xfId="26731" xr:uid="{00000000-0005-0000-0000-0000B7500000}"/>
    <cellStyle name="Note 4 2 4 2 3 3" xfId="11182" xr:uid="{00000000-0005-0000-0000-0000B8500000}"/>
    <cellStyle name="Note 4 2 4 2 3 3 2" xfId="22079" xr:uid="{00000000-0005-0000-0000-0000B9500000}"/>
    <cellStyle name="Note 4 2 4 2 3 3 3" xfId="26209" xr:uid="{00000000-0005-0000-0000-0000BA500000}"/>
    <cellStyle name="Note 4 2 4 2 3 3 4" xfId="27726" xr:uid="{00000000-0005-0000-0000-0000BB500000}"/>
    <cellStyle name="Note 4 2 4 2 3 4" xfId="16133" xr:uid="{00000000-0005-0000-0000-0000BC500000}"/>
    <cellStyle name="Note 4 2 4 2 3 5" xfId="23525" xr:uid="{00000000-0005-0000-0000-0000BD500000}"/>
    <cellStyle name="Note 4 2 4 2 3 6" xfId="24596" xr:uid="{00000000-0005-0000-0000-0000BE500000}"/>
    <cellStyle name="Note 4 2 4 2 4" xfId="7466" xr:uid="{00000000-0005-0000-0000-0000BF500000}"/>
    <cellStyle name="Note 4 2 4 2 4 2" xfId="18363" xr:uid="{00000000-0005-0000-0000-0000C0500000}"/>
    <cellStyle name="Note 4 2 4 2 4 3" xfId="24185" xr:uid="{00000000-0005-0000-0000-0000C1500000}"/>
    <cellStyle name="Note 4 2 4 2 4 4" xfId="24889" xr:uid="{00000000-0005-0000-0000-0000C2500000}"/>
    <cellStyle name="Note 4 2 4 2 5" xfId="10514" xr:uid="{00000000-0005-0000-0000-0000C3500000}"/>
    <cellStyle name="Note 4 2 4 2 5 2" xfId="21411" xr:uid="{00000000-0005-0000-0000-0000C4500000}"/>
    <cellStyle name="Note 4 2 4 2 5 3" xfId="25541" xr:uid="{00000000-0005-0000-0000-0000C5500000}"/>
    <cellStyle name="Note 4 2 4 2 5 4" xfId="27058" xr:uid="{00000000-0005-0000-0000-0000C6500000}"/>
    <cellStyle name="Note 4 2 4 2 6" xfId="22480" xr:uid="{00000000-0005-0000-0000-0000C7500000}"/>
    <cellStyle name="Note 4 2 4 2 7" xfId="22164" xr:uid="{00000000-0005-0000-0000-0000C8500000}"/>
    <cellStyle name="Note 4 2 4 3" xfId="3682" xr:uid="{00000000-0005-0000-0000-0000C9500000}"/>
    <cellStyle name="Note 4 2 4 3 2" xfId="8633" xr:uid="{00000000-0005-0000-0000-0000CA500000}"/>
    <cellStyle name="Note 4 2 4 3 2 2" xfId="19530" xr:uid="{00000000-0005-0000-0000-0000CB500000}"/>
    <cellStyle name="Note 4 2 4 3 2 3" xfId="24527" xr:uid="{00000000-0005-0000-0000-0000CC500000}"/>
    <cellStyle name="Note 4 2 4 3 2 4" xfId="26245" xr:uid="{00000000-0005-0000-0000-0000CD500000}"/>
    <cellStyle name="Note 4 2 4 3 3" xfId="10696" xr:uid="{00000000-0005-0000-0000-0000CE500000}"/>
    <cellStyle name="Note 4 2 4 3 3 2" xfId="21593" xr:uid="{00000000-0005-0000-0000-0000CF500000}"/>
    <cellStyle name="Note 4 2 4 3 3 3" xfId="25723" xr:uid="{00000000-0005-0000-0000-0000D0500000}"/>
    <cellStyle name="Note 4 2 4 3 3 4" xfId="27240" xr:uid="{00000000-0005-0000-0000-0000D1500000}"/>
    <cellStyle name="Note 4 2 4 3 4" xfId="14579" xr:uid="{00000000-0005-0000-0000-0000D2500000}"/>
    <cellStyle name="Note 4 2 4 3 5" xfId="22839" xr:uid="{00000000-0005-0000-0000-0000D3500000}"/>
    <cellStyle name="Note 4 2 4 3 6" xfId="23712" xr:uid="{00000000-0005-0000-0000-0000D4500000}"/>
    <cellStyle name="Note 4 2 4 4" xfId="5077" xr:uid="{00000000-0005-0000-0000-0000D5500000}"/>
    <cellStyle name="Note 4 2 4 4 2" xfId="10028" xr:uid="{00000000-0005-0000-0000-0000D6500000}"/>
    <cellStyle name="Note 4 2 4 4 2 2" xfId="20925" xr:uid="{00000000-0005-0000-0000-0000D7500000}"/>
    <cellStyle name="Note 4 2 4 4 2 3" xfId="25055" xr:uid="{00000000-0005-0000-0000-0000D8500000}"/>
    <cellStyle name="Note 4 2 4 4 2 4" xfId="26572" xr:uid="{00000000-0005-0000-0000-0000D9500000}"/>
    <cellStyle name="Note 4 2 4 4 3" xfId="11023" xr:uid="{00000000-0005-0000-0000-0000DA500000}"/>
    <cellStyle name="Note 4 2 4 4 3 2" xfId="21920" xr:uid="{00000000-0005-0000-0000-0000DB500000}"/>
    <cellStyle name="Note 4 2 4 4 3 3" xfId="26050" xr:uid="{00000000-0005-0000-0000-0000DC500000}"/>
    <cellStyle name="Note 4 2 4 4 3 4" xfId="27567" xr:uid="{00000000-0005-0000-0000-0000DD500000}"/>
    <cellStyle name="Note 4 2 4 4 4" xfId="15974" xr:uid="{00000000-0005-0000-0000-0000DE500000}"/>
    <cellStyle name="Note 4 2 4 4 5" xfId="23366" xr:uid="{00000000-0005-0000-0000-0000DF500000}"/>
    <cellStyle name="Note 4 2 4 4 6" xfId="24742" xr:uid="{00000000-0005-0000-0000-0000E0500000}"/>
    <cellStyle name="Note 4 2 4 5" xfId="6321" xr:uid="{00000000-0005-0000-0000-0000E1500000}"/>
    <cellStyle name="Note 4 2 4 5 2" xfId="17218" xr:uid="{00000000-0005-0000-0000-0000E2500000}"/>
    <cellStyle name="Note 4 2 4 5 3" xfId="23852" xr:uid="{00000000-0005-0000-0000-0000E3500000}"/>
    <cellStyle name="Note 4 2 4 5 4" xfId="22504" xr:uid="{00000000-0005-0000-0000-0000E4500000}"/>
    <cellStyle name="Note 4 2 4 6" xfId="10355" xr:uid="{00000000-0005-0000-0000-0000E5500000}"/>
    <cellStyle name="Note 4 2 4 6 2" xfId="21252" xr:uid="{00000000-0005-0000-0000-0000E6500000}"/>
    <cellStyle name="Note 4 2 4 6 3" xfId="25382" xr:uid="{00000000-0005-0000-0000-0000E7500000}"/>
    <cellStyle name="Note 4 2 4 6 4" xfId="26899" xr:uid="{00000000-0005-0000-0000-0000E8500000}"/>
    <cellStyle name="Note 4 2 4 7" xfId="22905" xr:uid="{00000000-0005-0000-0000-0000E9500000}"/>
    <cellStyle name="Note 4 2 5" xfId="1636" xr:uid="{00000000-0005-0000-0000-0000EA500000}"/>
    <cellStyle name="Note 4 2 5 2" xfId="3948" xr:uid="{00000000-0005-0000-0000-0000EB500000}"/>
    <cellStyle name="Note 4 2 5 2 2" xfId="8899" xr:uid="{00000000-0005-0000-0000-0000EC500000}"/>
    <cellStyle name="Note 4 2 5 2 2 2" xfId="19796" xr:uid="{00000000-0005-0000-0000-0000ED500000}"/>
    <cellStyle name="Note 4 2 5 2 2 3" xfId="24637" xr:uid="{00000000-0005-0000-0000-0000EE500000}"/>
    <cellStyle name="Note 4 2 5 2 2 4" xfId="26313" xr:uid="{00000000-0005-0000-0000-0000EF500000}"/>
    <cellStyle name="Note 4 2 5 2 3" xfId="10764" xr:uid="{00000000-0005-0000-0000-0000F0500000}"/>
    <cellStyle name="Note 4 2 5 2 3 2" xfId="21661" xr:uid="{00000000-0005-0000-0000-0000F1500000}"/>
    <cellStyle name="Note 4 2 5 2 3 3" xfId="25791" xr:uid="{00000000-0005-0000-0000-0000F2500000}"/>
    <cellStyle name="Note 4 2 5 2 3 4" xfId="27308" xr:uid="{00000000-0005-0000-0000-0000F3500000}"/>
    <cellStyle name="Note 4 2 5 2 4" xfId="14845" xr:uid="{00000000-0005-0000-0000-0000F4500000}"/>
    <cellStyle name="Note 4 2 5 2 5" xfId="22950" xr:uid="{00000000-0005-0000-0000-0000F5500000}"/>
    <cellStyle name="Note 4 2 5 2 6" xfId="23637" xr:uid="{00000000-0005-0000-0000-0000F6500000}"/>
    <cellStyle name="Note 4 2 5 3" xfId="5144" xr:uid="{00000000-0005-0000-0000-0000F7500000}"/>
    <cellStyle name="Note 4 2 5 3 2" xfId="10095" xr:uid="{00000000-0005-0000-0000-0000F8500000}"/>
    <cellStyle name="Note 4 2 5 3 2 2" xfId="20992" xr:uid="{00000000-0005-0000-0000-0000F9500000}"/>
    <cellStyle name="Note 4 2 5 3 2 3" xfId="25122" xr:uid="{00000000-0005-0000-0000-0000FA500000}"/>
    <cellStyle name="Note 4 2 5 3 2 4" xfId="26639" xr:uid="{00000000-0005-0000-0000-0000FB500000}"/>
    <cellStyle name="Note 4 2 5 3 3" xfId="11090" xr:uid="{00000000-0005-0000-0000-0000FC500000}"/>
    <cellStyle name="Note 4 2 5 3 3 2" xfId="21987" xr:uid="{00000000-0005-0000-0000-0000FD500000}"/>
    <cellStyle name="Note 4 2 5 3 3 3" xfId="26117" xr:uid="{00000000-0005-0000-0000-0000FE500000}"/>
    <cellStyle name="Note 4 2 5 3 3 4" xfId="27634" xr:uid="{00000000-0005-0000-0000-0000FF500000}"/>
    <cellStyle name="Note 4 2 5 3 4" xfId="16041" xr:uid="{00000000-0005-0000-0000-000000510000}"/>
    <cellStyle name="Note 4 2 5 3 5" xfId="23433" xr:uid="{00000000-0005-0000-0000-000001510000}"/>
    <cellStyle name="Note 4 2 5 3 6" xfId="23200" xr:uid="{00000000-0005-0000-0000-000002510000}"/>
    <cellStyle name="Note 4 2 5 4" xfId="6587" xr:uid="{00000000-0005-0000-0000-000003510000}"/>
    <cellStyle name="Note 4 2 5 4 2" xfId="17484" xr:uid="{00000000-0005-0000-0000-000004510000}"/>
    <cellStyle name="Note 4 2 5 4 3" xfId="23965" xr:uid="{00000000-0005-0000-0000-000005510000}"/>
    <cellStyle name="Note 4 2 5 4 4" xfId="22425" xr:uid="{00000000-0005-0000-0000-000006510000}"/>
    <cellStyle name="Note 4 2 5 5" xfId="10422" xr:uid="{00000000-0005-0000-0000-000007510000}"/>
    <cellStyle name="Note 4 2 5 5 2" xfId="21319" xr:uid="{00000000-0005-0000-0000-000008510000}"/>
    <cellStyle name="Note 4 2 5 5 3" xfId="25449" xr:uid="{00000000-0005-0000-0000-000009510000}"/>
    <cellStyle name="Note 4 2 5 5 4" xfId="26966" xr:uid="{00000000-0005-0000-0000-00000A510000}"/>
    <cellStyle name="Note 4 2 5 6" xfId="22318" xr:uid="{00000000-0005-0000-0000-00000B510000}"/>
    <cellStyle name="Note 4 2 5 7" xfId="24681" xr:uid="{00000000-0005-0000-0000-00000C510000}"/>
    <cellStyle name="Note 4 2 6" xfId="2755" xr:uid="{00000000-0005-0000-0000-00000D510000}"/>
    <cellStyle name="Note 4 2 6 2" xfId="7706" xr:uid="{00000000-0005-0000-0000-00000E510000}"/>
    <cellStyle name="Note 4 2 6 2 2" xfId="18603" xr:uid="{00000000-0005-0000-0000-00000F510000}"/>
    <cellStyle name="Note 4 2 6 2 3" xfId="24269" xr:uid="{00000000-0005-0000-0000-000010510000}"/>
    <cellStyle name="Note 4 2 6 2 4" xfId="22752" xr:uid="{00000000-0005-0000-0000-000011510000}"/>
    <cellStyle name="Note 4 2 6 3" xfId="10556" xr:uid="{00000000-0005-0000-0000-000012510000}"/>
    <cellStyle name="Note 4 2 6 3 2" xfId="21453" xr:uid="{00000000-0005-0000-0000-000013510000}"/>
    <cellStyle name="Note 4 2 6 3 3" xfId="25583" xr:uid="{00000000-0005-0000-0000-000014510000}"/>
    <cellStyle name="Note 4 2 6 3 4" xfId="27100" xr:uid="{00000000-0005-0000-0000-000015510000}"/>
    <cellStyle name="Note 4 2 6 4" xfId="13652" xr:uid="{00000000-0005-0000-0000-000016510000}"/>
    <cellStyle name="Note 4 2 6 5" xfId="22569" xr:uid="{00000000-0005-0000-0000-000017510000}"/>
    <cellStyle name="Note 4 2 6 6" xfId="24095" xr:uid="{00000000-0005-0000-0000-000018510000}"/>
    <cellStyle name="Note 4 2 7" xfId="4937" xr:uid="{00000000-0005-0000-0000-000019510000}"/>
    <cellStyle name="Note 4 2 7 2" xfId="9888" xr:uid="{00000000-0005-0000-0000-00001A510000}"/>
    <cellStyle name="Note 4 2 7 2 2" xfId="20785" xr:uid="{00000000-0005-0000-0000-00001B510000}"/>
    <cellStyle name="Note 4 2 7 2 3" xfId="24915" xr:uid="{00000000-0005-0000-0000-00001C510000}"/>
    <cellStyle name="Note 4 2 7 2 4" xfId="26432" xr:uid="{00000000-0005-0000-0000-00001D510000}"/>
    <cellStyle name="Note 4 2 7 3" xfId="10883" xr:uid="{00000000-0005-0000-0000-00001E510000}"/>
    <cellStyle name="Note 4 2 7 3 2" xfId="21780" xr:uid="{00000000-0005-0000-0000-00001F510000}"/>
    <cellStyle name="Note 4 2 7 3 3" xfId="25910" xr:uid="{00000000-0005-0000-0000-000020510000}"/>
    <cellStyle name="Note 4 2 7 3 4" xfId="27427" xr:uid="{00000000-0005-0000-0000-000021510000}"/>
    <cellStyle name="Note 4 2 7 4" xfId="15834" xr:uid="{00000000-0005-0000-0000-000022510000}"/>
    <cellStyle name="Note 4 2 7 5" xfId="23226" xr:uid="{00000000-0005-0000-0000-000023510000}"/>
    <cellStyle name="Note 4 2 7 6" xfId="22541" xr:uid="{00000000-0005-0000-0000-000024510000}"/>
    <cellStyle name="Note 4 2 8" xfId="5394" xr:uid="{00000000-0005-0000-0000-000025510000}"/>
    <cellStyle name="Note 4 2 8 2" xfId="16291" xr:uid="{00000000-0005-0000-0000-000026510000}"/>
    <cellStyle name="Note 4 2 8 3" xfId="23588" xr:uid="{00000000-0005-0000-0000-000027510000}"/>
    <cellStyle name="Note 4 2 8 4" xfId="11270" xr:uid="{00000000-0005-0000-0000-000028510000}"/>
    <cellStyle name="Note 4 2 9" xfId="10215" xr:uid="{00000000-0005-0000-0000-000029510000}"/>
    <cellStyle name="Note 4 2 9 2" xfId="21112" xr:uid="{00000000-0005-0000-0000-00002A510000}"/>
    <cellStyle name="Note 4 2 9 3" xfId="25242" xr:uid="{00000000-0005-0000-0000-00002B510000}"/>
    <cellStyle name="Note 4 2 9 4" xfId="26759" xr:uid="{00000000-0005-0000-0000-00002C510000}"/>
    <cellStyle name="Note 4 3" xfId="616" xr:uid="{00000000-0005-0000-0000-00002D510000}"/>
    <cellStyle name="Note 4 3 2" xfId="1148" xr:uid="{00000000-0005-0000-0000-00002E510000}"/>
    <cellStyle name="Note 4 3 2 2" xfId="2305" xr:uid="{00000000-0005-0000-0000-00002F510000}"/>
    <cellStyle name="Note 4 3 2 2 2" xfId="4617" xr:uid="{00000000-0005-0000-0000-000030510000}"/>
    <cellStyle name="Note 4 3 2 2 2 2" xfId="9568" xr:uid="{00000000-0005-0000-0000-000031510000}"/>
    <cellStyle name="Note 4 3 2 2 2 2 2" xfId="20465" xr:uid="{00000000-0005-0000-0000-000032510000}"/>
    <cellStyle name="Note 4 3 2 2 2 2 3" xfId="24798" xr:uid="{00000000-0005-0000-0000-000033510000}"/>
    <cellStyle name="Note 4 3 2 2 2 2 4" xfId="26375" xr:uid="{00000000-0005-0000-0000-000034510000}"/>
    <cellStyle name="Note 4 3 2 2 2 3" xfId="10826" xr:uid="{00000000-0005-0000-0000-000035510000}"/>
    <cellStyle name="Note 4 3 2 2 2 3 2" xfId="21723" xr:uid="{00000000-0005-0000-0000-000036510000}"/>
    <cellStyle name="Note 4 3 2 2 2 3 3" xfId="25853" xr:uid="{00000000-0005-0000-0000-000037510000}"/>
    <cellStyle name="Note 4 3 2 2 2 3 4" xfId="27370" xr:uid="{00000000-0005-0000-0000-000038510000}"/>
    <cellStyle name="Note 4 3 2 2 2 4" xfId="15514" xr:uid="{00000000-0005-0000-0000-000039510000}"/>
    <cellStyle name="Note 4 3 2 2 2 5" xfId="23111" xr:uid="{00000000-0005-0000-0000-00003A510000}"/>
    <cellStyle name="Note 4 3 2 2 2 6" xfId="22542" xr:uid="{00000000-0005-0000-0000-00003B510000}"/>
    <cellStyle name="Note 4 3 2 2 3" xfId="5206" xr:uid="{00000000-0005-0000-0000-00003C510000}"/>
    <cellStyle name="Note 4 3 2 2 3 2" xfId="10157" xr:uid="{00000000-0005-0000-0000-00003D510000}"/>
    <cellStyle name="Note 4 3 2 2 3 2 2" xfId="21054" xr:uid="{00000000-0005-0000-0000-00003E510000}"/>
    <cellStyle name="Note 4 3 2 2 3 2 3" xfId="25184" xr:uid="{00000000-0005-0000-0000-00003F510000}"/>
    <cellStyle name="Note 4 3 2 2 3 2 4" xfId="26701" xr:uid="{00000000-0005-0000-0000-000040510000}"/>
    <cellStyle name="Note 4 3 2 2 3 3" xfId="11152" xr:uid="{00000000-0005-0000-0000-000041510000}"/>
    <cellStyle name="Note 4 3 2 2 3 3 2" xfId="22049" xr:uid="{00000000-0005-0000-0000-000042510000}"/>
    <cellStyle name="Note 4 3 2 2 3 3 3" xfId="26179" xr:uid="{00000000-0005-0000-0000-000043510000}"/>
    <cellStyle name="Note 4 3 2 2 3 3 4" xfId="27696" xr:uid="{00000000-0005-0000-0000-000044510000}"/>
    <cellStyle name="Note 4 3 2 2 3 4" xfId="16103" xr:uid="{00000000-0005-0000-0000-000045510000}"/>
    <cellStyle name="Note 4 3 2 2 3 5" xfId="23495" xr:uid="{00000000-0005-0000-0000-000046510000}"/>
    <cellStyle name="Note 4 3 2 2 3 6" xfId="22476" xr:uid="{00000000-0005-0000-0000-000047510000}"/>
    <cellStyle name="Note 4 3 2 2 4" xfId="7256" xr:uid="{00000000-0005-0000-0000-000048510000}"/>
    <cellStyle name="Note 4 3 2 2 4 2" xfId="18153" xr:uid="{00000000-0005-0000-0000-000049510000}"/>
    <cellStyle name="Note 4 3 2 2 4 3" xfId="24124" xr:uid="{00000000-0005-0000-0000-00004A510000}"/>
    <cellStyle name="Note 4 3 2 2 4 4" xfId="24500" xr:uid="{00000000-0005-0000-0000-00004B510000}"/>
    <cellStyle name="Note 4 3 2 2 5" xfId="10484" xr:uid="{00000000-0005-0000-0000-00004C510000}"/>
    <cellStyle name="Note 4 3 2 2 5 2" xfId="21381" xr:uid="{00000000-0005-0000-0000-00004D510000}"/>
    <cellStyle name="Note 4 3 2 2 5 3" xfId="25511" xr:uid="{00000000-0005-0000-0000-00004E510000}"/>
    <cellStyle name="Note 4 3 2 2 5 4" xfId="27028" xr:uid="{00000000-0005-0000-0000-00004F510000}"/>
    <cellStyle name="Note 4 3 2 2 6" xfId="22437" xr:uid="{00000000-0005-0000-0000-000050510000}"/>
    <cellStyle name="Note 4 3 2 2 7" xfId="24765" xr:uid="{00000000-0005-0000-0000-000051510000}"/>
    <cellStyle name="Note 4 3 2 3" xfId="3472" xr:uid="{00000000-0005-0000-0000-000052510000}"/>
    <cellStyle name="Note 4 3 2 3 2" xfId="8423" xr:uid="{00000000-0005-0000-0000-000053510000}"/>
    <cellStyle name="Note 4 3 2 3 2 2" xfId="19320" xr:uid="{00000000-0005-0000-0000-000054510000}"/>
    <cellStyle name="Note 4 3 2 3 2 3" xfId="24476" xr:uid="{00000000-0005-0000-0000-000055510000}"/>
    <cellStyle name="Note 4 3 2 3 2 4" xfId="13038" xr:uid="{00000000-0005-0000-0000-000056510000}"/>
    <cellStyle name="Note 4 3 2 3 3" xfId="10666" xr:uid="{00000000-0005-0000-0000-000057510000}"/>
    <cellStyle name="Note 4 3 2 3 3 2" xfId="21563" xr:uid="{00000000-0005-0000-0000-000058510000}"/>
    <cellStyle name="Note 4 3 2 3 3 3" xfId="25693" xr:uid="{00000000-0005-0000-0000-000059510000}"/>
    <cellStyle name="Note 4 3 2 3 3 4" xfId="27210" xr:uid="{00000000-0005-0000-0000-00005A510000}"/>
    <cellStyle name="Note 4 3 2 3 4" xfId="14369" xr:uid="{00000000-0005-0000-0000-00005B510000}"/>
    <cellStyle name="Note 4 3 2 3 5" xfId="22784" xr:uid="{00000000-0005-0000-0000-00005C510000}"/>
    <cellStyle name="Note 4 3 2 3 6" xfId="23839" xr:uid="{00000000-0005-0000-0000-00005D510000}"/>
    <cellStyle name="Note 4 3 2 4" xfId="5047" xr:uid="{00000000-0005-0000-0000-00005E510000}"/>
    <cellStyle name="Note 4 3 2 4 2" xfId="9998" xr:uid="{00000000-0005-0000-0000-00005F510000}"/>
    <cellStyle name="Note 4 3 2 4 2 2" xfId="20895" xr:uid="{00000000-0005-0000-0000-000060510000}"/>
    <cellStyle name="Note 4 3 2 4 2 3" xfId="25025" xr:uid="{00000000-0005-0000-0000-000061510000}"/>
    <cellStyle name="Note 4 3 2 4 2 4" xfId="26542" xr:uid="{00000000-0005-0000-0000-000062510000}"/>
    <cellStyle name="Note 4 3 2 4 3" xfId="10993" xr:uid="{00000000-0005-0000-0000-000063510000}"/>
    <cellStyle name="Note 4 3 2 4 3 2" xfId="21890" xr:uid="{00000000-0005-0000-0000-000064510000}"/>
    <cellStyle name="Note 4 3 2 4 3 3" xfId="26020" xr:uid="{00000000-0005-0000-0000-000065510000}"/>
    <cellStyle name="Note 4 3 2 4 3 4" xfId="27537" xr:uid="{00000000-0005-0000-0000-000066510000}"/>
    <cellStyle name="Note 4 3 2 4 4" xfId="15944" xr:uid="{00000000-0005-0000-0000-000067510000}"/>
    <cellStyle name="Note 4 3 2 4 5" xfId="23336" xr:uid="{00000000-0005-0000-0000-000068510000}"/>
    <cellStyle name="Note 4 3 2 4 6" xfId="24016" xr:uid="{00000000-0005-0000-0000-000069510000}"/>
    <cellStyle name="Note 4 3 2 5" xfId="6111" xr:uid="{00000000-0005-0000-0000-00006A510000}"/>
    <cellStyle name="Note 4 3 2 5 2" xfId="17008" xr:uid="{00000000-0005-0000-0000-00006B510000}"/>
    <cellStyle name="Note 4 3 2 5 3" xfId="23799" xr:uid="{00000000-0005-0000-0000-00006C510000}"/>
    <cellStyle name="Note 4 3 2 5 4" xfId="22174" xr:uid="{00000000-0005-0000-0000-00006D510000}"/>
    <cellStyle name="Note 4 3 2 6" xfId="10325" xr:uid="{00000000-0005-0000-0000-00006E510000}"/>
    <cellStyle name="Note 4 3 2 6 2" xfId="21222" xr:uid="{00000000-0005-0000-0000-00006F510000}"/>
    <cellStyle name="Note 4 3 2 6 3" xfId="25352" xr:uid="{00000000-0005-0000-0000-000070510000}"/>
    <cellStyle name="Note 4 3 2 6 4" xfId="26869" xr:uid="{00000000-0005-0000-0000-000071510000}"/>
    <cellStyle name="Note 4 3 2 7" xfId="24611" xr:uid="{00000000-0005-0000-0000-000072510000}"/>
    <cellStyle name="Note 4 3 3" xfId="1388" xr:uid="{00000000-0005-0000-0000-000073510000}"/>
    <cellStyle name="Note 4 3 3 2" xfId="2521" xr:uid="{00000000-0005-0000-0000-000074510000}"/>
    <cellStyle name="Note 4 3 3 2 2" xfId="4833" xr:uid="{00000000-0005-0000-0000-000075510000}"/>
    <cellStyle name="Note 4 3 3 2 2 2" xfId="9784" xr:uid="{00000000-0005-0000-0000-000076510000}"/>
    <cellStyle name="Note 4 3 3 2 2 2 2" xfId="20681" xr:uid="{00000000-0005-0000-0000-000077510000}"/>
    <cellStyle name="Note 4 3 3 2 2 2 3" xfId="24869" xr:uid="{00000000-0005-0000-0000-000078510000}"/>
    <cellStyle name="Note 4 3 3 2 2 2 4" xfId="26411" xr:uid="{00000000-0005-0000-0000-000079510000}"/>
    <cellStyle name="Note 4 3 3 2 2 3" xfId="10862" xr:uid="{00000000-0005-0000-0000-00007A510000}"/>
    <cellStyle name="Note 4 3 3 2 2 3 2" xfId="21759" xr:uid="{00000000-0005-0000-0000-00007B510000}"/>
    <cellStyle name="Note 4 3 3 2 2 3 3" xfId="25889" xr:uid="{00000000-0005-0000-0000-00007C510000}"/>
    <cellStyle name="Note 4 3 3 2 2 3 4" xfId="27406" xr:uid="{00000000-0005-0000-0000-00007D510000}"/>
    <cellStyle name="Note 4 3 3 2 2 4" xfId="15730" xr:uid="{00000000-0005-0000-0000-00007E510000}"/>
    <cellStyle name="Note 4 3 3 2 2 5" xfId="23183" xr:uid="{00000000-0005-0000-0000-00007F510000}"/>
    <cellStyle name="Note 4 3 3 2 2 6" xfId="24116" xr:uid="{00000000-0005-0000-0000-000080510000}"/>
    <cellStyle name="Note 4 3 3 2 3" xfId="5242" xr:uid="{00000000-0005-0000-0000-000081510000}"/>
    <cellStyle name="Note 4 3 3 2 3 2" xfId="10193" xr:uid="{00000000-0005-0000-0000-000082510000}"/>
    <cellStyle name="Note 4 3 3 2 3 2 2" xfId="21090" xr:uid="{00000000-0005-0000-0000-000083510000}"/>
    <cellStyle name="Note 4 3 3 2 3 2 3" xfId="25220" xr:uid="{00000000-0005-0000-0000-000084510000}"/>
    <cellStyle name="Note 4 3 3 2 3 2 4" xfId="26737" xr:uid="{00000000-0005-0000-0000-000085510000}"/>
    <cellStyle name="Note 4 3 3 2 3 3" xfId="11188" xr:uid="{00000000-0005-0000-0000-000086510000}"/>
    <cellStyle name="Note 4 3 3 2 3 3 2" xfId="22085" xr:uid="{00000000-0005-0000-0000-000087510000}"/>
    <cellStyle name="Note 4 3 3 2 3 3 3" xfId="26215" xr:uid="{00000000-0005-0000-0000-000088510000}"/>
    <cellStyle name="Note 4 3 3 2 3 3 4" xfId="27732" xr:uid="{00000000-0005-0000-0000-000089510000}"/>
    <cellStyle name="Note 4 3 3 2 3 4" xfId="16139" xr:uid="{00000000-0005-0000-0000-00008A510000}"/>
    <cellStyle name="Note 4 3 3 2 3 5" xfId="23531" xr:uid="{00000000-0005-0000-0000-00008B510000}"/>
    <cellStyle name="Note 4 3 3 2 3 6" xfId="22273" xr:uid="{00000000-0005-0000-0000-00008C510000}"/>
    <cellStyle name="Note 4 3 3 2 4" xfId="7472" xr:uid="{00000000-0005-0000-0000-00008D510000}"/>
    <cellStyle name="Note 4 3 3 2 4 2" xfId="18369" xr:uid="{00000000-0005-0000-0000-00008E510000}"/>
    <cellStyle name="Note 4 3 3 2 4 3" xfId="24191" xr:uid="{00000000-0005-0000-0000-00008F510000}"/>
    <cellStyle name="Note 4 3 3 2 4 4" xfId="22901" xr:uid="{00000000-0005-0000-0000-000090510000}"/>
    <cellStyle name="Note 4 3 3 2 5" xfId="10520" xr:uid="{00000000-0005-0000-0000-000091510000}"/>
    <cellStyle name="Note 4 3 3 2 5 2" xfId="21417" xr:uid="{00000000-0005-0000-0000-000092510000}"/>
    <cellStyle name="Note 4 3 3 2 5 3" xfId="25547" xr:uid="{00000000-0005-0000-0000-000093510000}"/>
    <cellStyle name="Note 4 3 3 2 5 4" xfId="27064" xr:uid="{00000000-0005-0000-0000-000094510000}"/>
    <cellStyle name="Note 4 3 3 2 6" xfId="22486" xr:uid="{00000000-0005-0000-0000-000095510000}"/>
    <cellStyle name="Note 4 3 3 2 7" xfId="11227" xr:uid="{00000000-0005-0000-0000-000096510000}"/>
    <cellStyle name="Note 4 3 3 3" xfId="3712" xr:uid="{00000000-0005-0000-0000-000097510000}"/>
    <cellStyle name="Note 4 3 3 3 2" xfId="8663" xr:uid="{00000000-0005-0000-0000-000098510000}"/>
    <cellStyle name="Note 4 3 3 3 2 2" xfId="19560" xr:uid="{00000000-0005-0000-0000-000099510000}"/>
    <cellStyle name="Note 4 3 3 3 2 3" xfId="24557" xr:uid="{00000000-0005-0000-0000-00009A510000}"/>
    <cellStyle name="Note 4 3 3 3 2 4" xfId="26275" xr:uid="{00000000-0005-0000-0000-00009B510000}"/>
    <cellStyle name="Note 4 3 3 3 3" xfId="10726" xr:uid="{00000000-0005-0000-0000-00009C510000}"/>
    <cellStyle name="Note 4 3 3 3 3 2" xfId="21623" xr:uid="{00000000-0005-0000-0000-00009D510000}"/>
    <cellStyle name="Note 4 3 3 3 3 3" xfId="25753" xr:uid="{00000000-0005-0000-0000-00009E510000}"/>
    <cellStyle name="Note 4 3 3 3 3 4" xfId="27270" xr:uid="{00000000-0005-0000-0000-00009F510000}"/>
    <cellStyle name="Note 4 3 3 3 4" xfId="14609" xr:uid="{00000000-0005-0000-0000-0000A0510000}"/>
    <cellStyle name="Note 4 3 3 3 5" xfId="22869" xr:uid="{00000000-0005-0000-0000-0000A1510000}"/>
    <cellStyle name="Note 4 3 3 3 6" xfId="22326" xr:uid="{00000000-0005-0000-0000-0000A2510000}"/>
    <cellStyle name="Note 4 3 3 4" xfId="5107" xr:uid="{00000000-0005-0000-0000-0000A3510000}"/>
    <cellStyle name="Note 4 3 3 4 2" xfId="10058" xr:uid="{00000000-0005-0000-0000-0000A4510000}"/>
    <cellStyle name="Note 4 3 3 4 2 2" xfId="20955" xr:uid="{00000000-0005-0000-0000-0000A5510000}"/>
    <cellStyle name="Note 4 3 3 4 2 3" xfId="25085" xr:uid="{00000000-0005-0000-0000-0000A6510000}"/>
    <cellStyle name="Note 4 3 3 4 2 4" xfId="26602" xr:uid="{00000000-0005-0000-0000-0000A7510000}"/>
    <cellStyle name="Note 4 3 3 4 3" xfId="11053" xr:uid="{00000000-0005-0000-0000-0000A8510000}"/>
    <cellStyle name="Note 4 3 3 4 3 2" xfId="21950" xr:uid="{00000000-0005-0000-0000-0000A9510000}"/>
    <cellStyle name="Note 4 3 3 4 3 3" xfId="26080" xr:uid="{00000000-0005-0000-0000-0000AA510000}"/>
    <cellStyle name="Note 4 3 3 4 3 4" xfId="27597" xr:uid="{00000000-0005-0000-0000-0000AB510000}"/>
    <cellStyle name="Note 4 3 3 4 4" xfId="16004" xr:uid="{00000000-0005-0000-0000-0000AC510000}"/>
    <cellStyle name="Note 4 3 3 4 5" xfId="23396" xr:uid="{00000000-0005-0000-0000-0000AD510000}"/>
    <cellStyle name="Note 4 3 3 4 6" xfId="24100" xr:uid="{00000000-0005-0000-0000-0000AE510000}"/>
    <cellStyle name="Note 4 3 3 5" xfId="6351" xr:uid="{00000000-0005-0000-0000-0000AF510000}"/>
    <cellStyle name="Note 4 3 3 5 2" xfId="17248" xr:uid="{00000000-0005-0000-0000-0000B0510000}"/>
    <cellStyle name="Note 4 3 3 5 3" xfId="23882" xr:uid="{00000000-0005-0000-0000-0000B1510000}"/>
    <cellStyle name="Note 4 3 3 5 4" xfId="24879" xr:uid="{00000000-0005-0000-0000-0000B2510000}"/>
    <cellStyle name="Note 4 3 3 6" xfId="10385" xr:uid="{00000000-0005-0000-0000-0000B3510000}"/>
    <cellStyle name="Note 4 3 3 6 2" xfId="21282" xr:uid="{00000000-0005-0000-0000-0000B4510000}"/>
    <cellStyle name="Note 4 3 3 6 3" xfId="25412" xr:uid="{00000000-0005-0000-0000-0000B5510000}"/>
    <cellStyle name="Note 4 3 3 6 4" xfId="26929" xr:uid="{00000000-0005-0000-0000-0000B6510000}"/>
    <cellStyle name="Note 4 3 3 7" xfId="11222" xr:uid="{00000000-0005-0000-0000-0000B7510000}"/>
    <cellStyle name="Note 4 3 4" xfId="1797" xr:uid="{00000000-0005-0000-0000-0000B8510000}"/>
    <cellStyle name="Note 4 3 4 2" xfId="4109" xr:uid="{00000000-0005-0000-0000-0000B9510000}"/>
    <cellStyle name="Note 4 3 4 2 2" xfId="9060" xr:uid="{00000000-0005-0000-0000-0000BA510000}"/>
    <cellStyle name="Note 4 3 4 2 2 2" xfId="19957" xr:uid="{00000000-0005-0000-0000-0000BB510000}"/>
    <cellStyle name="Note 4 3 4 2 2 3" xfId="24673" xr:uid="{00000000-0005-0000-0000-0000BC510000}"/>
    <cellStyle name="Note 4 3 4 2 2 4" xfId="26319" xr:uid="{00000000-0005-0000-0000-0000BD510000}"/>
    <cellStyle name="Note 4 3 4 2 3" xfId="10770" xr:uid="{00000000-0005-0000-0000-0000BE510000}"/>
    <cellStyle name="Note 4 3 4 2 3 2" xfId="21667" xr:uid="{00000000-0005-0000-0000-0000BF510000}"/>
    <cellStyle name="Note 4 3 4 2 3 3" xfId="25797" xr:uid="{00000000-0005-0000-0000-0000C0510000}"/>
    <cellStyle name="Note 4 3 4 2 3 4" xfId="27314" xr:uid="{00000000-0005-0000-0000-0000C1510000}"/>
    <cellStyle name="Note 4 3 4 2 4" xfId="15006" xr:uid="{00000000-0005-0000-0000-0000C2510000}"/>
    <cellStyle name="Note 4 3 4 2 5" xfId="22988" xr:uid="{00000000-0005-0000-0000-0000C3510000}"/>
    <cellStyle name="Note 4 3 4 2 6" xfId="22661" xr:uid="{00000000-0005-0000-0000-0000C4510000}"/>
    <cellStyle name="Note 4 3 4 3" xfId="5150" xr:uid="{00000000-0005-0000-0000-0000C5510000}"/>
    <cellStyle name="Note 4 3 4 3 2" xfId="10101" xr:uid="{00000000-0005-0000-0000-0000C6510000}"/>
    <cellStyle name="Note 4 3 4 3 2 2" xfId="20998" xr:uid="{00000000-0005-0000-0000-0000C7510000}"/>
    <cellStyle name="Note 4 3 4 3 2 3" xfId="25128" xr:uid="{00000000-0005-0000-0000-0000C8510000}"/>
    <cellStyle name="Note 4 3 4 3 2 4" xfId="26645" xr:uid="{00000000-0005-0000-0000-0000C9510000}"/>
    <cellStyle name="Note 4 3 4 3 3" xfId="11096" xr:uid="{00000000-0005-0000-0000-0000CA510000}"/>
    <cellStyle name="Note 4 3 4 3 3 2" xfId="21993" xr:uid="{00000000-0005-0000-0000-0000CB510000}"/>
    <cellStyle name="Note 4 3 4 3 3 3" xfId="26123" xr:uid="{00000000-0005-0000-0000-0000CC510000}"/>
    <cellStyle name="Note 4 3 4 3 3 4" xfId="27640" xr:uid="{00000000-0005-0000-0000-0000CD510000}"/>
    <cellStyle name="Note 4 3 4 3 4" xfId="16047" xr:uid="{00000000-0005-0000-0000-0000CE510000}"/>
    <cellStyle name="Note 4 3 4 3 5" xfId="23439" xr:uid="{00000000-0005-0000-0000-0000CF510000}"/>
    <cellStyle name="Note 4 3 4 3 6" xfId="23962" xr:uid="{00000000-0005-0000-0000-0000D0510000}"/>
    <cellStyle name="Note 4 3 4 4" xfId="6748" xr:uid="{00000000-0005-0000-0000-0000D1510000}"/>
    <cellStyle name="Note 4 3 4 4 2" xfId="17645" xr:uid="{00000000-0005-0000-0000-0000D2510000}"/>
    <cellStyle name="Note 4 3 4 4 3" xfId="23995" xr:uid="{00000000-0005-0000-0000-0000D3510000}"/>
    <cellStyle name="Note 4 3 4 4 4" xfId="23138" xr:uid="{00000000-0005-0000-0000-0000D4510000}"/>
    <cellStyle name="Note 4 3 4 5" xfId="10428" xr:uid="{00000000-0005-0000-0000-0000D5510000}"/>
    <cellStyle name="Note 4 3 4 5 2" xfId="21325" xr:uid="{00000000-0005-0000-0000-0000D6510000}"/>
    <cellStyle name="Note 4 3 4 5 3" xfId="25455" xr:uid="{00000000-0005-0000-0000-0000D7510000}"/>
    <cellStyle name="Note 4 3 4 5 4" xfId="26972" xr:uid="{00000000-0005-0000-0000-0000D8510000}"/>
    <cellStyle name="Note 4 3 4 6" xfId="22356" xr:uid="{00000000-0005-0000-0000-0000D9510000}"/>
    <cellStyle name="Note 4 3 4 7" xfId="24689" xr:uid="{00000000-0005-0000-0000-0000DA510000}"/>
    <cellStyle name="Note 4 3 5" xfId="2940" xr:uid="{00000000-0005-0000-0000-0000DB510000}"/>
    <cellStyle name="Note 4 3 5 2" xfId="7891" xr:uid="{00000000-0005-0000-0000-0000DC510000}"/>
    <cellStyle name="Note 4 3 5 2 2" xfId="18788" xr:uid="{00000000-0005-0000-0000-0000DD510000}"/>
    <cellStyle name="Note 4 3 5 2 3" xfId="24322" xr:uid="{00000000-0005-0000-0000-0000DE510000}"/>
    <cellStyle name="Note 4 3 5 2 4" xfId="24276" xr:uid="{00000000-0005-0000-0000-0000DF510000}"/>
    <cellStyle name="Note 4 3 5 3" xfId="10586" xr:uid="{00000000-0005-0000-0000-0000E0510000}"/>
    <cellStyle name="Note 4 3 5 3 2" xfId="21483" xr:uid="{00000000-0005-0000-0000-0000E1510000}"/>
    <cellStyle name="Note 4 3 5 3 3" xfId="25613" xr:uid="{00000000-0005-0000-0000-0000E2510000}"/>
    <cellStyle name="Note 4 3 5 3 4" xfId="27130" xr:uid="{00000000-0005-0000-0000-0000E3510000}"/>
    <cellStyle name="Note 4 3 5 4" xfId="13837" xr:uid="{00000000-0005-0000-0000-0000E4510000}"/>
    <cellStyle name="Note 4 3 5 5" xfId="22626" xr:uid="{00000000-0005-0000-0000-0000E5510000}"/>
    <cellStyle name="Note 4 3 5 6" xfId="22592" xr:uid="{00000000-0005-0000-0000-0000E6510000}"/>
    <cellStyle name="Note 4 3 6" xfId="4967" xr:uid="{00000000-0005-0000-0000-0000E7510000}"/>
    <cellStyle name="Note 4 3 6 2" xfId="9918" xr:uid="{00000000-0005-0000-0000-0000E8510000}"/>
    <cellStyle name="Note 4 3 6 2 2" xfId="20815" xr:uid="{00000000-0005-0000-0000-0000E9510000}"/>
    <cellStyle name="Note 4 3 6 2 3" xfId="24945" xr:uid="{00000000-0005-0000-0000-0000EA510000}"/>
    <cellStyle name="Note 4 3 6 2 4" xfId="26462" xr:uid="{00000000-0005-0000-0000-0000EB510000}"/>
    <cellStyle name="Note 4 3 6 3" xfId="10913" xr:uid="{00000000-0005-0000-0000-0000EC510000}"/>
    <cellStyle name="Note 4 3 6 3 2" xfId="21810" xr:uid="{00000000-0005-0000-0000-0000ED510000}"/>
    <cellStyle name="Note 4 3 6 3 3" xfId="25940" xr:uid="{00000000-0005-0000-0000-0000EE510000}"/>
    <cellStyle name="Note 4 3 6 3 4" xfId="27457" xr:uid="{00000000-0005-0000-0000-0000EF510000}"/>
    <cellStyle name="Note 4 3 6 4" xfId="15864" xr:uid="{00000000-0005-0000-0000-0000F0510000}"/>
    <cellStyle name="Note 4 3 6 5" xfId="23256" xr:uid="{00000000-0005-0000-0000-0000F1510000}"/>
    <cellStyle name="Note 4 3 6 6" xfId="24283" xr:uid="{00000000-0005-0000-0000-0000F2510000}"/>
    <cellStyle name="Note 4 3 7" xfId="5579" xr:uid="{00000000-0005-0000-0000-0000F3510000}"/>
    <cellStyle name="Note 4 3 7 2" xfId="16476" xr:uid="{00000000-0005-0000-0000-0000F4510000}"/>
    <cellStyle name="Note 4 3 7 3" xfId="23642" xr:uid="{00000000-0005-0000-0000-0000F5510000}"/>
    <cellStyle name="Note 4 3 7 4" xfId="22649" xr:uid="{00000000-0005-0000-0000-0000F6510000}"/>
    <cellStyle name="Note 4 3 8" xfId="10245" xr:uid="{00000000-0005-0000-0000-0000F7510000}"/>
    <cellStyle name="Note 4 3 8 2" xfId="21142" xr:uid="{00000000-0005-0000-0000-0000F8510000}"/>
    <cellStyle name="Note 4 3 8 3" xfId="25272" xr:uid="{00000000-0005-0000-0000-0000F9510000}"/>
    <cellStyle name="Note 4 3 8 4" xfId="26789" xr:uid="{00000000-0005-0000-0000-0000FA510000}"/>
    <cellStyle name="Note 4 3 9" xfId="22415" xr:uid="{00000000-0005-0000-0000-0000FB510000}"/>
    <cellStyle name="Note 4 4" xfId="883" xr:uid="{00000000-0005-0000-0000-0000FC510000}"/>
    <cellStyle name="Note 4 4 2" xfId="2040" xr:uid="{00000000-0005-0000-0000-0000FD510000}"/>
    <cellStyle name="Note 4 4 2 2" xfId="4352" xr:uid="{00000000-0005-0000-0000-0000FE510000}"/>
    <cellStyle name="Note 4 4 2 2 2" xfId="9303" xr:uid="{00000000-0005-0000-0000-0000FF510000}"/>
    <cellStyle name="Note 4 4 2 2 2 2" xfId="20200" xr:uid="{00000000-0005-0000-0000-000000520000}"/>
    <cellStyle name="Note 4 4 2 2 2 3" xfId="24728" xr:uid="{00000000-0005-0000-0000-000001520000}"/>
    <cellStyle name="Note 4 4 2 2 2 4" xfId="26335" xr:uid="{00000000-0005-0000-0000-000002520000}"/>
    <cellStyle name="Note 4 4 2 2 3" xfId="10786" xr:uid="{00000000-0005-0000-0000-000003520000}"/>
    <cellStyle name="Note 4 4 2 2 3 2" xfId="21683" xr:uid="{00000000-0005-0000-0000-000004520000}"/>
    <cellStyle name="Note 4 4 2 2 3 3" xfId="25813" xr:uid="{00000000-0005-0000-0000-000005520000}"/>
    <cellStyle name="Note 4 4 2 2 3 4" xfId="27330" xr:uid="{00000000-0005-0000-0000-000006520000}"/>
    <cellStyle name="Note 4 4 2 2 4" xfId="15249" xr:uid="{00000000-0005-0000-0000-000007520000}"/>
    <cellStyle name="Note 4 4 2 2 5" xfId="23037" xr:uid="{00000000-0005-0000-0000-000008520000}"/>
    <cellStyle name="Note 4 4 2 2 6" xfId="22974" xr:uid="{00000000-0005-0000-0000-000009520000}"/>
    <cellStyle name="Note 4 4 2 3" xfId="5166" xr:uid="{00000000-0005-0000-0000-00000A520000}"/>
    <cellStyle name="Note 4 4 2 3 2" xfId="10117" xr:uid="{00000000-0005-0000-0000-00000B520000}"/>
    <cellStyle name="Note 4 4 2 3 2 2" xfId="21014" xr:uid="{00000000-0005-0000-0000-00000C520000}"/>
    <cellStyle name="Note 4 4 2 3 2 3" xfId="25144" xr:uid="{00000000-0005-0000-0000-00000D520000}"/>
    <cellStyle name="Note 4 4 2 3 2 4" xfId="26661" xr:uid="{00000000-0005-0000-0000-00000E520000}"/>
    <cellStyle name="Note 4 4 2 3 3" xfId="11112" xr:uid="{00000000-0005-0000-0000-00000F520000}"/>
    <cellStyle name="Note 4 4 2 3 3 2" xfId="22009" xr:uid="{00000000-0005-0000-0000-000010520000}"/>
    <cellStyle name="Note 4 4 2 3 3 3" xfId="26139" xr:uid="{00000000-0005-0000-0000-000011520000}"/>
    <cellStyle name="Note 4 4 2 3 3 4" xfId="27656" xr:uid="{00000000-0005-0000-0000-000012520000}"/>
    <cellStyle name="Note 4 4 2 3 4" xfId="16063" xr:uid="{00000000-0005-0000-0000-000013520000}"/>
    <cellStyle name="Note 4 4 2 3 5" xfId="23455" xr:uid="{00000000-0005-0000-0000-000014520000}"/>
    <cellStyle name="Note 4 4 2 3 6" xfId="24679" xr:uid="{00000000-0005-0000-0000-000015520000}"/>
    <cellStyle name="Note 4 4 2 4" xfId="6991" xr:uid="{00000000-0005-0000-0000-000016520000}"/>
    <cellStyle name="Note 4 4 2 4 2" xfId="17888" xr:uid="{00000000-0005-0000-0000-000017520000}"/>
    <cellStyle name="Note 4 4 2 4 3" xfId="24049" xr:uid="{00000000-0005-0000-0000-000018520000}"/>
    <cellStyle name="Note 4 4 2 4 4" xfId="22192" xr:uid="{00000000-0005-0000-0000-000019520000}"/>
    <cellStyle name="Note 4 4 2 5" xfId="10444" xr:uid="{00000000-0005-0000-0000-00001A520000}"/>
    <cellStyle name="Note 4 4 2 5 2" xfId="21341" xr:uid="{00000000-0005-0000-0000-00001B520000}"/>
    <cellStyle name="Note 4 4 2 5 3" xfId="25471" xr:uid="{00000000-0005-0000-0000-00001C520000}"/>
    <cellStyle name="Note 4 4 2 5 4" xfId="26988" xr:uid="{00000000-0005-0000-0000-00001D520000}"/>
    <cellStyle name="Note 4 4 2 6" xfId="22392" xr:uid="{00000000-0005-0000-0000-00001E520000}"/>
    <cellStyle name="Note 4 4 2 7" xfId="24645" xr:uid="{00000000-0005-0000-0000-00001F520000}"/>
    <cellStyle name="Note 4 4 3" xfId="3207" xr:uid="{00000000-0005-0000-0000-000020520000}"/>
    <cellStyle name="Note 4 4 3 2" xfId="8158" xr:uid="{00000000-0005-0000-0000-000021520000}"/>
    <cellStyle name="Note 4 4 3 2 2" xfId="19055" xr:uid="{00000000-0005-0000-0000-000022520000}"/>
    <cellStyle name="Note 4 4 3 2 3" xfId="24397" xr:uid="{00000000-0005-0000-0000-000023520000}"/>
    <cellStyle name="Note 4 4 3 2 4" xfId="22731" xr:uid="{00000000-0005-0000-0000-000024520000}"/>
    <cellStyle name="Note 4 4 3 3" xfId="10626" xr:uid="{00000000-0005-0000-0000-000025520000}"/>
    <cellStyle name="Note 4 4 3 3 2" xfId="21523" xr:uid="{00000000-0005-0000-0000-000026520000}"/>
    <cellStyle name="Note 4 4 3 3 3" xfId="25653" xr:uid="{00000000-0005-0000-0000-000027520000}"/>
    <cellStyle name="Note 4 4 3 3 4" xfId="27170" xr:uid="{00000000-0005-0000-0000-000028520000}"/>
    <cellStyle name="Note 4 4 3 4" xfId="14104" xr:uid="{00000000-0005-0000-0000-000029520000}"/>
    <cellStyle name="Note 4 4 3 5" xfId="22706" xr:uid="{00000000-0005-0000-0000-00002A520000}"/>
    <cellStyle name="Note 4 4 3 6" xfId="22409" xr:uid="{00000000-0005-0000-0000-00002B520000}"/>
    <cellStyle name="Note 4 4 4" xfId="5007" xr:uid="{00000000-0005-0000-0000-00002C520000}"/>
    <cellStyle name="Note 4 4 4 2" xfId="9958" xr:uid="{00000000-0005-0000-0000-00002D520000}"/>
    <cellStyle name="Note 4 4 4 2 2" xfId="20855" xr:uid="{00000000-0005-0000-0000-00002E520000}"/>
    <cellStyle name="Note 4 4 4 2 3" xfId="24985" xr:uid="{00000000-0005-0000-0000-00002F520000}"/>
    <cellStyle name="Note 4 4 4 2 4" xfId="26502" xr:uid="{00000000-0005-0000-0000-000030520000}"/>
    <cellStyle name="Note 4 4 4 3" xfId="10953" xr:uid="{00000000-0005-0000-0000-000031520000}"/>
    <cellStyle name="Note 4 4 4 3 2" xfId="21850" xr:uid="{00000000-0005-0000-0000-000032520000}"/>
    <cellStyle name="Note 4 4 4 3 3" xfId="25980" xr:uid="{00000000-0005-0000-0000-000033520000}"/>
    <cellStyle name="Note 4 4 4 3 4" xfId="27497" xr:uid="{00000000-0005-0000-0000-000034520000}"/>
    <cellStyle name="Note 4 4 4 4" xfId="15904" xr:uid="{00000000-0005-0000-0000-000035520000}"/>
    <cellStyle name="Note 4 4 4 5" xfId="23296" xr:uid="{00000000-0005-0000-0000-000036520000}"/>
    <cellStyle name="Note 4 4 4 6" xfId="22717" xr:uid="{00000000-0005-0000-0000-000037520000}"/>
    <cellStyle name="Note 4 4 5" xfId="5846" xr:uid="{00000000-0005-0000-0000-000038520000}"/>
    <cellStyle name="Note 4 4 5 2" xfId="16743" xr:uid="{00000000-0005-0000-0000-000039520000}"/>
    <cellStyle name="Note 4 4 5 3" xfId="23718" xr:uid="{00000000-0005-0000-0000-00003A520000}"/>
    <cellStyle name="Note 4 4 5 4" xfId="23203" xr:uid="{00000000-0005-0000-0000-00003B520000}"/>
    <cellStyle name="Note 4 4 6" xfId="10285" xr:uid="{00000000-0005-0000-0000-00003C520000}"/>
    <cellStyle name="Note 4 4 6 2" xfId="21182" xr:uid="{00000000-0005-0000-0000-00003D520000}"/>
    <cellStyle name="Note 4 4 6 3" xfId="25312" xr:uid="{00000000-0005-0000-0000-00003E520000}"/>
    <cellStyle name="Note 4 4 6 4" xfId="26829" xr:uid="{00000000-0005-0000-0000-00003F520000}"/>
    <cellStyle name="Note 4 4 7" xfId="24167" xr:uid="{00000000-0005-0000-0000-000040520000}"/>
    <cellStyle name="Note 4 5" xfId="1564" xr:uid="{00000000-0005-0000-0000-000041520000}"/>
    <cellStyle name="Note 4 5 2" xfId="3876" xr:uid="{00000000-0005-0000-0000-000042520000}"/>
    <cellStyle name="Note 4 5 2 2" xfId="8827" xr:uid="{00000000-0005-0000-0000-000043520000}"/>
    <cellStyle name="Note 4 5 2 2 2" xfId="19724" xr:uid="{00000000-0005-0000-0000-000044520000}"/>
    <cellStyle name="Note 4 5 2 2 3" xfId="24625" xr:uid="{00000000-0005-0000-0000-000045520000}"/>
    <cellStyle name="Note 4 5 2 2 4" xfId="26311" xr:uid="{00000000-0005-0000-0000-000046520000}"/>
    <cellStyle name="Note 4 5 2 3" xfId="10762" xr:uid="{00000000-0005-0000-0000-000047520000}"/>
    <cellStyle name="Note 4 5 2 3 2" xfId="21659" xr:uid="{00000000-0005-0000-0000-000048520000}"/>
    <cellStyle name="Note 4 5 2 3 3" xfId="25789" xr:uid="{00000000-0005-0000-0000-000049520000}"/>
    <cellStyle name="Note 4 5 2 3 4" xfId="27306" xr:uid="{00000000-0005-0000-0000-00004A520000}"/>
    <cellStyle name="Note 4 5 2 4" xfId="14773" xr:uid="{00000000-0005-0000-0000-00004B520000}"/>
    <cellStyle name="Note 4 5 2 5" xfId="22938" xr:uid="{00000000-0005-0000-0000-00004C520000}"/>
    <cellStyle name="Note 4 5 2 6" xfId="24409" xr:uid="{00000000-0005-0000-0000-00004D520000}"/>
    <cellStyle name="Note 4 5 3" xfId="5142" xr:uid="{00000000-0005-0000-0000-00004E520000}"/>
    <cellStyle name="Note 4 5 3 2" xfId="10093" xr:uid="{00000000-0005-0000-0000-00004F520000}"/>
    <cellStyle name="Note 4 5 3 2 2" xfId="20990" xr:uid="{00000000-0005-0000-0000-000050520000}"/>
    <cellStyle name="Note 4 5 3 2 3" xfId="25120" xr:uid="{00000000-0005-0000-0000-000051520000}"/>
    <cellStyle name="Note 4 5 3 2 4" xfId="26637" xr:uid="{00000000-0005-0000-0000-000052520000}"/>
    <cellStyle name="Note 4 5 3 3" xfId="11088" xr:uid="{00000000-0005-0000-0000-000053520000}"/>
    <cellStyle name="Note 4 5 3 3 2" xfId="21985" xr:uid="{00000000-0005-0000-0000-000054520000}"/>
    <cellStyle name="Note 4 5 3 3 3" xfId="26115" xr:uid="{00000000-0005-0000-0000-000055520000}"/>
    <cellStyle name="Note 4 5 3 3 4" xfId="27632" xr:uid="{00000000-0005-0000-0000-000056520000}"/>
    <cellStyle name="Note 4 5 3 4" xfId="16039" xr:uid="{00000000-0005-0000-0000-000057520000}"/>
    <cellStyle name="Note 4 5 3 5" xfId="23431" xr:uid="{00000000-0005-0000-0000-000058520000}"/>
    <cellStyle name="Note 4 5 3 6" xfId="24212" xr:uid="{00000000-0005-0000-0000-000059520000}"/>
    <cellStyle name="Note 4 5 4" xfId="6515" xr:uid="{00000000-0005-0000-0000-00005A520000}"/>
    <cellStyle name="Note 4 5 4 2" xfId="17412" xr:uid="{00000000-0005-0000-0000-00005B520000}"/>
    <cellStyle name="Note 4 5 4 3" xfId="23953" xr:uid="{00000000-0005-0000-0000-00005C520000}"/>
    <cellStyle name="Note 4 5 4 4" xfId="22794" xr:uid="{00000000-0005-0000-0000-00005D520000}"/>
    <cellStyle name="Note 4 5 5" xfId="10420" xr:uid="{00000000-0005-0000-0000-00005E520000}"/>
    <cellStyle name="Note 4 5 5 2" xfId="21317" xr:uid="{00000000-0005-0000-0000-00005F520000}"/>
    <cellStyle name="Note 4 5 5 3" xfId="25447" xr:uid="{00000000-0005-0000-0000-000060520000}"/>
    <cellStyle name="Note 4 5 5 4" xfId="26964" xr:uid="{00000000-0005-0000-0000-000061520000}"/>
    <cellStyle name="Note 4 5 6" xfId="22306" xr:uid="{00000000-0005-0000-0000-000062520000}"/>
    <cellStyle name="Note 4 5 7" xfId="24743" xr:uid="{00000000-0005-0000-0000-000063520000}"/>
    <cellStyle name="Note 4 6" xfId="2675" xr:uid="{00000000-0005-0000-0000-000064520000}"/>
    <cellStyle name="Note 4 6 2" xfId="7626" xr:uid="{00000000-0005-0000-0000-000065520000}"/>
    <cellStyle name="Note 4 6 2 2" xfId="18523" xr:uid="{00000000-0005-0000-0000-000066520000}"/>
    <cellStyle name="Note 4 6 2 3" xfId="24250" xr:uid="{00000000-0005-0000-0000-000067520000}"/>
    <cellStyle name="Note 4 6 2 4" xfId="24460" xr:uid="{00000000-0005-0000-0000-000068520000}"/>
    <cellStyle name="Note 4 6 3" xfId="10546" xr:uid="{00000000-0005-0000-0000-000069520000}"/>
    <cellStyle name="Note 4 6 3 2" xfId="21443" xr:uid="{00000000-0005-0000-0000-00006A520000}"/>
    <cellStyle name="Note 4 6 3 3" xfId="25573" xr:uid="{00000000-0005-0000-0000-00006B520000}"/>
    <cellStyle name="Note 4 6 3 4" xfId="27090" xr:uid="{00000000-0005-0000-0000-00006C520000}"/>
    <cellStyle name="Note 4 6 4" xfId="13572" xr:uid="{00000000-0005-0000-0000-00006D520000}"/>
    <cellStyle name="Note 4 6 5" xfId="22550" xr:uid="{00000000-0005-0000-0000-00006E520000}"/>
    <cellStyle name="Note 4 6 6" xfId="22781" xr:uid="{00000000-0005-0000-0000-00006F520000}"/>
    <cellStyle name="Note 4 7" xfId="4927" xr:uid="{00000000-0005-0000-0000-000070520000}"/>
    <cellStyle name="Note 4 7 2" xfId="9878" xr:uid="{00000000-0005-0000-0000-000071520000}"/>
    <cellStyle name="Note 4 7 2 2" xfId="20775" xr:uid="{00000000-0005-0000-0000-000072520000}"/>
    <cellStyle name="Note 4 7 2 3" xfId="24905" xr:uid="{00000000-0005-0000-0000-000073520000}"/>
    <cellStyle name="Note 4 7 2 4" xfId="26422" xr:uid="{00000000-0005-0000-0000-000074520000}"/>
    <cellStyle name="Note 4 7 3" xfId="10873" xr:uid="{00000000-0005-0000-0000-000075520000}"/>
    <cellStyle name="Note 4 7 3 2" xfId="21770" xr:uid="{00000000-0005-0000-0000-000076520000}"/>
    <cellStyle name="Note 4 7 3 3" xfId="25900" xr:uid="{00000000-0005-0000-0000-000077520000}"/>
    <cellStyle name="Note 4 7 3 4" xfId="27417" xr:uid="{00000000-0005-0000-0000-000078520000}"/>
    <cellStyle name="Note 4 7 4" xfId="15824" xr:uid="{00000000-0005-0000-0000-000079520000}"/>
    <cellStyle name="Note 4 7 5" xfId="23216" xr:uid="{00000000-0005-0000-0000-00007A520000}"/>
    <cellStyle name="Note 4 7 6" xfId="24173" xr:uid="{00000000-0005-0000-0000-00007B520000}"/>
    <cellStyle name="Note 4 8" xfId="5314" xr:uid="{00000000-0005-0000-0000-00007C520000}"/>
    <cellStyle name="Note 4 8 2" xfId="16211" xr:uid="{00000000-0005-0000-0000-00007D520000}"/>
    <cellStyle name="Note 4 8 3" xfId="23570" xr:uid="{00000000-0005-0000-0000-00007E520000}"/>
    <cellStyle name="Note 4 8 4" xfId="22384" xr:uid="{00000000-0005-0000-0000-00007F520000}"/>
    <cellStyle name="Note 4 9" xfId="10205" xr:uid="{00000000-0005-0000-0000-000080520000}"/>
    <cellStyle name="Note 4 9 2" xfId="21102" xr:uid="{00000000-0005-0000-0000-000081520000}"/>
    <cellStyle name="Note 4 9 3" xfId="25232" xr:uid="{00000000-0005-0000-0000-000082520000}"/>
    <cellStyle name="Note 4 9 4" xfId="26749" xr:uid="{00000000-0005-0000-0000-000083520000}"/>
    <cellStyle name="Note 5" xfId="336" xr:uid="{00000000-0005-0000-0000-000084520000}"/>
    <cellStyle name="Note 5 10" xfId="24055" xr:uid="{00000000-0005-0000-0000-000085520000}"/>
    <cellStyle name="Note 5 2" xfId="559" xr:uid="{00000000-0005-0000-0000-000086520000}"/>
    <cellStyle name="Note 5 2 10" xfId="24690" xr:uid="{00000000-0005-0000-0000-000087520000}"/>
    <cellStyle name="Note 5 2 2" xfId="824" xr:uid="{00000000-0005-0000-0000-000088520000}"/>
    <cellStyle name="Note 5 2 2 2" xfId="1356" xr:uid="{00000000-0005-0000-0000-000089520000}"/>
    <cellStyle name="Note 5 2 2 2 2" xfId="2513" xr:uid="{00000000-0005-0000-0000-00008A520000}"/>
    <cellStyle name="Note 5 2 2 2 2 2" xfId="4825" xr:uid="{00000000-0005-0000-0000-00008B520000}"/>
    <cellStyle name="Note 5 2 2 2 2 2 2" xfId="9776" xr:uid="{00000000-0005-0000-0000-00008C520000}"/>
    <cellStyle name="Note 5 2 2 2 2 2 2 2" xfId="20673" xr:uid="{00000000-0005-0000-0000-00008D520000}"/>
    <cellStyle name="Note 5 2 2 2 2 2 2 3" xfId="24862" xr:uid="{00000000-0005-0000-0000-00008E520000}"/>
    <cellStyle name="Note 5 2 2 2 2 2 2 4" xfId="26404" xr:uid="{00000000-0005-0000-0000-00008F520000}"/>
    <cellStyle name="Note 5 2 2 2 2 2 3" xfId="10855" xr:uid="{00000000-0005-0000-0000-000090520000}"/>
    <cellStyle name="Note 5 2 2 2 2 2 3 2" xfId="21752" xr:uid="{00000000-0005-0000-0000-000091520000}"/>
    <cellStyle name="Note 5 2 2 2 2 2 3 3" xfId="25882" xr:uid="{00000000-0005-0000-0000-000092520000}"/>
    <cellStyle name="Note 5 2 2 2 2 2 3 4" xfId="27399" xr:uid="{00000000-0005-0000-0000-000093520000}"/>
    <cellStyle name="Note 5 2 2 2 2 2 4" xfId="15722" xr:uid="{00000000-0005-0000-0000-000094520000}"/>
    <cellStyle name="Note 5 2 2 2 2 2 5" xfId="23176" xr:uid="{00000000-0005-0000-0000-000095520000}"/>
    <cellStyle name="Note 5 2 2 2 2 2 6" xfId="22619" xr:uid="{00000000-0005-0000-0000-000096520000}"/>
    <cellStyle name="Note 5 2 2 2 2 3" xfId="5235" xr:uid="{00000000-0005-0000-0000-000097520000}"/>
    <cellStyle name="Note 5 2 2 2 2 3 2" xfId="10186" xr:uid="{00000000-0005-0000-0000-000098520000}"/>
    <cellStyle name="Note 5 2 2 2 2 3 2 2" xfId="21083" xr:uid="{00000000-0005-0000-0000-000099520000}"/>
    <cellStyle name="Note 5 2 2 2 2 3 2 3" xfId="25213" xr:uid="{00000000-0005-0000-0000-00009A520000}"/>
    <cellStyle name="Note 5 2 2 2 2 3 2 4" xfId="26730" xr:uid="{00000000-0005-0000-0000-00009B520000}"/>
    <cellStyle name="Note 5 2 2 2 2 3 3" xfId="11181" xr:uid="{00000000-0005-0000-0000-00009C520000}"/>
    <cellStyle name="Note 5 2 2 2 2 3 3 2" xfId="22078" xr:uid="{00000000-0005-0000-0000-00009D520000}"/>
    <cellStyle name="Note 5 2 2 2 2 3 3 3" xfId="26208" xr:uid="{00000000-0005-0000-0000-00009E520000}"/>
    <cellStyle name="Note 5 2 2 2 2 3 3 4" xfId="27725" xr:uid="{00000000-0005-0000-0000-00009F520000}"/>
    <cellStyle name="Note 5 2 2 2 2 3 4" xfId="16132" xr:uid="{00000000-0005-0000-0000-0000A0520000}"/>
    <cellStyle name="Note 5 2 2 2 2 3 5" xfId="23524" xr:uid="{00000000-0005-0000-0000-0000A1520000}"/>
    <cellStyle name="Note 5 2 2 2 2 3 6" xfId="23922" xr:uid="{00000000-0005-0000-0000-0000A2520000}"/>
    <cellStyle name="Note 5 2 2 2 2 4" xfId="7464" xr:uid="{00000000-0005-0000-0000-0000A3520000}"/>
    <cellStyle name="Note 5 2 2 2 2 4 2" xfId="18361" xr:uid="{00000000-0005-0000-0000-0000A4520000}"/>
    <cellStyle name="Note 5 2 2 2 2 4 3" xfId="24184" xr:uid="{00000000-0005-0000-0000-0000A5520000}"/>
    <cellStyle name="Note 5 2 2 2 2 4 4" xfId="22915" xr:uid="{00000000-0005-0000-0000-0000A6520000}"/>
    <cellStyle name="Note 5 2 2 2 2 5" xfId="10513" xr:uid="{00000000-0005-0000-0000-0000A7520000}"/>
    <cellStyle name="Note 5 2 2 2 2 5 2" xfId="21410" xr:uid="{00000000-0005-0000-0000-0000A8520000}"/>
    <cellStyle name="Note 5 2 2 2 2 5 3" xfId="25540" xr:uid="{00000000-0005-0000-0000-0000A9520000}"/>
    <cellStyle name="Note 5 2 2 2 2 5 4" xfId="27057" xr:uid="{00000000-0005-0000-0000-0000AA520000}"/>
    <cellStyle name="Note 5 2 2 2 2 6" xfId="22479" xr:uid="{00000000-0005-0000-0000-0000AB520000}"/>
    <cellStyle name="Note 5 2 2 2 2 7" xfId="22471" xr:uid="{00000000-0005-0000-0000-0000AC520000}"/>
    <cellStyle name="Note 5 2 2 2 3" xfId="3680" xr:uid="{00000000-0005-0000-0000-0000AD520000}"/>
    <cellStyle name="Note 5 2 2 2 3 2" xfId="8631" xr:uid="{00000000-0005-0000-0000-0000AE520000}"/>
    <cellStyle name="Note 5 2 2 2 3 2 2" xfId="19528" xr:uid="{00000000-0005-0000-0000-0000AF520000}"/>
    <cellStyle name="Note 5 2 2 2 3 2 3" xfId="24526" xr:uid="{00000000-0005-0000-0000-0000B0520000}"/>
    <cellStyle name="Note 5 2 2 2 3 2 4" xfId="26244" xr:uid="{00000000-0005-0000-0000-0000B1520000}"/>
    <cellStyle name="Note 5 2 2 2 3 3" xfId="10695" xr:uid="{00000000-0005-0000-0000-0000B2520000}"/>
    <cellStyle name="Note 5 2 2 2 3 3 2" xfId="21592" xr:uid="{00000000-0005-0000-0000-0000B3520000}"/>
    <cellStyle name="Note 5 2 2 2 3 3 3" xfId="25722" xr:uid="{00000000-0005-0000-0000-0000B4520000}"/>
    <cellStyle name="Note 5 2 2 2 3 3 4" xfId="27239" xr:uid="{00000000-0005-0000-0000-0000B5520000}"/>
    <cellStyle name="Note 5 2 2 2 3 4" xfId="14577" xr:uid="{00000000-0005-0000-0000-0000B6520000}"/>
    <cellStyle name="Note 5 2 2 2 3 5" xfId="22838" xr:uid="{00000000-0005-0000-0000-0000B7520000}"/>
    <cellStyle name="Note 5 2 2 2 3 6" xfId="22932" xr:uid="{00000000-0005-0000-0000-0000B8520000}"/>
    <cellStyle name="Note 5 2 2 2 4" xfId="5076" xr:uid="{00000000-0005-0000-0000-0000B9520000}"/>
    <cellStyle name="Note 5 2 2 2 4 2" xfId="10027" xr:uid="{00000000-0005-0000-0000-0000BA520000}"/>
    <cellStyle name="Note 5 2 2 2 4 2 2" xfId="20924" xr:uid="{00000000-0005-0000-0000-0000BB520000}"/>
    <cellStyle name="Note 5 2 2 2 4 2 3" xfId="25054" xr:uid="{00000000-0005-0000-0000-0000BC520000}"/>
    <cellStyle name="Note 5 2 2 2 4 2 4" xfId="26571" xr:uid="{00000000-0005-0000-0000-0000BD520000}"/>
    <cellStyle name="Note 5 2 2 2 4 3" xfId="11022" xr:uid="{00000000-0005-0000-0000-0000BE520000}"/>
    <cellStyle name="Note 5 2 2 2 4 3 2" xfId="21919" xr:uid="{00000000-0005-0000-0000-0000BF520000}"/>
    <cellStyle name="Note 5 2 2 2 4 3 3" xfId="26049" xr:uid="{00000000-0005-0000-0000-0000C0520000}"/>
    <cellStyle name="Note 5 2 2 2 4 3 4" xfId="27566" xr:uid="{00000000-0005-0000-0000-0000C1520000}"/>
    <cellStyle name="Note 5 2 2 2 4 4" xfId="15973" xr:uid="{00000000-0005-0000-0000-0000C2520000}"/>
    <cellStyle name="Note 5 2 2 2 4 5" xfId="23365" xr:uid="{00000000-0005-0000-0000-0000C3520000}"/>
    <cellStyle name="Note 5 2 2 2 4 6" xfId="24064" xr:uid="{00000000-0005-0000-0000-0000C4520000}"/>
    <cellStyle name="Note 5 2 2 2 5" xfId="6319" xr:uid="{00000000-0005-0000-0000-0000C5520000}"/>
    <cellStyle name="Note 5 2 2 2 5 2" xfId="17216" xr:uid="{00000000-0005-0000-0000-0000C6520000}"/>
    <cellStyle name="Note 5 2 2 2 5 3" xfId="23851" xr:uid="{00000000-0005-0000-0000-0000C7520000}"/>
    <cellStyle name="Note 5 2 2 2 5 4" xfId="24886" xr:uid="{00000000-0005-0000-0000-0000C8520000}"/>
    <cellStyle name="Note 5 2 2 2 6" xfId="10354" xr:uid="{00000000-0005-0000-0000-0000C9520000}"/>
    <cellStyle name="Note 5 2 2 2 6 2" xfId="21251" xr:uid="{00000000-0005-0000-0000-0000CA520000}"/>
    <cellStyle name="Note 5 2 2 2 6 3" xfId="25381" xr:uid="{00000000-0005-0000-0000-0000CB520000}"/>
    <cellStyle name="Note 5 2 2 2 6 4" xfId="26898" xr:uid="{00000000-0005-0000-0000-0000CC520000}"/>
    <cellStyle name="Note 5 2 2 2 7" xfId="23918" xr:uid="{00000000-0005-0000-0000-0000CD520000}"/>
    <cellStyle name="Note 5 2 2 3" xfId="1417" xr:uid="{00000000-0005-0000-0000-0000CE520000}"/>
    <cellStyle name="Note 5 2 2 3 2" xfId="2526" xr:uid="{00000000-0005-0000-0000-0000CF520000}"/>
    <cellStyle name="Note 5 2 2 3 2 2" xfId="4838" xr:uid="{00000000-0005-0000-0000-0000D0520000}"/>
    <cellStyle name="Note 5 2 2 3 2 2 2" xfId="9789" xr:uid="{00000000-0005-0000-0000-0000D1520000}"/>
    <cellStyle name="Note 5 2 2 3 2 2 2 2" xfId="20686" xr:uid="{00000000-0005-0000-0000-0000D2520000}"/>
    <cellStyle name="Note 5 2 2 3 2 2 2 3" xfId="24874" xr:uid="{00000000-0005-0000-0000-0000D3520000}"/>
    <cellStyle name="Note 5 2 2 3 2 2 2 4" xfId="26416" xr:uid="{00000000-0005-0000-0000-0000D4520000}"/>
    <cellStyle name="Note 5 2 2 3 2 2 3" xfId="10867" xr:uid="{00000000-0005-0000-0000-0000D5520000}"/>
    <cellStyle name="Note 5 2 2 3 2 2 3 2" xfId="21764" xr:uid="{00000000-0005-0000-0000-0000D6520000}"/>
    <cellStyle name="Note 5 2 2 3 2 2 3 3" xfId="25894" xr:uid="{00000000-0005-0000-0000-0000D7520000}"/>
    <cellStyle name="Note 5 2 2 3 2 2 3 4" xfId="27411" xr:uid="{00000000-0005-0000-0000-0000D8520000}"/>
    <cellStyle name="Note 5 2 2 3 2 2 4" xfId="15735" xr:uid="{00000000-0005-0000-0000-0000D9520000}"/>
    <cellStyle name="Note 5 2 2 3 2 2 5" xfId="23188" xr:uid="{00000000-0005-0000-0000-0000DA520000}"/>
    <cellStyle name="Note 5 2 2 3 2 2 6" xfId="22128" xr:uid="{00000000-0005-0000-0000-0000DB520000}"/>
    <cellStyle name="Note 5 2 2 3 2 3" xfId="5247" xr:uid="{00000000-0005-0000-0000-0000DC520000}"/>
    <cellStyle name="Note 5 2 2 3 2 3 2" xfId="10198" xr:uid="{00000000-0005-0000-0000-0000DD520000}"/>
    <cellStyle name="Note 5 2 2 3 2 3 2 2" xfId="21095" xr:uid="{00000000-0005-0000-0000-0000DE520000}"/>
    <cellStyle name="Note 5 2 2 3 2 3 2 3" xfId="25225" xr:uid="{00000000-0005-0000-0000-0000DF520000}"/>
    <cellStyle name="Note 5 2 2 3 2 3 2 4" xfId="26742" xr:uid="{00000000-0005-0000-0000-0000E0520000}"/>
    <cellStyle name="Note 5 2 2 3 2 3 3" xfId="11193" xr:uid="{00000000-0005-0000-0000-0000E1520000}"/>
    <cellStyle name="Note 5 2 2 3 2 3 3 2" xfId="22090" xr:uid="{00000000-0005-0000-0000-0000E2520000}"/>
    <cellStyle name="Note 5 2 2 3 2 3 3 3" xfId="26220" xr:uid="{00000000-0005-0000-0000-0000E3520000}"/>
    <cellStyle name="Note 5 2 2 3 2 3 3 4" xfId="27737" xr:uid="{00000000-0005-0000-0000-0000E4520000}"/>
    <cellStyle name="Note 5 2 2 3 2 3 4" xfId="16144" xr:uid="{00000000-0005-0000-0000-0000E5520000}"/>
    <cellStyle name="Note 5 2 2 3 2 3 5" xfId="23536" xr:uid="{00000000-0005-0000-0000-0000E6520000}"/>
    <cellStyle name="Note 5 2 2 3 2 3 6" xfId="24740" xr:uid="{00000000-0005-0000-0000-0000E7520000}"/>
    <cellStyle name="Note 5 2 2 3 2 4" xfId="7477" xr:uid="{00000000-0005-0000-0000-0000E8520000}"/>
    <cellStyle name="Note 5 2 2 3 2 4 2" xfId="18374" xr:uid="{00000000-0005-0000-0000-0000E9520000}"/>
    <cellStyle name="Note 5 2 2 3 2 4 3" xfId="24196" xr:uid="{00000000-0005-0000-0000-0000EA520000}"/>
    <cellStyle name="Note 5 2 2 3 2 4 4" xfId="22265" xr:uid="{00000000-0005-0000-0000-0000EB520000}"/>
    <cellStyle name="Note 5 2 2 3 2 5" xfId="10525" xr:uid="{00000000-0005-0000-0000-0000EC520000}"/>
    <cellStyle name="Note 5 2 2 3 2 5 2" xfId="21422" xr:uid="{00000000-0005-0000-0000-0000ED520000}"/>
    <cellStyle name="Note 5 2 2 3 2 5 3" xfId="25552" xr:uid="{00000000-0005-0000-0000-0000EE520000}"/>
    <cellStyle name="Note 5 2 2 3 2 5 4" xfId="27069" xr:uid="{00000000-0005-0000-0000-0000EF520000}"/>
    <cellStyle name="Note 5 2 2 3 2 6" xfId="22491" xr:uid="{00000000-0005-0000-0000-0000F0520000}"/>
    <cellStyle name="Note 5 2 2 3 2 7" xfId="23950" xr:uid="{00000000-0005-0000-0000-0000F1520000}"/>
    <cellStyle name="Note 5 2 2 3 3" xfId="3741" xr:uid="{00000000-0005-0000-0000-0000F2520000}"/>
    <cellStyle name="Note 5 2 2 3 3 2" xfId="8692" xr:uid="{00000000-0005-0000-0000-0000F3520000}"/>
    <cellStyle name="Note 5 2 2 3 3 2 2" xfId="19589" xr:uid="{00000000-0005-0000-0000-0000F4520000}"/>
    <cellStyle name="Note 5 2 2 3 3 2 3" xfId="24586" xr:uid="{00000000-0005-0000-0000-0000F5520000}"/>
    <cellStyle name="Note 5 2 2 3 3 2 4" xfId="26304" xr:uid="{00000000-0005-0000-0000-0000F6520000}"/>
    <cellStyle name="Note 5 2 2 3 3 3" xfId="10755" xr:uid="{00000000-0005-0000-0000-0000F7520000}"/>
    <cellStyle name="Note 5 2 2 3 3 3 2" xfId="21652" xr:uid="{00000000-0005-0000-0000-0000F8520000}"/>
    <cellStyle name="Note 5 2 2 3 3 3 3" xfId="25782" xr:uid="{00000000-0005-0000-0000-0000F9520000}"/>
    <cellStyle name="Note 5 2 2 3 3 3 4" xfId="27299" xr:uid="{00000000-0005-0000-0000-0000FA520000}"/>
    <cellStyle name="Note 5 2 2 3 3 4" xfId="14638" xr:uid="{00000000-0005-0000-0000-0000FB520000}"/>
    <cellStyle name="Note 5 2 2 3 3 5" xfId="22898" xr:uid="{00000000-0005-0000-0000-0000FC520000}"/>
    <cellStyle name="Note 5 2 2 3 3 6" xfId="23958" xr:uid="{00000000-0005-0000-0000-0000FD520000}"/>
    <cellStyle name="Note 5 2 2 3 4" xfId="5136" xr:uid="{00000000-0005-0000-0000-0000FE520000}"/>
    <cellStyle name="Note 5 2 2 3 4 2" xfId="10087" xr:uid="{00000000-0005-0000-0000-0000FF520000}"/>
    <cellStyle name="Note 5 2 2 3 4 2 2" xfId="20984" xr:uid="{00000000-0005-0000-0000-000000530000}"/>
    <cellStyle name="Note 5 2 2 3 4 2 3" xfId="25114" xr:uid="{00000000-0005-0000-0000-000001530000}"/>
    <cellStyle name="Note 5 2 2 3 4 2 4" xfId="26631" xr:uid="{00000000-0005-0000-0000-000002530000}"/>
    <cellStyle name="Note 5 2 2 3 4 3" xfId="11082" xr:uid="{00000000-0005-0000-0000-000003530000}"/>
    <cellStyle name="Note 5 2 2 3 4 3 2" xfId="21979" xr:uid="{00000000-0005-0000-0000-000004530000}"/>
    <cellStyle name="Note 5 2 2 3 4 3 3" xfId="26109" xr:uid="{00000000-0005-0000-0000-000005530000}"/>
    <cellStyle name="Note 5 2 2 3 4 3 4" xfId="27626" xr:uid="{00000000-0005-0000-0000-000006530000}"/>
    <cellStyle name="Note 5 2 2 3 4 4" xfId="16033" xr:uid="{00000000-0005-0000-0000-000007530000}"/>
    <cellStyle name="Note 5 2 2 3 4 5" xfId="23425" xr:uid="{00000000-0005-0000-0000-000008530000}"/>
    <cellStyle name="Note 5 2 2 3 4 6" xfId="23204" xr:uid="{00000000-0005-0000-0000-000009530000}"/>
    <cellStyle name="Note 5 2 2 3 5" xfId="6380" xr:uid="{00000000-0005-0000-0000-00000A530000}"/>
    <cellStyle name="Note 5 2 2 3 5 2" xfId="17277" xr:uid="{00000000-0005-0000-0000-00000B530000}"/>
    <cellStyle name="Note 5 2 2 3 5 3" xfId="23911" xr:uid="{00000000-0005-0000-0000-00000C530000}"/>
    <cellStyle name="Note 5 2 2 3 5 4" xfId="22638" xr:uid="{00000000-0005-0000-0000-00000D530000}"/>
    <cellStyle name="Note 5 2 2 3 6" xfId="10414" xr:uid="{00000000-0005-0000-0000-00000E530000}"/>
    <cellStyle name="Note 5 2 2 3 6 2" xfId="21311" xr:uid="{00000000-0005-0000-0000-00000F530000}"/>
    <cellStyle name="Note 5 2 2 3 6 3" xfId="25441" xr:uid="{00000000-0005-0000-0000-000010530000}"/>
    <cellStyle name="Note 5 2 2 3 6 4" xfId="26958" xr:uid="{00000000-0005-0000-0000-000011530000}"/>
    <cellStyle name="Note 5 2 2 3 7" xfId="23016" xr:uid="{00000000-0005-0000-0000-000012530000}"/>
    <cellStyle name="Note 5 2 2 4" xfId="1981" xr:uid="{00000000-0005-0000-0000-000013530000}"/>
    <cellStyle name="Note 5 2 2 4 2" xfId="4293" xr:uid="{00000000-0005-0000-0000-000014530000}"/>
    <cellStyle name="Note 5 2 2 4 2 2" xfId="9244" xr:uid="{00000000-0005-0000-0000-000015530000}"/>
    <cellStyle name="Note 5 2 2 4 2 2 2" xfId="20141" xr:uid="{00000000-0005-0000-0000-000016530000}"/>
    <cellStyle name="Note 5 2 2 4 2 2 3" xfId="24704" xr:uid="{00000000-0005-0000-0000-000017530000}"/>
    <cellStyle name="Note 5 2 2 4 2 2 4" xfId="26324" xr:uid="{00000000-0005-0000-0000-000018530000}"/>
    <cellStyle name="Note 5 2 2 4 2 3" xfId="10775" xr:uid="{00000000-0005-0000-0000-000019530000}"/>
    <cellStyle name="Note 5 2 2 4 2 3 2" xfId="21672" xr:uid="{00000000-0005-0000-0000-00001A530000}"/>
    <cellStyle name="Note 5 2 2 4 2 3 3" xfId="25802" xr:uid="{00000000-0005-0000-0000-00001B530000}"/>
    <cellStyle name="Note 5 2 2 4 2 3 4" xfId="27319" xr:uid="{00000000-0005-0000-0000-00001C530000}"/>
    <cellStyle name="Note 5 2 2 4 2 4" xfId="15190" xr:uid="{00000000-0005-0000-0000-00001D530000}"/>
    <cellStyle name="Note 5 2 2 4 2 5" xfId="23015" xr:uid="{00000000-0005-0000-0000-00001E530000}"/>
    <cellStyle name="Note 5 2 2 4 2 6" xfId="22967" xr:uid="{00000000-0005-0000-0000-00001F530000}"/>
    <cellStyle name="Note 5 2 2 4 3" xfId="5155" xr:uid="{00000000-0005-0000-0000-000020530000}"/>
    <cellStyle name="Note 5 2 2 4 3 2" xfId="10106" xr:uid="{00000000-0005-0000-0000-000021530000}"/>
    <cellStyle name="Note 5 2 2 4 3 2 2" xfId="21003" xr:uid="{00000000-0005-0000-0000-000022530000}"/>
    <cellStyle name="Note 5 2 2 4 3 2 3" xfId="25133" xr:uid="{00000000-0005-0000-0000-000023530000}"/>
    <cellStyle name="Note 5 2 2 4 3 2 4" xfId="26650" xr:uid="{00000000-0005-0000-0000-000024530000}"/>
    <cellStyle name="Note 5 2 2 4 3 3" xfId="11101" xr:uid="{00000000-0005-0000-0000-000025530000}"/>
    <cellStyle name="Note 5 2 2 4 3 3 2" xfId="21998" xr:uid="{00000000-0005-0000-0000-000026530000}"/>
    <cellStyle name="Note 5 2 2 4 3 3 3" xfId="26128" xr:uid="{00000000-0005-0000-0000-000027530000}"/>
    <cellStyle name="Note 5 2 2 4 3 3 4" xfId="27645" xr:uid="{00000000-0005-0000-0000-000028530000}"/>
    <cellStyle name="Note 5 2 2 4 3 4" xfId="16052" xr:uid="{00000000-0005-0000-0000-000029530000}"/>
    <cellStyle name="Note 5 2 2 4 3 5" xfId="23444" xr:uid="{00000000-0005-0000-0000-00002A530000}"/>
    <cellStyle name="Note 5 2 2 4 3 6" xfId="24413" xr:uid="{00000000-0005-0000-0000-00002B530000}"/>
    <cellStyle name="Note 5 2 2 4 4" xfId="6932" xr:uid="{00000000-0005-0000-0000-00002C530000}"/>
    <cellStyle name="Note 5 2 2 4 4 2" xfId="17829" xr:uid="{00000000-0005-0000-0000-00002D530000}"/>
    <cellStyle name="Note 5 2 2 4 4 3" xfId="24026" xr:uid="{00000000-0005-0000-0000-00002E530000}"/>
    <cellStyle name="Note 5 2 2 4 4 4" xfId="23006" xr:uid="{00000000-0005-0000-0000-00002F530000}"/>
    <cellStyle name="Note 5 2 2 4 5" xfId="10433" xr:uid="{00000000-0005-0000-0000-000030530000}"/>
    <cellStyle name="Note 5 2 2 4 5 2" xfId="21330" xr:uid="{00000000-0005-0000-0000-000031530000}"/>
    <cellStyle name="Note 5 2 2 4 5 3" xfId="25460" xr:uid="{00000000-0005-0000-0000-000032530000}"/>
    <cellStyle name="Note 5 2 2 4 5 4" xfId="26977" xr:uid="{00000000-0005-0000-0000-000033530000}"/>
    <cellStyle name="Note 5 2 2 4 6" xfId="22379" xr:uid="{00000000-0005-0000-0000-000034530000}"/>
    <cellStyle name="Note 5 2 2 4 7" xfId="24096" xr:uid="{00000000-0005-0000-0000-000035530000}"/>
    <cellStyle name="Note 5 2 2 5" xfId="3148" xr:uid="{00000000-0005-0000-0000-000036530000}"/>
    <cellStyle name="Note 5 2 2 5 2" xfId="8099" xr:uid="{00000000-0005-0000-0000-000037530000}"/>
    <cellStyle name="Note 5 2 2 5 2 2" xfId="18996" xr:uid="{00000000-0005-0000-0000-000038530000}"/>
    <cellStyle name="Note 5 2 2 5 2 3" xfId="24375" xr:uid="{00000000-0005-0000-0000-000039530000}"/>
    <cellStyle name="Note 5 2 2 5 2 4" xfId="24013" xr:uid="{00000000-0005-0000-0000-00003A530000}"/>
    <cellStyle name="Note 5 2 2 5 3" xfId="10615" xr:uid="{00000000-0005-0000-0000-00003B530000}"/>
    <cellStyle name="Note 5 2 2 5 3 2" xfId="21512" xr:uid="{00000000-0005-0000-0000-00003C530000}"/>
    <cellStyle name="Note 5 2 2 5 3 3" xfId="25642" xr:uid="{00000000-0005-0000-0000-00003D530000}"/>
    <cellStyle name="Note 5 2 2 5 3 4" xfId="27159" xr:uid="{00000000-0005-0000-0000-00003E530000}"/>
    <cellStyle name="Note 5 2 2 5 4" xfId="14045" xr:uid="{00000000-0005-0000-0000-00003F530000}"/>
    <cellStyle name="Note 5 2 2 5 5" xfId="22682" xr:uid="{00000000-0005-0000-0000-000040530000}"/>
    <cellStyle name="Note 5 2 2 5 6" xfId="24694" xr:uid="{00000000-0005-0000-0000-000041530000}"/>
    <cellStyle name="Note 5 2 2 6" xfId="4996" xr:uid="{00000000-0005-0000-0000-000042530000}"/>
    <cellStyle name="Note 5 2 2 6 2" xfId="9947" xr:uid="{00000000-0005-0000-0000-000043530000}"/>
    <cellStyle name="Note 5 2 2 6 2 2" xfId="20844" xr:uid="{00000000-0005-0000-0000-000044530000}"/>
    <cellStyle name="Note 5 2 2 6 2 3" xfId="24974" xr:uid="{00000000-0005-0000-0000-000045530000}"/>
    <cellStyle name="Note 5 2 2 6 2 4" xfId="26491" xr:uid="{00000000-0005-0000-0000-000046530000}"/>
    <cellStyle name="Note 5 2 2 6 3" xfId="10942" xr:uid="{00000000-0005-0000-0000-000047530000}"/>
    <cellStyle name="Note 5 2 2 6 3 2" xfId="21839" xr:uid="{00000000-0005-0000-0000-000048530000}"/>
    <cellStyle name="Note 5 2 2 6 3 3" xfId="25969" xr:uid="{00000000-0005-0000-0000-000049530000}"/>
    <cellStyle name="Note 5 2 2 6 3 4" xfId="27486" xr:uid="{00000000-0005-0000-0000-00004A530000}"/>
    <cellStyle name="Note 5 2 2 6 4" xfId="15893" xr:uid="{00000000-0005-0000-0000-00004B530000}"/>
    <cellStyle name="Note 5 2 2 6 5" xfId="23285" xr:uid="{00000000-0005-0000-0000-00004C530000}"/>
    <cellStyle name="Note 5 2 2 6 6" xfId="22147" xr:uid="{00000000-0005-0000-0000-00004D530000}"/>
    <cellStyle name="Note 5 2 2 7" xfId="5787" xr:uid="{00000000-0005-0000-0000-00004E530000}"/>
    <cellStyle name="Note 5 2 2 7 2" xfId="16684" xr:uid="{00000000-0005-0000-0000-00004F530000}"/>
    <cellStyle name="Note 5 2 2 7 3" xfId="23697" xr:uid="{00000000-0005-0000-0000-000050530000}"/>
    <cellStyle name="Note 5 2 2 7 4" xfId="23613" xr:uid="{00000000-0005-0000-0000-000051530000}"/>
    <cellStyle name="Note 5 2 2 8" xfId="10274" xr:uid="{00000000-0005-0000-0000-000052530000}"/>
    <cellStyle name="Note 5 2 2 8 2" xfId="21171" xr:uid="{00000000-0005-0000-0000-000053530000}"/>
    <cellStyle name="Note 5 2 2 8 3" xfId="25301" xr:uid="{00000000-0005-0000-0000-000054530000}"/>
    <cellStyle name="Note 5 2 2 8 4" xfId="26818" xr:uid="{00000000-0005-0000-0000-000055530000}"/>
    <cellStyle name="Note 5 2 2 9" xfId="22146" xr:uid="{00000000-0005-0000-0000-000056530000}"/>
    <cellStyle name="Note 5 2 3" xfId="1091" xr:uid="{00000000-0005-0000-0000-000057530000}"/>
    <cellStyle name="Note 5 2 3 2" xfId="2248" xr:uid="{00000000-0005-0000-0000-000058530000}"/>
    <cellStyle name="Note 5 2 3 2 2" xfId="4560" xr:uid="{00000000-0005-0000-0000-000059530000}"/>
    <cellStyle name="Note 5 2 3 2 2 2" xfId="9511" xr:uid="{00000000-0005-0000-0000-00005A530000}"/>
    <cellStyle name="Note 5 2 3 2 2 2 2" xfId="20408" xr:uid="{00000000-0005-0000-0000-00005B530000}"/>
    <cellStyle name="Note 5 2 3 2 2 2 3" xfId="24777" xr:uid="{00000000-0005-0000-0000-00005C530000}"/>
    <cellStyle name="Note 5 2 3 2 2 2 4" xfId="26364" xr:uid="{00000000-0005-0000-0000-00005D530000}"/>
    <cellStyle name="Note 5 2 3 2 2 3" xfId="10815" xr:uid="{00000000-0005-0000-0000-00005E530000}"/>
    <cellStyle name="Note 5 2 3 2 2 3 2" xfId="21712" xr:uid="{00000000-0005-0000-0000-00005F530000}"/>
    <cellStyle name="Note 5 2 3 2 2 3 3" xfId="25842" xr:uid="{00000000-0005-0000-0000-000060530000}"/>
    <cellStyle name="Note 5 2 3 2 2 3 4" xfId="27359" xr:uid="{00000000-0005-0000-0000-000061530000}"/>
    <cellStyle name="Note 5 2 3 2 2 4" xfId="15457" xr:uid="{00000000-0005-0000-0000-000062530000}"/>
    <cellStyle name="Note 5 2 3 2 2 5" xfId="23090" xr:uid="{00000000-0005-0000-0000-000063530000}"/>
    <cellStyle name="Note 5 2 3 2 2 6" xfId="22138" xr:uid="{00000000-0005-0000-0000-000064530000}"/>
    <cellStyle name="Note 5 2 3 2 3" xfId="5195" xr:uid="{00000000-0005-0000-0000-000065530000}"/>
    <cellStyle name="Note 5 2 3 2 3 2" xfId="10146" xr:uid="{00000000-0005-0000-0000-000066530000}"/>
    <cellStyle name="Note 5 2 3 2 3 2 2" xfId="21043" xr:uid="{00000000-0005-0000-0000-000067530000}"/>
    <cellStyle name="Note 5 2 3 2 3 2 3" xfId="25173" xr:uid="{00000000-0005-0000-0000-000068530000}"/>
    <cellStyle name="Note 5 2 3 2 3 2 4" xfId="26690" xr:uid="{00000000-0005-0000-0000-000069530000}"/>
    <cellStyle name="Note 5 2 3 2 3 3" xfId="11141" xr:uid="{00000000-0005-0000-0000-00006A530000}"/>
    <cellStyle name="Note 5 2 3 2 3 3 2" xfId="22038" xr:uid="{00000000-0005-0000-0000-00006B530000}"/>
    <cellStyle name="Note 5 2 3 2 3 3 3" xfId="26168" xr:uid="{00000000-0005-0000-0000-00006C530000}"/>
    <cellStyle name="Note 5 2 3 2 3 3 4" xfId="27685" xr:uid="{00000000-0005-0000-0000-00006D530000}"/>
    <cellStyle name="Note 5 2 3 2 3 4" xfId="16092" xr:uid="{00000000-0005-0000-0000-00006E530000}"/>
    <cellStyle name="Note 5 2 3 2 3 5" xfId="23484" xr:uid="{00000000-0005-0000-0000-00006F530000}"/>
    <cellStyle name="Note 5 2 3 2 3 6" xfId="22678" xr:uid="{00000000-0005-0000-0000-000070530000}"/>
    <cellStyle name="Note 5 2 3 2 4" xfId="7199" xr:uid="{00000000-0005-0000-0000-000071530000}"/>
    <cellStyle name="Note 5 2 3 2 4 2" xfId="18096" xr:uid="{00000000-0005-0000-0000-000072530000}"/>
    <cellStyle name="Note 5 2 3 2 4 3" xfId="24103" xr:uid="{00000000-0005-0000-0000-000073530000}"/>
    <cellStyle name="Note 5 2 3 2 4 4" xfId="22112" xr:uid="{00000000-0005-0000-0000-000074530000}"/>
    <cellStyle name="Note 5 2 3 2 5" xfId="10473" xr:uid="{00000000-0005-0000-0000-000075530000}"/>
    <cellStyle name="Note 5 2 3 2 5 2" xfId="21370" xr:uid="{00000000-0005-0000-0000-000076530000}"/>
    <cellStyle name="Note 5 2 3 2 5 3" xfId="25500" xr:uid="{00000000-0005-0000-0000-000077530000}"/>
    <cellStyle name="Note 5 2 3 2 5 4" xfId="27017" xr:uid="{00000000-0005-0000-0000-000078530000}"/>
    <cellStyle name="Note 5 2 3 2 6" xfId="22420" xr:uid="{00000000-0005-0000-0000-000079530000}"/>
    <cellStyle name="Note 5 2 3 2 7" xfId="23010" xr:uid="{00000000-0005-0000-0000-00007A530000}"/>
    <cellStyle name="Note 5 2 3 3" xfId="3415" xr:uid="{00000000-0005-0000-0000-00007B530000}"/>
    <cellStyle name="Note 5 2 3 3 2" xfId="8366" xr:uid="{00000000-0005-0000-0000-00007C530000}"/>
    <cellStyle name="Note 5 2 3 3 2 2" xfId="19263" xr:uid="{00000000-0005-0000-0000-00007D530000}"/>
    <cellStyle name="Note 5 2 3 3 2 3" xfId="24453" xr:uid="{00000000-0005-0000-0000-00007E530000}"/>
    <cellStyle name="Note 5 2 3 3 2 4" xfId="12371" xr:uid="{00000000-0005-0000-0000-00007F530000}"/>
    <cellStyle name="Note 5 2 3 3 3" xfId="10655" xr:uid="{00000000-0005-0000-0000-000080530000}"/>
    <cellStyle name="Note 5 2 3 3 3 2" xfId="21552" xr:uid="{00000000-0005-0000-0000-000081530000}"/>
    <cellStyle name="Note 5 2 3 3 3 3" xfId="25682" xr:uid="{00000000-0005-0000-0000-000082530000}"/>
    <cellStyle name="Note 5 2 3 3 3 4" xfId="27199" xr:uid="{00000000-0005-0000-0000-000083530000}"/>
    <cellStyle name="Note 5 2 3 3 4" xfId="14312" xr:uid="{00000000-0005-0000-0000-000084530000}"/>
    <cellStyle name="Note 5 2 3 3 5" xfId="22762" xr:uid="{00000000-0005-0000-0000-000085530000}"/>
    <cellStyle name="Note 5 2 3 3 6" xfId="22161" xr:uid="{00000000-0005-0000-0000-000086530000}"/>
    <cellStyle name="Note 5 2 3 4" xfId="5036" xr:uid="{00000000-0005-0000-0000-000087530000}"/>
    <cellStyle name="Note 5 2 3 4 2" xfId="9987" xr:uid="{00000000-0005-0000-0000-000088530000}"/>
    <cellStyle name="Note 5 2 3 4 2 2" xfId="20884" xr:uid="{00000000-0005-0000-0000-000089530000}"/>
    <cellStyle name="Note 5 2 3 4 2 3" xfId="25014" xr:uid="{00000000-0005-0000-0000-00008A530000}"/>
    <cellStyle name="Note 5 2 3 4 2 4" xfId="26531" xr:uid="{00000000-0005-0000-0000-00008B530000}"/>
    <cellStyle name="Note 5 2 3 4 3" xfId="10982" xr:uid="{00000000-0005-0000-0000-00008C530000}"/>
    <cellStyle name="Note 5 2 3 4 3 2" xfId="21879" xr:uid="{00000000-0005-0000-0000-00008D530000}"/>
    <cellStyle name="Note 5 2 3 4 3 3" xfId="26009" xr:uid="{00000000-0005-0000-0000-00008E530000}"/>
    <cellStyle name="Note 5 2 3 4 3 4" xfId="27526" xr:uid="{00000000-0005-0000-0000-00008F530000}"/>
    <cellStyle name="Note 5 2 3 4 4" xfId="15933" xr:uid="{00000000-0005-0000-0000-000090530000}"/>
    <cellStyle name="Note 5 2 3 4 5" xfId="23325" xr:uid="{00000000-0005-0000-0000-000091530000}"/>
    <cellStyle name="Note 5 2 3 4 6" xfId="23770" xr:uid="{00000000-0005-0000-0000-000092530000}"/>
    <cellStyle name="Note 5 2 3 5" xfId="6054" xr:uid="{00000000-0005-0000-0000-000093530000}"/>
    <cellStyle name="Note 5 2 3 5 2" xfId="16951" xr:uid="{00000000-0005-0000-0000-000094530000}"/>
    <cellStyle name="Note 5 2 3 5 3" xfId="23778" xr:uid="{00000000-0005-0000-0000-000095530000}"/>
    <cellStyle name="Note 5 2 3 5 4" xfId="23769" xr:uid="{00000000-0005-0000-0000-000096530000}"/>
    <cellStyle name="Note 5 2 3 6" xfId="10314" xr:uid="{00000000-0005-0000-0000-000097530000}"/>
    <cellStyle name="Note 5 2 3 6 2" xfId="21211" xr:uid="{00000000-0005-0000-0000-000098530000}"/>
    <cellStyle name="Note 5 2 3 6 3" xfId="25341" xr:uid="{00000000-0005-0000-0000-000099530000}"/>
    <cellStyle name="Note 5 2 3 6 4" xfId="26858" xr:uid="{00000000-0005-0000-0000-00009A530000}"/>
    <cellStyle name="Note 5 2 3 7" xfId="22285" xr:uid="{00000000-0005-0000-0000-00009B530000}"/>
    <cellStyle name="Note 5 2 4" xfId="1377" xr:uid="{00000000-0005-0000-0000-00009C530000}"/>
    <cellStyle name="Note 5 2 4 2" xfId="2518" xr:uid="{00000000-0005-0000-0000-00009D530000}"/>
    <cellStyle name="Note 5 2 4 2 2" xfId="4830" xr:uid="{00000000-0005-0000-0000-00009E530000}"/>
    <cellStyle name="Note 5 2 4 2 2 2" xfId="9781" xr:uid="{00000000-0005-0000-0000-00009F530000}"/>
    <cellStyle name="Note 5 2 4 2 2 2 2" xfId="20678" xr:uid="{00000000-0005-0000-0000-0000A0530000}"/>
    <cellStyle name="Note 5 2 4 2 2 2 3" xfId="24866" xr:uid="{00000000-0005-0000-0000-0000A1530000}"/>
    <cellStyle name="Note 5 2 4 2 2 2 4" xfId="26408" xr:uid="{00000000-0005-0000-0000-0000A2530000}"/>
    <cellStyle name="Note 5 2 4 2 2 3" xfId="10859" xr:uid="{00000000-0005-0000-0000-0000A3530000}"/>
    <cellStyle name="Note 5 2 4 2 2 3 2" xfId="21756" xr:uid="{00000000-0005-0000-0000-0000A4530000}"/>
    <cellStyle name="Note 5 2 4 2 2 3 3" xfId="25886" xr:uid="{00000000-0005-0000-0000-0000A5530000}"/>
    <cellStyle name="Note 5 2 4 2 2 3 4" xfId="27403" xr:uid="{00000000-0005-0000-0000-0000A6530000}"/>
    <cellStyle name="Note 5 2 4 2 2 4" xfId="15727" xr:uid="{00000000-0005-0000-0000-0000A7530000}"/>
    <cellStyle name="Note 5 2 4 2 2 5" xfId="23180" xr:uid="{00000000-0005-0000-0000-0000A8530000}"/>
    <cellStyle name="Note 5 2 4 2 2 6" xfId="23790" xr:uid="{00000000-0005-0000-0000-0000A9530000}"/>
    <cellStyle name="Note 5 2 4 2 3" xfId="5239" xr:uid="{00000000-0005-0000-0000-0000AA530000}"/>
    <cellStyle name="Note 5 2 4 2 3 2" xfId="10190" xr:uid="{00000000-0005-0000-0000-0000AB530000}"/>
    <cellStyle name="Note 5 2 4 2 3 2 2" xfId="21087" xr:uid="{00000000-0005-0000-0000-0000AC530000}"/>
    <cellStyle name="Note 5 2 4 2 3 2 3" xfId="25217" xr:uid="{00000000-0005-0000-0000-0000AD530000}"/>
    <cellStyle name="Note 5 2 4 2 3 2 4" xfId="26734" xr:uid="{00000000-0005-0000-0000-0000AE530000}"/>
    <cellStyle name="Note 5 2 4 2 3 3" xfId="11185" xr:uid="{00000000-0005-0000-0000-0000AF530000}"/>
    <cellStyle name="Note 5 2 4 2 3 3 2" xfId="22082" xr:uid="{00000000-0005-0000-0000-0000B0530000}"/>
    <cellStyle name="Note 5 2 4 2 3 3 3" xfId="26212" xr:uid="{00000000-0005-0000-0000-0000B1530000}"/>
    <cellStyle name="Note 5 2 4 2 3 3 4" xfId="27729" xr:uid="{00000000-0005-0000-0000-0000B2530000}"/>
    <cellStyle name="Note 5 2 4 2 3 4" xfId="16136" xr:uid="{00000000-0005-0000-0000-0000B3530000}"/>
    <cellStyle name="Note 5 2 4 2 3 5" xfId="23528" xr:uid="{00000000-0005-0000-0000-0000B4530000}"/>
    <cellStyle name="Note 5 2 4 2 3 6" xfId="24884" xr:uid="{00000000-0005-0000-0000-0000B5530000}"/>
    <cellStyle name="Note 5 2 4 2 4" xfId="7469" xr:uid="{00000000-0005-0000-0000-0000B6530000}"/>
    <cellStyle name="Note 5 2 4 2 4 2" xfId="18366" xr:uid="{00000000-0005-0000-0000-0000B7530000}"/>
    <cellStyle name="Note 5 2 4 2 4 3" xfId="24188" xr:uid="{00000000-0005-0000-0000-0000B8530000}"/>
    <cellStyle name="Note 5 2 4 2 4 4" xfId="22278" xr:uid="{00000000-0005-0000-0000-0000B9530000}"/>
    <cellStyle name="Note 5 2 4 2 5" xfId="10517" xr:uid="{00000000-0005-0000-0000-0000BA530000}"/>
    <cellStyle name="Note 5 2 4 2 5 2" xfId="21414" xr:uid="{00000000-0005-0000-0000-0000BB530000}"/>
    <cellStyle name="Note 5 2 4 2 5 3" xfId="25544" xr:uid="{00000000-0005-0000-0000-0000BC530000}"/>
    <cellStyle name="Note 5 2 4 2 5 4" xfId="27061" xr:uid="{00000000-0005-0000-0000-0000BD530000}"/>
    <cellStyle name="Note 5 2 4 2 6" xfId="22483" xr:uid="{00000000-0005-0000-0000-0000BE530000}"/>
    <cellStyle name="Note 5 2 4 2 7" xfId="11224" xr:uid="{00000000-0005-0000-0000-0000BF530000}"/>
    <cellStyle name="Note 5 2 4 3" xfId="3701" xr:uid="{00000000-0005-0000-0000-0000C0530000}"/>
    <cellStyle name="Note 5 2 4 3 2" xfId="8652" xr:uid="{00000000-0005-0000-0000-0000C1530000}"/>
    <cellStyle name="Note 5 2 4 3 2 2" xfId="19549" xr:uid="{00000000-0005-0000-0000-0000C2530000}"/>
    <cellStyle name="Note 5 2 4 3 2 3" xfId="24546" xr:uid="{00000000-0005-0000-0000-0000C3530000}"/>
    <cellStyle name="Note 5 2 4 3 2 4" xfId="26264" xr:uid="{00000000-0005-0000-0000-0000C4530000}"/>
    <cellStyle name="Note 5 2 4 3 3" xfId="10715" xr:uid="{00000000-0005-0000-0000-0000C5530000}"/>
    <cellStyle name="Note 5 2 4 3 3 2" xfId="21612" xr:uid="{00000000-0005-0000-0000-0000C6530000}"/>
    <cellStyle name="Note 5 2 4 3 3 3" xfId="25742" xr:uid="{00000000-0005-0000-0000-0000C7530000}"/>
    <cellStyle name="Note 5 2 4 3 3 4" xfId="27259" xr:uid="{00000000-0005-0000-0000-0000C8530000}"/>
    <cellStyle name="Note 5 2 4 3 4" xfId="14598" xr:uid="{00000000-0005-0000-0000-0000C9530000}"/>
    <cellStyle name="Note 5 2 4 3 5" xfId="22858" xr:uid="{00000000-0005-0000-0000-0000CA530000}"/>
    <cellStyle name="Note 5 2 4 3 6" xfId="24794" xr:uid="{00000000-0005-0000-0000-0000CB530000}"/>
    <cellStyle name="Note 5 2 4 4" xfId="5096" xr:uid="{00000000-0005-0000-0000-0000CC530000}"/>
    <cellStyle name="Note 5 2 4 4 2" xfId="10047" xr:uid="{00000000-0005-0000-0000-0000CD530000}"/>
    <cellStyle name="Note 5 2 4 4 2 2" xfId="20944" xr:uid="{00000000-0005-0000-0000-0000CE530000}"/>
    <cellStyle name="Note 5 2 4 4 2 3" xfId="25074" xr:uid="{00000000-0005-0000-0000-0000CF530000}"/>
    <cellStyle name="Note 5 2 4 4 2 4" xfId="26591" xr:uid="{00000000-0005-0000-0000-0000D0530000}"/>
    <cellStyle name="Note 5 2 4 4 3" xfId="11042" xr:uid="{00000000-0005-0000-0000-0000D1530000}"/>
    <cellStyle name="Note 5 2 4 4 3 2" xfId="21939" xr:uid="{00000000-0005-0000-0000-0000D2530000}"/>
    <cellStyle name="Note 5 2 4 4 3 3" xfId="26069" xr:uid="{00000000-0005-0000-0000-0000D3530000}"/>
    <cellStyle name="Note 5 2 4 4 3 4" xfId="27586" xr:uid="{00000000-0005-0000-0000-0000D4530000}"/>
    <cellStyle name="Note 5 2 4 4 4" xfId="15993" xr:uid="{00000000-0005-0000-0000-0000D5530000}"/>
    <cellStyle name="Note 5 2 4 4 5" xfId="23385" xr:uid="{00000000-0005-0000-0000-0000D6530000}"/>
    <cellStyle name="Note 5 2 4 4 6" xfId="22142" xr:uid="{00000000-0005-0000-0000-0000D7530000}"/>
    <cellStyle name="Note 5 2 4 5" xfId="6340" xr:uid="{00000000-0005-0000-0000-0000D8530000}"/>
    <cellStyle name="Note 5 2 4 5 2" xfId="17237" xr:uid="{00000000-0005-0000-0000-0000D9530000}"/>
    <cellStyle name="Note 5 2 4 5 3" xfId="23871" xr:uid="{00000000-0005-0000-0000-0000DA530000}"/>
    <cellStyle name="Note 5 2 4 5 4" xfId="24593" xr:uid="{00000000-0005-0000-0000-0000DB530000}"/>
    <cellStyle name="Note 5 2 4 6" xfId="10374" xr:uid="{00000000-0005-0000-0000-0000DC530000}"/>
    <cellStyle name="Note 5 2 4 6 2" xfId="21271" xr:uid="{00000000-0005-0000-0000-0000DD530000}"/>
    <cellStyle name="Note 5 2 4 6 3" xfId="25401" xr:uid="{00000000-0005-0000-0000-0000DE530000}"/>
    <cellStyle name="Note 5 2 4 6 4" xfId="26918" xr:uid="{00000000-0005-0000-0000-0000DF530000}"/>
    <cellStyle name="Note 5 2 4 7" xfId="23192" xr:uid="{00000000-0005-0000-0000-0000E0530000}"/>
    <cellStyle name="Note 5 2 5" xfId="1748" xr:uid="{00000000-0005-0000-0000-0000E1530000}"/>
    <cellStyle name="Note 5 2 5 2" xfId="4060" xr:uid="{00000000-0005-0000-0000-0000E2530000}"/>
    <cellStyle name="Note 5 2 5 2 2" xfId="9011" xr:uid="{00000000-0005-0000-0000-0000E3530000}"/>
    <cellStyle name="Note 5 2 5 2 2 2" xfId="19908" xr:uid="{00000000-0005-0000-0000-0000E4530000}"/>
    <cellStyle name="Note 5 2 5 2 2 3" xfId="24657" xr:uid="{00000000-0005-0000-0000-0000E5530000}"/>
    <cellStyle name="Note 5 2 5 2 2 4" xfId="26316" xr:uid="{00000000-0005-0000-0000-0000E6530000}"/>
    <cellStyle name="Note 5 2 5 2 3" xfId="10767" xr:uid="{00000000-0005-0000-0000-0000E7530000}"/>
    <cellStyle name="Note 5 2 5 2 3 2" xfId="21664" xr:uid="{00000000-0005-0000-0000-0000E8530000}"/>
    <cellStyle name="Note 5 2 5 2 3 3" xfId="25794" xr:uid="{00000000-0005-0000-0000-0000E9530000}"/>
    <cellStyle name="Note 5 2 5 2 3 4" xfId="27311" xr:uid="{00000000-0005-0000-0000-0000EA530000}"/>
    <cellStyle name="Note 5 2 5 2 4" xfId="14957" xr:uid="{00000000-0005-0000-0000-0000EB530000}"/>
    <cellStyle name="Note 5 2 5 2 5" xfId="22972" xr:uid="{00000000-0005-0000-0000-0000EC530000}"/>
    <cellStyle name="Note 5 2 5 2 6" xfId="11231" xr:uid="{00000000-0005-0000-0000-0000ED530000}"/>
    <cellStyle name="Note 5 2 5 3" xfId="5147" xr:uid="{00000000-0005-0000-0000-0000EE530000}"/>
    <cellStyle name="Note 5 2 5 3 2" xfId="10098" xr:uid="{00000000-0005-0000-0000-0000EF530000}"/>
    <cellStyle name="Note 5 2 5 3 2 2" xfId="20995" xr:uid="{00000000-0005-0000-0000-0000F0530000}"/>
    <cellStyle name="Note 5 2 5 3 2 3" xfId="25125" xr:uid="{00000000-0005-0000-0000-0000F1530000}"/>
    <cellStyle name="Note 5 2 5 3 2 4" xfId="26642" xr:uid="{00000000-0005-0000-0000-0000F2530000}"/>
    <cellStyle name="Note 5 2 5 3 3" xfId="11093" xr:uid="{00000000-0005-0000-0000-0000F3530000}"/>
    <cellStyle name="Note 5 2 5 3 3 2" xfId="21990" xr:uid="{00000000-0005-0000-0000-0000F4530000}"/>
    <cellStyle name="Note 5 2 5 3 3 3" xfId="26120" xr:uid="{00000000-0005-0000-0000-0000F5530000}"/>
    <cellStyle name="Note 5 2 5 3 3 4" xfId="27637" xr:uid="{00000000-0005-0000-0000-0000F6530000}"/>
    <cellStyle name="Note 5 2 5 3 4" xfId="16044" xr:uid="{00000000-0005-0000-0000-0000F7530000}"/>
    <cellStyle name="Note 5 2 5 3 5" xfId="23436" xr:uid="{00000000-0005-0000-0000-0000F8530000}"/>
    <cellStyle name="Note 5 2 5 3 6" xfId="23586" xr:uid="{00000000-0005-0000-0000-0000F9530000}"/>
    <cellStyle name="Note 5 2 5 4" xfId="6699" xr:uid="{00000000-0005-0000-0000-0000FA530000}"/>
    <cellStyle name="Note 5 2 5 4 2" xfId="17596" xr:uid="{00000000-0005-0000-0000-0000FB530000}"/>
    <cellStyle name="Note 5 2 5 4 3" xfId="23981" xr:uid="{00000000-0005-0000-0000-0000FC530000}"/>
    <cellStyle name="Note 5 2 5 4 4" xfId="22693" xr:uid="{00000000-0005-0000-0000-0000FD530000}"/>
    <cellStyle name="Note 5 2 5 5" xfId="10425" xr:uid="{00000000-0005-0000-0000-0000FE530000}"/>
    <cellStyle name="Note 5 2 5 5 2" xfId="21322" xr:uid="{00000000-0005-0000-0000-0000FF530000}"/>
    <cellStyle name="Note 5 2 5 5 3" xfId="25452" xr:uid="{00000000-0005-0000-0000-000000540000}"/>
    <cellStyle name="Note 5 2 5 5 4" xfId="26969" xr:uid="{00000000-0005-0000-0000-000001540000}"/>
    <cellStyle name="Note 5 2 5 6" xfId="22341" xr:uid="{00000000-0005-0000-0000-000002540000}"/>
    <cellStyle name="Note 5 2 5 7" xfId="24247" xr:uid="{00000000-0005-0000-0000-000003540000}"/>
    <cellStyle name="Note 5 2 6" xfId="2883" xr:uid="{00000000-0005-0000-0000-000004540000}"/>
    <cellStyle name="Note 5 2 6 2" xfId="7834" xr:uid="{00000000-0005-0000-0000-000005540000}"/>
    <cellStyle name="Note 5 2 6 2 2" xfId="18731" xr:uid="{00000000-0005-0000-0000-000006540000}"/>
    <cellStyle name="Note 5 2 6 2 3" xfId="24302" xr:uid="{00000000-0005-0000-0000-000007540000}"/>
    <cellStyle name="Note 5 2 6 2 4" xfId="22751" xr:uid="{00000000-0005-0000-0000-000008540000}"/>
    <cellStyle name="Note 5 2 6 3" xfId="10575" xr:uid="{00000000-0005-0000-0000-000009540000}"/>
    <cellStyle name="Note 5 2 6 3 2" xfId="21472" xr:uid="{00000000-0005-0000-0000-00000A540000}"/>
    <cellStyle name="Note 5 2 6 3 3" xfId="25602" xr:uid="{00000000-0005-0000-0000-00000B540000}"/>
    <cellStyle name="Note 5 2 6 3 4" xfId="27119" xr:uid="{00000000-0005-0000-0000-00000C540000}"/>
    <cellStyle name="Note 5 2 6 4" xfId="13780" xr:uid="{00000000-0005-0000-0000-00000D540000}"/>
    <cellStyle name="Note 5 2 6 5" xfId="22604" xr:uid="{00000000-0005-0000-0000-00000E540000}"/>
    <cellStyle name="Note 5 2 6 6" xfId="24094" xr:uid="{00000000-0005-0000-0000-00000F540000}"/>
    <cellStyle name="Note 5 2 7" xfId="4956" xr:uid="{00000000-0005-0000-0000-000010540000}"/>
    <cellStyle name="Note 5 2 7 2" xfId="9907" xr:uid="{00000000-0005-0000-0000-000011540000}"/>
    <cellStyle name="Note 5 2 7 2 2" xfId="20804" xr:uid="{00000000-0005-0000-0000-000012540000}"/>
    <cellStyle name="Note 5 2 7 2 3" xfId="24934" xr:uid="{00000000-0005-0000-0000-000013540000}"/>
    <cellStyle name="Note 5 2 7 2 4" xfId="26451" xr:uid="{00000000-0005-0000-0000-000014540000}"/>
    <cellStyle name="Note 5 2 7 3" xfId="10902" xr:uid="{00000000-0005-0000-0000-000015540000}"/>
    <cellStyle name="Note 5 2 7 3 2" xfId="21799" xr:uid="{00000000-0005-0000-0000-000016540000}"/>
    <cellStyle name="Note 5 2 7 3 3" xfId="25929" xr:uid="{00000000-0005-0000-0000-000017540000}"/>
    <cellStyle name="Note 5 2 7 3 4" xfId="27446" xr:uid="{00000000-0005-0000-0000-000018540000}"/>
    <cellStyle name="Note 5 2 7 4" xfId="15853" xr:uid="{00000000-0005-0000-0000-000019540000}"/>
    <cellStyle name="Note 5 2 7 5" xfId="23245" xr:uid="{00000000-0005-0000-0000-00001A540000}"/>
    <cellStyle name="Note 5 2 7 6" xfId="22347" xr:uid="{00000000-0005-0000-0000-00001B540000}"/>
    <cellStyle name="Note 5 2 8" xfId="5522" xr:uid="{00000000-0005-0000-0000-00001C540000}"/>
    <cellStyle name="Note 5 2 8 2" xfId="16419" xr:uid="{00000000-0005-0000-0000-00001D540000}"/>
    <cellStyle name="Note 5 2 8 3" xfId="23622" xr:uid="{00000000-0005-0000-0000-00001E540000}"/>
    <cellStyle name="Note 5 2 8 4" xfId="23161" xr:uid="{00000000-0005-0000-0000-00001F540000}"/>
    <cellStyle name="Note 5 2 9" xfId="10234" xr:uid="{00000000-0005-0000-0000-000020540000}"/>
    <cellStyle name="Note 5 2 9 2" xfId="21131" xr:uid="{00000000-0005-0000-0000-000021540000}"/>
    <cellStyle name="Note 5 2 9 3" xfId="25261" xr:uid="{00000000-0005-0000-0000-000022540000}"/>
    <cellStyle name="Note 5 2 9 4" xfId="26778" xr:uid="{00000000-0005-0000-0000-000023540000}"/>
    <cellStyle name="Note 5 3" xfId="617" xr:uid="{00000000-0005-0000-0000-000024540000}"/>
    <cellStyle name="Note 5 3 2" xfId="1149" xr:uid="{00000000-0005-0000-0000-000025540000}"/>
    <cellStyle name="Note 5 3 2 2" xfId="2306" xr:uid="{00000000-0005-0000-0000-000026540000}"/>
    <cellStyle name="Note 5 3 2 2 2" xfId="4618" xr:uid="{00000000-0005-0000-0000-000027540000}"/>
    <cellStyle name="Note 5 3 2 2 2 2" xfId="9569" xr:uid="{00000000-0005-0000-0000-000028540000}"/>
    <cellStyle name="Note 5 3 2 2 2 2 2" xfId="20466" xr:uid="{00000000-0005-0000-0000-000029540000}"/>
    <cellStyle name="Note 5 3 2 2 2 2 3" xfId="24799" xr:uid="{00000000-0005-0000-0000-00002A540000}"/>
    <cellStyle name="Note 5 3 2 2 2 2 4" xfId="26376" xr:uid="{00000000-0005-0000-0000-00002B540000}"/>
    <cellStyle name="Note 5 3 2 2 2 3" xfId="10827" xr:uid="{00000000-0005-0000-0000-00002C540000}"/>
    <cellStyle name="Note 5 3 2 2 2 3 2" xfId="21724" xr:uid="{00000000-0005-0000-0000-00002D540000}"/>
    <cellStyle name="Note 5 3 2 2 2 3 3" xfId="25854" xr:uid="{00000000-0005-0000-0000-00002E540000}"/>
    <cellStyle name="Note 5 3 2 2 2 3 4" xfId="27371" xr:uid="{00000000-0005-0000-0000-00002F540000}"/>
    <cellStyle name="Note 5 3 2 2 2 4" xfId="15515" xr:uid="{00000000-0005-0000-0000-000030540000}"/>
    <cellStyle name="Note 5 3 2 2 2 5" xfId="23112" xr:uid="{00000000-0005-0000-0000-000031540000}"/>
    <cellStyle name="Note 5 3 2 2 2 6" xfId="23945" xr:uid="{00000000-0005-0000-0000-000032540000}"/>
    <cellStyle name="Note 5 3 2 2 3" xfId="5207" xr:uid="{00000000-0005-0000-0000-000033540000}"/>
    <cellStyle name="Note 5 3 2 2 3 2" xfId="10158" xr:uid="{00000000-0005-0000-0000-000034540000}"/>
    <cellStyle name="Note 5 3 2 2 3 2 2" xfId="21055" xr:uid="{00000000-0005-0000-0000-000035540000}"/>
    <cellStyle name="Note 5 3 2 2 3 2 3" xfId="25185" xr:uid="{00000000-0005-0000-0000-000036540000}"/>
    <cellStyle name="Note 5 3 2 2 3 2 4" xfId="26702" xr:uid="{00000000-0005-0000-0000-000037540000}"/>
    <cellStyle name="Note 5 3 2 2 3 3" xfId="11153" xr:uid="{00000000-0005-0000-0000-000038540000}"/>
    <cellStyle name="Note 5 3 2 2 3 3 2" xfId="22050" xr:uid="{00000000-0005-0000-0000-000039540000}"/>
    <cellStyle name="Note 5 3 2 2 3 3 3" xfId="26180" xr:uid="{00000000-0005-0000-0000-00003A540000}"/>
    <cellStyle name="Note 5 3 2 2 3 3 4" xfId="27697" xr:uid="{00000000-0005-0000-0000-00003B540000}"/>
    <cellStyle name="Note 5 3 2 2 3 4" xfId="16104" xr:uid="{00000000-0005-0000-0000-00003C540000}"/>
    <cellStyle name="Note 5 3 2 2 3 5" xfId="23496" xr:uid="{00000000-0005-0000-0000-00003D540000}"/>
    <cellStyle name="Note 5 3 2 2 3 6" xfId="22255" xr:uid="{00000000-0005-0000-0000-00003E540000}"/>
    <cellStyle name="Note 5 3 2 2 4" xfId="7257" xr:uid="{00000000-0005-0000-0000-00003F540000}"/>
    <cellStyle name="Note 5 3 2 2 4 2" xfId="18154" xr:uid="{00000000-0005-0000-0000-000040540000}"/>
    <cellStyle name="Note 5 3 2 2 4 3" xfId="24125" xr:uid="{00000000-0005-0000-0000-000041540000}"/>
    <cellStyle name="Note 5 3 2 2 4 4" xfId="22811" xr:uid="{00000000-0005-0000-0000-000042540000}"/>
    <cellStyle name="Note 5 3 2 2 5" xfId="10485" xr:uid="{00000000-0005-0000-0000-000043540000}"/>
    <cellStyle name="Note 5 3 2 2 5 2" xfId="21382" xr:uid="{00000000-0005-0000-0000-000044540000}"/>
    <cellStyle name="Note 5 3 2 2 5 3" xfId="25512" xr:uid="{00000000-0005-0000-0000-000045540000}"/>
    <cellStyle name="Note 5 3 2 2 5 4" xfId="27029" xr:uid="{00000000-0005-0000-0000-000046540000}"/>
    <cellStyle name="Note 5 3 2 2 6" xfId="22438" xr:uid="{00000000-0005-0000-0000-000047540000}"/>
    <cellStyle name="Note 5 3 2 2 7" xfId="23076" xr:uid="{00000000-0005-0000-0000-000048540000}"/>
    <cellStyle name="Note 5 3 2 3" xfId="3473" xr:uid="{00000000-0005-0000-0000-000049540000}"/>
    <cellStyle name="Note 5 3 2 3 2" xfId="8424" xr:uid="{00000000-0005-0000-0000-00004A540000}"/>
    <cellStyle name="Note 5 3 2 3 2 2" xfId="19321" xr:uid="{00000000-0005-0000-0000-00004B540000}"/>
    <cellStyle name="Note 5 3 2 3 2 3" xfId="24477" xr:uid="{00000000-0005-0000-0000-00004C540000}"/>
    <cellStyle name="Note 5 3 2 3 2 4" xfId="12307" xr:uid="{00000000-0005-0000-0000-00004D540000}"/>
    <cellStyle name="Note 5 3 2 3 3" xfId="10667" xr:uid="{00000000-0005-0000-0000-00004E540000}"/>
    <cellStyle name="Note 5 3 2 3 3 2" xfId="21564" xr:uid="{00000000-0005-0000-0000-00004F540000}"/>
    <cellStyle name="Note 5 3 2 3 3 3" xfId="25694" xr:uid="{00000000-0005-0000-0000-000050540000}"/>
    <cellStyle name="Note 5 3 2 3 3 4" xfId="27211" xr:uid="{00000000-0005-0000-0000-000051540000}"/>
    <cellStyle name="Note 5 3 2 3 4" xfId="14370" xr:uid="{00000000-0005-0000-0000-000052540000}"/>
    <cellStyle name="Note 5 3 2 3 5" xfId="22785" xr:uid="{00000000-0005-0000-0000-000053540000}"/>
    <cellStyle name="Note 5 3 2 3 6" xfId="24514" xr:uid="{00000000-0005-0000-0000-000054540000}"/>
    <cellStyle name="Note 5 3 2 4" xfId="5048" xr:uid="{00000000-0005-0000-0000-000055540000}"/>
    <cellStyle name="Note 5 3 2 4 2" xfId="9999" xr:uid="{00000000-0005-0000-0000-000056540000}"/>
    <cellStyle name="Note 5 3 2 4 2 2" xfId="20896" xr:uid="{00000000-0005-0000-0000-000057540000}"/>
    <cellStyle name="Note 5 3 2 4 2 3" xfId="25026" xr:uid="{00000000-0005-0000-0000-000058540000}"/>
    <cellStyle name="Note 5 3 2 4 2 4" xfId="26543" xr:uid="{00000000-0005-0000-0000-000059540000}"/>
    <cellStyle name="Note 5 3 2 4 3" xfId="10994" xr:uid="{00000000-0005-0000-0000-00005A540000}"/>
    <cellStyle name="Note 5 3 2 4 3 2" xfId="21891" xr:uid="{00000000-0005-0000-0000-00005B540000}"/>
    <cellStyle name="Note 5 3 2 4 3 3" xfId="26021" xr:uid="{00000000-0005-0000-0000-00005C540000}"/>
    <cellStyle name="Note 5 3 2 4 3 4" xfId="27538" xr:uid="{00000000-0005-0000-0000-00005D540000}"/>
    <cellStyle name="Note 5 3 2 4 4" xfId="15945" xr:uid="{00000000-0005-0000-0000-00005E540000}"/>
    <cellStyle name="Note 5 3 2 4 5" xfId="23337" xr:uid="{00000000-0005-0000-0000-00005F540000}"/>
    <cellStyle name="Note 5 3 2 4 6" xfId="24693" xr:uid="{00000000-0005-0000-0000-000060540000}"/>
    <cellStyle name="Note 5 3 2 5" xfId="6112" xr:uid="{00000000-0005-0000-0000-000061540000}"/>
    <cellStyle name="Note 5 3 2 5 2" xfId="17009" xr:uid="{00000000-0005-0000-0000-000062540000}"/>
    <cellStyle name="Note 5 3 2 5 3" xfId="23800" xr:uid="{00000000-0005-0000-0000-000063540000}"/>
    <cellStyle name="Note 5 3 2 5 4" xfId="23630" xr:uid="{00000000-0005-0000-0000-000064540000}"/>
    <cellStyle name="Note 5 3 2 6" xfId="10326" xr:uid="{00000000-0005-0000-0000-000065540000}"/>
    <cellStyle name="Note 5 3 2 6 2" xfId="21223" xr:uid="{00000000-0005-0000-0000-000066540000}"/>
    <cellStyle name="Note 5 3 2 6 3" xfId="25353" xr:uid="{00000000-0005-0000-0000-000067540000}"/>
    <cellStyle name="Note 5 3 2 6 4" xfId="26870" xr:uid="{00000000-0005-0000-0000-000068540000}"/>
    <cellStyle name="Note 5 3 2 7" xfId="22924" xr:uid="{00000000-0005-0000-0000-000069540000}"/>
    <cellStyle name="Note 5 3 3" xfId="1389" xr:uid="{00000000-0005-0000-0000-00006A540000}"/>
    <cellStyle name="Note 5 3 3 2" xfId="2522" xr:uid="{00000000-0005-0000-0000-00006B540000}"/>
    <cellStyle name="Note 5 3 3 2 2" xfId="4834" xr:uid="{00000000-0005-0000-0000-00006C540000}"/>
    <cellStyle name="Note 5 3 3 2 2 2" xfId="9785" xr:uid="{00000000-0005-0000-0000-00006D540000}"/>
    <cellStyle name="Note 5 3 3 2 2 2 2" xfId="20682" xr:uid="{00000000-0005-0000-0000-00006E540000}"/>
    <cellStyle name="Note 5 3 3 2 2 2 3" xfId="24870" xr:uid="{00000000-0005-0000-0000-00006F540000}"/>
    <cellStyle name="Note 5 3 3 2 2 2 4" xfId="26412" xr:uid="{00000000-0005-0000-0000-000070540000}"/>
    <cellStyle name="Note 5 3 3 2 2 3" xfId="10863" xr:uid="{00000000-0005-0000-0000-000071540000}"/>
    <cellStyle name="Note 5 3 3 2 2 3 2" xfId="21760" xr:uid="{00000000-0005-0000-0000-000072540000}"/>
    <cellStyle name="Note 5 3 3 2 2 3 3" xfId="25890" xr:uid="{00000000-0005-0000-0000-000073540000}"/>
    <cellStyle name="Note 5 3 3 2 2 3 4" xfId="27407" xr:uid="{00000000-0005-0000-0000-000074540000}"/>
    <cellStyle name="Note 5 3 3 2 2 4" xfId="15731" xr:uid="{00000000-0005-0000-0000-000075540000}"/>
    <cellStyle name="Note 5 3 3 2 2 5" xfId="23184" xr:uid="{00000000-0005-0000-0000-000076540000}"/>
    <cellStyle name="Note 5 3 3 2 2 6" xfId="24792" xr:uid="{00000000-0005-0000-0000-000077540000}"/>
    <cellStyle name="Note 5 3 3 2 3" xfId="5243" xr:uid="{00000000-0005-0000-0000-000078540000}"/>
    <cellStyle name="Note 5 3 3 2 3 2" xfId="10194" xr:uid="{00000000-0005-0000-0000-000079540000}"/>
    <cellStyle name="Note 5 3 3 2 3 2 2" xfId="21091" xr:uid="{00000000-0005-0000-0000-00007A540000}"/>
    <cellStyle name="Note 5 3 3 2 3 2 3" xfId="25221" xr:uid="{00000000-0005-0000-0000-00007B540000}"/>
    <cellStyle name="Note 5 3 3 2 3 2 4" xfId="26738" xr:uid="{00000000-0005-0000-0000-00007C540000}"/>
    <cellStyle name="Note 5 3 3 2 3 3" xfId="11189" xr:uid="{00000000-0005-0000-0000-00007D540000}"/>
    <cellStyle name="Note 5 3 3 2 3 3 2" xfId="22086" xr:uid="{00000000-0005-0000-0000-00007E540000}"/>
    <cellStyle name="Note 5 3 3 2 3 3 3" xfId="26216" xr:uid="{00000000-0005-0000-0000-00007F540000}"/>
    <cellStyle name="Note 5 3 3 2 3 3 4" xfId="27733" xr:uid="{00000000-0005-0000-0000-000080540000}"/>
    <cellStyle name="Note 5 3 3 2 3 4" xfId="16140" xr:uid="{00000000-0005-0000-0000-000081540000}"/>
    <cellStyle name="Note 5 3 3 2 3 5" xfId="23532" xr:uid="{00000000-0005-0000-0000-000082540000}"/>
    <cellStyle name="Note 5 3 3 2 3 6" xfId="23734" xr:uid="{00000000-0005-0000-0000-000083540000}"/>
    <cellStyle name="Note 5 3 3 2 4" xfId="7473" xr:uid="{00000000-0005-0000-0000-000084540000}"/>
    <cellStyle name="Note 5 3 3 2 4 2" xfId="18370" xr:uid="{00000000-0005-0000-0000-000085540000}"/>
    <cellStyle name="Note 5 3 3 2 4 3" xfId="24192" xr:uid="{00000000-0005-0000-0000-000086540000}"/>
    <cellStyle name="Note 5 3 3 2 4 4" xfId="24199" xr:uid="{00000000-0005-0000-0000-000087540000}"/>
    <cellStyle name="Note 5 3 3 2 5" xfId="10521" xr:uid="{00000000-0005-0000-0000-000088540000}"/>
    <cellStyle name="Note 5 3 3 2 5 2" xfId="21418" xr:uid="{00000000-0005-0000-0000-000089540000}"/>
    <cellStyle name="Note 5 3 3 2 5 3" xfId="25548" xr:uid="{00000000-0005-0000-0000-00008A540000}"/>
    <cellStyle name="Note 5 3 3 2 5 4" xfId="27065" xr:uid="{00000000-0005-0000-0000-00008B540000}"/>
    <cellStyle name="Note 5 3 3 2 6" xfId="22487" xr:uid="{00000000-0005-0000-0000-00008C540000}"/>
    <cellStyle name="Note 5 3 3 2 7" xfId="11228" xr:uid="{00000000-0005-0000-0000-00008D540000}"/>
    <cellStyle name="Note 5 3 3 3" xfId="3713" xr:uid="{00000000-0005-0000-0000-00008E540000}"/>
    <cellStyle name="Note 5 3 3 3 2" xfId="8664" xr:uid="{00000000-0005-0000-0000-00008F540000}"/>
    <cellStyle name="Note 5 3 3 3 2 2" xfId="19561" xr:uid="{00000000-0005-0000-0000-000090540000}"/>
    <cellStyle name="Note 5 3 3 3 2 3" xfId="24558" xr:uid="{00000000-0005-0000-0000-000091540000}"/>
    <cellStyle name="Note 5 3 3 3 2 4" xfId="26276" xr:uid="{00000000-0005-0000-0000-000092540000}"/>
    <cellStyle name="Note 5 3 3 3 3" xfId="10727" xr:uid="{00000000-0005-0000-0000-000093540000}"/>
    <cellStyle name="Note 5 3 3 3 3 2" xfId="21624" xr:uid="{00000000-0005-0000-0000-000094540000}"/>
    <cellStyle name="Note 5 3 3 3 3 3" xfId="25754" xr:uid="{00000000-0005-0000-0000-000095540000}"/>
    <cellStyle name="Note 5 3 3 3 3 4" xfId="27271" xr:uid="{00000000-0005-0000-0000-000096540000}"/>
    <cellStyle name="Note 5 3 3 3 4" xfId="14610" xr:uid="{00000000-0005-0000-0000-000097540000}"/>
    <cellStyle name="Note 5 3 3 3 5" xfId="22870" xr:uid="{00000000-0005-0000-0000-000098540000}"/>
    <cellStyle name="Note 5 3 3 3 6" xfId="23760" xr:uid="{00000000-0005-0000-0000-000099540000}"/>
    <cellStyle name="Note 5 3 3 4" xfId="5108" xr:uid="{00000000-0005-0000-0000-00009A540000}"/>
    <cellStyle name="Note 5 3 3 4 2" xfId="10059" xr:uid="{00000000-0005-0000-0000-00009B540000}"/>
    <cellStyle name="Note 5 3 3 4 2 2" xfId="20956" xr:uid="{00000000-0005-0000-0000-00009C540000}"/>
    <cellStyle name="Note 5 3 3 4 2 3" xfId="25086" xr:uid="{00000000-0005-0000-0000-00009D540000}"/>
    <cellStyle name="Note 5 3 3 4 2 4" xfId="26603" xr:uid="{00000000-0005-0000-0000-00009E540000}"/>
    <cellStyle name="Note 5 3 3 4 3" xfId="11054" xr:uid="{00000000-0005-0000-0000-00009F540000}"/>
    <cellStyle name="Note 5 3 3 4 3 2" xfId="21951" xr:uid="{00000000-0005-0000-0000-0000A0540000}"/>
    <cellStyle name="Note 5 3 3 4 3 3" xfId="26081" xr:uid="{00000000-0005-0000-0000-0000A1540000}"/>
    <cellStyle name="Note 5 3 3 4 3 4" xfId="27598" xr:uid="{00000000-0005-0000-0000-0000A2540000}"/>
    <cellStyle name="Note 5 3 3 4 4" xfId="16005" xr:uid="{00000000-0005-0000-0000-0000A3540000}"/>
    <cellStyle name="Note 5 3 3 4 5" xfId="23397" xr:uid="{00000000-0005-0000-0000-0000A4540000}"/>
    <cellStyle name="Note 5 3 3 4 6" xfId="24774" xr:uid="{00000000-0005-0000-0000-0000A5540000}"/>
    <cellStyle name="Note 5 3 3 5" xfId="6352" xr:uid="{00000000-0005-0000-0000-0000A6540000}"/>
    <cellStyle name="Note 5 3 3 5 2" xfId="17249" xr:uid="{00000000-0005-0000-0000-0000A7540000}"/>
    <cellStyle name="Note 5 3 3 5 3" xfId="23883" xr:uid="{00000000-0005-0000-0000-0000A8540000}"/>
    <cellStyle name="Note 5 3 3 5 4" xfId="23193" xr:uid="{00000000-0005-0000-0000-0000A9540000}"/>
    <cellStyle name="Note 5 3 3 6" xfId="10386" xr:uid="{00000000-0005-0000-0000-0000AA540000}"/>
    <cellStyle name="Note 5 3 3 6 2" xfId="21283" xr:uid="{00000000-0005-0000-0000-0000AB540000}"/>
    <cellStyle name="Note 5 3 3 6 3" xfId="25413" xr:uid="{00000000-0005-0000-0000-0000AC540000}"/>
    <cellStyle name="Note 5 3 3 6 4" xfId="26930" xr:uid="{00000000-0005-0000-0000-0000AD540000}"/>
    <cellStyle name="Note 5 3 3 7" xfId="23699" xr:uid="{00000000-0005-0000-0000-0000AE540000}"/>
    <cellStyle name="Note 5 3 4" xfId="1798" xr:uid="{00000000-0005-0000-0000-0000AF540000}"/>
    <cellStyle name="Note 5 3 4 2" xfId="4110" xr:uid="{00000000-0005-0000-0000-0000B0540000}"/>
    <cellStyle name="Note 5 3 4 2 2" xfId="9061" xr:uid="{00000000-0005-0000-0000-0000B1540000}"/>
    <cellStyle name="Note 5 3 4 2 2 2" xfId="19958" xr:uid="{00000000-0005-0000-0000-0000B2540000}"/>
    <cellStyle name="Note 5 3 4 2 2 3" xfId="24674" xr:uid="{00000000-0005-0000-0000-0000B3540000}"/>
    <cellStyle name="Note 5 3 4 2 2 4" xfId="26320" xr:uid="{00000000-0005-0000-0000-0000B4540000}"/>
    <cellStyle name="Note 5 3 4 2 3" xfId="10771" xr:uid="{00000000-0005-0000-0000-0000B5540000}"/>
    <cellStyle name="Note 5 3 4 2 3 2" xfId="21668" xr:uid="{00000000-0005-0000-0000-0000B6540000}"/>
    <cellStyle name="Note 5 3 4 2 3 3" xfId="25798" xr:uid="{00000000-0005-0000-0000-0000B7540000}"/>
    <cellStyle name="Note 5 3 4 2 3 4" xfId="27315" xr:uid="{00000000-0005-0000-0000-0000B8540000}"/>
    <cellStyle name="Note 5 3 4 2 4" xfId="15007" xr:uid="{00000000-0005-0000-0000-0000B9540000}"/>
    <cellStyle name="Note 5 3 4 2 5" xfId="22989" xr:uid="{00000000-0005-0000-0000-0000BA540000}"/>
    <cellStyle name="Note 5 3 4 2 6" xfId="24007" xr:uid="{00000000-0005-0000-0000-0000BB540000}"/>
    <cellStyle name="Note 5 3 4 3" xfId="5151" xr:uid="{00000000-0005-0000-0000-0000BC540000}"/>
    <cellStyle name="Note 5 3 4 3 2" xfId="10102" xr:uid="{00000000-0005-0000-0000-0000BD540000}"/>
    <cellStyle name="Note 5 3 4 3 2 2" xfId="20999" xr:uid="{00000000-0005-0000-0000-0000BE540000}"/>
    <cellStyle name="Note 5 3 4 3 2 3" xfId="25129" xr:uid="{00000000-0005-0000-0000-0000BF540000}"/>
    <cellStyle name="Note 5 3 4 3 2 4" xfId="26646" xr:uid="{00000000-0005-0000-0000-0000C0540000}"/>
    <cellStyle name="Note 5 3 4 3 3" xfId="11097" xr:uid="{00000000-0005-0000-0000-0000C1540000}"/>
    <cellStyle name="Note 5 3 4 3 3 2" xfId="21994" xr:uid="{00000000-0005-0000-0000-0000C2540000}"/>
    <cellStyle name="Note 5 3 4 3 3 3" xfId="26124" xr:uid="{00000000-0005-0000-0000-0000C3540000}"/>
    <cellStyle name="Note 5 3 4 3 3 4" xfId="27641" xr:uid="{00000000-0005-0000-0000-0000C4540000}"/>
    <cellStyle name="Note 5 3 4 3 4" xfId="16048" xr:uid="{00000000-0005-0000-0000-0000C5540000}"/>
    <cellStyle name="Note 5 3 4 3 5" xfId="23440" xr:uid="{00000000-0005-0000-0000-0000C6540000}"/>
    <cellStyle name="Note 5 3 4 3 6" xfId="24634" xr:uid="{00000000-0005-0000-0000-0000C7540000}"/>
    <cellStyle name="Note 5 3 4 4" xfId="6749" xr:uid="{00000000-0005-0000-0000-0000C8540000}"/>
    <cellStyle name="Note 5 3 4 4 2" xfId="17646" xr:uid="{00000000-0005-0000-0000-0000C9540000}"/>
    <cellStyle name="Note 5 3 4 4 3" xfId="23996" xr:uid="{00000000-0005-0000-0000-0000CA540000}"/>
    <cellStyle name="Note 5 3 4 4 4" xfId="22451" xr:uid="{00000000-0005-0000-0000-0000CB540000}"/>
    <cellStyle name="Note 5 3 4 5" xfId="10429" xr:uid="{00000000-0005-0000-0000-0000CC540000}"/>
    <cellStyle name="Note 5 3 4 5 2" xfId="21326" xr:uid="{00000000-0005-0000-0000-0000CD540000}"/>
    <cellStyle name="Note 5 3 4 5 3" xfId="25456" xr:uid="{00000000-0005-0000-0000-0000CE540000}"/>
    <cellStyle name="Note 5 3 4 5 4" xfId="26973" xr:uid="{00000000-0005-0000-0000-0000CF540000}"/>
    <cellStyle name="Note 5 3 4 6" xfId="22357" xr:uid="{00000000-0005-0000-0000-0000D0540000}"/>
    <cellStyle name="Note 5 3 4 7" xfId="23004" xr:uid="{00000000-0005-0000-0000-0000D1540000}"/>
    <cellStyle name="Note 5 3 5" xfId="2941" xr:uid="{00000000-0005-0000-0000-0000D2540000}"/>
    <cellStyle name="Note 5 3 5 2" xfId="7892" xr:uid="{00000000-0005-0000-0000-0000D3540000}"/>
    <cellStyle name="Note 5 3 5 2 2" xfId="18789" xr:uid="{00000000-0005-0000-0000-0000D4540000}"/>
    <cellStyle name="Note 5 3 5 2 3" xfId="24323" xr:uid="{00000000-0005-0000-0000-0000D5540000}"/>
    <cellStyle name="Note 5 3 5 2 4" xfId="22576" xr:uid="{00000000-0005-0000-0000-0000D6540000}"/>
    <cellStyle name="Note 5 3 5 3" xfId="10587" xr:uid="{00000000-0005-0000-0000-0000D7540000}"/>
    <cellStyle name="Note 5 3 5 3 2" xfId="21484" xr:uid="{00000000-0005-0000-0000-0000D8540000}"/>
    <cellStyle name="Note 5 3 5 3 3" xfId="25614" xr:uid="{00000000-0005-0000-0000-0000D9540000}"/>
    <cellStyle name="Note 5 3 5 3 4" xfId="27131" xr:uid="{00000000-0005-0000-0000-0000DA540000}"/>
    <cellStyle name="Note 5 3 5 4" xfId="13838" xr:uid="{00000000-0005-0000-0000-0000DB540000}"/>
    <cellStyle name="Note 5 3 5 5" xfId="22627" xr:uid="{00000000-0005-0000-0000-0000DC540000}"/>
    <cellStyle name="Note 5 3 5 6" xfId="23970" xr:uid="{00000000-0005-0000-0000-0000DD540000}"/>
    <cellStyle name="Note 5 3 6" xfId="4968" xr:uid="{00000000-0005-0000-0000-0000DE540000}"/>
    <cellStyle name="Note 5 3 6 2" xfId="9919" xr:uid="{00000000-0005-0000-0000-0000DF540000}"/>
    <cellStyle name="Note 5 3 6 2 2" xfId="20816" xr:uid="{00000000-0005-0000-0000-0000E0540000}"/>
    <cellStyle name="Note 5 3 6 2 3" xfId="24946" xr:uid="{00000000-0005-0000-0000-0000E1540000}"/>
    <cellStyle name="Note 5 3 6 2 4" xfId="26463" xr:uid="{00000000-0005-0000-0000-0000E2540000}"/>
    <cellStyle name="Note 5 3 6 3" xfId="10914" xr:uid="{00000000-0005-0000-0000-0000E3540000}"/>
    <cellStyle name="Note 5 3 6 3 2" xfId="21811" xr:uid="{00000000-0005-0000-0000-0000E4540000}"/>
    <cellStyle name="Note 5 3 6 3 3" xfId="25941" xr:uid="{00000000-0005-0000-0000-0000E5540000}"/>
    <cellStyle name="Note 5 3 6 3 4" xfId="27458" xr:uid="{00000000-0005-0000-0000-0000E6540000}"/>
    <cellStyle name="Note 5 3 6 4" xfId="15865" xr:uid="{00000000-0005-0000-0000-0000E7540000}"/>
    <cellStyle name="Note 5 3 6 5" xfId="23257" xr:uid="{00000000-0005-0000-0000-0000E8540000}"/>
    <cellStyle name="Note 5 3 6 6" xfId="22583" xr:uid="{00000000-0005-0000-0000-0000E9540000}"/>
    <cellStyle name="Note 5 3 7" xfId="5580" xr:uid="{00000000-0005-0000-0000-0000EA540000}"/>
    <cellStyle name="Note 5 3 7 2" xfId="16477" xr:uid="{00000000-0005-0000-0000-0000EB540000}"/>
    <cellStyle name="Note 5 3 7 3" xfId="23643" xr:uid="{00000000-0005-0000-0000-0000EC540000}"/>
    <cellStyle name="Note 5 3 7 4" xfId="24005" xr:uid="{00000000-0005-0000-0000-0000ED540000}"/>
    <cellStyle name="Note 5 3 8" xfId="10246" xr:uid="{00000000-0005-0000-0000-0000EE540000}"/>
    <cellStyle name="Note 5 3 8 2" xfId="21143" xr:uid="{00000000-0005-0000-0000-0000EF540000}"/>
    <cellStyle name="Note 5 3 8 3" xfId="25273" xr:uid="{00000000-0005-0000-0000-0000F0540000}"/>
    <cellStyle name="Note 5 3 8 4" xfId="26790" xr:uid="{00000000-0005-0000-0000-0000F1540000}"/>
    <cellStyle name="Note 5 3 9" xfId="22204" xr:uid="{00000000-0005-0000-0000-0000F2540000}"/>
    <cellStyle name="Note 5 4" xfId="884" xr:uid="{00000000-0005-0000-0000-0000F3540000}"/>
    <cellStyle name="Note 5 4 2" xfId="2041" xr:uid="{00000000-0005-0000-0000-0000F4540000}"/>
    <cellStyle name="Note 5 4 2 2" xfId="4353" xr:uid="{00000000-0005-0000-0000-0000F5540000}"/>
    <cellStyle name="Note 5 4 2 2 2" xfId="9304" xr:uid="{00000000-0005-0000-0000-0000F6540000}"/>
    <cellStyle name="Note 5 4 2 2 2 2" xfId="20201" xr:uid="{00000000-0005-0000-0000-0000F7540000}"/>
    <cellStyle name="Note 5 4 2 2 2 3" xfId="24729" xr:uid="{00000000-0005-0000-0000-0000F8540000}"/>
    <cellStyle name="Note 5 4 2 2 2 4" xfId="26336" xr:uid="{00000000-0005-0000-0000-0000F9540000}"/>
    <cellStyle name="Note 5 4 2 2 3" xfId="10787" xr:uid="{00000000-0005-0000-0000-0000FA540000}"/>
    <cellStyle name="Note 5 4 2 2 3 2" xfId="21684" xr:uid="{00000000-0005-0000-0000-0000FB540000}"/>
    <cellStyle name="Note 5 4 2 2 3 3" xfId="25814" xr:uid="{00000000-0005-0000-0000-0000FC540000}"/>
    <cellStyle name="Note 5 4 2 2 3 4" xfId="27331" xr:uid="{00000000-0005-0000-0000-0000FD540000}"/>
    <cellStyle name="Note 5 4 2 2 4" xfId="15250" xr:uid="{00000000-0005-0000-0000-0000FE540000}"/>
    <cellStyle name="Note 5 4 2 2 5" xfId="23038" xr:uid="{00000000-0005-0000-0000-0000FF540000}"/>
    <cellStyle name="Note 5 4 2 2 6" xfId="22343" xr:uid="{00000000-0005-0000-0000-000000550000}"/>
    <cellStyle name="Note 5 4 2 3" xfId="5167" xr:uid="{00000000-0005-0000-0000-000001550000}"/>
    <cellStyle name="Note 5 4 2 3 2" xfId="10118" xr:uid="{00000000-0005-0000-0000-000002550000}"/>
    <cellStyle name="Note 5 4 2 3 2 2" xfId="21015" xr:uid="{00000000-0005-0000-0000-000003550000}"/>
    <cellStyle name="Note 5 4 2 3 2 3" xfId="25145" xr:uid="{00000000-0005-0000-0000-000004550000}"/>
    <cellStyle name="Note 5 4 2 3 2 4" xfId="26662" xr:uid="{00000000-0005-0000-0000-000005550000}"/>
    <cellStyle name="Note 5 4 2 3 3" xfId="11113" xr:uid="{00000000-0005-0000-0000-000006550000}"/>
    <cellStyle name="Note 5 4 2 3 3 2" xfId="22010" xr:uid="{00000000-0005-0000-0000-000007550000}"/>
    <cellStyle name="Note 5 4 2 3 3 3" xfId="26140" xr:uid="{00000000-0005-0000-0000-000008550000}"/>
    <cellStyle name="Note 5 4 2 3 3 4" xfId="27657" xr:uid="{00000000-0005-0000-0000-000009550000}"/>
    <cellStyle name="Note 5 4 2 3 4" xfId="16064" xr:uid="{00000000-0005-0000-0000-00000A550000}"/>
    <cellStyle name="Note 5 4 2 3 5" xfId="23456" xr:uid="{00000000-0005-0000-0000-00000B550000}"/>
    <cellStyle name="Note 5 4 2 3 6" xfId="22994" xr:uid="{00000000-0005-0000-0000-00000C550000}"/>
    <cellStyle name="Note 5 4 2 4" xfId="6992" xr:uid="{00000000-0005-0000-0000-00000D550000}"/>
    <cellStyle name="Note 5 4 2 4 2" xfId="17889" xr:uid="{00000000-0005-0000-0000-00000E550000}"/>
    <cellStyle name="Note 5 4 2 4 3" xfId="24050" xr:uid="{00000000-0005-0000-0000-00000F550000}"/>
    <cellStyle name="Note 5 4 2 4 4" xfId="23668" xr:uid="{00000000-0005-0000-0000-000010550000}"/>
    <cellStyle name="Note 5 4 2 5" xfId="10445" xr:uid="{00000000-0005-0000-0000-000011550000}"/>
    <cellStyle name="Note 5 4 2 5 2" xfId="21342" xr:uid="{00000000-0005-0000-0000-000012550000}"/>
    <cellStyle name="Note 5 4 2 5 3" xfId="25472" xr:uid="{00000000-0005-0000-0000-000013550000}"/>
    <cellStyle name="Note 5 4 2 5 4" xfId="26989" xr:uid="{00000000-0005-0000-0000-000014550000}"/>
    <cellStyle name="Note 5 4 2 6" xfId="22393" xr:uid="{00000000-0005-0000-0000-000015550000}"/>
    <cellStyle name="Note 5 4 2 7" xfId="22960" xr:uid="{00000000-0005-0000-0000-000016550000}"/>
    <cellStyle name="Note 5 4 3" xfId="3208" xr:uid="{00000000-0005-0000-0000-000017550000}"/>
    <cellStyle name="Note 5 4 3 2" xfId="8159" xr:uid="{00000000-0005-0000-0000-000018550000}"/>
    <cellStyle name="Note 5 4 3 2 2" xfId="19056" xr:uid="{00000000-0005-0000-0000-000019550000}"/>
    <cellStyle name="Note 5 4 3 2 3" xfId="24398" xr:uid="{00000000-0005-0000-0000-00001A550000}"/>
    <cellStyle name="Note 5 4 3 2 4" xfId="24073" xr:uid="{00000000-0005-0000-0000-00001B550000}"/>
    <cellStyle name="Note 5 4 3 3" xfId="10627" xr:uid="{00000000-0005-0000-0000-00001C550000}"/>
    <cellStyle name="Note 5 4 3 3 2" xfId="21524" xr:uid="{00000000-0005-0000-0000-00001D550000}"/>
    <cellStyle name="Note 5 4 3 3 3" xfId="25654" xr:uid="{00000000-0005-0000-0000-00001E550000}"/>
    <cellStyle name="Note 5 4 3 3 4" xfId="27171" xr:uid="{00000000-0005-0000-0000-00001F550000}"/>
    <cellStyle name="Note 5 4 3 4" xfId="14105" xr:uid="{00000000-0005-0000-0000-000020550000}"/>
    <cellStyle name="Note 5 4 3 5" xfId="22707" xr:uid="{00000000-0005-0000-0000-000021550000}"/>
    <cellStyle name="Note 5 4 3 6" xfId="22195" xr:uid="{00000000-0005-0000-0000-000022550000}"/>
    <cellStyle name="Note 5 4 4" xfId="5008" xr:uid="{00000000-0005-0000-0000-000023550000}"/>
    <cellStyle name="Note 5 4 4 2" xfId="9959" xr:uid="{00000000-0005-0000-0000-000024550000}"/>
    <cellStyle name="Note 5 4 4 2 2" xfId="20856" xr:uid="{00000000-0005-0000-0000-000025550000}"/>
    <cellStyle name="Note 5 4 4 2 3" xfId="24986" xr:uid="{00000000-0005-0000-0000-000026550000}"/>
    <cellStyle name="Note 5 4 4 2 4" xfId="26503" xr:uid="{00000000-0005-0000-0000-000027550000}"/>
    <cellStyle name="Note 5 4 4 3" xfId="10954" xr:uid="{00000000-0005-0000-0000-000028550000}"/>
    <cellStyle name="Note 5 4 4 3 2" xfId="21851" xr:uid="{00000000-0005-0000-0000-000029550000}"/>
    <cellStyle name="Note 5 4 4 3 3" xfId="25981" xr:uid="{00000000-0005-0000-0000-00002A550000}"/>
    <cellStyle name="Note 5 4 4 3 4" xfId="27498" xr:uid="{00000000-0005-0000-0000-00002B550000}"/>
    <cellStyle name="Note 5 4 4 4" xfId="15905" xr:uid="{00000000-0005-0000-0000-00002C550000}"/>
    <cellStyle name="Note 5 4 4 5" xfId="23297" xr:uid="{00000000-0005-0000-0000-00002D550000}"/>
    <cellStyle name="Note 5 4 4 6" xfId="24060" xr:uid="{00000000-0005-0000-0000-00002E550000}"/>
    <cellStyle name="Note 5 4 5" xfId="5847" xr:uid="{00000000-0005-0000-0000-00002F550000}"/>
    <cellStyle name="Note 5 4 5 2" xfId="16744" xr:uid="{00000000-0005-0000-0000-000030550000}"/>
    <cellStyle name="Note 5 4 5 3" xfId="23719" xr:uid="{00000000-0005-0000-0000-000031550000}"/>
    <cellStyle name="Note 5 4 5 4" xfId="22509" xr:uid="{00000000-0005-0000-0000-000032550000}"/>
    <cellStyle name="Note 5 4 6" xfId="10286" xr:uid="{00000000-0005-0000-0000-000033550000}"/>
    <cellStyle name="Note 5 4 6 2" xfId="21183" xr:uid="{00000000-0005-0000-0000-000034550000}"/>
    <cellStyle name="Note 5 4 6 3" xfId="25313" xr:uid="{00000000-0005-0000-0000-000035550000}"/>
    <cellStyle name="Note 5 4 6 4" xfId="26830" xr:uid="{00000000-0005-0000-0000-000036550000}"/>
    <cellStyle name="Note 5 4 7" xfId="24843" xr:uid="{00000000-0005-0000-0000-000037550000}"/>
    <cellStyle name="Note 5 5" xfId="1565" xr:uid="{00000000-0005-0000-0000-000038550000}"/>
    <cellStyle name="Note 5 5 2" xfId="3877" xr:uid="{00000000-0005-0000-0000-000039550000}"/>
    <cellStyle name="Note 5 5 2 2" xfId="8828" xr:uid="{00000000-0005-0000-0000-00003A550000}"/>
    <cellStyle name="Note 5 5 2 2 2" xfId="19725" xr:uid="{00000000-0005-0000-0000-00003B550000}"/>
    <cellStyle name="Note 5 5 2 2 3" xfId="24626" xr:uid="{00000000-0005-0000-0000-00003C550000}"/>
    <cellStyle name="Note 5 5 2 2 4" xfId="26312" xr:uid="{00000000-0005-0000-0000-00003D550000}"/>
    <cellStyle name="Note 5 5 2 3" xfId="10763" xr:uid="{00000000-0005-0000-0000-00003E550000}"/>
    <cellStyle name="Note 5 5 2 3 2" xfId="21660" xr:uid="{00000000-0005-0000-0000-00003F550000}"/>
    <cellStyle name="Note 5 5 2 3 3" xfId="25790" xr:uid="{00000000-0005-0000-0000-000040550000}"/>
    <cellStyle name="Note 5 5 2 3 4" xfId="27307" xr:uid="{00000000-0005-0000-0000-000041550000}"/>
    <cellStyle name="Note 5 5 2 4" xfId="14774" xr:uid="{00000000-0005-0000-0000-000042550000}"/>
    <cellStyle name="Note 5 5 2 5" xfId="22939" xr:uid="{00000000-0005-0000-0000-000043550000}"/>
    <cellStyle name="Note 5 5 2 6" xfId="22718" xr:uid="{00000000-0005-0000-0000-000044550000}"/>
    <cellStyle name="Note 5 5 3" xfId="5143" xr:uid="{00000000-0005-0000-0000-000045550000}"/>
    <cellStyle name="Note 5 5 3 2" xfId="10094" xr:uid="{00000000-0005-0000-0000-000046550000}"/>
    <cellStyle name="Note 5 5 3 2 2" xfId="20991" xr:uid="{00000000-0005-0000-0000-000047550000}"/>
    <cellStyle name="Note 5 5 3 2 3" xfId="25121" xr:uid="{00000000-0005-0000-0000-000048550000}"/>
    <cellStyle name="Note 5 5 3 2 4" xfId="26638" xr:uid="{00000000-0005-0000-0000-000049550000}"/>
    <cellStyle name="Note 5 5 3 3" xfId="11089" xr:uid="{00000000-0005-0000-0000-00004A550000}"/>
    <cellStyle name="Note 5 5 3 3 2" xfId="21986" xr:uid="{00000000-0005-0000-0000-00004B550000}"/>
    <cellStyle name="Note 5 5 3 3 3" xfId="26116" xr:uid="{00000000-0005-0000-0000-00004C550000}"/>
    <cellStyle name="Note 5 5 3 3 4" xfId="27633" xr:uid="{00000000-0005-0000-0000-00004D550000}"/>
    <cellStyle name="Note 5 5 3 4" xfId="16040" xr:uid="{00000000-0005-0000-0000-00004E550000}"/>
    <cellStyle name="Note 5 5 3 5" xfId="23432" xr:uid="{00000000-0005-0000-0000-00004F550000}"/>
    <cellStyle name="Note 5 5 3 6" xfId="24888" xr:uid="{00000000-0005-0000-0000-000050550000}"/>
    <cellStyle name="Note 5 5 4" xfId="6516" xr:uid="{00000000-0005-0000-0000-000051550000}"/>
    <cellStyle name="Note 5 5 4 2" xfId="17413" xr:uid="{00000000-0005-0000-0000-000052550000}"/>
    <cellStyle name="Note 5 5 4 3" xfId="23954" xr:uid="{00000000-0005-0000-0000-000053550000}"/>
    <cellStyle name="Note 5 5 4 4" xfId="24136" xr:uid="{00000000-0005-0000-0000-000054550000}"/>
    <cellStyle name="Note 5 5 5" xfId="10421" xr:uid="{00000000-0005-0000-0000-000055550000}"/>
    <cellStyle name="Note 5 5 5 2" xfId="21318" xr:uid="{00000000-0005-0000-0000-000056550000}"/>
    <cellStyle name="Note 5 5 5 3" xfId="25448" xr:uid="{00000000-0005-0000-0000-000057550000}"/>
    <cellStyle name="Note 5 5 5 4" xfId="26965" xr:uid="{00000000-0005-0000-0000-000058550000}"/>
    <cellStyle name="Note 5 5 6" xfId="22307" xr:uid="{00000000-0005-0000-0000-000059550000}"/>
    <cellStyle name="Note 5 5 7" xfId="23053" xr:uid="{00000000-0005-0000-0000-00005A550000}"/>
    <cellStyle name="Note 5 6" xfId="2676" xr:uid="{00000000-0005-0000-0000-00005B550000}"/>
    <cellStyle name="Note 5 6 2" xfId="7627" xr:uid="{00000000-0005-0000-0000-00005C550000}"/>
    <cellStyle name="Note 5 6 2 2" xfId="18524" xr:uid="{00000000-0005-0000-0000-00005D550000}"/>
    <cellStyle name="Note 5 6 2 3" xfId="24251" xr:uid="{00000000-0005-0000-0000-00005E550000}"/>
    <cellStyle name="Note 5 6 2 4" xfId="22769" xr:uid="{00000000-0005-0000-0000-00005F550000}"/>
    <cellStyle name="Note 5 6 3" xfId="10547" xr:uid="{00000000-0005-0000-0000-000060550000}"/>
    <cellStyle name="Note 5 6 3 2" xfId="21444" xr:uid="{00000000-0005-0000-0000-000061550000}"/>
    <cellStyle name="Note 5 6 3 3" xfId="25574" xr:uid="{00000000-0005-0000-0000-000062550000}"/>
    <cellStyle name="Note 5 6 3 4" xfId="27091" xr:uid="{00000000-0005-0000-0000-000063550000}"/>
    <cellStyle name="Note 5 6 4" xfId="13573" xr:uid="{00000000-0005-0000-0000-000064550000}"/>
    <cellStyle name="Note 5 6 5" xfId="22551" xr:uid="{00000000-0005-0000-0000-000065550000}"/>
    <cellStyle name="Note 5 6 6" xfId="24120" xr:uid="{00000000-0005-0000-0000-000066550000}"/>
    <cellStyle name="Note 5 7" xfId="4928" xr:uid="{00000000-0005-0000-0000-000067550000}"/>
    <cellStyle name="Note 5 7 2" xfId="9879" xr:uid="{00000000-0005-0000-0000-000068550000}"/>
    <cellStyle name="Note 5 7 2 2" xfId="20776" xr:uid="{00000000-0005-0000-0000-000069550000}"/>
    <cellStyle name="Note 5 7 2 3" xfId="24906" xr:uid="{00000000-0005-0000-0000-00006A550000}"/>
    <cellStyle name="Note 5 7 2 4" xfId="26423" xr:uid="{00000000-0005-0000-0000-00006B550000}"/>
    <cellStyle name="Note 5 7 3" xfId="10874" xr:uid="{00000000-0005-0000-0000-00006C550000}"/>
    <cellStyle name="Note 5 7 3 2" xfId="21771" xr:uid="{00000000-0005-0000-0000-00006D550000}"/>
    <cellStyle name="Note 5 7 3 3" xfId="25901" xr:uid="{00000000-0005-0000-0000-00006E550000}"/>
    <cellStyle name="Note 5 7 3 4" xfId="27418" xr:uid="{00000000-0005-0000-0000-00006F550000}"/>
    <cellStyle name="Note 5 7 4" xfId="15825" xr:uid="{00000000-0005-0000-0000-000070550000}"/>
    <cellStyle name="Note 5 7 5" xfId="23217" xr:uid="{00000000-0005-0000-0000-000071550000}"/>
    <cellStyle name="Note 5 7 6" xfId="24849" xr:uid="{00000000-0005-0000-0000-000072550000}"/>
    <cellStyle name="Note 5 8" xfId="5315" xr:uid="{00000000-0005-0000-0000-000073550000}"/>
    <cellStyle name="Note 5 8 2" xfId="16212" xr:uid="{00000000-0005-0000-0000-000074550000}"/>
    <cellStyle name="Note 5 8 3" xfId="23571" xr:uid="{00000000-0005-0000-0000-000075550000}"/>
    <cellStyle name="Note 5 8 4" xfId="22175" xr:uid="{00000000-0005-0000-0000-000076550000}"/>
    <cellStyle name="Note 5 9" xfId="10206" xr:uid="{00000000-0005-0000-0000-000077550000}"/>
    <cellStyle name="Note 5 9 2" xfId="21103" xr:uid="{00000000-0005-0000-0000-000078550000}"/>
    <cellStyle name="Note 5 9 3" xfId="25233" xr:uid="{00000000-0005-0000-0000-000079550000}"/>
    <cellStyle name="Note 5 9 4" xfId="26750" xr:uid="{00000000-0005-0000-0000-00007A550000}"/>
    <cellStyle name="Note 6" xfId="337" xr:uid="{00000000-0005-0000-0000-00007B550000}"/>
    <cellStyle name="Note 6 2" xfId="411" xr:uid="{00000000-0005-0000-0000-00007C550000}"/>
    <cellStyle name="Note 6 2 2" xfId="541" xr:uid="{00000000-0005-0000-0000-00007D550000}"/>
    <cellStyle name="Note 6 2 2 2" xfId="806" xr:uid="{00000000-0005-0000-0000-00007E550000}"/>
    <cellStyle name="Note 6 2 2 2 2" xfId="1338" xr:uid="{00000000-0005-0000-0000-00007F550000}"/>
    <cellStyle name="Note 6 2 2 2 2 2" xfId="2495" xr:uid="{00000000-0005-0000-0000-000080550000}"/>
    <cellStyle name="Note 6 2 2 2 2 2 2" xfId="4807" xr:uid="{00000000-0005-0000-0000-000081550000}"/>
    <cellStyle name="Note 6 2 2 2 2 2 2 2" xfId="9758" xr:uid="{00000000-0005-0000-0000-000082550000}"/>
    <cellStyle name="Note 6 2 2 2 2 2 2 2 2" xfId="20655" xr:uid="{00000000-0005-0000-0000-000083550000}"/>
    <cellStyle name="Note 6 2 2 2 2 2 2 3" xfId="15704" xr:uid="{00000000-0005-0000-0000-000084550000}"/>
    <cellStyle name="Note 6 2 2 2 2 2 3" xfId="7446" xr:uid="{00000000-0005-0000-0000-000085550000}"/>
    <cellStyle name="Note 6 2 2 2 2 2 3 2" xfId="18343" xr:uid="{00000000-0005-0000-0000-000086550000}"/>
    <cellStyle name="Note 6 2 2 2 2 2 4" xfId="13406" xr:uid="{00000000-0005-0000-0000-000087550000}"/>
    <cellStyle name="Note 6 2 2 2 2 3" xfId="3662" xr:uid="{00000000-0005-0000-0000-000088550000}"/>
    <cellStyle name="Note 6 2 2 2 2 3 2" xfId="8613" xr:uid="{00000000-0005-0000-0000-000089550000}"/>
    <cellStyle name="Note 6 2 2 2 2 3 2 2" xfId="19510" xr:uid="{00000000-0005-0000-0000-00008A550000}"/>
    <cellStyle name="Note 6 2 2 2 2 3 3" xfId="14559" xr:uid="{00000000-0005-0000-0000-00008B550000}"/>
    <cellStyle name="Note 6 2 2 2 2 4" xfId="6301" xr:uid="{00000000-0005-0000-0000-00008C550000}"/>
    <cellStyle name="Note 6 2 2 2 2 4 2" xfId="17198" xr:uid="{00000000-0005-0000-0000-00008D550000}"/>
    <cellStyle name="Note 6 2 2 2 2 5" xfId="12288" xr:uid="{00000000-0005-0000-0000-00008E550000}"/>
    <cellStyle name="Note 6 2 2 2 3" xfId="1964" xr:uid="{00000000-0005-0000-0000-00008F550000}"/>
    <cellStyle name="Note 6 2 2 2 3 2" xfId="4276" xr:uid="{00000000-0005-0000-0000-000090550000}"/>
    <cellStyle name="Note 6 2 2 2 3 2 2" xfId="9227" xr:uid="{00000000-0005-0000-0000-000091550000}"/>
    <cellStyle name="Note 6 2 2 2 3 2 2 2" xfId="20124" xr:uid="{00000000-0005-0000-0000-000092550000}"/>
    <cellStyle name="Note 6 2 2 2 3 2 3" xfId="15173" xr:uid="{00000000-0005-0000-0000-000093550000}"/>
    <cellStyle name="Note 6 2 2 2 3 3" xfId="6915" xr:uid="{00000000-0005-0000-0000-000094550000}"/>
    <cellStyle name="Note 6 2 2 2 3 3 2" xfId="17812" xr:uid="{00000000-0005-0000-0000-000095550000}"/>
    <cellStyle name="Note 6 2 2 2 3 4" xfId="12888" xr:uid="{00000000-0005-0000-0000-000096550000}"/>
    <cellStyle name="Note 6 2 2 2 4" xfId="3130" xr:uid="{00000000-0005-0000-0000-000097550000}"/>
    <cellStyle name="Note 6 2 2 2 4 2" xfId="8081" xr:uid="{00000000-0005-0000-0000-000098550000}"/>
    <cellStyle name="Note 6 2 2 2 4 2 2" xfId="18978" xr:uid="{00000000-0005-0000-0000-000099550000}"/>
    <cellStyle name="Note 6 2 2 2 4 3" xfId="14027" xr:uid="{00000000-0005-0000-0000-00009A550000}"/>
    <cellStyle name="Note 6 2 2 2 5" xfId="5769" xr:uid="{00000000-0005-0000-0000-00009B550000}"/>
    <cellStyle name="Note 6 2 2 2 5 2" xfId="16666" xr:uid="{00000000-0005-0000-0000-00009C550000}"/>
    <cellStyle name="Note 6 2 2 2 6" xfId="11767" xr:uid="{00000000-0005-0000-0000-00009D550000}"/>
    <cellStyle name="Note 6 2 2 3" xfId="1073" xr:uid="{00000000-0005-0000-0000-00009E550000}"/>
    <cellStyle name="Note 6 2 2 3 2" xfId="2230" xr:uid="{00000000-0005-0000-0000-00009F550000}"/>
    <cellStyle name="Note 6 2 2 3 2 2" xfId="4542" xr:uid="{00000000-0005-0000-0000-0000A0550000}"/>
    <cellStyle name="Note 6 2 2 3 2 2 2" xfId="9493" xr:uid="{00000000-0005-0000-0000-0000A1550000}"/>
    <cellStyle name="Note 6 2 2 3 2 2 2 2" xfId="20390" xr:uid="{00000000-0005-0000-0000-0000A2550000}"/>
    <cellStyle name="Note 6 2 2 3 2 2 3" xfId="15439" xr:uid="{00000000-0005-0000-0000-0000A3550000}"/>
    <cellStyle name="Note 6 2 2 3 2 3" xfId="7181" xr:uid="{00000000-0005-0000-0000-0000A4550000}"/>
    <cellStyle name="Note 6 2 2 3 2 3 2" xfId="18078" xr:uid="{00000000-0005-0000-0000-0000A5550000}"/>
    <cellStyle name="Note 6 2 2 3 2 4" xfId="13147" xr:uid="{00000000-0005-0000-0000-0000A6550000}"/>
    <cellStyle name="Note 6 2 2 3 3" xfId="3397" xr:uid="{00000000-0005-0000-0000-0000A7550000}"/>
    <cellStyle name="Note 6 2 2 3 3 2" xfId="8348" xr:uid="{00000000-0005-0000-0000-0000A8550000}"/>
    <cellStyle name="Note 6 2 2 3 3 2 2" xfId="19245" xr:uid="{00000000-0005-0000-0000-0000A9550000}"/>
    <cellStyle name="Note 6 2 2 3 3 3" xfId="14294" xr:uid="{00000000-0005-0000-0000-0000AA550000}"/>
    <cellStyle name="Note 6 2 2 3 4" xfId="6036" xr:uid="{00000000-0005-0000-0000-0000AB550000}"/>
    <cellStyle name="Note 6 2 2 3 4 2" xfId="16933" xr:uid="{00000000-0005-0000-0000-0000AC550000}"/>
    <cellStyle name="Note 6 2 2 3 5" xfId="12029" xr:uid="{00000000-0005-0000-0000-0000AD550000}"/>
    <cellStyle name="Note 6 2 2 4" xfId="1731" xr:uid="{00000000-0005-0000-0000-0000AE550000}"/>
    <cellStyle name="Note 6 2 2 4 2" xfId="4043" xr:uid="{00000000-0005-0000-0000-0000AF550000}"/>
    <cellStyle name="Note 6 2 2 4 2 2" xfId="8994" xr:uid="{00000000-0005-0000-0000-0000B0550000}"/>
    <cellStyle name="Note 6 2 2 4 2 2 2" xfId="19891" xr:uid="{00000000-0005-0000-0000-0000B1550000}"/>
    <cellStyle name="Note 6 2 2 4 2 3" xfId="14940" xr:uid="{00000000-0005-0000-0000-0000B2550000}"/>
    <cellStyle name="Note 6 2 2 4 3" xfId="6682" xr:uid="{00000000-0005-0000-0000-0000B3550000}"/>
    <cellStyle name="Note 6 2 2 4 3 2" xfId="17579" xr:uid="{00000000-0005-0000-0000-0000B4550000}"/>
    <cellStyle name="Note 6 2 2 4 4" xfId="12662" xr:uid="{00000000-0005-0000-0000-0000B5550000}"/>
    <cellStyle name="Note 6 2 2 5" xfId="2865" xr:uid="{00000000-0005-0000-0000-0000B6550000}"/>
    <cellStyle name="Note 6 2 2 5 2" xfId="7816" xr:uid="{00000000-0005-0000-0000-0000B7550000}"/>
    <cellStyle name="Note 6 2 2 5 2 2" xfId="18713" xr:uid="{00000000-0005-0000-0000-0000B8550000}"/>
    <cellStyle name="Note 6 2 2 5 3" xfId="13762" xr:uid="{00000000-0005-0000-0000-0000B9550000}"/>
    <cellStyle name="Note 6 2 2 6" xfId="5504" xr:uid="{00000000-0005-0000-0000-0000BA550000}"/>
    <cellStyle name="Note 6 2 2 6 2" xfId="16401" xr:uid="{00000000-0005-0000-0000-0000BB550000}"/>
    <cellStyle name="Note 6 2 2 7" xfId="11506" xr:uid="{00000000-0005-0000-0000-0000BC550000}"/>
    <cellStyle name="Note 6 2 3" xfId="677" xr:uid="{00000000-0005-0000-0000-0000BD550000}"/>
    <cellStyle name="Note 6 2 3 2" xfId="1209" xr:uid="{00000000-0005-0000-0000-0000BE550000}"/>
    <cellStyle name="Note 6 2 3 2 2" xfId="2366" xr:uid="{00000000-0005-0000-0000-0000BF550000}"/>
    <cellStyle name="Note 6 2 3 2 2 2" xfId="4678" xr:uid="{00000000-0005-0000-0000-0000C0550000}"/>
    <cellStyle name="Note 6 2 3 2 2 2 2" xfId="9629" xr:uid="{00000000-0005-0000-0000-0000C1550000}"/>
    <cellStyle name="Note 6 2 3 2 2 2 2 2" xfId="20526" xr:uid="{00000000-0005-0000-0000-0000C2550000}"/>
    <cellStyle name="Note 6 2 3 2 2 2 3" xfId="15575" xr:uid="{00000000-0005-0000-0000-0000C3550000}"/>
    <cellStyle name="Note 6 2 3 2 2 3" xfId="7317" xr:uid="{00000000-0005-0000-0000-0000C4550000}"/>
    <cellStyle name="Note 6 2 3 2 2 3 2" xfId="18214" xr:uid="{00000000-0005-0000-0000-0000C5550000}"/>
    <cellStyle name="Note 6 2 3 2 2 4" xfId="13278" xr:uid="{00000000-0005-0000-0000-0000C6550000}"/>
    <cellStyle name="Note 6 2 3 2 3" xfId="3533" xr:uid="{00000000-0005-0000-0000-0000C7550000}"/>
    <cellStyle name="Note 6 2 3 2 3 2" xfId="8484" xr:uid="{00000000-0005-0000-0000-0000C8550000}"/>
    <cellStyle name="Note 6 2 3 2 3 2 2" xfId="19381" xr:uid="{00000000-0005-0000-0000-0000C9550000}"/>
    <cellStyle name="Note 6 2 3 2 3 3" xfId="14430" xr:uid="{00000000-0005-0000-0000-0000CA550000}"/>
    <cellStyle name="Note 6 2 3 2 4" xfId="6172" xr:uid="{00000000-0005-0000-0000-0000CB550000}"/>
    <cellStyle name="Note 6 2 3 2 4 2" xfId="17069" xr:uid="{00000000-0005-0000-0000-0000CC550000}"/>
    <cellStyle name="Note 6 2 3 2 5" xfId="12160" xr:uid="{00000000-0005-0000-0000-0000CD550000}"/>
    <cellStyle name="Note 6 2 3 3" xfId="1850" xr:uid="{00000000-0005-0000-0000-0000CE550000}"/>
    <cellStyle name="Note 6 2 3 3 2" xfId="4162" xr:uid="{00000000-0005-0000-0000-0000CF550000}"/>
    <cellStyle name="Note 6 2 3 3 2 2" xfId="9113" xr:uid="{00000000-0005-0000-0000-0000D0550000}"/>
    <cellStyle name="Note 6 2 3 3 2 2 2" xfId="20010" xr:uid="{00000000-0005-0000-0000-0000D1550000}"/>
    <cellStyle name="Note 6 2 3 3 2 3" xfId="15059" xr:uid="{00000000-0005-0000-0000-0000D2550000}"/>
    <cellStyle name="Note 6 2 3 3 3" xfId="6801" xr:uid="{00000000-0005-0000-0000-0000D3550000}"/>
    <cellStyle name="Note 6 2 3 3 3 2" xfId="17698" xr:uid="{00000000-0005-0000-0000-0000D4550000}"/>
    <cellStyle name="Note 6 2 3 3 4" xfId="12775" xr:uid="{00000000-0005-0000-0000-0000D5550000}"/>
    <cellStyle name="Note 6 2 3 4" xfId="3001" xr:uid="{00000000-0005-0000-0000-0000D6550000}"/>
    <cellStyle name="Note 6 2 3 4 2" xfId="7952" xr:uid="{00000000-0005-0000-0000-0000D7550000}"/>
    <cellStyle name="Note 6 2 3 4 2 2" xfId="18849" xr:uid="{00000000-0005-0000-0000-0000D8550000}"/>
    <cellStyle name="Note 6 2 3 4 3" xfId="13898" xr:uid="{00000000-0005-0000-0000-0000D9550000}"/>
    <cellStyle name="Note 6 2 3 5" xfId="5640" xr:uid="{00000000-0005-0000-0000-0000DA550000}"/>
    <cellStyle name="Note 6 2 3 5 2" xfId="16537" xr:uid="{00000000-0005-0000-0000-0000DB550000}"/>
    <cellStyle name="Note 6 2 3 6" xfId="11639" xr:uid="{00000000-0005-0000-0000-0000DC550000}"/>
    <cellStyle name="Note 6 2 4" xfId="944" xr:uid="{00000000-0005-0000-0000-0000DD550000}"/>
    <cellStyle name="Note 6 2 4 2" xfId="2101" xr:uid="{00000000-0005-0000-0000-0000DE550000}"/>
    <cellStyle name="Note 6 2 4 2 2" xfId="4413" xr:uid="{00000000-0005-0000-0000-0000DF550000}"/>
    <cellStyle name="Note 6 2 4 2 2 2" xfId="9364" xr:uid="{00000000-0005-0000-0000-0000E0550000}"/>
    <cellStyle name="Note 6 2 4 2 2 2 2" xfId="20261" xr:uid="{00000000-0005-0000-0000-0000E1550000}"/>
    <cellStyle name="Note 6 2 4 2 2 3" xfId="15310" xr:uid="{00000000-0005-0000-0000-0000E2550000}"/>
    <cellStyle name="Note 6 2 4 2 3" xfId="7052" xr:uid="{00000000-0005-0000-0000-0000E3550000}"/>
    <cellStyle name="Note 6 2 4 2 3 2" xfId="17949" xr:uid="{00000000-0005-0000-0000-0000E4550000}"/>
    <cellStyle name="Note 6 2 4 2 4" xfId="13019" xr:uid="{00000000-0005-0000-0000-0000E5550000}"/>
    <cellStyle name="Note 6 2 4 3" xfId="3268" xr:uid="{00000000-0005-0000-0000-0000E6550000}"/>
    <cellStyle name="Note 6 2 4 3 2" xfId="8219" xr:uid="{00000000-0005-0000-0000-0000E7550000}"/>
    <cellStyle name="Note 6 2 4 3 2 2" xfId="19116" xr:uid="{00000000-0005-0000-0000-0000E8550000}"/>
    <cellStyle name="Note 6 2 4 3 3" xfId="14165" xr:uid="{00000000-0005-0000-0000-0000E9550000}"/>
    <cellStyle name="Note 6 2 4 4" xfId="5907" xr:uid="{00000000-0005-0000-0000-0000EA550000}"/>
    <cellStyle name="Note 6 2 4 4 2" xfId="16804" xr:uid="{00000000-0005-0000-0000-0000EB550000}"/>
    <cellStyle name="Note 6 2 4 5" xfId="11901" xr:uid="{00000000-0005-0000-0000-0000EC550000}"/>
    <cellStyle name="Note 6 2 5" xfId="1617" xr:uid="{00000000-0005-0000-0000-0000ED550000}"/>
    <cellStyle name="Note 6 2 5 2" xfId="3929" xr:uid="{00000000-0005-0000-0000-0000EE550000}"/>
    <cellStyle name="Note 6 2 5 2 2" xfId="8880" xr:uid="{00000000-0005-0000-0000-0000EF550000}"/>
    <cellStyle name="Note 6 2 5 2 2 2" xfId="19777" xr:uid="{00000000-0005-0000-0000-0000F0550000}"/>
    <cellStyle name="Note 6 2 5 2 3" xfId="14826" xr:uid="{00000000-0005-0000-0000-0000F1550000}"/>
    <cellStyle name="Note 6 2 5 3" xfId="6568" xr:uid="{00000000-0005-0000-0000-0000F2550000}"/>
    <cellStyle name="Note 6 2 5 3 2" xfId="17465" xr:uid="{00000000-0005-0000-0000-0000F3550000}"/>
    <cellStyle name="Note 6 2 5 4" xfId="12549" xr:uid="{00000000-0005-0000-0000-0000F4550000}"/>
    <cellStyle name="Note 6 2 6" xfId="2736" xr:uid="{00000000-0005-0000-0000-0000F5550000}"/>
    <cellStyle name="Note 6 2 6 2" xfId="7687" xr:uid="{00000000-0005-0000-0000-0000F6550000}"/>
    <cellStyle name="Note 6 2 6 2 2" xfId="18584" xr:uid="{00000000-0005-0000-0000-0000F7550000}"/>
    <cellStyle name="Note 6 2 6 3" xfId="13633" xr:uid="{00000000-0005-0000-0000-0000F8550000}"/>
    <cellStyle name="Note 6 2 7" xfId="5375" xr:uid="{00000000-0005-0000-0000-0000F9550000}"/>
    <cellStyle name="Note 6 2 7 2" xfId="16272" xr:uid="{00000000-0005-0000-0000-0000FA550000}"/>
    <cellStyle name="Note 6 2 8" xfId="11378" xr:uid="{00000000-0005-0000-0000-0000FB550000}"/>
    <cellStyle name="Note 6 3" xfId="490" xr:uid="{00000000-0005-0000-0000-0000FC550000}"/>
    <cellStyle name="Note 6 3 2" xfId="755" xr:uid="{00000000-0005-0000-0000-0000FD550000}"/>
    <cellStyle name="Note 6 3 2 2" xfId="1287" xr:uid="{00000000-0005-0000-0000-0000FE550000}"/>
    <cellStyle name="Note 6 3 2 2 2" xfId="2444" xr:uid="{00000000-0005-0000-0000-0000FF550000}"/>
    <cellStyle name="Note 6 3 2 2 2 2" xfId="4756" xr:uid="{00000000-0005-0000-0000-000000560000}"/>
    <cellStyle name="Note 6 3 2 2 2 2 2" xfId="9707" xr:uid="{00000000-0005-0000-0000-000001560000}"/>
    <cellStyle name="Note 6 3 2 2 2 2 2 2" xfId="20604" xr:uid="{00000000-0005-0000-0000-000002560000}"/>
    <cellStyle name="Note 6 3 2 2 2 2 3" xfId="15653" xr:uid="{00000000-0005-0000-0000-000003560000}"/>
    <cellStyle name="Note 6 3 2 2 2 3" xfId="7395" xr:uid="{00000000-0005-0000-0000-000004560000}"/>
    <cellStyle name="Note 6 3 2 2 2 3 2" xfId="18292" xr:uid="{00000000-0005-0000-0000-000005560000}"/>
    <cellStyle name="Note 6 3 2 2 2 4" xfId="13355" xr:uid="{00000000-0005-0000-0000-000006560000}"/>
    <cellStyle name="Note 6 3 2 2 3" xfId="3611" xr:uid="{00000000-0005-0000-0000-000007560000}"/>
    <cellStyle name="Note 6 3 2 2 3 2" xfId="8562" xr:uid="{00000000-0005-0000-0000-000008560000}"/>
    <cellStyle name="Note 6 3 2 2 3 2 2" xfId="19459" xr:uid="{00000000-0005-0000-0000-000009560000}"/>
    <cellStyle name="Note 6 3 2 2 3 3" xfId="14508" xr:uid="{00000000-0005-0000-0000-00000A560000}"/>
    <cellStyle name="Note 6 3 2 2 4" xfId="6250" xr:uid="{00000000-0005-0000-0000-00000B560000}"/>
    <cellStyle name="Note 6 3 2 2 4 2" xfId="17147" xr:uid="{00000000-0005-0000-0000-00000C560000}"/>
    <cellStyle name="Note 6 3 2 2 5" xfId="12237" xr:uid="{00000000-0005-0000-0000-00000D560000}"/>
    <cellStyle name="Note 6 3 2 3" xfId="1913" xr:uid="{00000000-0005-0000-0000-00000E560000}"/>
    <cellStyle name="Note 6 3 2 3 2" xfId="4225" xr:uid="{00000000-0005-0000-0000-00000F560000}"/>
    <cellStyle name="Note 6 3 2 3 2 2" xfId="9176" xr:uid="{00000000-0005-0000-0000-000010560000}"/>
    <cellStyle name="Note 6 3 2 3 2 2 2" xfId="20073" xr:uid="{00000000-0005-0000-0000-000011560000}"/>
    <cellStyle name="Note 6 3 2 3 2 3" xfId="15122" xr:uid="{00000000-0005-0000-0000-000012560000}"/>
    <cellStyle name="Note 6 3 2 3 3" xfId="6864" xr:uid="{00000000-0005-0000-0000-000013560000}"/>
    <cellStyle name="Note 6 3 2 3 3 2" xfId="17761" xr:uid="{00000000-0005-0000-0000-000014560000}"/>
    <cellStyle name="Note 6 3 2 3 4" xfId="12837" xr:uid="{00000000-0005-0000-0000-000015560000}"/>
    <cellStyle name="Note 6 3 2 4" xfId="3079" xr:uid="{00000000-0005-0000-0000-000016560000}"/>
    <cellStyle name="Note 6 3 2 4 2" xfId="8030" xr:uid="{00000000-0005-0000-0000-000017560000}"/>
    <cellStyle name="Note 6 3 2 4 2 2" xfId="18927" xr:uid="{00000000-0005-0000-0000-000018560000}"/>
    <cellStyle name="Note 6 3 2 4 3" xfId="13976" xr:uid="{00000000-0005-0000-0000-000019560000}"/>
    <cellStyle name="Note 6 3 2 5" xfId="5718" xr:uid="{00000000-0005-0000-0000-00001A560000}"/>
    <cellStyle name="Note 6 3 2 5 2" xfId="16615" xr:uid="{00000000-0005-0000-0000-00001B560000}"/>
    <cellStyle name="Note 6 3 2 6" xfId="11716" xr:uid="{00000000-0005-0000-0000-00001C560000}"/>
    <cellStyle name="Note 6 3 3" xfId="1022" xr:uid="{00000000-0005-0000-0000-00001D560000}"/>
    <cellStyle name="Note 6 3 3 2" xfId="2179" xr:uid="{00000000-0005-0000-0000-00001E560000}"/>
    <cellStyle name="Note 6 3 3 2 2" xfId="4491" xr:uid="{00000000-0005-0000-0000-00001F560000}"/>
    <cellStyle name="Note 6 3 3 2 2 2" xfId="9442" xr:uid="{00000000-0005-0000-0000-000020560000}"/>
    <cellStyle name="Note 6 3 3 2 2 2 2" xfId="20339" xr:uid="{00000000-0005-0000-0000-000021560000}"/>
    <cellStyle name="Note 6 3 3 2 2 3" xfId="15388" xr:uid="{00000000-0005-0000-0000-000022560000}"/>
    <cellStyle name="Note 6 3 3 2 3" xfId="7130" xr:uid="{00000000-0005-0000-0000-000023560000}"/>
    <cellStyle name="Note 6 3 3 2 3 2" xfId="18027" xr:uid="{00000000-0005-0000-0000-000024560000}"/>
    <cellStyle name="Note 6 3 3 2 4" xfId="13096" xr:uid="{00000000-0005-0000-0000-000025560000}"/>
    <cellStyle name="Note 6 3 3 3" xfId="3346" xr:uid="{00000000-0005-0000-0000-000026560000}"/>
    <cellStyle name="Note 6 3 3 3 2" xfId="8297" xr:uid="{00000000-0005-0000-0000-000027560000}"/>
    <cellStyle name="Note 6 3 3 3 2 2" xfId="19194" xr:uid="{00000000-0005-0000-0000-000028560000}"/>
    <cellStyle name="Note 6 3 3 3 3" xfId="14243" xr:uid="{00000000-0005-0000-0000-000029560000}"/>
    <cellStyle name="Note 6 3 3 4" xfId="5985" xr:uid="{00000000-0005-0000-0000-00002A560000}"/>
    <cellStyle name="Note 6 3 3 4 2" xfId="16882" xr:uid="{00000000-0005-0000-0000-00002B560000}"/>
    <cellStyle name="Note 6 3 3 5" xfId="11978" xr:uid="{00000000-0005-0000-0000-00002C560000}"/>
    <cellStyle name="Note 6 3 4" xfId="1680" xr:uid="{00000000-0005-0000-0000-00002D560000}"/>
    <cellStyle name="Note 6 3 4 2" xfId="3992" xr:uid="{00000000-0005-0000-0000-00002E560000}"/>
    <cellStyle name="Note 6 3 4 2 2" xfId="8943" xr:uid="{00000000-0005-0000-0000-00002F560000}"/>
    <cellStyle name="Note 6 3 4 2 2 2" xfId="19840" xr:uid="{00000000-0005-0000-0000-000030560000}"/>
    <cellStyle name="Note 6 3 4 2 3" xfId="14889" xr:uid="{00000000-0005-0000-0000-000031560000}"/>
    <cellStyle name="Note 6 3 4 3" xfId="6631" xr:uid="{00000000-0005-0000-0000-000032560000}"/>
    <cellStyle name="Note 6 3 4 3 2" xfId="17528" xr:uid="{00000000-0005-0000-0000-000033560000}"/>
    <cellStyle name="Note 6 3 4 4" xfId="12611" xr:uid="{00000000-0005-0000-0000-000034560000}"/>
    <cellStyle name="Note 6 3 5" xfId="2814" xr:uid="{00000000-0005-0000-0000-000035560000}"/>
    <cellStyle name="Note 6 3 5 2" xfId="7765" xr:uid="{00000000-0005-0000-0000-000036560000}"/>
    <cellStyle name="Note 6 3 5 2 2" xfId="18662" xr:uid="{00000000-0005-0000-0000-000037560000}"/>
    <cellStyle name="Note 6 3 5 3" xfId="13711" xr:uid="{00000000-0005-0000-0000-000038560000}"/>
    <cellStyle name="Note 6 3 6" xfId="5453" xr:uid="{00000000-0005-0000-0000-000039560000}"/>
    <cellStyle name="Note 6 3 6 2" xfId="16350" xr:uid="{00000000-0005-0000-0000-00003A560000}"/>
    <cellStyle name="Note 6 3 7" xfId="11455" xr:uid="{00000000-0005-0000-0000-00003B560000}"/>
    <cellStyle name="Note 6 4" xfId="618" xr:uid="{00000000-0005-0000-0000-00003C560000}"/>
    <cellStyle name="Note 6 4 2" xfId="1150" xr:uid="{00000000-0005-0000-0000-00003D560000}"/>
    <cellStyle name="Note 6 4 2 2" xfId="2307" xr:uid="{00000000-0005-0000-0000-00003E560000}"/>
    <cellStyle name="Note 6 4 2 2 2" xfId="4619" xr:uid="{00000000-0005-0000-0000-00003F560000}"/>
    <cellStyle name="Note 6 4 2 2 2 2" xfId="9570" xr:uid="{00000000-0005-0000-0000-000040560000}"/>
    <cellStyle name="Note 6 4 2 2 2 2 2" xfId="20467" xr:uid="{00000000-0005-0000-0000-000041560000}"/>
    <cellStyle name="Note 6 4 2 2 2 3" xfId="15516" xr:uid="{00000000-0005-0000-0000-000042560000}"/>
    <cellStyle name="Note 6 4 2 2 3" xfId="7258" xr:uid="{00000000-0005-0000-0000-000043560000}"/>
    <cellStyle name="Note 6 4 2 2 3 2" xfId="18155" xr:uid="{00000000-0005-0000-0000-000044560000}"/>
    <cellStyle name="Note 6 4 2 2 4" xfId="13219" xr:uid="{00000000-0005-0000-0000-000045560000}"/>
    <cellStyle name="Note 6 4 2 3" xfId="3474" xr:uid="{00000000-0005-0000-0000-000046560000}"/>
    <cellStyle name="Note 6 4 2 3 2" xfId="8425" xr:uid="{00000000-0005-0000-0000-000047560000}"/>
    <cellStyle name="Note 6 4 2 3 2 2" xfId="19322" xr:uid="{00000000-0005-0000-0000-000048560000}"/>
    <cellStyle name="Note 6 4 2 3 3" xfId="14371" xr:uid="{00000000-0005-0000-0000-000049560000}"/>
    <cellStyle name="Note 6 4 2 4" xfId="6113" xr:uid="{00000000-0005-0000-0000-00004A560000}"/>
    <cellStyle name="Note 6 4 2 4 2" xfId="17010" xr:uid="{00000000-0005-0000-0000-00004B560000}"/>
    <cellStyle name="Note 6 4 2 5" xfId="12101" xr:uid="{00000000-0005-0000-0000-00004C560000}"/>
    <cellStyle name="Note 6 4 3" xfId="1799" xr:uid="{00000000-0005-0000-0000-00004D560000}"/>
    <cellStyle name="Note 6 4 3 2" xfId="4111" xr:uid="{00000000-0005-0000-0000-00004E560000}"/>
    <cellStyle name="Note 6 4 3 2 2" xfId="9062" xr:uid="{00000000-0005-0000-0000-00004F560000}"/>
    <cellStyle name="Note 6 4 3 2 2 2" xfId="19959" xr:uid="{00000000-0005-0000-0000-000050560000}"/>
    <cellStyle name="Note 6 4 3 2 3" xfId="15008" xr:uid="{00000000-0005-0000-0000-000051560000}"/>
    <cellStyle name="Note 6 4 3 3" xfId="6750" xr:uid="{00000000-0005-0000-0000-000052560000}"/>
    <cellStyle name="Note 6 4 3 3 2" xfId="17647" xr:uid="{00000000-0005-0000-0000-000053560000}"/>
    <cellStyle name="Note 6 4 3 4" xfId="12724" xr:uid="{00000000-0005-0000-0000-000054560000}"/>
    <cellStyle name="Note 6 4 4" xfId="2942" xr:uid="{00000000-0005-0000-0000-000055560000}"/>
    <cellStyle name="Note 6 4 4 2" xfId="7893" xr:uid="{00000000-0005-0000-0000-000056560000}"/>
    <cellStyle name="Note 6 4 4 2 2" xfId="18790" xr:uid="{00000000-0005-0000-0000-000057560000}"/>
    <cellStyle name="Note 6 4 4 3" xfId="13839" xr:uid="{00000000-0005-0000-0000-000058560000}"/>
    <cellStyle name="Note 6 4 5" xfId="5581" xr:uid="{00000000-0005-0000-0000-000059560000}"/>
    <cellStyle name="Note 6 4 5 2" xfId="16478" xr:uid="{00000000-0005-0000-0000-00005A560000}"/>
    <cellStyle name="Note 6 4 6" xfId="11580" xr:uid="{00000000-0005-0000-0000-00005B560000}"/>
    <cellStyle name="Note 6 5" xfId="885" xr:uid="{00000000-0005-0000-0000-00005C560000}"/>
    <cellStyle name="Note 6 5 2" xfId="2042" xr:uid="{00000000-0005-0000-0000-00005D560000}"/>
    <cellStyle name="Note 6 5 2 2" xfId="4354" xr:uid="{00000000-0005-0000-0000-00005E560000}"/>
    <cellStyle name="Note 6 5 2 2 2" xfId="9305" xr:uid="{00000000-0005-0000-0000-00005F560000}"/>
    <cellStyle name="Note 6 5 2 2 2 2" xfId="20202" xr:uid="{00000000-0005-0000-0000-000060560000}"/>
    <cellStyle name="Note 6 5 2 2 3" xfId="15251" xr:uid="{00000000-0005-0000-0000-000061560000}"/>
    <cellStyle name="Note 6 5 2 3" xfId="6993" xr:uid="{00000000-0005-0000-0000-000062560000}"/>
    <cellStyle name="Note 6 5 2 3 2" xfId="17890" xr:uid="{00000000-0005-0000-0000-000063560000}"/>
    <cellStyle name="Note 6 5 2 4" xfId="12960" xr:uid="{00000000-0005-0000-0000-000064560000}"/>
    <cellStyle name="Note 6 5 3" xfId="3209" xr:uid="{00000000-0005-0000-0000-000065560000}"/>
    <cellStyle name="Note 6 5 3 2" xfId="8160" xr:uid="{00000000-0005-0000-0000-000066560000}"/>
    <cellStyle name="Note 6 5 3 2 2" xfId="19057" xr:uid="{00000000-0005-0000-0000-000067560000}"/>
    <cellStyle name="Note 6 5 3 3" xfId="14106" xr:uid="{00000000-0005-0000-0000-000068560000}"/>
    <cellStyle name="Note 6 5 4" xfId="5848" xr:uid="{00000000-0005-0000-0000-000069560000}"/>
    <cellStyle name="Note 6 5 4 2" xfId="16745" xr:uid="{00000000-0005-0000-0000-00006A560000}"/>
    <cellStyle name="Note 6 5 5" xfId="11842" xr:uid="{00000000-0005-0000-0000-00006B560000}"/>
    <cellStyle name="Note 6 6" xfId="1566" xr:uid="{00000000-0005-0000-0000-00006C560000}"/>
    <cellStyle name="Note 6 6 2" xfId="3878" xr:uid="{00000000-0005-0000-0000-00006D560000}"/>
    <cellStyle name="Note 6 6 2 2" xfId="8829" xr:uid="{00000000-0005-0000-0000-00006E560000}"/>
    <cellStyle name="Note 6 6 2 2 2" xfId="19726" xr:uid="{00000000-0005-0000-0000-00006F560000}"/>
    <cellStyle name="Note 6 6 2 3" xfId="14775" xr:uid="{00000000-0005-0000-0000-000070560000}"/>
    <cellStyle name="Note 6 6 3" xfId="6517" xr:uid="{00000000-0005-0000-0000-000071560000}"/>
    <cellStyle name="Note 6 6 3 2" xfId="17414" xr:uid="{00000000-0005-0000-0000-000072560000}"/>
    <cellStyle name="Note 6 6 4" xfId="12498" xr:uid="{00000000-0005-0000-0000-000073560000}"/>
    <cellStyle name="Note 6 7" xfId="2677" xr:uid="{00000000-0005-0000-0000-000074560000}"/>
    <cellStyle name="Note 6 7 2" xfId="7628" xr:uid="{00000000-0005-0000-0000-000075560000}"/>
    <cellStyle name="Note 6 7 2 2" xfId="18525" xr:uid="{00000000-0005-0000-0000-000076560000}"/>
    <cellStyle name="Note 6 7 3" xfId="13574" xr:uid="{00000000-0005-0000-0000-000077560000}"/>
    <cellStyle name="Note 6 8" xfId="5316" xr:uid="{00000000-0005-0000-0000-000078560000}"/>
    <cellStyle name="Note 6 8 2" xfId="16213" xr:uid="{00000000-0005-0000-0000-000079560000}"/>
    <cellStyle name="Note 6 9" xfId="11319" xr:uid="{00000000-0005-0000-0000-00007A560000}"/>
    <cellStyle name="Output 2" xfId="338" xr:uid="{00000000-0005-0000-0000-00007B560000}"/>
    <cellStyle name="Output 2 10" xfId="23043" xr:uid="{00000000-0005-0000-0000-00007C560000}"/>
    <cellStyle name="Output 2 2" xfId="455" xr:uid="{00000000-0005-0000-0000-00007D560000}"/>
    <cellStyle name="Output 2 2 10" xfId="11216" xr:uid="{00000000-0005-0000-0000-00007E560000}"/>
    <cellStyle name="Output 2 2 2" xfId="720" xr:uid="{00000000-0005-0000-0000-00007F560000}"/>
    <cellStyle name="Output 2 2 2 2" xfId="1252" xr:uid="{00000000-0005-0000-0000-000080560000}"/>
    <cellStyle name="Output 2 2 2 2 2" xfId="2409" xr:uid="{00000000-0005-0000-0000-000081560000}"/>
    <cellStyle name="Output 2 2 2 2 2 2" xfId="4721" xr:uid="{00000000-0005-0000-0000-000082560000}"/>
    <cellStyle name="Output 2 2 2 2 2 2 2" xfId="9672" xr:uid="{00000000-0005-0000-0000-000083560000}"/>
    <cellStyle name="Output 2 2 2 2 2 2 2 2" xfId="20569" xr:uid="{00000000-0005-0000-0000-000084560000}"/>
    <cellStyle name="Output 2 2 2 2 2 2 2 3" xfId="24826" xr:uid="{00000000-0005-0000-0000-000085560000}"/>
    <cellStyle name="Output 2 2 2 2 2 2 2 4" xfId="26392" xr:uid="{00000000-0005-0000-0000-000086560000}"/>
    <cellStyle name="Output 2 2 2 2 2 2 3" xfId="10843" xr:uid="{00000000-0005-0000-0000-000087560000}"/>
    <cellStyle name="Output 2 2 2 2 2 2 3 2" xfId="21740" xr:uid="{00000000-0005-0000-0000-000088560000}"/>
    <cellStyle name="Output 2 2 2 2 2 2 3 3" xfId="25870" xr:uid="{00000000-0005-0000-0000-000089560000}"/>
    <cellStyle name="Output 2 2 2 2 2 2 3 4" xfId="27387" xr:uid="{00000000-0005-0000-0000-00008A560000}"/>
    <cellStyle name="Output 2 2 2 2 2 2 4" xfId="15618" xr:uid="{00000000-0005-0000-0000-00008B560000}"/>
    <cellStyle name="Output 2 2 2 2 2 2 5" xfId="23139" xr:uid="{00000000-0005-0000-0000-00008C560000}"/>
    <cellStyle name="Output 2 2 2 2 2 2 6" xfId="24831" xr:uid="{00000000-0005-0000-0000-00008D560000}"/>
    <cellStyle name="Output 2 2 2 2 2 3" xfId="5223" xr:uid="{00000000-0005-0000-0000-00008E560000}"/>
    <cellStyle name="Output 2 2 2 2 2 3 2" xfId="10174" xr:uid="{00000000-0005-0000-0000-00008F560000}"/>
    <cellStyle name="Output 2 2 2 2 2 3 2 2" xfId="21071" xr:uid="{00000000-0005-0000-0000-000090560000}"/>
    <cellStyle name="Output 2 2 2 2 2 3 2 3" xfId="25201" xr:uid="{00000000-0005-0000-0000-000091560000}"/>
    <cellStyle name="Output 2 2 2 2 2 3 2 4" xfId="26718" xr:uid="{00000000-0005-0000-0000-000092560000}"/>
    <cellStyle name="Output 2 2 2 2 2 3 3" xfId="11169" xr:uid="{00000000-0005-0000-0000-000093560000}"/>
    <cellStyle name="Output 2 2 2 2 2 3 3 2" xfId="22066" xr:uid="{00000000-0005-0000-0000-000094560000}"/>
    <cellStyle name="Output 2 2 2 2 2 3 3 3" xfId="26196" xr:uid="{00000000-0005-0000-0000-000095560000}"/>
    <cellStyle name="Output 2 2 2 2 2 3 3 4" xfId="27713" xr:uid="{00000000-0005-0000-0000-000096560000}"/>
    <cellStyle name="Output 2 2 2 2 2 3 4" xfId="16120" xr:uid="{00000000-0005-0000-0000-000097560000}"/>
    <cellStyle name="Output 2 2 2 2 2 3 5" xfId="23512" xr:uid="{00000000-0005-0000-0000-000098560000}"/>
    <cellStyle name="Output 2 2 2 2 2 3 6" xfId="24217" xr:uid="{00000000-0005-0000-0000-000099560000}"/>
    <cellStyle name="Output 2 2 2 2 2 4" xfId="7360" xr:uid="{00000000-0005-0000-0000-00009A560000}"/>
    <cellStyle name="Output 2 2 2 2 2 4 2" xfId="18257" xr:uid="{00000000-0005-0000-0000-00009B560000}"/>
    <cellStyle name="Output 2 2 2 2 2 4 3" xfId="24151" xr:uid="{00000000-0005-0000-0000-00009C560000}"/>
    <cellStyle name="Output 2 2 2 2 2 4 4" xfId="22125" xr:uid="{00000000-0005-0000-0000-00009D560000}"/>
    <cellStyle name="Output 2 2 2 2 2 5" xfId="10501" xr:uid="{00000000-0005-0000-0000-00009E560000}"/>
    <cellStyle name="Output 2 2 2 2 2 5 2" xfId="21398" xr:uid="{00000000-0005-0000-0000-00009F560000}"/>
    <cellStyle name="Output 2 2 2 2 2 5 3" xfId="25528" xr:uid="{00000000-0005-0000-0000-0000A0560000}"/>
    <cellStyle name="Output 2 2 2 2 2 5 4" xfId="27045" xr:uid="{00000000-0005-0000-0000-0000A1560000}"/>
    <cellStyle name="Output 2 2 2 2 2 6" xfId="13320" xr:uid="{00000000-0005-0000-0000-0000A2560000}"/>
    <cellStyle name="Output 2 2 2 2 2 7" xfId="23991" xr:uid="{00000000-0005-0000-0000-0000A3560000}"/>
    <cellStyle name="Output 2 2 2 2 3" xfId="3576" xr:uid="{00000000-0005-0000-0000-0000A4560000}"/>
    <cellStyle name="Output 2 2 2 2 3 2" xfId="8527" xr:uid="{00000000-0005-0000-0000-0000A5560000}"/>
    <cellStyle name="Output 2 2 2 2 3 2 2" xfId="19424" xr:uid="{00000000-0005-0000-0000-0000A6560000}"/>
    <cellStyle name="Output 2 2 2 2 3 2 3" xfId="24502" xr:uid="{00000000-0005-0000-0000-0000A7560000}"/>
    <cellStyle name="Output 2 2 2 2 3 2 4" xfId="26232" xr:uid="{00000000-0005-0000-0000-0000A8560000}"/>
    <cellStyle name="Output 2 2 2 2 3 3" xfId="10683" xr:uid="{00000000-0005-0000-0000-0000A9560000}"/>
    <cellStyle name="Output 2 2 2 2 3 3 2" xfId="21580" xr:uid="{00000000-0005-0000-0000-0000AA560000}"/>
    <cellStyle name="Output 2 2 2 2 3 3 3" xfId="25710" xr:uid="{00000000-0005-0000-0000-0000AB560000}"/>
    <cellStyle name="Output 2 2 2 2 3 3 4" xfId="27227" xr:uid="{00000000-0005-0000-0000-0000AC560000}"/>
    <cellStyle name="Output 2 2 2 2 3 4" xfId="14473" xr:uid="{00000000-0005-0000-0000-0000AD560000}"/>
    <cellStyle name="Output 2 2 2 2 3 5" xfId="22812" xr:uid="{00000000-0005-0000-0000-0000AE560000}"/>
    <cellStyle name="Output 2 2 2 2 3 6" xfId="22218" xr:uid="{00000000-0005-0000-0000-0000AF560000}"/>
    <cellStyle name="Output 2 2 2 2 4" xfId="5064" xr:uid="{00000000-0005-0000-0000-0000B0560000}"/>
    <cellStyle name="Output 2 2 2 2 4 2" xfId="10015" xr:uid="{00000000-0005-0000-0000-0000B1560000}"/>
    <cellStyle name="Output 2 2 2 2 4 2 2" xfId="20912" xr:uid="{00000000-0005-0000-0000-0000B2560000}"/>
    <cellStyle name="Output 2 2 2 2 4 2 3" xfId="25042" xr:uid="{00000000-0005-0000-0000-0000B3560000}"/>
    <cellStyle name="Output 2 2 2 2 4 2 4" xfId="26559" xr:uid="{00000000-0005-0000-0000-0000B4560000}"/>
    <cellStyle name="Output 2 2 2 2 4 3" xfId="11010" xr:uid="{00000000-0005-0000-0000-0000B5560000}"/>
    <cellStyle name="Output 2 2 2 2 4 3 2" xfId="21907" xr:uid="{00000000-0005-0000-0000-0000B6560000}"/>
    <cellStyle name="Output 2 2 2 2 4 3 3" xfId="26037" xr:uid="{00000000-0005-0000-0000-0000B7560000}"/>
    <cellStyle name="Output 2 2 2 2 4 3 4" xfId="27554" xr:uid="{00000000-0005-0000-0000-0000B8560000}"/>
    <cellStyle name="Output 2 2 2 2 4 4" xfId="15961" xr:uid="{00000000-0005-0000-0000-0000B9560000}"/>
    <cellStyle name="Output 2 2 2 2 4 5" xfId="23353" xr:uid="{00000000-0005-0000-0000-0000BA560000}"/>
    <cellStyle name="Output 2 2 2 2 4 6" xfId="11244" xr:uid="{00000000-0005-0000-0000-0000BB560000}"/>
    <cellStyle name="Output 2 2 2 2 5" xfId="6215" xr:uid="{00000000-0005-0000-0000-0000BC560000}"/>
    <cellStyle name="Output 2 2 2 2 5 2" xfId="17112" xr:uid="{00000000-0005-0000-0000-0000BD560000}"/>
    <cellStyle name="Output 2 2 2 2 5 3" xfId="23827" xr:uid="{00000000-0005-0000-0000-0000BE560000}"/>
    <cellStyle name="Output 2 2 2 2 5 4" xfId="22829" xr:uid="{00000000-0005-0000-0000-0000BF560000}"/>
    <cellStyle name="Output 2 2 2 2 6" xfId="10342" xr:uid="{00000000-0005-0000-0000-0000C0560000}"/>
    <cellStyle name="Output 2 2 2 2 6 2" xfId="21239" xr:uid="{00000000-0005-0000-0000-0000C1560000}"/>
    <cellStyle name="Output 2 2 2 2 6 3" xfId="25369" xr:uid="{00000000-0005-0000-0000-0000C2560000}"/>
    <cellStyle name="Output 2 2 2 2 6 4" xfId="26886" xr:uid="{00000000-0005-0000-0000-0000C3560000}"/>
    <cellStyle name="Output 2 2 2 2 7" xfId="12202" xr:uid="{00000000-0005-0000-0000-0000C4560000}"/>
    <cellStyle name="Output 2 2 2 2 8" xfId="22637" xr:uid="{00000000-0005-0000-0000-0000C5560000}"/>
    <cellStyle name="Output 2 2 2 3" xfId="1405" xr:uid="{00000000-0005-0000-0000-0000C6560000}"/>
    <cellStyle name="Output 2 2 2 3 2" xfId="3729" xr:uid="{00000000-0005-0000-0000-0000C7560000}"/>
    <cellStyle name="Output 2 2 2 3 2 2" xfId="8680" xr:uid="{00000000-0005-0000-0000-0000C8560000}"/>
    <cellStyle name="Output 2 2 2 3 2 2 2" xfId="19577" xr:uid="{00000000-0005-0000-0000-0000C9560000}"/>
    <cellStyle name="Output 2 2 2 3 2 2 3" xfId="24574" xr:uid="{00000000-0005-0000-0000-0000CA560000}"/>
    <cellStyle name="Output 2 2 2 3 2 2 4" xfId="26292" xr:uid="{00000000-0005-0000-0000-0000CB560000}"/>
    <cellStyle name="Output 2 2 2 3 2 3" xfId="10743" xr:uid="{00000000-0005-0000-0000-0000CC560000}"/>
    <cellStyle name="Output 2 2 2 3 2 3 2" xfId="21640" xr:uid="{00000000-0005-0000-0000-0000CD560000}"/>
    <cellStyle name="Output 2 2 2 3 2 3 3" xfId="25770" xr:uid="{00000000-0005-0000-0000-0000CE560000}"/>
    <cellStyle name="Output 2 2 2 3 2 3 4" xfId="27287" xr:uid="{00000000-0005-0000-0000-0000CF560000}"/>
    <cellStyle name="Output 2 2 2 3 2 4" xfId="14626" xr:uid="{00000000-0005-0000-0000-0000D0560000}"/>
    <cellStyle name="Output 2 2 2 3 2 5" xfId="22886" xr:uid="{00000000-0005-0000-0000-0000D1560000}"/>
    <cellStyle name="Output 2 2 2 3 2 6" xfId="24513" xr:uid="{00000000-0005-0000-0000-0000D2560000}"/>
    <cellStyle name="Output 2 2 2 3 3" xfId="5124" xr:uid="{00000000-0005-0000-0000-0000D3560000}"/>
    <cellStyle name="Output 2 2 2 3 3 2" xfId="10075" xr:uid="{00000000-0005-0000-0000-0000D4560000}"/>
    <cellStyle name="Output 2 2 2 3 3 2 2" xfId="20972" xr:uid="{00000000-0005-0000-0000-0000D5560000}"/>
    <cellStyle name="Output 2 2 2 3 3 2 3" xfId="25102" xr:uid="{00000000-0005-0000-0000-0000D6560000}"/>
    <cellStyle name="Output 2 2 2 3 3 2 4" xfId="26619" xr:uid="{00000000-0005-0000-0000-0000D7560000}"/>
    <cellStyle name="Output 2 2 2 3 3 3" xfId="11070" xr:uid="{00000000-0005-0000-0000-0000D8560000}"/>
    <cellStyle name="Output 2 2 2 3 3 3 2" xfId="21967" xr:uid="{00000000-0005-0000-0000-0000D9560000}"/>
    <cellStyle name="Output 2 2 2 3 3 3 3" xfId="26097" xr:uid="{00000000-0005-0000-0000-0000DA560000}"/>
    <cellStyle name="Output 2 2 2 3 3 3 4" xfId="27614" xr:uid="{00000000-0005-0000-0000-0000DB560000}"/>
    <cellStyle name="Output 2 2 2 3 3 4" xfId="16021" xr:uid="{00000000-0005-0000-0000-0000DC560000}"/>
    <cellStyle name="Output 2 2 2 3 3 5" xfId="23413" xr:uid="{00000000-0005-0000-0000-0000DD560000}"/>
    <cellStyle name="Output 2 2 2 3 3 6" xfId="23173" xr:uid="{00000000-0005-0000-0000-0000DE560000}"/>
    <cellStyle name="Output 2 2 2 3 4" xfId="6368" xr:uid="{00000000-0005-0000-0000-0000DF560000}"/>
    <cellStyle name="Output 2 2 2 3 4 2" xfId="17265" xr:uid="{00000000-0005-0000-0000-0000E0560000}"/>
    <cellStyle name="Output 2 2 2 3 4 3" xfId="23899" xr:uid="{00000000-0005-0000-0000-0000E1560000}"/>
    <cellStyle name="Output 2 2 2 3 4 4" xfId="22946" xr:uid="{00000000-0005-0000-0000-0000E2560000}"/>
    <cellStyle name="Output 2 2 2 3 5" xfId="10402" xr:uid="{00000000-0005-0000-0000-0000E3560000}"/>
    <cellStyle name="Output 2 2 2 3 5 2" xfId="21299" xr:uid="{00000000-0005-0000-0000-0000E4560000}"/>
    <cellStyle name="Output 2 2 2 3 5 3" xfId="25429" xr:uid="{00000000-0005-0000-0000-0000E5560000}"/>
    <cellStyle name="Output 2 2 2 3 5 4" xfId="26946" xr:uid="{00000000-0005-0000-0000-0000E6560000}"/>
    <cellStyle name="Output 2 2 2 3 6" xfId="12345" xr:uid="{00000000-0005-0000-0000-0000E7560000}"/>
    <cellStyle name="Output 2 2 2 3 7" xfId="24454" xr:uid="{00000000-0005-0000-0000-0000E8560000}"/>
    <cellStyle name="Output 2 2 2 4" xfId="3044" xr:uid="{00000000-0005-0000-0000-0000E9560000}"/>
    <cellStyle name="Output 2 2 2 4 2" xfId="7995" xr:uid="{00000000-0005-0000-0000-0000EA560000}"/>
    <cellStyle name="Output 2 2 2 4 2 2" xfId="18892" xr:uid="{00000000-0005-0000-0000-0000EB560000}"/>
    <cellStyle name="Output 2 2 2 4 2 3" xfId="24346" xr:uid="{00000000-0005-0000-0000-0000EC560000}"/>
    <cellStyle name="Output 2 2 2 4 2 4" xfId="24382" xr:uid="{00000000-0005-0000-0000-0000ED560000}"/>
    <cellStyle name="Output 2 2 2 4 3" xfId="10603" xr:uid="{00000000-0005-0000-0000-0000EE560000}"/>
    <cellStyle name="Output 2 2 2 4 3 2" xfId="21500" xr:uid="{00000000-0005-0000-0000-0000EF560000}"/>
    <cellStyle name="Output 2 2 2 4 3 3" xfId="25630" xr:uid="{00000000-0005-0000-0000-0000F0560000}"/>
    <cellStyle name="Output 2 2 2 4 3 4" xfId="27147" xr:uid="{00000000-0005-0000-0000-0000F1560000}"/>
    <cellStyle name="Output 2 2 2 4 4" xfId="13941" xr:uid="{00000000-0005-0000-0000-0000F2560000}"/>
    <cellStyle name="Output 2 2 2 4 5" xfId="22650" xr:uid="{00000000-0005-0000-0000-0000F3560000}"/>
    <cellStyle name="Output 2 2 2 4 6" xfId="22702" xr:uid="{00000000-0005-0000-0000-0000F4560000}"/>
    <cellStyle name="Output 2 2 2 5" xfId="4984" xr:uid="{00000000-0005-0000-0000-0000F5560000}"/>
    <cellStyle name="Output 2 2 2 5 2" xfId="9935" xr:uid="{00000000-0005-0000-0000-0000F6560000}"/>
    <cellStyle name="Output 2 2 2 5 2 2" xfId="20832" xr:uid="{00000000-0005-0000-0000-0000F7560000}"/>
    <cellStyle name="Output 2 2 2 5 2 3" xfId="24962" xr:uid="{00000000-0005-0000-0000-0000F8560000}"/>
    <cellStyle name="Output 2 2 2 5 2 4" xfId="26479" xr:uid="{00000000-0005-0000-0000-0000F9560000}"/>
    <cellStyle name="Output 2 2 2 5 3" xfId="10930" xr:uid="{00000000-0005-0000-0000-0000FA560000}"/>
    <cellStyle name="Output 2 2 2 5 3 2" xfId="21827" xr:uid="{00000000-0005-0000-0000-0000FB560000}"/>
    <cellStyle name="Output 2 2 2 5 3 3" xfId="25957" xr:uid="{00000000-0005-0000-0000-0000FC560000}"/>
    <cellStyle name="Output 2 2 2 5 3 4" xfId="27474" xr:uid="{00000000-0005-0000-0000-0000FD560000}"/>
    <cellStyle name="Output 2 2 2 5 4" xfId="15881" xr:uid="{00000000-0005-0000-0000-0000FE560000}"/>
    <cellStyle name="Output 2 2 2 5 5" xfId="23273" xr:uid="{00000000-0005-0000-0000-0000FF560000}"/>
    <cellStyle name="Output 2 2 2 5 6" xfId="24006" xr:uid="{00000000-0005-0000-0000-000000570000}"/>
    <cellStyle name="Output 2 2 2 6" xfId="5683" xr:uid="{00000000-0005-0000-0000-000001570000}"/>
    <cellStyle name="Output 2 2 2 6 2" xfId="16580" xr:uid="{00000000-0005-0000-0000-000002570000}"/>
    <cellStyle name="Output 2 2 2 6 3" xfId="23670" xr:uid="{00000000-0005-0000-0000-000003570000}"/>
    <cellStyle name="Output 2 2 2 6 4" xfId="24897" xr:uid="{00000000-0005-0000-0000-000004570000}"/>
    <cellStyle name="Output 2 2 2 7" xfId="10262" xr:uid="{00000000-0005-0000-0000-000005570000}"/>
    <cellStyle name="Output 2 2 2 7 2" xfId="21159" xr:uid="{00000000-0005-0000-0000-000006570000}"/>
    <cellStyle name="Output 2 2 2 7 3" xfId="25289" xr:uid="{00000000-0005-0000-0000-000007570000}"/>
    <cellStyle name="Output 2 2 2 7 4" xfId="26806" xr:uid="{00000000-0005-0000-0000-000008570000}"/>
    <cellStyle name="Output 2 2 2 8" xfId="11681" xr:uid="{00000000-0005-0000-0000-000009570000}"/>
    <cellStyle name="Output 2 2 2 9" xfId="24677" xr:uid="{00000000-0005-0000-0000-00000A570000}"/>
    <cellStyle name="Output 2 2 3" xfId="987" xr:uid="{00000000-0005-0000-0000-00000B570000}"/>
    <cellStyle name="Output 2 2 3 2" xfId="2144" xr:uid="{00000000-0005-0000-0000-00000C570000}"/>
    <cellStyle name="Output 2 2 3 2 2" xfId="4456" xr:uid="{00000000-0005-0000-0000-00000D570000}"/>
    <cellStyle name="Output 2 2 3 2 2 2" xfId="9407" xr:uid="{00000000-0005-0000-0000-00000E570000}"/>
    <cellStyle name="Output 2 2 3 2 2 2 2" xfId="20304" xr:uid="{00000000-0005-0000-0000-00000F570000}"/>
    <cellStyle name="Output 2 2 3 2 2 2 3" xfId="24752" xr:uid="{00000000-0005-0000-0000-000010570000}"/>
    <cellStyle name="Output 2 2 3 2 2 2 4" xfId="26352" xr:uid="{00000000-0005-0000-0000-000011570000}"/>
    <cellStyle name="Output 2 2 3 2 2 3" xfId="10803" xr:uid="{00000000-0005-0000-0000-000012570000}"/>
    <cellStyle name="Output 2 2 3 2 2 3 2" xfId="21700" xr:uid="{00000000-0005-0000-0000-000013570000}"/>
    <cellStyle name="Output 2 2 3 2 2 3 3" xfId="25830" xr:uid="{00000000-0005-0000-0000-000014570000}"/>
    <cellStyle name="Output 2 2 3 2 2 3 4" xfId="27347" xr:uid="{00000000-0005-0000-0000-000015570000}"/>
    <cellStyle name="Output 2 2 3 2 2 4" xfId="15353" xr:uid="{00000000-0005-0000-0000-000016570000}"/>
    <cellStyle name="Output 2 2 3 2 2 5" xfId="23063" xr:uid="{00000000-0005-0000-0000-000017570000}"/>
    <cellStyle name="Output 2 2 3 2 2 6" xfId="22153" xr:uid="{00000000-0005-0000-0000-000018570000}"/>
    <cellStyle name="Output 2 2 3 2 3" xfId="5183" xr:uid="{00000000-0005-0000-0000-000019570000}"/>
    <cellStyle name="Output 2 2 3 2 3 2" xfId="10134" xr:uid="{00000000-0005-0000-0000-00001A570000}"/>
    <cellStyle name="Output 2 2 3 2 3 2 2" xfId="21031" xr:uid="{00000000-0005-0000-0000-00001B570000}"/>
    <cellStyle name="Output 2 2 3 2 3 2 3" xfId="25161" xr:uid="{00000000-0005-0000-0000-00001C570000}"/>
    <cellStyle name="Output 2 2 3 2 3 2 4" xfId="26678" xr:uid="{00000000-0005-0000-0000-00001D570000}"/>
    <cellStyle name="Output 2 2 3 2 3 3" xfId="11129" xr:uid="{00000000-0005-0000-0000-00001E570000}"/>
    <cellStyle name="Output 2 2 3 2 3 3 2" xfId="22026" xr:uid="{00000000-0005-0000-0000-00001F570000}"/>
    <cellStyle name="Output 2 2 3 2 3 3 3" xfId="26156" xr:uid="{00000000-0005-0000-0000-000020570000}"/>
    <cellStyle name="Output 2 2 3 2 3 3 4" xfId="27673" xr:uid="{00000000-0005-0000-0000-000021570000}"/>
    <cellStyle name="Output 2 2 3 2 3 4" xfId="16080" xr:uid="{00000000-0005-0000-0000-000022570000}"/>
    <cellStyle name="Output 2 2 3 2 3 5" xfId="23472" xr:uid="{00000000-0005-0000-0000-000023570000}"/>
    <cellStyle name="Output 2 2 3 2 3 6" xfId="22969" xr:uid="{00000000-0005-0000-0000-000024570000}"/>
    <cellStyle name="Output 2 2 3 2 4" xfId="7095" xr:uid="{00000000-0005-0000-0000-000025570000}"/>
    <cellStyle name="Output 2 2 3 2 4 2" xfId="17992" xr:uid="{00000000-0005-0000-0000-000026570000}"/>
    <cellStyle name="Output 2 2 3 2 4 3" xfId="24075" xr:uid="{00000000-0005-0000-0000-000027570000}"/>
    <cellStyle name="Output 2 2 3 2 4 4" xfId="22345" xr:uid="{00000000-0005-0000-0000-000028570000}"/>
    <cellStyle name="Output 2 2 3 2 5" xfId="10461" xr:uid="{00000000-0005-0000-0000-000029570000}"/>
    <cellStyle name="Output 2 2 3 2 5 2" xfId="21358" xr:uid="{00000000-0005-0000-0000-00002A570000}"/>
    <cellStyle name="Output 2 2 3 2 5 3" xfId="25488" xr:uid="{00000000-0005-0000-0000-00002B570000}"/>
    <cellStyle name="Output 2 2 3 2 5 4" xfId="27005" xr:uid="{00000000-0005-0000-0000-00002C570000}"/>
    <cellStyle name="Output 2 2 3 2 6" xfId="13061" xr:uid="{00000000-0005-0000-0000-00002D570000}"/>
    <cellStyle name="Output 2 2 3 2 7" xfId="24046" xr:uid="{00000000-0005-0000-0000-00002E570000}"/>
    <cellStyle name="Output 2 2 3 3" xfId="3311" xr:uid="{00000000-0005-0000-0000-00002F570000}"/>
    <cellStyle name="Output 2 2 3 3 2" xfId="8262" xr:uid="{00000000-0005-0000-0000-000030570000}"/>
    <cellStyle name="Output 2 2 3 3 2 2" xfId="19159" xr:uid="{00000000-0005-0000-0000-000031570000}"/>
    <cellStyle name="Output 2 2 3 3 2 3" xfId="24425" xr:uid="{00000000-0005-0000-0000-000032570000}"/>
    <cellStyle name="Output 2 2 3 3 2 4" xfId="22381" xr:uid="{00000000-0005-0000-0000-000033570000}"/>
    <cellStyle name="Output 2 2 3 3 3" xfId="10643" xr:uid="{00000000-0005-0000-0000-000034570000}"/>
    <cellStyle name="Output 2 2 3 3 3 2" xfId="21540" xr:uid="{00000000-0005-0000-0000-000035570000}"/>
    <cellStyle name="Output 2 2 3 3 3 3" xfId="25670" xr:uid="{00000000-0005-0000-0000-000036570000}"/>
    <cellStyle name="Output 2 2 3 3 3 4" xfId="27187" xr:uid="{00000000-0005-0000-0000-000037570000}"/>
    <cellStyle name="Output 2 2 3 3 4" xfId="14208" xr:uid="{00000000-0005-0000-0000-000038570000}"/>
    <cellStyle name="Output 2 2 3 3 5" xfId="22733" xr:uid="{00000000-0005-0000-0000-000039570000}"/>
    <cellStyle name="Output 2 2 3 3 6" xfId="22982" xr:uid="{00000000-0005-0000-0000-00003A570000}"/>
    <cellStyle name="Output 2 2 3 4" xfId="5024" xr:uid="{00000000-0005-0000-0000-00003B570000}"/>
    <cellStyle name="Output 2 2 3 4 2" xfId="9975" xr:uid="{00000000-0005-0000-0000-00003C570000}"/>
    <cellStyle name="Output 2 2 3 4 2 2" xfId="20872" xr:uid="{00000000-0005-0000-0000-00003D570000}"/>
    <cellStyle name="Output 2 2 3 4 2 3" xfId="25002" xr:uid="{00000000-0005-0000-0000-00003E570000}"/>
    <cellStyle name="Output 2 2 3 4 2 4" xfId="26519" xr:uid="{00000000-0005-0000-0000-00003F570000}"/>
    <cellStyle name="Output 2 2 3 4 3" xfId="10970" xr:uid="{00000000-0005-0000-0000-000040570000}"/>
    <cellStyle name="Output 2 2 3 4 3 2" xfId="21867" xr:uid="{00000000-0005-0000-0000-000041570000}"/>
    <cellStyle name="Output 2 2 3 4 3 3" xfId="25997" xr:uid="{00000000-0005-0000-0000-000042570000}"/>
    <cellStyle name="Output 2 2 3 4 3 4" xfId="27514" xr:uid="{00000000-0005-0000-0000-000043570000}"/>
    <cellStyle name="Output 2 2 3 4 4" xfId="15921" xr:uid="{00000000-0005-0000-0000-000044570000}"/>
    <cellStyle name="Output 2 2 3 4 5" xfId="23313" xr:uid="{00000000-0005-0000-0000-000045570000}"/>
    <cellStyle name="Output 2 2 3 4 6" xfId="24809" xr:uid="{00000000-0005-0000-0000-000046570000}"/>
    <cellStyle name="Output 2 2 3 5" xfId="5950" xr:uid="{00000000-0005-0000-0000-000047570000}"/>
    <cellStyle name="Output 2 2 3 5 2" xfId="16847" xr:uid="{00000000-0005-0000-0000-000048570000}"/>
    <cellStyle name="Output 2 2 3 5 3" xfId="23748" xr:uid="{00000000-0005-0000-0000-000049570000}"/>
    <cellStyle name="Output 2 2 3 5 4" xfId="22166" xr:uid="{00000000-0005-0000-0000-00004A570000}"/>
    <cellStyle name="Output 2 2 3 6" xfId="10302" xr:uid="{00000000-0005-0000-0000-00004B570000}"/>
    <cellStyle name="Output 2 2 3 6 2" xfId="21199" xr:uid="{00000000-0005-0000-0000-00004C570000}"/>
    <cellStyle name="Output 2 2 3 6 3" xfId="25329" xr:uid="{00000000-0005-0000-0000-00004D570000}"/>
    <cellStyle name="Output 2 2 3 6 4" xfId="26846" xr:uid="{00000000-0005-0000-0000-00004E570000}"/>
    <cellStyle name="Output 2 2 3 7" xfId="11943" xr:uid="{00000000-0005-0000-0000-00004F570000}"/>
    <cellStyle name="Output 2 2 3 8" xfId="11220" xr:uid="{00000000-0005-0000-0000-000050570000}"/>
    <cellStyle name="Output 2 2 4" xfId="1365" xr:uid="{00000000-0005-0000-0000-000051570000}"/>
    <cellStyle name="Output 2 2 4 2" xfId="3689" xr:uid="{00000000-0005-0000-0000-000052570000}"/>
    <cellStyle name="Output 2 2 4 2 2" xfId="8640" xr:uid="{00000000-0005-0000-0000-000053570000}"/>
    <cellStyle name="Output 2 2 4 2 2 2" xfId="19537" xr:uid="{00000000-0005-0000-0000-000054570000}"/>
    <cellStyle name="Output 2 2 4 2 2 3" xfId="24534" xr:uid="{00000000-0005-0000-0000-000055570000}"/>
    <cellStyle name="Output 2 2 4 2 2 4" xfId="26252" xr:uid="{00000000-0005-0000-0000-000056570000}"/>
    <cellStyle name="Output 2 2 4 2 3" xfId="10703" xr:uid="{00000000-0005-0000-0000-000057570000}"/>
    <cellStyle name="Output 2 2 4 2 3 2" xfId="21600" xr:uid="{00000000-0005-0000-0000-000058570000}"/>
    <cellStyle name="Output 2 2 4 2 3 3" xfId="25730" xr:uid="{00000000-0005-0000-0000-000059570000}"/>
    <cellStyle name="Output 2 2 4 2 3 4" xfId="27247" xr:uid="{00000000-0005-0000-0000-00005A570000}"/>
    <cellStyle name="Output 2 2 4 2 4" xfId="14586" xr:uid="{00000000-0005-0000-0000-00005B570000}"/>
    <cellStyle name="Output 2 2 4 2 5" xfId="22846" xr:uid="{00000000-0005-0000-0000-00005C570000}"/>
    <cellStyle name="Output 2 2 4 2 6" xfId="22177" xr:uid="{00000000-0005-0000-0000-00005D570000}"/>
    <cellStyle name="Output 2 2 4 3" xfId="5084" xr:uid="{00000000-0005-0000-0000-00005E570000}"/>
    <cellStyle name="Output 2 2 4 3 2" xfId="10035" xr:uid="{00000000-0005-0000-0000-00005F570000}"/>
    <cellStyle name="Output 2 2 4 3 2 2" xfId="20932" xr:uid="{00000000-0005-0000-0000-000060570000}"/>
    <cellStyle name="Output 2 2 4 3 2 3" xfId="25062" xr:uid="{00000000-0005-0000-0000-000061570000}"/>
    <cellStyle name="Output 2 2 4 3 2 4" xfId="26579" xr:uid="{00000000-0005-0000-0000-000062570000}"/>
    <cellStyle name="Output 2 2 4 3 3" xfId="11030" xr:uid="{00000000-0005-0000-0000-000063570000}"/>
    <cellStyle name="Output 2 2 4 3 3 2" xfId="21927" xr:uid="{00000000-0005-0000-0000-000064570000}"/>
    <cellStyle name="Output 2 2 4 3 3 3" xfId="26057" xr:uid="{00000000-0005-0000-0000-000065570000}"/>
    <cellStyle name="Output 2 2 4 3 3 4" xfId="27574" xr:uid="{00000000-0005-0000-0000-000066570000}"/>
    <cellStyle name="Output 2 2 4 3 4" xfId="15981" xr:uid="{00000000-0005-0000-0000-000067570000}"/>
    <cellStyle name="Output 2 2 4 3 5" xfId="23373" xr:uid="{00000000-0005-0000-0000-000068570000}"/>
    <cellStyle name="Output 2 2 4 3 6" xfId="24001" xr:uid="{00000000-0005-0000-0000-000069570000}"/>
    <cellStyle name="Output 2 2 4 4" xfId="6328" xr:uid="{00000000-0005-0000-0000-00006A570000}"/>
    <cellStyle name="Output 2 2 4 4 2" xfId="17225" xr:uid="{00000000-0005-0000-0000-00006B570000}"/>
    <cellStyle name="Output 2 2 4 4 3" xfId="23859" xr:uid="{00000000-0005-0000-0000-00006C570000}"/>
    <cellStyle name="Output 2 2 4 4 4" xfId="23199" xr:uid="{00000000-0005-0000-0000-00006D570000}"/>
    <cellStyle name="Output 2 2 4 5" xfId="10362" xr:uid="{00000000-0005-0000-0000-00006E570000}"/>
    <cellStyle name="Output 2 2 4 5 2" xfId="21259" xr:uid="{00000000-0005-0000-0000-00006F570000}"/>
    <cellStyle name="Output 2 2 4 5 3" xfId="25389" xr:uid="{00000000-0005-0000-0000-000070570000}"/>
    <cellStyle name="Output 2 2 4 5 4" xfId="26906" xr:uid="{00000000-0005-0000-0000-000071570000}"/>
    <cellStyle name="Output 2 2 4 6" xfId="12313" xr:uid="{00000000-0005-0000-0000-000072570000}"/>
    <cellStyle name="Output 2 2 4 7" xfId="22907" xr:uid="{00000000-0005-0000-0000-000073570000}"/>
    <cellStyle name="Output 2 2 5" xfId="2779" xr:uid="{00000000-0005-0000-0000-000074570000}"/>
    <cellStyle name="Output 2 2 5 2" xfId="7730" xr:uid="{00000000-0005-0000-0000-000075570000}"/>
    <cellStyle name="Output 2 2 5 2 2" xfId="18627" xr:uid="{00000000-0005-0000-0000-000076570000}"/>
    <cellStyle name="Output 2 2 5 2 3" xfId="24279" xr:uid="{00000000-0005-0000-0000-000077570000}"/>
    <cellStyle name="Output 2 2 5 2 4" xfId="11294" xr:uid="{00000000-0005-0000-0000-000078570000}"/>
    <cellStyle name="Output 2 2 5 3" xfId="10563" xr:uid="{00000000-0005-0000-0000-000079570000}"/>
    <cellStyle name="Output 2 2 5 3 2" xfId="21460" xr:uid="{00000000-0005-0000-0000-00007A570000}"/>
    <cellStyle name="Output 2 2 5 3 3" xfId="25590" xr:uid="{00000000-0005-0000-0000-00007B570000}"/>
    <cellStyle name="Output 2 2 5 3 4" xfId="27107" xr:uid="{00000000-0005-0000-0000-00007C570000}"/>
    <cellStyle name="Output 2 2 5 4" xfId="13676" xr:uid="{00000000-0005-0000-0000-00007D570000}"/>
    <cellStyle name="Output 2 2 5 5" xfId="22579" xr:uid="{00000000-0005-0000-0000-00007E570000}"/>
    <cellStyle name="Output 2 2 5 6" xfId="23564" xr:uid="{00000000-0005-0000-0000-00007F570000}"/>
    <cellStyle name="Output 2 2 6" xfId="4944" xr:uid="{00000000-0005-0000-0000-000080570000}"/>
    <cellStyle name="Output 2 2 6 2" xfId="9895" xr:uid="{00000000-0005-0000-0000-000081570000}"/>
    <cellStyle name="Output 2 2 6 2 2" xfId="20792" xr:uid="{00000000-0005-0000-0000-000082570000}"/>
    <cellStyle name="Output 2 2 6 2 3" xfId="24922" xr:uid="{00000000-0005-0000-0000-000083570000}"/>
    <cellStyle name="Output 2 2 6 2 4" xfId="26439" xr:uid="{00000000-0005-0000-0000-000084570000}"/>
    <cellStyle name="Output 2 2 6 3" xfId="10890" xr:uid="{00000000-0005-0000-0000-000085570000}"/>
    <cellStyle name="Output 2 2 6 3 2" xfId="21787" xr:uid="{00000000-0005-0000-0000-000086570000}"/>
    <cellStyle name="Output 2 2 6 3 3" xfId="25917" xr:uid="{00000000-0005-0000-0000-000087570000}"/>
    <cellStyle name="Output 2 2 6 3 4" xfId="27434" xr:uid="{00000000-0005-0000-0000-000088570000}"/>
    <cellStyle name="Output 2 2 6 4" xfId="15841" xr:uid="{00000000-0005-0000-0000-000089570000}"/>
    <cellStyle name="Output 2 2 6 5" xfId="23233" xr:uid="{00000000-0005-0000-0000-00008A570000}"/>
    <cellStyle name="Output 2 2 6 6" xfId="22699" xr:uid="{00000000-0005-0000-0000-00008B570000}"/>
    <cellStyle name="Output 2 2 7" xfId="5418" xr:uid="{00000000-0005-0000-0000-00008C570000}"/>
    <cellStyle name="Output 2 2 7 2" xfId="16315" xr:uid="{00000000-0005-0000-0000-00008D570000}"/>
    <cellStyle name="Output 2 2 7 3" xfId="23598" xr:uid="{00000000-0005-0000-0000-00008E570000}"/>
    <cellStyle name="Output 2 2 7 4" xfId="22614" xr:uid="{00000000-0005-0000-0000-00008F570000}"/>
    <cellStyle name="Output 2 2 8" xfId="10222" xr:uid="{00000000-0005-0000-0000-000090570000}"/>
    <cellStyle name="Output 2 2 8 2" xfId="21119" xr:uid="{00000000-0005-0000-0000-000091570000}"/>
    <cellStyle name="Output 2 2 8 3" xfId="25249" xr:uid="{00000000-0005-0000-0000-000092570000}"/>
    <cellStyle name="Output 2 2 8 4" xfId="26766" xr:uid="{00000000-0005-0000-0000-000093570000}"/>
    <cellStyle name="Output 2 2 9" xfId="11420" xr:uid="{00000000-0005-0000-0000-000094570000}"/>
    <cellStyle name="Output 2 3" xfId="619" xr:uid="{00000000-0005-0000-0000-000095570000}"/>
    <cellStyle name="Output 2 3 2" xfId="1151" xr:uid="{00000000-0005-0000-0000-000096570000}"/>
    <cellStyle name="Output 2 3 2 2" xfId="2308" xr:uid="{00000000-0005-0000-0000-000097570000}"/>
    <cellStyle name="Output 2 3 2 2 2" xfId="4620" xr:uid="{00000000-0005-0000-0000-000098570000}"/>
    <cellStyle name="Output 2 3 2 2 2 2" xfId="9571" xr:uid="{00000000-0005-0000-0000-000099570000}"/>
    <cellStyle name="Output 2 3 2 2 2 2 2" xfId="20468" xr:uid="{00000000-0005-0000-0000-00009A570000}"/>
    <cellStyle name="Output 2 3 2 2 2 2 3" xfId="24801" xr:uid="{00000000-0005-0000-0000-00009B570000}"/>
    <cellStyle name="Output 2 3 2 2 2 2 4" xfId="26377" xr:uid="{00000000-0005-0000-0000-00009C570000}"/>
    <cellStyle name="Output 2 3 2 2 2 3" xfId="10828" xr:uid="{00000000-0005-0000-0000-00009D570000}"/>
    <cellStyle name="Output 2 3 2 2 2 3 2" xfId="21725" xr:uid="{00000000-0005-0000-0000-00009E570000}"/>
    <cellStyle name="Output 2 3 2 2 2 3 3" xfId="25855" xr:uid="{00000000-0005-0000-0000-00009F570000}"/>
    <cellStyle name="Output 2 3 2 2 2 3 4" xfId="27372" xr:uid="{00000000-0005-0000-0000-0000A0570000}"/>
    <cellStyle name="Output 2 3 2 2 2 4" xfId="15517" xr:uid="{00000000-0005-0000-0000-0000A1570000}"/>
    <cellStyle name="Output 2 3 2 2 2 5" xfId="23114" xr:uid="{00000000-0005-0000-0000-0000A2570000}"/>
    <cellStyle name="Output 2 3 2 2 2 6" xfId="22931" xr:uid="{00000000-0005-0000-0000-0000A3570000}"/>
    <cellStyle name="Output 2 3 2 2 3" xfId="5208" xr:uid="{00000000-0005-0000-0000-0000A4570000}"/>
    <cellStyle name="Output 2 3 2 2 3 2" xfId="10159" xr:uid="{00000000-0005-0000-0000-0000A5570000}"/>
    <cellStyle name="Output 2 3 2 2 3 2 2" xfId="21056" xr:uid="{00000000-0005-0000-0000-0000A6570000}"/>
    <cellStyle name="Output 2 3 2 2 3 2 3" xfId="25186" xr:uid="{00000000-0005-0000-0000-0000A7570000}"/>
    <cellStyle name="Output 2 3 2 2 3 2 4" xfId="26703" xr:uid="{00000000-0005-0000-0000-0000A8570000}"/>
    <cellStyle name="Output 2 3 2 2 3 3" xfId="11154" xr:uid="{00000000-0005-0000-0000-0000A9570000}"/>
    <cellStyle name="Output 2 3 2 2 3 3 2" xfId="22051" xr:uid="{00000000-0005-0000-0000-0000AA570000}"/>
    <cellStyle name="Output 2 3 2 2 3 3 3" xfId="26181" xr:uid="{00000000-0005-0000-0000-0000AB570000}"/>
    <cellStyle name="Output 2 3 2 2 3 3 4" xfId="27698" xr:uid="{00000000-0005-0000-0000-0000AC570000}"/>
    <cellStyle name="Output 2 3 2 2 3 4" xfId="16105" xr:uid="{00000000-0005-0000-0000-0000AD570000}"/>
    <cellStyle name="Output 2 3 2 2 3 5" xfId="23497" xr:uid="{00000000-0005-0000-0000-0000AE570000}"/>
    <cellStyle name="Output 2 3 2 2 3 6" xfId="22167" xr:uid="{00000000-0005-0000-0000-0000AF570000}"/>
    <cellStyle name="Output 2 3 2 2 4" xfId="7259" xr:uid="{00000000-0005-0000-0000-0000B0570000}"/>
    <cellStyle name="Output 2 3 2 2 4 2" xfId="18156" xr:uid="{00000000-0005-0000-0000-0000B1570000}"/>
    <cellStyle name="Output 2 3 2 2 4 3" xfId="24127" xr:uid="{00000000-0005-0000-0000-0000B2570000}"/>
    <cellStyle name="Output 2 3 2 2 4 4" xfId="24823" xr:uid="{00000000-0005-0000-0000-0000B3570000}"/>
    <cellStyle name="Output 2 3 2 2 5" xfId="10486" xr:uid="{00000000-0005-0000-0000-0000B4570000}"/>
    <cellStyle name="Output 2 3 2 2 5 2" xfId="21383" xr:uid="{00000000-0005-0000-0000-0000B5570000}"/>
    <cellStyle name="Output 2 3 2 2 5 3" xfId="25513" xr:uid="{00000000-0005-0000-0000-0000B6570000}"/>
    <cellStyle name="Output 2 3 2 2 5 4" xfId="27030" xr:uid="{00000000-0005-0000-0000-0000B7570000}"/>
    <cellStyle name="Output 2 3 2 2 6" xfId="13220" xr:uid="{00000000-0005-0000-0000-0000B8570000}"/>
    <cellStyle name="Output 2 3 2 2 7" xfId="22197" xr:uid="{00000000-0005-0000-0000-0000B9570000}"/>
    <cellStyle name="Output 2 3 2 3" xfId="3475" xr:uid="{00000000-0005-0000-0000-0000BA570000}"/>
    <cellStyle name="Output 2 3 2 3 2" xfId="8426" xr:uid="{00000000-0005-0000-0000-0000BB570000}"/>
    <cellStyle name="Output 2 3 2 3 2 2" xfId="19323" xr:uid="{00000000-0005-0000-0000-0000BC570000}"/>
    <cellStyle name="Output 2 3 2 3 2 3" xfId="24478" xr:uid="{00000000-0005-0000-0000-0000BD570000}"/>
    <cellStyle name="Output 2 3 2 3 2 4" xfId="12568" xr:uid="{00000000-0005-0000-0000-0000BE570000}"/>
    <cellStyle name="Output 2 3 2 3 3" xfId="10668" xr:uid="{00000000-0005-0000-0000-0000BF570000}"/>
    <cellStyle name="Output 2 3 2 3 3 2" xfId="21565" xr:uid="{00000000-0005-0000-0000-0000C0570000}"/>
    <cellStyle name="Output 2 3 2 3 3 3" xfId="25695" xr:uid="{00000000-0005-0000-0000-0000C1570000}"/>
    <cellStyle name="Output 2 3 2 3 3 4" xfId="27212" xr:uid="{00000000-0005-0000-0000-0000C2570000}"/>
    <cellStyle name="Output 2 3 2 3 4" xfId="14372" xr:uid="{00000000-0005-0000-0000-0000C3570000}"/>
    <cellStyle name="Output 2 3 2 3 5" xfId="22786" xr:uid="{00000000-0005-0000-0000-0000C4570000}"/>
    <cellStyle name="Output 2 3 2 3 6" xfId="24163" xr:uid="{00000000-0005-0000-0000-0000C5570000}"/>
    <cellStyle name="Output 2 3 2 4" xfId="5049" xr:uid="{00000000-0005-0000-0000-0000C6570000}"/>
    <cellStyle name="Output 2 3 2 4 2" xfId="10000" xr:uid="{00000000-0005-0000-0000-0000C7570000}"/>
    <cellStyle name="Output 2 3 2 4 2 2" xfId="20897" xr:uid="{00000000-0005-0000-0000-0000C8570000}"/>
    <cellStyle name="Output 2 3 2 4 2 3" xfId="25027" xr:uid="{00000000-0005-0000-0000-0000C9570000}"/>
    <cellStyle name="Output 2 3 2 4 2 4" xfId="26544" xr:uid="{00000000-0005-0000-0000-0000CA570000}"/>
    <cellStyle name="Output 2 3 2 4 3" xfId="10995" xr:uid="{00000000-0005-0000-0000-0000CB570000}"/>
    <cellStyle name="Output 2 3 2 4 3 2" xfId="21892" xr:uid="{00000000-0005-0000-0000-0000CC570000}"/>
    <cellStyle name="Output 2 3 2 4 3 3" xfId="26022" xr:uid="{00000000-0005-0000-0000-0000CD570000}"/>
    <cellStyle name="Output 2 3 2 4 3 4" xfId="27539" xr:uid="{00000000-0005-0000-0000-0000CE570000}"/>
    <cellStyle name="Output 2 3 2 4 4" xfId="15946" xr:uid="{00000000-0005-0000-0000-0000CF570000}"/>
    <cellStyle name="Output 2 3 2 4 5" xfId="23338" xr:uid="{00000000-0005-0000-0000-0000D0570000}"/>
    <cellStyle name="Output 2 3 2 4 6" xfId="23008" xr:uid="{00000000-0005-0000-0000-0000D1570000}"/>
    <cellStyle name="Output 2 3 2 5" xfId="6114" xr:uid="{00000000-0005-0000-0000-0000D2570000}"/>
    <cellStyle name="Output 2 3 2 5 2" xfId="17011" xr:uid="{00000000-0005-0000-0000-0000D3570000}"/>
    <cellStyle name="Output 2 3 2 5 3" xfId="23801" xr:uid="{00000000-0005-0000-0000-0000D4570000}"/>
    <cellStyle name="Output 2 3 2 5 4" xfId="22612" xr:uid="{00000000-0005-0000-0000-0000D5570000}"/>
    <cellStyle name="Output 2 3 2 6" xfId="10327" xr:uid="{00000000-0005-0000-0000-0000D6570000}"/>
    <cellStyle name="Output 2 3 2 6 2" xfId="21224" xr:uid="{00000000-0005-0000-0000-0000D7570000}"/>
    <cellStyle name="Output 2 3 2 6 3" xfId="25354" xr:uid="{00000000-0005-0000-0000-0000D8570000}"/>
    <cellStyle name="Output 2 3 2 6 4" xfId="26871" xr:uid="{00000000-0005-0000-0000-0000D9570000}"/>
    <cellStyle name="Output 2 3 2 7" xfId="12102" xr:uid="{00000000-0005-0000-0000-0000DA570000}"/>
    <cellStyle name="Output 2 3 2 8" xfId="24899" xr:uid="{00000000-0005-0000-0000-0000DB570000}"/>
    <cellStyle name="Output 2 3 3" xfId="1390" xr:uid="{00000000-0005-0000-0000-0000DC570000}"/>
    <cellStyle name="Output 2 3 3 2" xfId="3714" xr:uid="{00000000-0005-0000-0000-0000DD570000}"/>
    <cellStyle name="Output 2 3 3 2 2" xfId="8665" xr:uid="{00000000-0005-0000-0000-0000DE570000}"/>
    <cellStyle name="Output 2 3 3 2 2 2" xfId="19562" xr:uid="{00000000-0005-0000-0000-0000DF570000}"/>
    <cellStyle name="Output 2 3 3 2 2 3" xfId="24559" xr:uid="{00000000-0005-0000-0000-0000E0570000}"/>
    <cellStyle name="Output 2 3 3 2 2 4" xfId="26277" xr:uid="{00000000-0005-0000-0000-0000E1570000}"/>
    <cellStyle name="Output 2 3 3 2 3" xfId="10728" xr:uid="{00000000-0005-0000-0000-0000E2570000}"/>
    <cellStyle name="Output 2 3 3 2 3 2" xfId="21625" xr:uid="{00000000-0005-0000-0000-0000E3570000}"/>
    <cellStyle name="Output 2 3 3 2 3 3" xfId="25755" xr:uid="{00000000-0005-0000-0000-0000E4570000}"/>
    <cellStyle name="Output 2 3 3 2 3 4" xfId="27272" xr:uid="{00000000-0005-0000-0000-0000E5570000}"/>
    <cellStyle name="Output 2 3 3 2 4" xfId="14611" xr:uid="{00000000-0005-0000-0000-0000E6570000}"/>
    <cellStyle name="Output 2 3 3 2 5" xfId="22871" xr:uid="{00000000-0005-0000-0000-0000E7570000}"/>
    <cellStyle name="Output 2 3 3 2 6" xfId="24437" xr:uid="{00000000-0005-0000-0000-0000E8570000}"/>
    <cellStyle name="Output 2 3 3 3" xfId="5109" xr:uid="{00000000-0005-0000-0000-0000E9570000}"/>
    <cellStyle name="Output 2 3 3 3 2" xfId="10060" xr:uid="{00000000-0005-0000-0000-0000EA570000}"/>
    <cellStyle name="Output 2 3 3 3 2 2" xfId="20957" xr:uid="{00000000-0005-0000-0000-0000EB570000}"/>
    <cellStyle name="Output 2 3 3 3 2 3" xfId="25087" xr:uid="{00000000-0005-0000-0000-0000EC570000}"/>
    <cellStyle name="Output 2 3 3 3 2 4" xfId="26604" xr:uid="{00000000-0005-0000-0000-0000ED570000}"/>
    <cellStyle name="Output 2 3 3 3 3" xfId="11055" xr:uid="{00000000-0005-0000-0000-0000EE570000}"/>
    <cellStyle name="Output 2 3 3 3 3 2" xfId="21952" xr:uid="{00000000-0005-0000-0000-0000EF570000}"/>
    <cellStyle name="Output 2 3 3 3 3 3" xfId="26082" xr:uid="{00000000-0005-0000-0000-0000F0570000}"/>
    <cellStyle name="Output 2 3 3 3 3 4" xfId="27599" xr:uid="{00000000-0005-0000-0000-0000F1570000}"/>
    <cellStyle name="Output 2 3 3 3 4" xfId="16006" xr:uid="{00000000-0005-0000-0000-0000F2570000}"/>
    <cellStyle name="Output 2 3 3 3 5" xfId="23398" xr:uid="{00000000-0005-0000-0000-0000F3570000}"/>
    <cellStyle name="Output 2 3 3 3 6" xfId="23087" xr:uid="{00000000-0005-0000-0000-0000F4570000}"/>
    <cellStyle name="Output 2 3 3 4" xfId="6353" xr:uid="{00000000-0005-0000-0000-0000F5570000}"/>
    <cellStyle name="Output 2 3 3 4 2" xfId="17250" xr:uid="{00000000-0005-0000-0000-0000F6570000}"/>
    <cellStyle name="Output 2 3 3 4 3" xfId="23884" xr:uid="{00000000-0005-0000-0000-0000F7570000}"/>
    <cellStyle name="Output 2 3 3 4 4" xfId="22496" xr:uid="{00000000-0005-0000-0000-0000F8570000}"/>
    <cellStyle name="Output 2 3 3 5" xfId="10387" xr:uid="{00000000-0005-0000-0000-0000F9570000}"/>
    <cellStyle name="Output 2 3 3 5 2" xfId="21284" xr:uid="{00000000-0005-0000-0000-0000FA570000}"/>
    <cellStyle name="Output 2 3 3 5 3" xfId="25414" xr:uid="{00000000-0005-0000-0000-0000FB570000}"/>
    <cellStyle name="Output 2 3 3 5 4" xfId="26931" xr:uid="{00000000-0005-0000-0000-0000FC570000}"/>
    <cellStyle name="Output 2 3 3 6" xfId="12332" xr:uid="{00000000-0005-0000-0000-0000FD570000}"/>
    <cellStyle name="Output 2 3 3 7" xfId="24377" xr:uid="{00000000-0005-0000-0000-0000FE570000}"/>
    <cellStyle name="Output 2 3 4" xfId="2943" xr:uid="{00000000-0005-0000-0000-0000FF570000}"/>
    <cellStyle name="Output 2 3 4 2" xfId="7894" xr:uid="{00000000-0005-0000-0000-000000580000}"/>
    <cellStyle name="Output 2 3 4 2 2" xfId="18791" xr:uid="{00000000-0005-0000-0000-000001580000}"/>
    <cellStyle name="Output 2 3 4 2 3" xfId="24324" xr:uid="{00000000-0005-0000-0000-000002580000}"/>
    <cellStyle name="Output 2 3 4 2 4" xfId="24639" xr:uid="{00000000-0005-0000-0000-000003580000}"/>
    <cellStyle name="Output 2 3 4 3" xfId="10588" xr:uid="{00000000-0005-0000-0000-000004580000}"/>
    <cellStyle name="Output 2 3 4 3 2" xfId="21485" xr:uid="{00000000-0005-0000-0000-000005580000}"/>
    <cellStyle name="Output 2 3 4 3 3" xfId="25615" xr:uid="{00000000-0005-0000-0000-000006580000}"/>
    <cellStyle name="Output 2 3 4 3 4" xfId="27132" xr:uid="{00000000-0005-0000-0000-000007580000}"/>
    <cellStyle name="Output 2 3 4 4" xfId="13840" xr:uid="{00000000-0005-0000-0000-000008580000}"/>
    <cellStyle name="Output 2 3 4 5" xfId="22628" xr:uid="{00000000-0005-0000-0000-000009580000}"/>
    <cellStyle name="Output 2 3 4 6" xfId="22958" xr:uid="{00000000-0005-0000-0000-00000A580000}"/>
    <cellStyle name="Output 2 3 5" xfId="4969" xr:uid="{00000000-0005-0000-0000-00000B580000}"/>
    <cellStyle name="Output 2 3 5 2" xfId="9920" xr:uid="{00000000-0005-0000-0000-00000C580000}"/>
    <cellStyle name="Output 2 3 5 2 2" xfId="20817" xr:uid="{00000000-0005-0000-0000-00000D580000}"/>
    <cellStyle name="Output 2 3 5 2 3" xfId="24947" xr:uid="{00000000-0005-0000-0000-00000E580000}"/>
    <cellStyle name="Output 2 3 5 2 4" xfId="26464" xr:uid="{00000000-0005-0000-0000-00000F580000}"/>
    <cellStyle name="Output 2 3 5 3" xfId="10915" xr:uid="{00000000-0005-0000-0000-000010580000}"/>
    <cellStyle name="Output 2 3 5 3 2" xfId="21812" xr:uid="{00000000-0005-0000-0000-000011580000}"/>
    <cellStyle name="Output 2 3 5 3 3" xfId="25942" xr:uid="{00000000-0005-0000-0000-000012580000}"/>
    <cellStyle name="Output 2 3 5 3 4" xfId="27459" xr:uid="{00000000-0005-0000-0000-000013580000}"/>
    <cellStyle name="Output 2 3 5 4" xfId="15866" xr:uid="{00000000-0005-0000-0000-000014580000}"/>
    <cellStyle name="Output 2 3 5 5" xfId="23258" xr:uid="{00000000-0005-0000-0000-000015580000}"/>
    <cellStyle name="Output 2 3 5 6" xfId="23967" xr:uid="{00000000-0005-0000-0000-000016580000}"/>
    <cellStyle name="Output 2 3 6" xfId="5582" xr:uid="{00000000-0005-0000-0000-000017580000}"/>
    <cellStyle name="Output 2 3 6 2" xfId="16479" xr:uid="{00000000-0005-0000-0000-000018580000}"/>
    <cellStyle name="Output 2 3 6 3" xfId="23644" xr:uid="{00000000-0005-0000-0000-000019580000}"/>
    <cellStyle name="Output 2 3 6 4" xfId="23000" xr:uid="{00000000-0005-0000-0000-00001A580000}"/>
    <cellStyle name="Output 2 3 7" xfId="10247" xr:uid="{00000000-0005-0000-0000-00001B580000}"/>
    <cellStyle name="Output 2 3 7 2" xfId="21144" xr:uid="{00000000-0005-0000-0000-00001C580000}"/>
    <cellStyle name="Output 2 3 7 3" xfId="25274" xr:uid="{00000000-0005-0000-0000-00001D580000}"/>
    <cellStyle name="Output 2 3 7 4" xfId="26791" xr:uid="{00000000-0005-0000-0000-00001E580000}"/>
    <cellStyle name="Output 2 3 8" xfId="11581" xr:uid="{00000000-0005-0000-0000-00001F580000}"/>
    <cellStyle name="Output 2 3 9" xfId="24368" xr:uid="{00000000-0005-0000-0000-000020580000}"/>
    <cellStyle name="Output 2 4" xfId="886" xr:uid="{00000000-0005-0000-0000-000021580000}"/>
    <cellStyle name="Output 2 4 2" xfId="2043" xr:uid="{00000000-0005-0000-0000-000022580000}"/>
    <cellStyle name="Output 2 4 2 2" xfId="4355" xr:uid="{00000000-0005-0000-0000-000023580000}"/>
    <cellStyle name="Output 2 4 2 2 2" xfId="9306" xr:uid="{00000000-0005-0000-0000-000024580000}"/>
    <cellStyle name="Output 2 4 2 2 2 2" xfId="20203" xr:uid="{00000000-0005-0000-0000-000025580000}"/>
    <cellStyle name="Output 2 4 2 2 2 3" xfId="24730" xr:uid="{00000000-0005-0000-0000-000026580000}"/>
    <cellStyle name="Output 2 4 2 2 2 4" xfId="26337" xr:uid="{00000000-0005-0000-0000-000027580000}"/>
    <cellStyle name="Output 2 4 2 2 3" xfId="10788" xr:uid="{00000000-0005-0000-0000-000028580000}"/>
    <cellStyle name="Output 2 4 2 2 3 2" xfId="21685" xr:uid="{00000000-0005-0000-0000-000029580000}"/>
    <cellStyle name="Output 2 4 2 2 3 3" xfId="25815" xr:uid="{00000000-0005-0000-0000-00002A580000}"/>
    <cellStyle name="Output 2 4 2 2 3 4" xfId="27332" xr:uid="{00000000-0005-0000-0000-00002B580000}"/>
    <cellStyle name="Output 2 4 2 2 4" xfId="15252" xr:uid="{00000000-0005-0000-0000-00002C580000}"/>
    <cellStyle name="Output 2 4 2 2 5" xfId="23039" xr:uid="{00000000-0005-0000-0000-00002D580000}"/>
    <cellStyle name="Output 2 4 2 2 6" xfId="24455" xr:uid="{00000000-0005-0000-0000-00002E580000}"/>
    <cellStyle name="Output 2 4 2 3" xfId="5168" xr:uid="{00000000-0005-0000-0000-00002F580000}"/>
    <cellStyle name="Output 2 4 2 3 2" xfId="10119" xr:uid="{00000000-0005-0000-0000-000030580000}"/>
    <cellStyle name="Output 2 4 2 3 2 2" xfId="21016" xr:uid="{00000000-0005-0000-0000-000031580000}"/>
    <cellStyle name="Output 2 4 2 3 2 3" xfId="25146" xr:uid="{00000000-0005-0000-0000-000032580000}"/>
    <cellStyle name="Output 2 4 2 3 2 4" xfId="26663" xr:uid="{00000000-0005-0000-0000-000033580000}"/>
    <cellStyle name="Output 2 4 2 3 3" xfId="11114" xr:uid="{00000000-0005-0000-0000-000034580000}"/>
    <cellStyle name="Output 2 4 2 3 3 2" xfId="22011" xr:uid="{00000000-0005-0000-0000-000035580000}"/>
    <cellStyle name="Output 2 4 2 3 3 3" xfId="26141" xr:uid="{00000000-0005-0000-0000-000036580000}"/>
    <cellStyle name="Output 2 4 2 3 3 4" xfId="27658" xr:uid="{00000000-0005-0000-0000-000037580000}"/>
    <cellStyle name="Output 2 4 2 3 4" xfId="16065" xr:uid="{00000000-0005-0000-0000-000038580000}"/>
    <cellStyle name="Output 2 4 2 3 5" xfId="23457" xr:uid="{00000000-0005-0000-0000-000039580000}"/>
    <cellStyle name="Output 2 4 2 3 6" xfId="22361" xr:uid="{00000000-0005-0000-0000-00003A580000}"/>
    <cellStyle name="Output 2 4 2 4" xfId="6994" xr:uid="{00000000-0005-0000-0000-00003B580000}"/>
    <cellStyle name="Output 2 4 2 4 2" xfId="17891" xr:uid="{00000000-0005-0000-0000-00003C580000}"/>
    <cellStyle name="Output 2 4 2 4 3" xfId="24051" xr:uid="{00000000-0005-0000-0000-00003D580000}"/>
    <cellStyle name="Output 2 4 2 4 4" xfId="22648" xr:uid="{00000000-0005-0000-0000-00003E580000}"/>
    <cellStyle name="Output 2 4 2 5" xfId="10446" xr:uid="{00000000-0005-0000-0000-00003F580000}"/>
    <cellStyle name="Output 2 4 2 5 2" xfId="21343" xr:uid="{00000000-0005-0000-0000-000040580000}"/>
    <cellStyle name="Output 2 4 2 5 3" xfId="25473" xr:uid="{00000000-0005-0000-0000-000041580000}"/>
    <cellStyle name="Output 2 4 2 5 4" xfId="26990" xr:uid="{00000000-0005-0000-0000-000042580000}"/>
    <cellStyle name="Output 2 4 2 6" xfId="12961" xr:uid="{00000000-0005-0000-0000-000043580000}"/>
    <cellStyle name="Output 2 4 2 7" xfId="23764" xr:uid="{00000000-0005-0000-0000-000044580000}"/>
    <cellStyle name="Output 2 4 3" xfId="3210" xr:uid="{00000000-0005-0000-0000-000045580000}"/>
    <cellStyle name="Output 2 4 3 2" xfId="8161" xr:uid="{00000000-0005-0000-0000-000046580000}"/>
    <cellStyle name="Output 2 4 3 2 2" xfId="19058" xr:uid="{00000000-0005-0000-0000-000047580000}"/>
    <cellStyle name="Output 2 4 3 2 3" xfId="24399" xr:uid="{00000000-0005-0000-0000-000048580000}"/>
    <cellStyle name="Output 2 4 3 2 4" xfId="23061" xr:uid="{00000000-0005-0000-0000-000049580000}"/>
    <cellStyle name="Output 2 4 3 3" xfId="10628" xr:uid="{00000000-0005-0000-0000-00004A580000}"/>
    <cellStyle name="Output 2 4 3 3 2" xfId="21525" xr:uid="{00000000-0005-0000-0000-00004B580000}"/>
    <cellStyle name="Output 2 4 3 3 3" xfId="25655" xr:uid="{00000000-0005-0000-0000-00004C580000}"/>
    <cellStyle name="Output 2 4 3 3 4" xfId="27172" xr:uid="{00000000-0005-0000-0000-00004D580000}"/>
    <cellStyle name="Output 2 4 3 4" xfId="14107" xr:uid="{00000000-0005-0000-0000-00004E580000}"/>
    <cellStyle name="Output 2 4 3 5" xfId="22708" xr:uid="{00000000-0005-0000-0000-00004F580000}"/>
    <cellStyle name="Output 2 4 3 6" xfId="24359" xr:uid="{00000000-0005-0000-0000-000050580000}"/>
    <cellStyle name="Output 2 4 4" xfId="5009" xr:uid="{00000000-0005-0000-0000-000051580000}"/>
    <cellStyle name="Output 2 4 4 2" xfId="9960" xr:uid="{00000000-0005-0000-0000-000052580000}"/>
    <cellStyle name="Output 2 4 4 2 2" xfId="20857" xr:uid="{00000000-0005-0000-0000-000053580000}"/>
    <cellStyle name="Output 2 4 4 2 3" xfId="24987" xr:uid="{00000000-0005-0000-0000-000054580000}"/>
    <cellStyle name="Output 2 4 4 2 4" xfId="26504" xr:uid="{00000000-0005-0000-0000-000055580000}"/>
    <cellStyle name="Output 2 4 4 3" xfId="10955" xr:uid="{00000000-0005-0000-0000-000056580000}"/>
    <cellStyle name="Output 2 4 4 3 2" xfId="21852" xr:uid="{00000000-0005-0000-0000-000057580000}"/>
    <cellStyle name="Output 2 4 4 3 3" xfId="25982" xr:uid="{00000000-0005-0000-0000-000058580000}"/>
    <cellStyle name="Output 2 4 4 3 4" xfId="27499" xr:uid="{00000000-0005-0000-0000-000059580000}"/>
    <cellStyle name="Output 2 4 4 4" xfId="15906" xr:uid="{00000000-0005-0000-0000-00005A580000}"/>
    <cellStyle name="Output 2 4 4 5" xfId="23298" xr:uid="{00000000-0005-0000-0000-00005B580000}"/>
    <cellStyle name="Output 2 4 4 6" xfId="24738" xr:uid="{00000000-0005-0000-0000-00005C580000}"/>
    <cellStyle name="Output 2 4 5" xfId="5849" xr:uid="{00000000-0005-0000-0000-00005D580000}"/>
    <cellStyle name="Output 2 4 5 2" xfId="16746" xr:uid="{00000000-0005-0000-0000-00005E580000}"/>
    <cellStyle name="Output 2 4 5 3" xfId="23721" xr:uid="{00000000-0005-0000-0000-00005F580000}"/>
    <cellStyle name="Output 2 4 5 4" xfId="23924" xr:uid="{00000000-0005-0000-0000-000060580000}"/>
    <cellStyle name="Output 2 4 6" xfId="10287" xr:uid="{00000000-0005-0000-0000-000061580000}"/>
    <cellStyle name="Output 2 4 6 2" xfId="21184" xr:uid="{00000000-0005-0000-0000-000062580000}"/>
    <cellStyle name="Output 2 4 6 3" xfId="25314" xr:uid="{00000000-0005-0000-0000-000063580000}"/>
    <cellStyle name="Output 2 4 6 4" xfId="26831" xr:uid="{00000000-0005-0000-0000-000064580000}"/>
    <cellStyle name="Output 2 4 7" xfId="11843" xr:uid="{00000000-0005-0000-0000-000065580000}"/>
    <cellStyle name="Output 2 4 8" xfId="22459" xr:uid="{00000000-0005-0000-0000-000066580000}"/>
    <cellStyle name="Output 2 5" xfId="2678" xr:uid="{00000000-0005-0000-0000-000067580000}"/>
    <cellStyle name="Output 2 5 2" xfId="7629" xr:uid="{00000000-0005-0000-0000-000068580000}"/>
    <cellStyle name="Output 2 5 2 2" xfId="18526" xr:uid="{00000000-0005-0000-0000-000069580000}"/>
    <cellStyle name="Output 2 5 2 3" xfId="24252" xr:uid="{00000000-0005-0000-0000-00006A580000}"/>
    <cellStyle name="Output 2 5 2 4" xfId="24784" xr:uid="{00000000-0005-0000-0000-00006B580000}"/>
    <cellStyle name="Output 2 5 3" xfId="10548" xr:uid="{00000000-0005-0000-0000-00006C580000}"/>
    <cellStyle name="Output 2 5 3 2" xfId="21445" xr:uid="{00000000-0005-0000-0000-00006D580000}"/>
    <cellStyle name="Output 2 5 3 3" xfId="25575" xr:uid="{00000000-0005-0000-0000-00006E580000}"/>
    <cellStyle name="Output 2 5 3 4" xfId="27092" xr:uid="{00000000-0005-0000-0000-00006F580000}"/>
    <cellStyle name="Output 2 5 4" xfId="13575" xr:uid="{00000000-0005-0000-0000-000070580000}"/>
    <cellStyle name="Output 2 5 5" xfId="22552" xr:uid="{00000000-0005-0000-0000-000071580000}"/>
    <cellStyle name="Output 2 5 6" xfId="23107" xr:uid="{00000000-0005-0000-0000-000072580000}"/>
    <cellStyle name="Output 2 6" xfId="4929" xr:uid="{00000000-0005-0000-0000-000073580000}"/>
    <cellStyle name="Output 2 6 2" xfId="9880" xr:uid="{00000000-0005-0000-0000-000074580000}"/>
    <cellStyle name="Output 2 6 2 2" xfId="20777" xr:uid="{00000000-0005-0000-0000-000075580000}"/>
    <cellStyle name="Output 2 6 2 3" xfId="24907" xr:uid="{00000000-0005-0000-0000-000076580000}"/>
    <cellStyle name="Output 2 6 2 4" xfId="26424" xr:uid="{00000000-0005-0000-0000-000077580000}"/>
    <cellStyle name="Output 2 6 3" xfId="10875" xr:uid="{00000000-0005-0000-0000-000078580000}"/>
    <cellStyle name="Output 2 6 3 2" xfId="21772" xr:uid="{00000000-0005-0000-0000-000079580000}"/>
    <cellStyle name="Output 2 6 3 3" xfId="25902" xr:uid="{00000000-0005-0000-0000-00007A580000}"/>
    <cellStyle name="Output 2 6 3 4" xfId="27419" xr:uid="{00000000-0005-0000-0000-00007B580000}"/>
    <cellStyle name="Output 2 6 4" xfId="15826" xr:uid="{00000000-0005-0000-0000-00007C580000}"/>
    <cellStyle name="Output 2 6 5" xfId="23218" xr:uid="{00000000-0005-0000-0000-00007D580000}"/>
    <cellStyle name="Output 2 6 6" xfId="23162" xr:uid="{00000000-0005-0000-0000-00007E580000}"/>
    <cellStyle name="Output 2 7" xfId="5317" xr:uid="{00000000-0005-0000-0000-00007F580000}"/>
    <cellStyle name="Output 2 7 2" xfId="16214" xr:uid="{00000000-0005-0000-0000-000080580000}"/>
    <cellStyle name="Output 2 7 3" xfId="23572" xr:uid="{00000000-0005-0000-0000-000081580000}"/>
    <cellStyle name="Output 2 7 4" xfId="22428" xr:uid="{00000000-0005-0000-0000-000082580000}"/>
    <cellStyle name="Output 2 8" xfId="10207" xr:uid="{00000000-0005-0000-0000-000083580000}"/>
    <cellStyle name="Output 2 8 2" xfId="21104" xr:uid="{00000000-0005-0000-0000-000084580000}"/>
    <cellStyle name="Output 2 8 3" xfId="25234" xr:uid="{00000000-0005-0000-0000-000085580000}"/>
    <cellStyle name="Output 2 8 4" xfId="26751" xr:uid="{00000000-0005-0000-0000-000086580000}"/>
    <cellStyle name="Output 2 9" xfId="11320" xr:uid="{00000000-0005-0000-0000-000087580000}"/>
    <cellStyle name="Output 3" xfId="339" xr:uid="{00000000-0005-0000-0000-000088580000}"/>
    <cellStyle name="Output 3 10" xfId="22394" xr:uid="{00000000-0005-0000-0000-000089580000}"/>
    <cellStyle name="Output 3 2" xfId="456" xr:uid="{00000000-0005-0000-0000-00008A580000}"/>
    <cellStyle name="Output 3 2 10" xfId="11217" xr:uid="{00000000-0005-0000-0000-00008B580000}"/>
    <cellStyle name="Output 3 2 2" xfId="721" xr:uid="{00000000-0005-0000-0000-00008C580000}"/>
    <cellStyle name="Output 3 2 2 2" xfId="1253" xr:uid="{00000000-0005-0000-0000-00008D580000}"/>
    <cellStyle name="Output 3 2 2 2 2" xfId="2410" xr:uid="{00000000-0005-0000-0000-00008E580000}"/>
    <cellStyle name="Output 3 2 2 2 2 2" xfId="4722" xr:uid="{00000000-0005-0000-0000-00008F580000}"/>
    <cellStyle name="Output 3 2 2 2 2 2 2" xfId="9673" xr:uid="{00000000-0005-0000-0000-000090580000}"/>
    <cellStyle name="Output 3 2 2 2 2 2 2 2" xfId="20570" xr:uid="{00000000-0005-0000-0000-000091580000}"/>
    <cellStyle name="Output 3 2 2 2 2 2 2 3" xfId="24827" xr:uid="{00000000-0005-0000-0000-000092580000}"/>
    <cellStyle name="Output 3 2 2 2 2 2 2 4" xfId="26393" xr:uid="{00000000-0005-0000-0000-000093580000}"/>
    <cellStyle name="Output 3 2 2 2 2 2 3" xfId="10844" xr:uid="{00000000-0005-0000-0000-000094580000}"/>
    <cellStyle name="Output 3 2 2 2 2 2 3 2" xfId="21741" xr:uid="{00000000-0005-0000-0000-000095580000}"/>
    <cellStyle name="Output 3 2 2 2 2 2 3 3" xfId="25871" xr:uid="{00000000-0005-0000-0000-000096580000}"/>
    <cellStyle name="Output 3 2 2 2 2 2 3 4" xfId="27388" xr:uid="{00000000-0005-0000-0000-000097580000}"/>
    <cellStyle name="Output 3 2 2 2 2 2 4" xfId="15619" xr:uid="{00000000-0005-0000-0000-000098580000}"/>
    <cellStyle name="Output 3 2 2 2 2 2 5" xfId="23140" xr:uid="{00000000-0005-0000-0000-000099580000}"/>
    <cellStyle name="Output 3 2 2 2 2 2 6" xfId="23144" xr:uid="{00000000-0005-0000-0000-00009A580000}"/>
    <cellStyle name="Output 3 2 2 2 2 3" xfId="5224" xr:uid="{00000000-0005-0000-0000-00009B580000}"/>
    <cellStyle name="Output 3 2 2 2 2 3 2" xfId="10175" xr:uid="{00000000-0005-0000-0000-00009C580000}"/>
    <cellStyle name="Output 3 2 2 2 2 3 2 2" xfId="21072" xr:uid="{00000000-0005-0000-0000-00009D580000}"/>
    <cellStyle name="Output 3 2 2 2 2 3 2 3" xfId="25202" xr:uid="{00000000-0005-0000-0000-00009E580000}"/>
    <cellStyle name="Output 3 2 2 2 2 3 2 4" xfId="26719" xr:uid="{00000000-0005-0000-0000-00009F580000}"/>
    <cellStyle name="Output 3 2 2 2 2 3 3" xfId="11170" xr:uid="{00000000-0005-0000-0000-0000A0580000}"/>
    <cellStyle name="Output 3 2 2 2 2 3 3 2" xfId="22067" xr:uid="{00000000-0005-0000-0000-0000A1580000}"/>
    <cellStyle name="Output 3 2 2 2 2 3 3 3" xfId="26197" xr:uid="{00000000-0005-0000-0000-0000A2580000}"/>
    <cellStyle name="Output 3 2 2 2 2 3 3 4" xfId="27714" xr:uid="{00000000-0005-0000-0000-0000A3580000}"/>
    <cellStyle name="Output 3 2 2 2 2 3 4" xfId="16121" xr:uid="{00000000-0005-0000-0000-0000A4580000}"/>
    <cellStyle name="Output 3 2 2 2 2 3 5" xfId="23513" xr:uid="{00000000-0005-0000-0000-0000A5580000}"/>
    <cellStyle name="Output 3 2 2 2 2 3 6" xfId="24896" xr:uid="{00000000-0005-0000-0000-0000A6580000}"/>
    <cellStyle name="Output 3 2 2 2 2 4" xfId="7361" xr:uid="{00000000-0005-0000-0000-0000A7580000}"/>
    <cellStyle name="Output 3 2 2 2 2 4 2" xfId="18258" xr:uid="{00000000-0005-0000-0000-0000A8580000}"/>
    <cellStyle name="Output 3 2 2 2 2 4 3" xfId="24152" xr:uid="{00000000-0005-0000-0000-0000A9580000}"/>
    <cellStyle name="Output 3 2 2 2 2 4 4" xfId="23596" xr:uid="{00000000-0005-0000-0000-0000AA580000}"/>
    <cellStyle name="Output 3 2 2 2 2 5" xfId="10502" xr:uid="{00000000-0005-0000-0000-0000AB580000}"/>
    <cellStyle name="Output 3 2 2 2 2 5 2" xfId="21399" xr:uid="{00000000-0005-0000-0000-0000AC580000}"/>
    <cellStyle name="Output 3 2 2 2 2 5 3" xfId="25529" xr:uid="{00000000-0005-0000-0000-0000AD580000}"/>
    <cellStyle name="Output 3 2 2 2 2 5 4" xfId="27046" xr:uid="{00000000-0005-0000-0000-0000AE580000}"/>
    <cellStyle name="Output 3 2 2 2 2 6" xfId="13321" xr:uid="{00000000-0005-0000-0000-0000AF580000}"/>
    <cellStyle name="Output 3 2 2 2 2 7" xfId="24669" xr:uid="{00000000-0005-0000-0000-0000B0580000}"/>
    <cellStyle name="Output 3 2 2 2 3" xfId="3577" xr:uid="{00000000-0005-0000-0000-0000B1580000}"/>
    <cellStyle name="Output 3 2 2 2 3 2" xfId="8528" xr:uid="{00000000-0005-0000-0000-0000B2580000}"/>
    <cellStyle name="Output 3 2 2 2 3 2 2" xfId="19425" xr:uid="{00000000-0005-0000-0000-0000B3580000}"/>
    <cellStyle name="Output 3 2 2 2 3 2 3" xfId="24503" xr:uid="{00000000-0005-0000-0000-0000B4580000}"/>
    <cellStyle name="Output 3 2 2 2 3 2 4" xfId="26233" xr:uid="{00000000-0005-0000-0000-0000B5580000}"/>
    <cellStyle name="Output 3 2 2 2 3 3" xfId="10684" xr:uid="{00000000-0005-0000-0000-0000B6580000}"/>
    <cellStyle name="Output 3 2 2 2 3 3 2" xfId="21581" xr:uid="{00000000-0005-0000-0000-0000B7580000}"/>
    <cellStyle name="Output 3 2 2 2 3 3 3" xfId="25711" xr:uid="{00000000-0005-0000-0000-0000B8580000}"/>
    <cellStyle name="Output 3 2 2 2 3 3 4" xfId="27228" xr:uid="{00000000-0005-0000-0000-0000B9580000}"/>
    <cellStyle name="Output 3 2 2 2 3 4" xfId="14474" xr:uid="{00000000-0005-0000-0000-0000BA580000}"/>
    <cellStyle name="Output 3 2 2 2 3 5" xfId="22813" xr:uid="{00000000-0005-0000-0000-0000BB580000}"/>
    <cellStyle name="Output 3 2 2 2 3 6" xfId="22131" xr:uid="{00000000-0005-0000-0000-0000BC580000}"/>
    <cellStyle name="Output 3 2 2 2 4" xfId="5065" xr:uid="{00000000-0005-0000-0000-0000BD580000}"/>
    <cellStyle name="Output 3 2 2 2 4 2" xfId="10016" xr:uid="{00000000-0005-0000-0000-0000BE580000}"/>
    <cellStyle name="Output 3 2 2 2 4 2 2" xfId="20913" xr:uid="{00000000-0005-0000-0000-0000BF580000}"/>
    <cellStyle name="Output 3 2 2 2 4 2 3" xfId="25043" xr:uid="{00000000-0005-0000-0000-0000C0580000}"/>
    <cellStyle name="Output 3 2 2 2 4 2 4" xfId="26560" xr:uid="{00000000-0005-0000-0000-0000C1580000}"/>
    <cellStyle name="Output 3 2 2 2 4 3" xfId="11011" xr:uid="{00000000-0005-0000-0000-0000C2580000}"/>
    <cellStyle name="Output 3 2 2 2 4 3 2" xfId="21908" xr:uid="{00000000-0005-0000-0000-0000C3580000}"/>
    <cellStyle name="Output 3 2 2 2 4 3 3" xfId="26038" xr:uid="{00000000-0005-0000-0000-0000C4580000}"/>
    <cellStyle name="Output 3 2 2 2 4 3 4" xfId="27555" xr:uid="{00000000-0005-0000-0000-0000C5580000}"/>
    <cellStyle name="Output 3 2 2 2 4 4" xfId="15962" xr:uid="{00000000-0005-0000-0000-0000C6580000}"/>
    <cellStyle name="Output 3 2 2 2 4 5" xfId="23354" xr:uid="{00000000-0005-0000-0000-0000C7580000}"/>
    <cellStyle name="Output 3 2 2 2 4 6" xfId="11245" xr:uid="{00000000-0005-0000-0000-0000C8580000}"/>
    <cellStyle name="Output 3 2 2 2 5" xfId="6216" xr:uid="{00000000-0005-0000-0000-0000C9580000}"/>
    <cellStyle name="Output 3 2 2 2 5 2" xfId="17113" xr:uid="{00000000-0005-0000-0000-0000CA580000}"/>
    <cellStyle name="Output 3 2 2 2 5 3" xfId="23828" xr:uid="{00000000-0005-0000-0000-0000CB580000}"/>
    <cellStyle name="Output 3 2 2 2 5 4" xfId="24171" xr:uid="{00000000-0005-0000-0000-0000CC580000}"/>
    <cellStyle name="Output 3 2 2 2 6" xfId="10343" xr:uid="{00000000-0005-0000-0000-0000CD580000}"/>
    <cellStyle name="Output 3 2 2 2 6 2" xfId="21240" xr:uid="{00000000-0005-0000-0000-0000CE580000}"/>
    <cellStyle name="Output 3 2 2 2 6 3" xfId="25370" xr:uid="{00000000-0005-0000-0000-0000CF580000}"/>
    <cellStyle name="Output 3 2 2 2 6 4" xfId="26887" xr:uid="{00000000-0005-0000-0000-0000D0580000}"/>
    <cellStyle name="Output 3 2 2 2 7" xfId="12203" xr:uid="{00000000-0005-0000-0000-0000D1580000}"/>
    <cellStyle name="Output 3 2 2 2 8" xfId="23998" xr:uid="{00000000-0005-0000-0000-0000D2580000}"/>
    <cellStyle name="Output 3 2 2 3" xfId="1406" xr:uid="{00000000-0005-0000-0000-0000D3580000}"/>
    <cellStyle name="Output 3 2 2 3 2" xfId="3730" xr:uid="{00000000-0005-0000-0000-0000D4580000}"/>
    <cellStyle name="Output 3 2 2 3 2 2" xfId="8681" xr:uid="{00000000-0005-0000-0000-0000D5580000}"/>
    <cellStyle name="Output 3 2 2 3 2 2 2" xfId="19578" xr:uid="{00000000-0005-0000-0000-0000D6580000}"/>
    <cellStyle name="Output 3 2 2 3 2 2 3" xfId="24575" xr:uid="{00000000-0005-0000-0000-0000D7580000}"/>
    <cellStyle name="Output 3 2 2 3 2 2 4" xfId="26293" xr:uid="{00000000-0005-0000-0000-0000D8580000}"/>
    <cellStyle name="Output 3 2 2 3 2 3" xfId="10744" xr:uid="{00000000-0005-0000-0000-0000D9580000}"/>
    <cellStyle name="Output 3 2 2 3 2 3 2" xfId="21641" xr:uid="{00000000-0005-0000-0000-0000DA580000}"/>
    <cellStyle name="Output 3 2 2 3 2 3 3" xfId="25771" xr:uid="{00000000-0005-0000-0000-0000DB580000}"/>
    <cellStyle name="Output 3 2 2 3 2 3 4" xfId="27288" xr:uid="{00000000-0005-0000-0000-0000DC580000}"/>
    <cellStyle name="Output 3 2 2 3 2 4" xfId="14627" xr:uid="{00000000-0005-0000-0000-0000DD580000}"/>
    <cellStyle name="Output 3 2 2 3 2 5" xfId="22887" xr:uid="{00000000-0005-0000-0000-0000DE580000}"/>
    <cellStyle name="Output 3 2 2 3 2 6" xfId="22823" xr:uid="{00000000-0005-0000-0000-0000DF580000}"/>
    <cellStyle name="Output 3 2 2 3 3" xfId="5125" xr:uid="{00000000-0005-0000-0000-0000E0580000}"/>
    <cellStyle name="Output 3 2 2 3 3 2" xfId="10076" xr:uid="{00000000-0005-0000-0000-0000E1580000}"/>
    <cellStyle name="Output 3 2 2 3 3 2 2" xfId="20973" xr:uid="{00000000-0005-0000-0000-0000E2580000}"/>
    <cellStyle name="Output 3 2 2 3 3 2 3" xfId="25103" xr:uid="{00000000-0005-0000-0000-0000E3580000}"/>
    <cellStyle name="Output 3 2 2 3 3 2 4" xfId="26620" xr:uid="{00000000-0005-0000-0000-0000E4580000}"/>
    <cellStyle name="Output 3 2 2 3 3 3" xfId="11071" xr:uid="{00000000-0005-0000-0000-0000E5580000}"/>
    <cellStyle name="Output 3 2 2 3 3 3 2" xfId="21968" xr:uid="{00000000-0005-0000-0000-0000E6580000}"/>
    <cellStyle name="Output 3 2 2 3 3 3 3" xfId="26098" xr:uid="{00000000-0005-0000-0000-0000E7580000}"/>
    <cellStyle name="Output 3 2 2 3 3 3 4" xfId="27615" xr:uid="{00000000-0005-0000-0000-0000E8580000}"/>
    <cellStyle name="Output 3 2 2 3 3 4" xfId="16022" xr:uid="{00000000-0005-0000-0000-0000E9580000}"/>
    <cellStyle name="Output 3 2 2 3 3 5" xfId="23414" xr:uid="{00000000-0005-0000-0000-0000EA580000}"/>
    <cellStyle name="Output 3 2 2 3 3 6" xfId="22477" xr:uid="{00000000-0005-0000-0000-0000EB580000}"/>
    <cellStyle name="Output 3 2 2 3 4" xfId="6369" xr:uid="{00000000-0005-0000-0000-0000EC580000}"/>
    <cellStyle name="Output 3 2 2 3 4 2" xfId="17266" xr:uid="{00000000-0005-0000-0000-0000ED580000}"/>
    <cellStyle name="Output 3 2 2 3 4 3" xfId="23900" xr:uid="{00000000-0005-0000-0000-0000EE580000}"/>
    <cellStyle name="Output 3 2 2 3 4 4" xfId="22314" xr:uid="{00000000-0005-0000-0000-0000EF580000}"/>
    <cellStyle name="Output 3 2 2 3 5" xfId="10403" xr:uid="{00000000-0005-0000-0000-0000F0580000}"/>
    <cellStyle name="Output 3 2 2 3 5 2" xfId="21300" xr:uid="{00000000-0005-0000-0000-0000F1580000}"/>
    <cellStyle name="Output 3 2 2 3 5 3" xfId="25430" xr:uid="{00000000-0005-0000-0000-0000F2580000}"/>
    <cellStyle name="Output 3 2 2 3 5 4" xfId="26947" xr:uid="{00000000-0005-0000-0000-0000F3580000}"/>
    <cellStyle name="Output 3 2 2 3 6" xfId="12346" xr:uid="{00000000-0005-0000-0000-0000F4580000}"/>
    <cellStyle name="Output 3 2 2 3 7" xfId="22763" xr:uid="{00000000-0005-0000-0000-0000F5580000}"/>
    <cellStyle name="Output 3 2 2 4" xfId="3045" xr:uid="{00000000-0005-0000-0000-0000F6580000}"/>
    <cellStyle name="Output 3 2 2 4 2" xfId="7996" xr:uid="{00000000-0005-0000-0000-0000F7580000}"/>
    <cellStyle name="Output 3 2 2 4 2 2" xfId="18893" xr:uid="{00000000-0005-0000-0000-0000F8580000}"/>
    <cellStyle name="Output 3 2 2 4 2 3" xfId="24347" xr:uid="{00000000-0005-0000-0000-0000F9580000}"/>
    <cellStyle name="Output 3 2 2 4 2 4" xfId="22690" xr:uid="{00000000-0005-0000-0000-0000FA580000}"/>
    <cellStyle name="Output 3 2 2 4 3" xfId="10604" xr:uid="{00000000-0005-0000-0000-0000FB580000}"/>
    <cellStyle name="Output 3 2 2 4 3 2" xfId="21501" xr:uid="{00000000-0005-0000-0000-0000FC580000}"/>
    <cellStyle name="Output 3 2 2 4 3 3" xfId="25631" xr:uid="{00000000-0005-0000-0000-0000FD580000}"/>
    <cellStyle name="Output 3 2 2 4 3 4" xfId="27148" xr:uid="{00000000-0005-0000-0000-0000FE580000}"/>
    <cellStyle name="Output 3 2 2 4 4" xfId="13942" xr:uid="{00000000-0005-0000-0000-0000FF580000}"/>
    <cellStyle name="Output 3 2 2 4 5" xfId="22651" xr:uid="{00000000-0005-0000-0000-000000590000}"/>
    <cellStyle name="Output 3 2 2 4 6" xfId="24044" xr:uid="{00000000-0005-0000-0000-000001590000}"/>
    <cellStyle name="Output 3 2 2 5" xfId="4985" xr:uid="{00000000-0005-0000-0000-000002590000}"/>
    <cellStyle name="Output 3 2 2 5 2" xfId="9936" xr:uid="{00000000-0005-0000-0000-000003590000}"/>
    <cellStyle name="Output 3 2 2 5 2 2" xfId="20833" xr:uid="{00000000-0005-0000-0000-000004590000}"/>
    <cellStyle name="Output 3 2 2 5 2 3" xfId="24963" xr:uid="{00000000-0005-0000-0000-000005590000}"/>
    <cellStyle name="Output 3 2 2 5 2 4" xfId="26480" xr:uid="{00000000-0005-0000-0000-000006590000}"/>
    <cellStyle name="Output 3 2 2 5 3" xfId="10931" xr:uid="{00000000-0005-0000-0000-000007590000}"/>
    <cellStyle name="Output 3 2 2 5 3 2" xfId="21828" xr:uid="{00000000-0005-0000-0000-000008590000}"/>
    <cellStyle name="Output 3 2 2 5 3 3" xfId="25958" xr:uid="{00000000-0005-0000-0000-000009590000}"/>
    <cellStyle name="Output 3 2 2 5 3 4" xfId="27475" xr:uid="{00000000-0005-0000-0000-00000A590000}"/>
    <cellStyle name="Output 3 2 2 5 4" xfId="15882" xr:uid="{00000000-0005-0000-0000-00000B590000}"/>
    <cellStyle name="Output 3 2 2 5 5" xfId="23274" xr:uid="{00000000-0005-0000-0000-00000C590000}"/>
    <cellStyle name="Output 3 2 2 5 6" xfId="24685" xr:uid="{00000000-0005-0000-0000-00000D590000}"/>
    <cellStyle name="Output 3 2 2 6" xfId="5684" xr:uid="{00000000-0005-0000-0000-00000E590000}"/>
    <cellStyle name="Output 3 2 2 6 2" xfId="16581" xr:uid="{00000000-0005-0000-0000-00000F590000}"/>
    <cellStyle name="Output 3 2 2 6 3" xfId="23671" xr:uid="{00000000-0005-0000-0000-000010590000}"/>
    <cellStyle name="Output 3 2 2 6 4" xfId="23208" xr:uid="{00000000-0005-0000-0000-000011590000}"/>
    <cellStyle name="Output 3 2 2 7" xfId="10263" xr:uid="{00000000-0005-0000-0000-000012590000}"/>
    <cellStyle name="Output 3 2 2 7 2" xfId="21160" xr:uid="{00000000-0005-0000-0000-000013590000}"/>
    <cellStyle name="Output 3 2 2 7 3" xfId="25290" xr:uid="{00000000-0005-0000-0000-000014590000}"/>
    <cellStyle name="Output 3 2 2 7 4" xfId="26807" xr:uid="{00000000-0005-0000-0000-000015590000}"/>
    <cellStyle name="Output 3 2 2 8" xfId="11682" xr:uid="{00000000-0005-0000-0000-000016590000}"/>
    <cellStyle name="Output 3 2 2 9" xfId="22992" xr:uid="{00000000-0005-0000-0000-000017590000}"/>
    <cellStyle name="Output 3 2 3" xfId="988" xr:uid="{00000000-0005-0000-0000-000018590000}"/>
    <cellStyle name="Output 3 2 3 2" xfId="2145" xr:uid="{00000000-0005-0000-0000-000019590000}"/>
    <cellStyle name="Output 3 2 3 2 2" xfId="4457" xr:uid="{00000000-0005-0000-0000-00001A590000}"/>
    <cellStyle name="Output 3 2 3 2 2 2" xfId="9408" xr:uid="{00000000-0005-0000-0000-00001B590000}"/>
    <cellStyle name="Output 3 2 3 2 2 2 2" xfId="20305" xr:uid="{00000000-0005-0000-0000-00001C590000}"/>
    <cellStyle name="Output 3 2 3 2 2 2 3" xfId="24753" xr:uid="{00000000-0005-0000-0000-00001D590000}"/>
    <cellStyle name="Output 3 2 3 2 2 2 4" xfId="26353" xr:uid="{00000000-0005-0000-0000-00001E590000}"/>
    <cellStyle name="Output 3 2 3 2 2 3" xfId="10804" xr:uid="{00000000-0005-0000-0000-00001F590000}"/>
    <cellStyle name="Output 3 2 3 2 2 3 2" xfId="21701" xr:uid="{00000000-0005-0000-0000-000020590000}"/>
    <cellStyle name="Output 3 2 3 2 2 3 3" xfId="25831" xr:uid="{00000000-0005-0000-0000-000021590000}"/>
    <cellStyle name="Output 3 2 3 2 2 3 4" xfId="27348" xr:uid="{00000000-0005-0000-0000-000022590000}"/>
    <cellStyle name="Output 3 2 3 2 2 4" xfId="15354" xr:uid="{00000000-0005-0000-0000-000023590000}"/>
    <cellStyle name="Output 3 2 3 2 2 5" xfId="23064" xr:uid="{00000000-0005-0000-0000-000024590000}"/>
    <cellStyle name="Output 3 2 3 2 2 6" xfId="22108" xr:uid="{00000000-0005-0000-0000-000025590000}"/>
    <cellStyle name="Output 3 2 3 2 3" xfId="5184" xr:uid="{00000000-0005-0000-0000-000026590000}"/>
    <cellStyle name="Output 3 2 3 2 3 2" xfId="10135" xr:uid="{00000000-0005-0000-0000-000027590000}"/>
    <cellStyle name="Output 3 2 3 2 3 2 2" xfId="21032" xr:uid="{00000000-0005-0000-0000-000028590000}"/>
    <cellStyle name="Output 3 2 3 2 3 2 3" xfId="25162" xr:uid="{00000000-0005-0000-0000-000029590000}"/>
    <cellStyle name="Output 3 2 3 2 3 2 4" xfId="26679" xr:uid="{00000000-0005-0000-0000-00002A590000}"/>
    <cellStyle name="Output 3 2 3 2 3 3" xfId="11130" xr:uid="{00000000-0005-0000-0000-00002B590000}"/>
    <cellStyle name="Output 3 2 3 2 3 3 2" xfId="22027" xr:uid="{00000000-0005-0000-0000-00002C590000}"/>
    <cellStyle name="Output 3 2 3 2 3 3 3" xfId="26157" xr:uid="{00000000-0005-0000-0000-00002D590000}"/>
    <cellStyle name="Output 3 2 3 2 3 3 4" xfId="27674" xr:uid="{00000000-0005-0000-0000-00002E590000}"/>
    <cellStyle name="Output 3 2 3 2 3 4" xfId="16081" xr:uid="{00000000-0005-0000-0000-00002F590000}"/>
    <cellStyle name="Output 3 2 3 2 3 5" xfId="23473" xr:uid="{00000000-0005-0000-0000-000030590000}"/>
    <cellStyle name="Output 3 2 3 2 3 6" xfId="22338" xr:uid="{00000000-0005-0000-0000-000031590000}"/>
    <cellStyle name="Output 3 2 3 2 4" xfId="7096" xr:uid="{00000000-0005-0000-0000-000032590000}"/>
    <cellStyle name="Output 3 2 3 2 4 2" xfId="17993" xr:uid="{00000000-0005-0000-0000-000033590000}"/>
    <cellStyle name="Output 3 2 3 2 4 3" xfId="24076" xr:uid="{00000000-0005-0000-0000-000034590000}"/>
    <cellStyle name="Output 3 2 3 2 4 4" xfId="23785" xr:uid="{00000000-0005-0000-0000-000035590000}"/>
    <cellStyle name="Output 3 2 3 2 5" xfId="10462" xr:uid="{00000000-0005-0000-0000-000036590000}"/>
    <cellStyle name="Output 3 2 3 2 5 2" xfId="21359" xr:uid="{00000000-0005-0000-0000-000037590000}"/>
    <cellStyle name="Output 3 2 3 2 5 3" xfId="25489" xr:uid="{00000000-0005-0000-0000-000038590000}"/>
    <cellStyle name="Output 3 2 3 2 5 4" xfId="27006" xr:uid="{00000000-0005-0000-0000-000039590000}"/>
    <cellStyle name="Output 3 2 3 2 6" xfId="13062" xr:uid="{00000000-0005-0000-0000-00003A590000}"/>
    <cellStyle name="Output 3 2 3 2 7" xfId="24725" xr:uid="{00000000-0005-0000-0000-00003B590000}"/>
    <cellStyle name="Output 3 2 3 3" xfId="3312" xr:uid="{00000000-0005-0000-0000-00003C590000}"/>
    <cellStyle name="Output 3 2 3 3 2" xfId="8263" xr:uid="{00000000-0005-0000-0000-00003D590000}"/>
    <cellStyle name="Output 3 2 3 3 2 2" xfId="19160" xr:uid="{00000000-0005-0000-0000-00003E590000}"/>
    <cellStyle name="Output 3 2 3 3 2 3" xfId="24426" xr:uid="{00000000-0005-0000-0000-00003F590000}"/>
    <cellStyle name="Output 3 2 3 3 2 4" xfId="22171" xr:uid="{00000000-0005-0000-0000-000040590000}"/>
    <cellStyle name="Output 3 2 3 3 3" xfId="10644" xr:uid="{00000000-0005-0000-0000-000041590000}"/>
    <cellStyle name="Output 3 2 3 3 3 2" xfId="21541" xr:uid="{00000000-0005-0000-0000-000042590000}"/>
    <cellStyle name="Output 3 2 3 3 3 3" xfId="25671" xr:uid="{00000000-0005-0000-0000-000043590000}"/>
    <cellStyle name="Output 3 2 3 3 3 4" xfId="27188" xr:uid="{00000000-0005-0000-0000-000044590000}"/>
    <cellStyle name="Output 3 2 3 3 4" xfId="14209" xr:uid="{00000000-0005-0000-0000-000045590000}"/>
    <cellStyle name="Output 3 2 3 3 5" xfId="22734" xr:uid="{00000000-0005-0000-0000-000046590000}"/>
    <cellStyle name="Output 3 2 3 3 6" xfId="22350" xr:uid="{00000000-0005-0000-0000-000047590000}"/>
    <cellStyle name="Output 3 2 3 4" xfId="5025" xr:uid="{00000000-0005-0000-0000-000048590000}"/>
    <cellStyle name="Output 3 2 3 4 2" xfId="9976" xr:uid="{00000000-0005-0000-0000-000049590000}"/>
    <cellStyle name="Output 3 2 3 4 2 2" xfId="20873" xr:uid="{00000000-0005-0000-0000-00004A590000}"/>
    <cellStyle name="Output 3 2 3 4 2 3" xfId="25003" xr:uid="{00000000-0005-0000-0000-00004B590000}"/>
    <cellStyle name="Output 3 2 3 4 2 4" xfId="26520" xr:uid="{00000000-0005-0000-0000-00004C590000}"/>
    <cellStyle name="Output 3 2 3 4 3" xfId="10971" xr:uid="{00000000-0005-0000-0000-00004D590000}"/>
    <cellStyle name="Output 3 2 3 4 3 2" xfId="21868" xr:uid="{00000000-0005-0000-0000-00004E590000}"/>
    <cellStyle name="Output 3 2 3 4 3 3" xfId="25998" xr:uid="{00000000-0005-0000-0000-00004F590000}"/>
    <cellStyle name="Output 3 2 3 4 3 4" xfId="27515" xr:uid="{00000000-0005-0000-0000-000050590000}"/>
    <cellStyle name="Output 3 2 3 4 4" xfId="15922" xr:uid="{00000000-0005-0000-0000-000051590000}"/>
    <cellStyle name="Output 3 2 3 4 5" xfId="23314" xr:uid="{00000000-0005-0000-0000-000052590000}"/>
    <cellStyle name="Output 3 2 3 4 6" xfId="23123" xr:uid="{00000000-0005-0000-0000-000053590000}"/>
    <cellStyle name="Output 3 2 3 5" xfId="5951" xr:uid="{00000000-0005-0000-0000-000054590000}"/>
    <cellStyle name="Output 3 2 3 5 2" xfId="16848" xr:uid="{00000000-0005-0000-0000-000055590000}"/>
    <cellStyle name="Output 3 2 3 5 3" xfId="23749" xr:uid="{00000000-0005-0000-0000-000056590000}"/>
    <cellStyle name="Output 3 2 3 5 4" xfId="22120" xr:uid="{00000000-0005-0000-0000-000057590000}"/>
    <cellStyle name="Output 3 2 3 6" xfId="10303" xr:uid="{00000000-0005-0000-0000-000058590000}"/>
    <cellStyle name="Output 3 2 3 6 2" xfId="21200" xr:uid="{00000000-0005-0000-0000-000059590000}"/>
    <cellStyle name="Output 3 2 3 6 3" xfId="25330" xr:uid="{00000000-0005-0000-0000-00005A590000}"/>
    <cellStyle name="Output 3 2 3 6 4" xfId="26847" xr:uid="{00000000-0005-0000-0000-00005B590000}"/>
    <cellStyle name="Output 3 2 3 7" xfId="11944" xr:uid="{00000000-0005-0000-0000-00005C590000}"/>
    <cellStyle name="Output 3 2 3 8" xfId="22180" xr:uid="{00000000-0005-0000-0000-00005D590000}"/>
    <cellStyle name="Output 3 2 4" xfId="1366" xr:uid="{00000000-0005-0000-0000-00005E590000}"/>
    <cellStyle name="Output 3 2 4 2" xfId="3690" xr:uid="{00000000-0005-0000-0000-00005F590000}"/>
    <cellStyle name="Output 3 2 4 2 2" xfId="8641" xr:uid="{00000000-0005-0000-0000-000060590000}"/>
    <cellStyle name="Output 3 2 4 2 2 2" xfId="19538" xr:uid="{00000000-0005-0000-0000-000061590000}"/>
    <cellStyle name="Output 3 2 4 2 2 3" xfId="24535" xr:uid="{00000000-0005-0000-0000-000062590000}"/>
    <cellStyle name="Output 3 2 4 2 2 4" xfId="26253" xr:uid="{00000000-0005-0000-0000-000063590000}"/>
    <cellStyle name="Output 3 2 4 2 3" xfId="10704" xr:uid="{00000000-0005-0000-0000-000064590000}"/>
    <cellStyle name="Output 3 2 4 2 3 2" xfId="21601" xr:uid="{00000000-0005-0000-0000-000065590000}"/>
    <cellStyle name="Output 3 2 4 2 3 3" xfId="25731" xr:uid="{00000000-0005-0000-0000-000066590000}"/>
    <cellStyle name="Output 3 2 4 2 3 4" xfId="27248" xr:uid="{00000000-0005-0000-0000-000067590000}"/>
    <cellStyle name="Output 3 2 4 2 4" xfId="14587" xr:uid="{00000000-0005-0000-0000-000068590000}"/>
    <cellStyle name="Output 3 2 4 2 5" xfId="22847" xr:uid="{00000000-0005-0000-0000-000069590000}"/>
    <cellStyle name="Output 3 2 4 2 6" xfId="23638" xr:uid="{00000000-0005-0000-0000-00006A590000}"/>
    <cellStyle name="Output 3 2 4 3" xfId="5085" xr:uid="{00000000-0005-0000-0000-00006B590000}"/>
    <cellStyle name="Output 3 2 4 3 2" xfId="10036" xr:uid="{00000000-0005-0000-0000-00006C590000}"/>
    <cellStyle name="Output 3 2 4 3 2 2" xfId="20933" xr:uid="{00000000-0005-0000-0000-00006D590000}"/>
    <cellStyle name="Output 3 2 4 3 2 3" xfId="25063" xr:uid="{00000000-0005-0000-0000-00006E590000}"/>
    <cellStyle name="Output 3 2 4 3 2 4" xfId="26580" xr:uid="{00000000-0005-0000-0000-00006F590000}"/>
    <cellStyle name="Output 3 2 4 3 3" xfId="11031" xr:uid="{00000000-0005-0000-0000-000070590000}"/>
    <cellStyle name="Output 3 2 4 3 3 2" xfId="21928" xr:uid="{00000000-0005-0000-0000-000071590000}"/>
    <cellStyle name="Output 3 2 4 3 3 3" xfId="26058" xr:uid="{00000000-0005-0000-0000-000072590000}"/>
    <cellStyle name="Output 3 2 4 3 3 4" xfId="27575" xr:uid="{00000000-0005-0000-0000-000073590000}"/>
    <cellStyle name="Output 3 2 4 3 4" xfId="15982" xr:uid="{00000000-0005-0000-0000-000074590000}"/>
    <cellStyle name="Output 3 2 4 3 5" xfId="23374" xr:uid="{00000000-0005-0000-0000-000075590000}"/>
    <cellStyle name="Output 3 2 4 3 6" xfId="24680" xr:uid="{00000000-0005-0000-0000-000076590000}"/>
    <cellStyle name="Output 3 2 4 4" xfId="6329" xr:uid="{00000000-0005-0000-0000-000077590000}"/>
    <cellStyle name="Output 3 2 4 4 2" xfId="17226" xr:uid="{00000000-0005-0000-0000-000078590000}"/>
    <cellStyle name="Output 3 2 4 4 3" xfId="23860" xr:uid="{00000000-0005-0000-0000-000079590000}"/>
    <cellStyle name="Output 3 2 4 4 4" xfId="22503" xr:uid="{00000000-0005-0000-0000-00007A590000}"/>
    <cellStyle name="Output 3 2 4 5" xfId="10363" xr:uid="{00000000-0005-0000-0000-00007B590000}"/>
    <cellStyle name="Output 3 2 4 5 2" xfId="21260" xr:uid="{00000000-0005-0000-0000-00007C590000}"/>
    <cellStyle name="Output 3 2 4 5 3" xfId="25390" xr:uid="{00000000-0005-0000-0000-00007D590000}"/>
    <cellStyle name="Output 3 2 4 5 4" xfId="26907" xr:uid="{00000000-0005-0000-0000-00007E590000}"/>
    <cellStyle name="Output 3 2 4 6" xfId="12314" xr:uid="{00000000-0005-0000-0000-00007F590000}"/>
    <cellStyle name="Output 3 2 4 7" xfId="24205" xr:uid="{00000000-0005-0000-0000-000080590000}"/>
    <cellStyle name="Output 3 2 5" xfId="2780" xr:uid="{00000000-0005-0000-0000-000081590000}"/>
    <cellStyle name="Output 3 2 5 2" xfId="7731" xr:uid="{00000000-0005-0000-0000-000082590000}"/>
    <cellStyle name="Output 3 2 5 2 2" xfId="18628" xr:uid="{00000000-0005-0000-0000-000083590000}"/>
    <cellStyle name="Output 3 2 5 2 3" xfId="24280" xr:uid="{00000000-0005-0000-0000-000084590000}"/>
    <cellStyle name="Output 3 2 5 2 4" xfId="23550" xr:uid="{00000000-0005-0000-0000-000085590000}"/>
    <cellStyle name="Output 3 2 5 3" xfId="10564" xr:uid="{00000000-0005-0000-0000-000086590000}"/>
    <cellStyle name="Output 3 2 5 3 2" xfId="21461" xr:uid="{00000000-0005-0000-0000-000087590000}"/>
    <cellStyle name="Output 3 2 5 3 3" xfId="25591" xr:uid="{00000000-0005-0000-0000-000088590000}"/>
    <cellStyle name="Output 3 2 5 3 4" xfId="27108" xr:uid="{00000000-0005-0000-0000-000089590000}"/>
    <cellStyle name="Output 3 2 5 4" xfId="13677" xr:uid="{00000000-0005-0000-0000-00008A590000}"/>
    <cellStyle name="Output 3 2 5 5" xfId="22580" xr:uid="{00000000-0005-0000-0000-00008B590000}"/>
    <cellStyle name="Output 3 2 5 6" xfId="24245" xr:uid="{00000000-0005-0000-0000-00008C590000}"/>
    <cellStyle name="Output 3 2 6" xfId="4945" xr:uid="{00000000-0005-0000-0000-00008D590000}"/>
    <cellStyle name="Output 3 2 6 2" xfId="9896" xr:uid="{00000000-0005-0000-0000-00008E590000}"/>
    <cellStyle name="Output 3 2 6 2 2" xfId="20793" xr:uid="{00000000-0005-0000-0000-00008F590000}"/>
    <cellStyle name="Output 3 2 6 2 3" xfId="24923" xr:uid="{00000000-0005-0000-0000-000090590000}"/>
    <cellStyle name="Output 3 2 6 2 4" xfId="26440" xr:uid="{00000000-0005-0000-0000-000091590000}"/>
    <cellStyle name="Output 3 2 6 3" xfId="10891" xr:uid="{00000000-0005-0000-0000-000092590000}"/>
    <cellStyle name="Output 3 2 6 3 2" xfId="21788" xr:uid="{00000000-0005-0000-0000-000093590000}"/>
    <cellStyle name="Output 3 2 6 3 3" xfId="25918" xr:uid="{00000000-0005-0000-0000-000094590000}"/>
    <cellStyle name="Output 3 2 6 3 4" xfId="27435" xr:uid="{00000000-0005-0000-0000-000095590000}"/>
    <cellStyle name="Output 3 2 6 4" xfId="15842" xr:uid="{00000000-0005-0000-0000-000096590000}"/>
    <cellStyle name="Output 3 2 6 5" xfId="23234" xr:uid="{00000000-0005-0000-0000-000097590000}"/>
    <cellStyle name="Output 3 2 6 6" xfId="24041" xr:uid="{00000000-0005-0000-0000-000098590000}"/>
    <cellStyle name="Output 3 2 7" xfId="5419" xr:uid="{00000000-0005-0000-0000-000099590000}"/>
    <cellStyle name="Output 3 2 7 2" xfId="16316" xr:uid="{00000000-0005-0000-0000-00009A590000}"/>
    <cellStyle name="Output 3 2 7 3" xfId="23599" xr:uid="{00000000-0005-0000-0000-00009B590000}"/>
    <cellStyle name="Output 3 2 7 4" xfId="23987" xr:uid="{00000000-0005-0000-0000-00009C590000}"/>
    <cellStyle name="Output 3 2 8" xfId="10223" xr:uid="{00000000-0005-0000-0000-00009D590000}"/>
    <cellStyle name="Output 3 2 8 2" xfId="21120" xr:uid="{00000000-0005-0000-0000-00009E590000}"/>
    <cellStyle name="Output 3 2 8 3" xfId="25250" xr:uid="{00000000-0005-0000-0000-00009F590000}"/>
    <cellStyle name="Output 3 2 8 4" xfId="26767" xr:uid="{00000000-0005-0000-0000-0000A0590000}"/>
    <cellStyle name="Output 3 2 9" xfId="11421" xr:uid="{00000000-0005-0000-0000-0000A1590000}"/>
    <cellStyle name="Output 3 3" xfId="620" xr:uid="{00000000-0005-0000-0000-0000A2590000}"/>
    <cellStyle name="Output 3 3 2" xfId="1152" xr:uid="{00000000-0005-0000-0000-0000A3590000}"/>
    <cellStyle name="Output 3 3 2 2" xfId="2309" xr:uid="{00000000-0005-0000-0000-0000A4590000}"/>
    <cellStyle name="Output 3 3 2 2 2" xfId="4621" xr:uid="{00000000-0005-0000-0000-0000A5590000}"/>
    <cellStyle name="Output 3 3 2 2 2 2" xfId="9572" xr:uid="{00000000-0005-0000-0000-0000A6590000}"/>
    <cellStyle name="Output 3 3 2 2 2 2 2" xfId="20469" xr:uid="{00000000-0005-0000-0000-0000A7590000}"/>
    <cellStyle name="Output 3 3 2 2 2 2 3" xfId="24802" xr:uid="{00000000-0005-0000-0000-0000A8590000}"/>
    <cellStyle name="Output 3 3 2 2 2 2 4" xfId="26378" xr:uid="{00000000-0005-0000-0000-0000A9590000}"/>
    <cellStyle name="Output 3 3 2 2 2 3" xfId="10829" xr:uid="{00000000-0005-0000-0000-0000AA590000}"/>
    <cellStyle name="Output 3 3 2 2 2 3 2" xfId="21726" xr:uid="{00000000-0005-0000-0000-0000AB590000}"/>
    <cellStyle name="Output 3 3 2 2 2 3 3" xfId="25856" xr:uid="{00000000-0005-0000-0000-0000AC590000}"/>
    <cellStyle name="Output 3 3 2 2 2 3 4" xfId="27373" xr:uid="{00000000-0005-0000-0000-0000AD590000}"/>
    <cellStyle name="Output 3 3 2 2 2 4" xfId="15518" xr:uid="{00000000-0005-0000-0000-0000AE590000}"/>
    <cellStyle name="Output 3 3 2 2 2 5" xfId="23115" xr:uid="{00000000-0005-0000-0000-0000AF590000}"/>
    <cellStyle name="Output 3 3 2 2 2 6" xfId="22301" xr:uid="{00000000-0005-0000-0000-0000B0590000}"/>
    <cellStyle name="Output 3 3 2 2 3" xfId="5209" xr:uid="{00000000-0005-0000-0000-0000B1590000}"/>
    <cellStyle name="Output 3 3 2 2 3 2" xfId="10160" xr:uid="{00000000-0005-0000-0000-0000B2590000}"/>
    <cellStyle name="Output 3 3 2 2 3 2 2" xfId="21057" xr:uid="{00000000-0005-0000-0000-0000B3590000}"/>
    <cellStyle name="Output 3 3 2 2 3 2 3" xfId="25187" xr:uid="{00000000-0005-0000-0000-0000B4590000}"/>
    <cellStyle name="Output 3 3 2 2 3 2 4" xfId="26704" xr:uid="{00000000-0005-0000-0000-0000B5590000}"/>
    <cellStyle name="Output 3 3 2 2 3 3" xfId="11155" xr:uid="{00000000-0005-0000-0000-0000B6590000}"/>
    <cellStyle name="Output 3 3 2 2 3 3 2" xfId="22052" xr:uid="{00000000-0005-0000-0000-0000B7590000}"/>
    <cellStyle name="Output 3 3 2 2 3 3 3" xfId="26182" xr:uid="{00000000-0005-0000-0000-0000B8590000}"/>
    <cellStyle name="Output 3 3 2 2 3 3 4" xfId="27699" xr:uid="{00000000-0005-0000-0000-0000B9590000}"/>
    <cellStyle name="Output 3 3 2 2 3 4" xfId="16106" xr:uid="{00000000-0005-0000-0000-0000BA590000}"/>
    <cellStyle name="Output 3 3 2 2 3 5" xfId="23498" xr:uid="{00000000-0005-0000-0000-0000BB590000}"/>
    <cellStyle name="Output 3 3 2 2 3 6" xfId="22121" xr:uid="{00000000-0005-0000-0000-0000BC590000}"/>
    <cellStyle name="Output 3 3 2 2 4" xfId="7260" xr:uid="{00000000-0005-0000-0000-0000BD590000}"/>
    <cellStyle name="Output 3 3 2 2 4 2" xfId="18157" xr:uid="{00000000-0005-0000-0000-0000BE590000}"/>
    <cellStyle name="Output 3 3 2 2 4 3" xfId="24128" xr:uid="{00000000-0005-0000-0000-0000BF590000}"/>
    <cellStyle name="Output 3 3 2 2 4 4" xfId="23136" xr:uid="{00000000-0005-0000-0000-0000C0590000}"/>
    <cellStyle name="Output 3 3 2 2 5" xfId="10487" xr:uid="{00000000-0005-0000-0000-0000C1590000}"/>
    <cellStyle name="Output 3 3 2 2 5 2" xfId="21384" xr:uid="{00000000-0005-0000-0000-0000C2590000}"/>
    <cellStyle name="Output 3 3 2 2 5 3" xfId="25514" xr:uid="{00000000-0005-0000-0000-0000C3590000}"/>
    <cellStyle name="Output 3 3 2 2 5 4" xfId="27031" xr:uid="{00000000-0005-0000-0000-0000C4590000}"/>
    <cellStyle name="Output 3 3 2 2 6" xfId="13221" xr:uid="{00000000-0005-0000-0000-0000C5590000}"/>
    <cellStyle name="Output 3 3 2 2 7" xfId="23684" xr:uid="{00000000-0005-0000-0000-0000C6590000}"/>
    <cellStyle name="Output 3 3 2 3" xfId="3476" xr:uid="{00000000-0005-0000-0000-0000C7590000}"/>
    <cellStyle name="Output 3 3 2 3 2" xfId="8427" xr:uid="{00000000-0005-0000-0000-0000C8590000}"/>
    <cellStyle name="Output 3 3 2 3 2 2" xfId="19324" xr:uid="{00000000-0005-0000-0000-0000C9590000}"/>
    <cellStyle name="Output 3 3 2 3 2 3" xfId="24479" xr:uid="{00000000-0005-0000-0000-0000CA590000}"/>
    <cellStyle name="Output 3 3 2 3 2 4" xfId="11579" xr:uid="{00000000-0005-0000-0000-0000CB590000}"/>
    <cellStyle name="Output 3 3 2 3 3" xfId="10669" xr:uid="{00000000-0005-0000-0000-0000CC590000}"/>
    <cellStyle name="Output 3 3 2 3 3 2" xfId="21566" xr:uid="{00000000-0005-0000-0000-0000CD590000}"/>
    <cellStyle name="Output 3 3 2 3 3 3" xfId="25696" xr:uid="{00000000-0005-0000-0000-0000CE590000}"/>
    <cellStyle name="Output 3 3 2 3 3 4" xfId="27213" xr:uid="{00000000-0005-0000-0000-0000CF590000}"/>
    <cellStyle name="Output 3 3 2 3 4" xfId="14373" xr:uid="{00000000-0005-0000-0000-0000D0590000}"/>
    <cellStyle name="Output 3 3 2 3 5" xfId="22787" xr:uid="{00000000-0005-0000-0000-0000D1590000}"/>
    <cellStyle name="Output 3 3 2 3 6" xfId="24839" xr:uid="{00000000-0005-0000-0000-0000D2590000}"/>
    <cellStyle name="Output 3 3 2 4" xfId="5050" xr:uid="{00000000-0005-0000-0000-0000D3590000}"/>
    <cellStyle name="Output 3 3 2 4 2" xfId="10001" xr:uid="{00000000-0005-0000-0000-0000D4590000}"/>
    <cellStyle name="Output 3 3 2 4 2 2" xfId="20898" xr:uid="{00000000-0005-0000-0000-0000D5590000}"/>
    <cellStyle name="Output 3 3 2 4 2 3" xfId="25028" xr:uid="{00000000-0005-0000-0000-0000D6590000}"/>
    <cellStyle name="Output 3 3 2 4 2 4" xfId="26545" xr:uid="{00000000-0005-0000-0000-0000D7590000}"/>
    <cellStyle name="Output 3 3 2 4 3" xfId="10996" xr:uid="{00000000-0005-0000-0000-0000D8590000}"/>
    <cellStyle name="Output 3 3 2 4 3 2" xfId="21893" xr:uid="{00000000-0005-0000-0000-0000D9590000}"/>
    <cellStyle name="Output 3 3 2 4 3 3" xfId="26023" xr:uid="{00000000-0005-0000-0000-0000DA590000}"/>
    <cellStyle name="Output 3 3 2 4 3 4" xfId="27540" xr:uid="{00000000-0005-0000-0000-0000DB590000}"/>
    <cellStyle name="Output 3 3 2 4 4" xfId="15947" xr:uid="{00000000-0005-0000-0000-0000DC590000}"/>
    <cellStyle name="Output 3 3 2 4 5" xfId="23339" xr:uid="{00000000-0005-0000-0000-0000DD590000}"/>
    <cellStyle name="Output 3 3 2 4 6" xfId="22372" xr:uid="{00000000-0005-0000-0000-0000DE590000}"/>
    <cellStyle name="Output 3 3 2 5" xfId="6115" xr:uid="{00000000-0005-0000-0000-0000DF590000}"/>
    <cellStyle name="Output 3 3 2 5 2" xfId="17012" xr:uid="{00000000-0005-0000-0000-0000E0590000}"/>
    <cellStyle name="Output 3 3 2 5 3" xfId="23802" xr:uid="{00000000-0005-0000-0000-0000E1590000}"/>
    <cellStyle name="Output 3 3 2 5 4" xfId="23985" xr:uid="{00000000-0005-0000-0000-0000E2590000}"/>
    <cellStyle name="Output 3 3 2 6" xfId="10328" xr:uid="{00000000-0005-0000-0000-0000E3590000}"/>
    <cellStyle name="Output 3 3 2 6 2" xfId="21225" xr:uid="{00000000-0005-0000-0000-0000E4590000}"/>
    <cellStyle name="Output 3 3 2 6 3" xfId="25355" xr:uid="{00000000-0005-0000-0000-0000E5590000}"/>
    <cellStyle name="Output 3 3 2 6 4" xfId="26872" xr:uid="{00000000-0005-0000-0000-0000E6590000}"/>
    <cellStyle name="Output 3 3 2 7" xfId="12103" xr:uid="{00000000-0005-0000-0000-0000E7590000}"/>
    <cellStyle name="Output 3 3 2 8" xfId="23210" xr:uid="{00000000-0005-0000-0000-0000E8590000}"/>
    <cellStyle name="Output 3 3 3" xfId="1391" xr:uid="{00000000-0005-0000-0000-0000E9590000}"/>
    <cellStyle name="Output 3 3 3 2" xfId="3715" xr:uid="{00000000-0005-0000-0000-0000EA590000}"/>
    <cellStyle name="Output 3 3 3 2 2" xfId="8666" xr:uid="{00000000-0005-0000-0000-0000EB590000}"/>
    <cellStyle name="Output 3 3 3 2 2 2" xfId="19563" xr:uid="{00000000-0005-0000-0000-0000EC590000}"/>
    <cellStyle name="Output 3 3 3 2 2 3" xfId="24560" xr:uid="{00000000-0005-0000-0000-0000ED590000}"/>
    <cellStyle name="Output 3 3 3 2 2 4" xfId="26278" xr:uid="{00000000-0005-0000-0000-0000EE590000}"/>
    <cellStyle name="Output 3 3 3 2 3" xfId="10729" xr:uid="{00000000-0005-0000-0000-0000EF590000}"/>
    <cellStyle name="Output 3 3 3 2 3 2" xfId="21626" xr:uid="{00000000-0005-0000-0000-0000F0590000}"/>
    <cellStyle name="Output 3 3 3 2 3 3" xfId="25756" xr:uid="{00000000-0005-0000-0000-0000F1590000}"/>
    <cellStyle name="Output 3 3 3 2 3 4" xfId="27273" xr:uid="{00000000-0005-0000-0000-0000F2590000}"/>
    <cellStyle name="Output 3 3 3 2 4" xfId="14612" xr:uid="{00000000-0005-0000-0000-0000F3590000}"/>
    <cellStyle name="Output 3 3 3 2 5" xfId="22872" xr:uid="{00000000-0005-0000-0000-0000F4590000}"/>
    <cellStyle name="Output 3 3 3 2 6" xfId="22744" xr:uid="{00000000-0005-0000-0000-0000F5590000}"/>
    <cellStyle name="Output 3 3 3 3" xfId="5110" xr:uid="{00000000-0005-0000-0000-0000F6590000}"/>
    <cellStyle name="Output 3 3 3 3 2" xfId="10061" xr:uid="{00000000-0005-0000-0000-0000F7590000}"/>
    <cellStyle name="Output 3 3 3 3 2 2" xfId="20958" xr:uid="{00000000-0005-0000-0000-0000F8590000}"/>
    <cellStyle name="Output 3 3 3 3 2 3" xfId="25088" xr:uid="{00000000-0005-0000-0000-0000F9590000}"/>
    <cellStyle name="Output 3 3 3 3 2 4" xfId="26605" xr:uid="{00000000-0005-0000-0000-0000FA590000}"/>
    <cellStyle name="Output 3 3 3 3 3" xfId="11056" xr:uid="{00000000-0005-0000-0000-0000FB590000}"/>
    <cellStyle name="Output 3 3 3 3 3 2" xfId="21953" xr:uid="{00000000-0005-0000-0000-0000FC590000}"/>
    <cellStyle name="Output 3 3 3 3 3 3" xfId="26083" xr:uid="{00000000-0005-0000-0000-0000FD590000}"/>
    <cellStyle name="Output 3 3 3 3 3 4" xfId="27600" xr:uid="{00000000-0005-0000-0000-0000FE590000}"/>
    <cellStyle name="Output 3 3 3 3 4" xfId="16007" xr:uid="{00000000-0005-0000-0000-0000FF590000}"/>
    <cellStyle name="Output 3 3 3 3 5" xfId="23399" xr:uid="{00000000-0005-0000-0000-0000005A0000}"/>
    <cellStyle name="Output 3 3 3 3 6" xfId="22418" xr:uid="{00000000-0005-0000-0000-0000015A0000}"/>
    <cellStyle name="Output 3 3 3 4" xfId="6354" xr:uid="{00000000-0005-0000-0000-0000025A0000}"/>
    <cellStyle name="Output 3 3 3 4 2" xfId="17251" xr:uid="{00000000-0005-0000-0000-0000035A0000}"/>
    <cellStyle name="Output 3 3 3 4 3" xfId="23885" xr:uid="{00000000-0005-0000-0000-0000045A0000}"/>
    <cellStyle name="Output 3 3 3 4 4" xfId="22267" xr:uid="{00000000-0005-0000-0000-0000055A0000}"/>
    <cellStyle name="Output 3 3 3 5" xfId="10388" xr:uid="{00000000-0005-0000-0000-0000065A0000}"/>
    <cellStyle name="Output 3 3 3 5 2" xfId="21285" xr:uid="{00000000-0005-0000-0000-0000075A0000}"/>
    <cellStyle name="Output 3 3 3 5 3" xfId="25415" xr:uid="{00000000-0005-0000-0000-0000085A0000}"/>
    <cellStyle name="Output 3 3 3 5 4" xfId="26932" xr:uid="{00000000-0005-0000-0000-0000095A0000}"/>
    <cellStyle name="Output 3 3 3 6" xfId="12333" xr:uid="{00000000-0005-0000-0000-00000A5A0000}"/>
    <cellStyle name="Output 3 3 3 7" xfId="22684" xr:uid="{00000000-0005-0000-0000-00000B5A0000}"/>
    <cellStyle name="Output 3 3 4" xfId="2944" xr:uid="{00000000-0005-0000-0000-00000C5A0000}"/>
    <cellStyle name="Output 3 3 4 2" xfId="7895" xr:uid="{00000000-0005-0000-0000-00000D5A0000}"/>
    <cellStyle name="Output 3 3 4 2 2" xfId="18792" xr:uid="{00000000-0005-0000-0000-00000E5A0000}"/>
    <cellStyle name="Output 3 3 4 2 3" xfId="24325" xr:uid="{00000000-0005-0000-0000-00000F5A0000}"/>
    <cellStyle name="Output 3 3 4 2 4" xfId="22952" xr:uid="{00000000-0005-0000-0000-0000105A0000}"/>
    <cellStyle name="Output 3 3 4 3" xfId="10589" xr:uid="{00000000-0005-0000-0000-0000115A0000}"/>
    <cellStyle name="Output 3 3 4 3 2" xfId="21486" xr:uid="{00000000-0005-0000-0000-0000125A0000}"/>
    <cellStyle name="Output 3 3 4 3 3" xfId="25616" xr:uid="{00000000-0005-0000-0000-0000135A0000}"/>
    <cellStyle name="Output 3 3 4 3 4" xfId="27133" xr:uid="{00000000-0005-0000-0000-0000145A0000}"/>
    <cellStyle name="Output 3 3 4 4" xfId="13841" xr:uid="{00000000-0005-0000-0000-0000155A0000}"/>
    <cellStyle name="Output 3 3 4 5" xfId="22629" xr:uid="{00000000-0005-0000-0000-0000165A0000}"/>
    <cellStyle name="Output 3 3 4 6" xfId="22328" xr:uid="{00000000-0005-0000-0000-0000175A0000}"/>
    <cellStyle name="Output 3 3 5" xfId="4970" xr:uid="{00000000-0005-0000-0000-0000185A0000}"/>
    <cellStyle name="Output 3 3 5 2" xfId="9921" xr:uid="{00000000-0005-0000-0000-0000195A0000}"/>
    <cellStyle name="Output 3 3 5 2 2" xfId="20818" xr:uid="{00000000-0005-0000-0000-00001A5A0000}"/>
    <cellStyle name="Output 3 3 5 2 3" xfId="24948" xr:uid="{00000000-0005-0000-0000-00001B5A0000}"/>
    <cellStyle name="Output 3 3 5 2 4" xfId="26465" xr:uid="{00000000-0005-0000-0000-00001C5A0000}"/>
    <cellStyle name="Output 3 3 5 3" xfId="10916" xr:uid="{00000000-0005-0000-0000-00001D5A0000}"/>
    <cellStyle name="Output 3 3 5 3 2" xfId="21813" xr:uid="{00000000-0005-0000-0000-00001E5A0000}"/>
    <cellStyle name="Output 3 3 5 3 3" xfId="25943" xr:uid="{00000000-0005-0000-0000-00001F5A0000}"/>
    <cellStyle name="Output 3 3 5 3 4" xfId="27460" xr:uid="{00000000-0005-0000-0000-0000205A0000}"/>
    <cellStyle name="Output 3 3 5 4" xfId="15867" xr:uid="{00000000-0005-0000-0000-0000215A0000}"/>
    <cellStyle name="Output 3 3 5 5" xfId="23259" xr:uid="{00000000-0005-0000-0000-0000225A0000}"/>
    <cellStyle name="Output 3 3 5 6" xfId="24642" xr:uid="{00000000-0005-0000-0000-0000235A0000}"/>
    <cellStyle name="Output 3 3 6" xfId="5583" xr:uid="{00000000-0005-0000-0000-0000245A0000}"/>
    <cellStyle name="Output 3 3 6 2" xfId="16480" xr:uid="{00000000-0005-0000-0000-0000255A0000}"/>
    <cellStyle name="Output 3 3 6 3" xfId="23645" xr:uid="{00000000-0005-0000-0000-0000265A0000}"/>
    <cellStyle name="Output 3 3 6 4" xfId="22367" xr:uid="{00000000-0005-0000-0000-0000275A0000}"/>
    <cellStyle name="Output 3 3 7" xfId="10248" xr:uid="{00000000-0005-0000-0000-0000285A0000}"/>
    <cellStyle name="Output 3 3 7 2" xfId="21145" xr:uid="{00000000-0005-0000-0000-0000295A0000}"/>
    <cellStyle name="Output 3 3 7 3" xfId="25275" xr:uid="{00000000-0005-0000-0000-00002A5A0000}"/>
    <cellStyle name="Output 3 3 7 4" xfId="26792" xr:uid="{00000000-0005-0000-0000-00002B5A0000}"/>
    <cellStyle name="Output 3 3 8" xfId="11582" xr:uid="{00000000-0005-0000-0000-00002C5A0000}"/>
    <cellStyle name="Output 3 3 9" xfId="22675" xr:uid="{00000000-0005-0000-0000-00002D5A0000}"/>
    <cellStyle name="Output 3 4" xfId="887" xr:uid="{00000000-0005-0000-0000-00002E5A0000}"/>
    <cellStyle name="Output 3 4 2" xfId="2044" xr:uid="{00000000-0005-0000-0000-00002F5A0000}"/>
    <cellStyle name="Output 3 4 2 2" xfId="4356" xr:uid="{00000000-0005-0000-0000-0000305A0000}"/>
    <cellStyle name="Output 3 4 2 2 2" xfId="9307" xr:uid="{00000000-0005-0000-0000-0000315A0000}"/>
    <cellStyle name="Output 3 4 2 2 2 2" xfId="20204" xr:uid="{00000000-0005-0000-0000-0000325A0000}"/>
    <cellStyle name="Output 3 4 2 2 2 3" xfId="24731" xr:uid="{00000000-0005-0000-0000-0000335A0000}"/>
    <cellStyle name="Output 3 4 2 2 2 4" xfId="26338" xr:uid="{00000000-0005-0000-0000-0000345A0000}"/>
    <cellStyle name="Output 3 4 2 2 3" xfId="10789" xr:uid="{00000000-0005-0000-0000-0000355A0000}"/>
    <cellStyle name="Output 3 4 2 2 3 2" xfId="21686" xr:uid="{00000000-0005-0000-0000-0000365A0000}"/>
    <cellStyle name="Output 3 4 2 2 3 3" xfId="25816" xr:uid="{00000000-0005-0000-0000-0000375A0000}"/>
    <cellStyle name="Output 3 4 2 2 3 4" xfId="27333" xr:uid="{00000000-0005-0000-0000-0000385A0000}"/>
    <cellStyle name="Output 3 4 2 2 4" xfId="15253" xr:uid="{00000000-0005-0000-0000-0000395A0000}"/>
    <cellStyle name="Output 3 4 2 2 5" xfId="23040" xr:uid="{00000000-0005-0000-0000-00003A5A0000}"/>
    <cellStyle name="Output 3 4 2 2 6" xfId="22764" xr:uid="{00000000-0005-0000-0000-00003B5A0000}"/>
    <cellStyle name="Output 3 4 2 3" xfId="5169" xr:uid="{00000000-0005-0000-0000-00003C5A0000}"/>
    <cellStyle name="Output 3 4 2 3 2" xfId="10120" xr:uid="{00000000-0005-0000-0000-00003D5A0000}"/>
    <cellStyle name="Output 3 4 2 3 2 2" xfId="21017" xr:uid="{00000000-0005-0000-0000-00003E5A0000}"/>
    <cellStyle name="Output 3 4 2 3 2 3" xfId="25147" xr:uid="{00000000-0005-0000-0000-00003F5A0000}"/>
    <cellStyle name="Output 3 4 2 3 2 4" xfId="26664" xr:uid="{00000000-0005-0000-0000-0000405A0000}"/>
    <cellStyle name="Output 3 4 2 3 3" xfId="11115" xr:uid="{00000000-0005-0000-0000-0000415A0000}"/>
    <cellStyle name="Output 3 4 2 3 3 2" xfId="22012" xr:uid="{00000000-0005-0000-0000-0000425A0000}"/>
    <cellStyle name="Output 3 4 2 3 3 3" xfId="26142" xr:uid="{00000000-0005-0000-0000-0000435A0000}"/>
    <cellStyle name="Output 3 4 2 3 3 4" xfId="27659" xr:uid="{00000000-0005-0000-0000-0000445A0000}"/>
    <cellStyle name="Output 3 4 2 3 4" xfId="16066" xr:uid="{00000000-0005-0000-0000-0000455A0000}"/>
    <cellStyle name="Output 3 4 2 3 5" xfId="23458" xr:uid="{00000000-0005-0000-0000-0000465A0000}"/>
    <cellStyle name="Output 3 4 2 3 6" xfId="23815" xr:uid="{00000000-0005-0000-0000-0000475A0000}"/>
    <cellStyle name="Output 3 4 2 4" xfId="6995" xr:uid="{00000000-0005-0000-0000-0000485A0000}"/>
    <cellStyle name="Output 3 4 2 4 2" xfId="17892" xr:uid="{00000000-0005-0000-0000-0000495A0000}"/>
    <cellStyle name="Output 3 4 2 4 3" xfId="24052" xr:uid="{00000000-0005-0000-0000-00004A5A0000}"/>
    <cellStyle name="Output 3 4 2 4 4" xfId="24004" xr:uid="{00000000-0005-0000-0000-00004B5A0000}"/>
    <cellStyle name="Output 3 4 2 5" xfId="10447" xr:uid="{00000000-0005-0000-0000-00004C5A0000}"/>
    <cellStyle name="Output 3 4 2 5 2" xfId="21344" xr:uid="{00000000-0005-0000-0000-00004D5A0000}"/>
    <cellStyle name="Output 3 4 2 5 3" xfId="25474" xr:uid="{00000000-0005-0000-0000-00004E5A0000}"/>
    <cellStyle name="Output 3 4 2 5 4" xfId="26991" xr:uid="{00000000-0005-0000-0000-00004F5A0000}"/>
    <cellStyle name="Output 3 4 2 6" xfId="12962" xr:uid="{00000000-0005-0000-0000-0000505A0000}"/>
    <cellStyle name="Output 3 4 2 7" xfId="24441" xr:uid="{00000000-0005-0000-0000-0000515A0000}"/>
    <cellStyle name="Output 3 4 3" xfId="3211" xr:uid="{00000000-0005-0000-0000-0000525A0000}"/>
    <cellStyle name="Output 3 4 3 2" xfId="8162" xr:uid="{00000000-0005-0000-0000-0000535A0000}"/>
    <cellStyle name="Output 3 4 3 2 2" xfId="19059" xr:uid="{00000000-0005-0000-0000-0000545A0000}"/>
    <cellStyle name="Output 3 4 3 2 3" xfId="24400" xr:uid="{00000000-0005-0000-0000-0000555A0000}"/>
    <cellStyle name="Output 3 4 3 2 4" xfId="22404" xr:uid="{00000000-0005-0000-0000-0000565A0000}"/>
    <cellStyle name="Output 3 4 3 3" xfId="10629" xr:uid="{00000000-0005-0000-0000-0000575A0000}"/>
    <cellStyle name="Output 3 4 3 3 2" xfId="21526" xr:uid="{00000000-0005-0000-0000-0000585A0000}"/>
    <cellStyle name="Output 3 4 3 3 3" xfId="25656" xr:uid="{00000000-0005-0000-0000-0000595A0000}"/>
    <cellStyle name="Output 3 4 3 3 4" xfId="27173" xr:uid="{00000000-0005-0000-0000-00005A5A0000}"/>
    <cellStyle name="Output 3 4 3 4" xfId="14108" xr:uid="{00000000-0005-0000-0000-00005B5A0000}"/>
    <cellStyle name="Output 3 4 3 5" xfId="22709" xr:uid="{00000000-0005-0000-0000-00005C5A0000}"/>
    <cellStyle name="Output 3 4 3 6" xfId="22663" xr:uid="{00000000-0005-0000-0000-00005D5A0000}"/>
    <cellStyle name="Output 3 4 4" xfId="5010" xr:uid="{00000000-0005-0000-0000-00005E5A0000}"/>
    <cellStyle name="Output 3 4 4 2" xfId="9961" xr:uid="{00000000-0005-0000-0000-00005F5A0000}"/>
    <cellStyle name="Output 3 4 4 2 2" xfId="20858" xr:uid="{00000000-0005-0000-0000-0000605A0000}"/>
    <cellStyle name="Output 3 4 4 2 3" xfId="24988" xr:uid="{00000000-0005-0000-0000-0000615A0000}"/>
    <cellStyle name="Output 3 4 4 2 4" xfId="26505" xr:uid="{00000000-0005-0000-0000-0000625A0000}"/>
    <cellStyle name="Output 3 4 4 3" xfId="10956" xr:uid="{00000000-0005-0000-0000-0000635A0000}"/>
    <cellStyle name="Output 3 4 4 3 2" xfId="21853" xr:uid="{00000000-0005-0000-0000-0000645A0000}"/>
    <cellStyle name="Output 3 4 4 3 3" xfId="25983" xr:uid="{00000000-0005-0000-0000-0000655A0000}"/>
    <cellStyle name="Output 3 4 4 3 4" xfId="27500" xr:uid="{00000000-0005-0000-0000-0000665A0000}"/>
    <cellStyle name="Output 3 4 4 4" xfId="15907" xr:uid="{00000000-0005-0000-0000-0000675A0000}"/>
    <cellStyle name="Output 3 4 4 5" xfId="23299" xr:uid="{00000000-0005-0000-0000-0000685A0000}"/>
    <cellStyle name="Output 3 4 4 6" xfId="23048" xr:uid="{00000000-0005-0000-0000-0000695A0000}"/>
    <cellStyle name="Output 3 4 5" xfId="5850" xr:uid="{00000000-0005-0000-0000-00006A5A0000}"/>
    <cellStyle name="Output 3 4 5 2" xfId="16747" xr:uid="{00000000-0005-0000-0000-00006B5A0000}"/>
    <cellStyle name="Output 3 4 5 3" xfId="23722" xr:uid="{00000000-0005-0000-0000-00006C5A0000}"/>
    <cellStyle name="Output 3 4 5 4" xfId="24599" xr:uid="{00000000-0005-0000-0000-00006D5A0000}"/>
    <cellStyle name="Output 3 4 6" xfId="10288" xr:uid="{00000000-0005-0000-0000-00006E5A0000}"/>
    <cellStyle name="Output 3 4 6 2" xfId="21185" xr:uid="{00000000-0005-0000-0000-00006F5A0000}"/>
    <cellStyle name="Output 3 4 6 3" xfId="25315" xr:uid="{00000000-0005-0000-0000-0000705A0000}"/>
    <cellStyle name="Output 3 4 6 4" xfId="26832" xr:uid="{00000000-0005-0000-0000-0000715A0000}"/>
    <cellStyle name="Output 3 4 7" xfId="11844" xr:uid="{00000000-0005-0000-0000-0000725A0000}"/>
    <cellStyle name="Output 3 4 8" xfId="22242" xr:uid="{00000000-0005-0000-0000-0000735A0000}"/>
    <cellStyle name="Output 3 5" xfId="2679" xr:uid="{00000000-0005-0000-0000-0000745A0000}"/>
    <cellStyle name="Output 3 5 2" xfId="7630" xr:uid="{00000000-0005-0000-0000-0000755A0000}"/>
    <cellStyle name="Output 3 5 2 2" xfId="18527" xr:uid="{00000000-0005-0000-0000-0000765A0000}"/>
    <cellStyle name="Output 3 5 2 3" xfId="24253" xr:uid="{00000000-0005-0000-0000-0000775A0000}"/>
    <cellStyle name="Output 3 5 2 4" xfId="23096" xr:uid="{00000000-0005-0000-0000-0000785A0000}"/>
    <cellStyle name="Output 3 5 3" xfId="10549" xr:uid="{00000000-0005-0000-0000-0000795A0000}"/>
    <cellStyle name="Output 3 5 3 2" xfId="21446" xr:uid="{00000000-0005-0000-0000-00007A5A0000}"/>
    <cellStyle name="Output 3 5 3 3" xfId="25576" xr:uid="{00000000-0005-0000-0000-00007B5A0000}"/>
    <cellStyle name="Output 3 5 3 4" xfId="27093" xr:uid="{00000000-0005-0000-0000-00007C5A0000}"/>
    <cellStyle name="Output 3 5 4" xfId="13576" xr:uid="{00000000-0005-0000-0000-00007D5A0000}"/>
    <cellStyle name="Output 3 5 5" xfId="22553" xr:uid="{00000000-0005-0000-0000-00007E5A0000}"/>
    <cellStyle name="Output 3 5 6" xfId="22433" xr:uid="{00000000-0005-0000-0000-00007F5A0000}"/>
    <cellStyle name="Output 3 6" xfId="4930" xr:uid="{00000000-0005-0000-0000-0000805A0000}"/>
    <cellStyle name="Output 3 6 2" xfId="9881" xr:uid="{00000000-0005-0000-0000-0000815A0000}"/>
    <cellStyle name="Output 3 6 2 2" xfId="20778" xr:uid="{00000000-0005-0000-0000-0000825A0000}"/>
    <cellStyle name="Output 3 6 2 3" xfId="24908" xr:uid="{00000000-0005-0000-0000-0000835A0000}"/>
    <cellStyle name="Output 3 6 2 4" xfId="26425" xr:uid="{00000000-0005-0000-0000-0000845A0000}"/>
    <cellStyle name="Output 3 6 3" xfId="10876" xr:uid="{00000000-0005-0000-0000-0000855A0000}"/>
    <cellStyle name="Output 3 6 3 2" xfId="21773" xr:uid="{00000000-0005-0000-0000-0000865A0000}"/>
    <cellStyle name="Output 3 6 3 3" xfId="25903" xr:uid="{00000000-0005-0000-0000-0000875A0000}"/>
    <cellStyle name="Output 3 6 3 4" xfId="27420" xr:uid="{00000000-0005-0000-0000-0000885A0000}"/>
    <cellStyle name="Output 3 6 4" xfId="15827" xr:uid="{00000000-0005-0000-0000-0000895A0000}"/>
    <cellStyle name="Output 3 6 5" xfId="23219" xr:uid="{00000000-0005-0000-0000-00008A5A0000}"/>
    <cellStyle name="Output 3 6 6" xfId="22465" xr:uid="{00000000-0005-0000-0000-00008B5A0000}"/>
    <cellStyle name="Output 3 7" xfId="5318" xr:uid="{00000000-0005-0000-0000-00008C5A0000}"/>
    <cellStyle name="Output 3 7 2" xfId="16215" xr:uid="{00000000-0005-0000-0000-00008D5A0000}"/>
    <cellStyle name="Output 3 7 3" xfId="23573" xr:uid="{00000000-0005-0000-0000-00008E5A0000}"/>
    <cellStyle name="Output 3 7 4" xfId="22214" xr:uid="{00000000-0005-0000-0000-00008F5A0000}"/>
    <cellStyle name="Output 3 8" xfId="10208" xr:uid="{00000000-0005-0000-0000-0000905A0000}"/>
    <cellStyle name="Output 3 8 2" xfId="21105" xr:uid="{00000000-0005-0000-0000-0000915A0000}"/>
    <cellStyle name="Output 3 8 3" xfId="25235" xr:uid="{00000000-0005-0000-0000-0000925A0000}"/>
    <cellStyle name="Output 3 8 4" xfId="26752" xr:uid="{00000000-0005-0000-0000-0000935A0000}"/>
    <cellStyle name="Output 3 9" xfId="11321" xr:uid="{00000000-0005-0000-0000-0000945A0000}"/>
    <cellStyle name="Output 4" xfId="340" xr:uid="{00000000-0005-0000-0000-0000955A0000}"/>
    <cellStyle name="Output 4 10" xfId="22182" xr:uid="{00000000-0005-0000-0000-0000965A0000}"/>
    <cellStyle name="Output 4 2" xfId="457" xr:uid="{00000000-0005-0000-0000-0000975A0000}"/>
    <cellStyle name="Output 4 2 10" xfId="22283" xr:uid="{00000000-0005-0000-0000-0000985A0000}"/>
    <cellStyle name="Output 4 2 2" xfId="722" xr:uid="{00000000-0005-0000-0000-0000995A0000}"/>
    <cellStyle name="Output 4 2 2 2" xfId="1254" xr:uid="{00000000-0005-0000-0000-00009A5A0000}"/>
    <cellStyle name="Output 4 2 2 2 2" xfId="2411" xr:uid="{00000000-0005-0000-0000-00009B5A0000}"/>
    <cellStyle name="Output 4 2 2 2 2 2" xfId="4723" xr:uid="{00000000-0005-0000-0000-00009C5A0000}"/>
    <cellStyle name="Output 4 2 2 2 2 2 2" xfId="9674" xr:uid="{00000000-0005-0000-0000-00009D5A0000}"/>
    <cellStyle name="Output 4 2 2 2 2 2 2 2" xfId="20571" xr:uid="{00000000-0005-0000-0000-00009E5A0000}"/>
    <cellStyle name="Output 4 2 2 2 2 2 2 3" xfId="24828" xr:uid="{00000000-0005-0000-0000-00009F5A0000}"/>
    <cellStyle name="Output 4 2 2 2 2 2 2 4" xfId="26394" xr:uid="{00000000-0005-0000-0000-0000A05A0000}"/>
    <cellStyle name="Output 4 2 2 2 2 2 3" xfId="10845" xr:uid="{00000000-0005-0000-0000-0000A15A0000}"/>
    <cellStyle name="Output 4 2 2 2 2 2 3 2" xfId="21742" xr:uid="{00000000-0005-0000-0000-0000A25A0000}"/>
    <cellStyle name="Output 4 2 2 2 2 2 3 3" xfId="25872" xr:uid="{00000000-0005-0000-0000-0000A35A0000}"/>
    <cellStyle name="Output 4 2 2 2 2 2 3 4" xfId="27389" xr:uid="{00000000-0005-0000-0000-0000A45A0000}"/>
    <cellStyle name="Output 4 2 2 2 2 2 4" xfId="15620" xr:uid="{00000000-0005-0000-0000-0000A55A0000}"/>
    <cellStyle name="Output 4 2 2 2 2 2 5" xfId="23141" xr:uid="{00000000-0005-0000-0000-0000A65A0000}"/>
    <cellStyle name="Output 4 2 2 2 2 2 6" xfId="22454" xr:uid="{00000000-0005-0000-0000-0000A75A0000}"/>
    <cellStyle name="Output 4 2 2 2 2 3" xfId="5225" xr:uid="{00000000-0005-0000-0000-0000A85A0000}"/>
    <cellStyle name="Output 4 2 2 2 2 3 2" xfId="10176" xr:uid="{00000000-0005-0000-0000-0000A95A0000}"/>
    <cellStyle name="Output 4 2 2 2 2 3 2 2" xfId="21073" xr:uid="{00000000-0005-0000-0000-0000AA5A0000}"/>
    <cellStyle name="Output 4 2 2 2 2 3 2 3" xfId="25203" xr:uid="{00000000-0005-0000-0000-0000AB5A0000}"/>
    <cellStyle name="Output 4 2 2 2 2 3 2 4" xfId="26720" xr:uid="{00000000-0005-0000-0000-0000AC5A0000}"/>
    <cellStyle name="Output 4 2 2 2 2 3 3" xfId="11171" xr:uid="{00000000-0005-0000-0000-0000AD5A0000}"/>
    <cellStyle name="Output 4 2 2 2 2 3 3 2" xfId="22068" xr:uid="{00000000-0005-0000-0000-0000AE5A0000}"/>
    <cellStyle name="Output 4 2 2 2 2 3 3 3" xfId="26198" xr:uid="{00000000-0005-0000-0000-0000AF5A0000}"/>
    <cellStyle name="Output 4 2 2 2 2 3 3 4" xfId="27715" xr:uid="{00000000-0005-0000-0000-0000B05A0000}"/>
    <cellStyle name="Output 4 2 2 2 2 3 4" xfId="16122" xr:uid="{00000000-0005-0000-0000-0000B15A0000}"/>
    <cellStyle name="Output 4 2 2 2 2 3 5" xfId="23514" xr:uid="{00000000-0005-0000-0000-0000B25A0000}"/>
    <cellStyle name="Output 4 2 2 2 2 3 6" xfId="23207" xr:uid="{00000000-0005-0000-0000-0000B35A0000}"/>
    <cellStyle name="Output 4 2 2 2 2 4" xfId="7362" xr:uid="{00000000-0005-0000-0000-0000B45A0000}"/>
    <cellStyle name="Output 4 2 2 2 2 4 2" xfId="18259" xr:uid="{00000000-0005-0000-0000-0000B55A0000}"/>
    <cellStyle name="Output 4 2 2 2 2 4 3" xfId="24153" xr:uid="{00000000-0005-0000-0000-0000B65A0000}"/>
    <cellStyle name="Output 4 2 2 2 2 4 4" xfId="24277" xr:uid="{00000000-0005-0000-0000-0000B75A0000}"/>
    <cellStyle name="Output 4 2 2 2 2 5" xfId="10503" xr:uid="{00000000-0005-0000-0000-0000B85A0000}"/>
    <cellStyle name="Output 4 2 2 2 2 5 2" xfId="21400" xr:uid="{00000000-0005-0000-0000-0000B95A0000}"/>
    <cellStyle name="Output 4 2 2 2 2 5 3" xfId="25530" xr:uid="{00000000-0005-0000-0000-0000BA5A0000}"/>
    <cellStyle name="Output 4 2 2 2 2 5 4" xfId="27047" xr:uid="{00000000-0005-0000-0000-0000BB5A0000}"/>
    <cellStyle name="Output 4 2 2 2 2 6" xfId="13322" xr:uid="{00000000-0005-0000-0000-0000BC5A0000}"/>
    <cellStyle name="Output 4 2 2 2 2 7" xfId="22984" xr:uid="{00000000-0005-0000-0000-0000BD5A0000}"/>
    <cellStyle name="Output 4 2 2 2 3" xfId="3578" xr:uid="{00000000-0005-0000-0000-0000BE5A0000}"/>
    <cellStyle name="Output 4 2 2 2 3 2" xfId="8529" xr:uid="{00000000-0005-0000-0000-0000BF5A0000}"/>
    <cellStyle name="Output 4 2 2 2 3 2 2" xfId="19426" xr:uid="{00000000-0005-0000-0000-0000C05A0000}"/>
    <cellStyle name="Output 4 2 2 2 3 2 3" xfId="24504" xr:uid="{00000000-0005-0000-0000-0000C15A0000}"/>
    <cellStyle name="Output 4 2 2 2 3 2 4" xfId="26234" xr:uid="{00000000-0005-0000-0000-0000C25A0000}"/>
    <cellStyle name="Output 4 2 2 2 3 3" xfId="10685" xr:uid="{00000000-0005-0000-0000-0000C35A0000}"/>
    <cellStyle name="Output 4 2 2 2 3 3 2" xfId="21582" xr:uid="{00000000-0005-0000-0000-0000C45A0000}"/>
    <cellStyle name="Output 4 2 2 2 3 3 3" xfId="25712" xr:uid="{00000000-0005-0000-0000-0000C55A0000}"/>
    <cellStyle name="Output 4 2 2 2 3 3 4" xfId="27229" xr:uid="{00000000-0005-0000-0000-0000C65A0000}"/>
    <cellStyle name="Output 4 2 2 2 3 4" xfId="14475" xr:uid="{00000000-0005-0000-0000-0000C75A0000}"/>
    <cellStyle name="Output 4 2 2 2 3 5" xfId="22814" xr:uid="{00000000-0005-0000-0000-0000C85A0000}"/>
    <cellStyle name="Output 4 2 2 2 3 6" xfId="23610" xr:uid="{00000000-0005-0000-0000-0000C95A0000}"/>
    <cellStyle name="Output 4 2 2 2 4" xfId="5066" xr:uid="{00000000-0005-0000-0000-0000CA5A0000}"/>
    <cellStyle name="Output 4 2 2 2 4 2" xfId="10017" xr:uid="{00000000-0005-0000-0000-0000CB5A0000}"/>
    <cellStyle name="Output 4 2 2 2 4 2 2" xfId="20914" xr:uid="{00000000-0005-0000-0000-0000CC5A0000}"/>
    <cellStyle name="Output 4 2 2 2 4 2 3" xfId="25044" xr:uid="{00000000-0005-0000-0000-0000CD5A0000}"/>
    <cellStyle name="Output 4 2 2 2 4 2 4" xfId="26561" xr:uid="{00000000-0005-0000-0000-0000CE5A0000}"/>
    <cellStyle name="Output 4 2 2 2 4 3" xfId="11012" xr:uid="{00000000-0005-0000-0000-0000CF5A0000}"/>
    <cellStyle name="Output 4 2 2 2 4 3 2" xfId="21909" xr:uid="{00000000-0005-0000-0000-0000D05A0000}"/>
    <cellStyle name="Output 4 2 2 2 4 3 3" xfId="26039" xr:uid="{00000000-0005-0000-0000-0000D15A0000}"/>
    <cellStyle name="Output 4 2 2 2 4 3 4" xfId="27556" xr:uid="{00000000-0005-0000-0000-0000D25A0000}"/>
    <cellStyle name="Output 4 2 2 2 4 4" xfId="15963" xr:uid="{00000000-0005-0000-0000-0000D35A0000}"/>
    <cellStyle name="Output 4 2 2 2 4 5" xfId="23355" xr:uid="{00000000-0005-0000-0000-0000D45A0000}"/>
    <cellStyle name="Output 4 2 2 2 4 6" xfId="23587" xr:uid="{00000000-0005-0000-0000-0000D55A0000}"/>
    <cellStyle name="Output 4 2 2 2 5" xfId="6217" xr:uid="{00000000-0005-0000-0000-0000D65A0000}"/>
    <cellStyle name="Output 4 2 2 2 5 2" xfId="17114" xr:uid="{00000000-0005-0000-0000-0000D75A0000}"/>
    <cellStyle name="Output 4 2 2 2 5 3" xfId="23829" xr:uid="{00000000-0005-0000-0000-0000D85A0000}"/>
    <cellStyle name="Output 4 2 2 2 5 4" xfId="24847" xr:uid="{00000000-0005-0000-0000-0000D95A0000}"/>
    <cellStyle name="Output 4 2 2 2 6" xfId="10344" xr:uid="{00000000-0005-0000-0000-0000DA5A0000}"/>
    <cellStyle name="Output 4 2 2 2 6 2" xfId="21241" xr:uid="{00000000-0005-0000-0000-0000DB5A0000}"/>
    <cellStyle name="Output 4 2 2 2 6 3" xfId="25371" xr:uid="{00000000-0005-0000-0000-0000DC5A0000}"/>
    <cellStyle name="Output 4 2 2 2 6 4" xfId="26888" xr:uid="{00000000-0005-0000-0000-0000DD5A0000}"/>
    <cellStyle name="Output 4 2 2 2 7" xfId="12204" xr:uid="{00000000-0005-0000-0000-0000DE5A0000}"/>
    <cellStyle name="Output 4 2 2 2 8" xfId="24676" xr:uid="{00000000-0005-0000-0000-0000DF5A0000}"/>
    <cellStyle name="Output 4 2 2 3" xfId="1407" xr:uid="{00000000-0005-0000-0000-0000E05A0000}"/>
    <cellStyle name="Output 4 2 2 3 2" xfId="3731" xr:uid="{00000000-0005-0000-0000-0000E15A0000}"/>
    <cellStyle name="Output 4 2 2 3 2 2" xfId="8682" xr:uid="{00000000-0005-0000-0000-0000E25A0000}"/>
    <cellStyle name="Output 4 2 2 3 2 2 2" xfId="19579" xr:uid="{00000000-0005-0000-0000-0000E35A0000}"/>
    <cellStyle name="Output 4 2 2 3 2 2 3" xfId="24576" xr:uid="{00000000-0005-0000-0000-0000E45A0000}"/>
    <cellStyle name="Output 4 2 2 3 2 2 4" xfId="26294" xr:uid="{00000000-0005-0000-0000-0000E55A0000}"/>
    <cellStyle name="Output 4 2 2 3 2 3" xfId="10745" xr:uid="{00000000-0005-0000-0000-0000E65A0000}"/>
    <cellStyle name="Output 4 2 2 3 2 3 2" xfId="21642" xr:uid="{00000000-0005-0000-0000-0000E75A0000}"/>
    <cellStyle name="Output 4 2 2 3 2 3 3" xfId="25772" xr:uid="{00000000-0005-0000-0000-0000E85A0000}"/>
    <cellStyle name="Output 4 2 2 3 2 3 4" xfId="27289" xr:uid="{00000000-0005-0000-0000-0000E95A0000}"/>
    <cellStyle name="Output 4 2 2 3 2 4" xfId="14628" xr:uid="{00000000-0005-0000-0000-0000EA5A0000}"/>
    <cellStyle name="Output 4 2 2 3 2 5" xfId="22888" xr:uid="{00000000-0005-0000-0000-0000EB5A0000}"/>
    <cellStyle name="Output 4 2 2 3 2 6" xfId="24162" xr:uid="{00000000-0005-0000-0000-0000EC5A0000}"/>
    <cellStyle name="Output 4 2 2 3 3" xfId="5126" xr:uid="{00000000-0005-0000-0000-0000ED5A0000}"/>
    <cellStyle name="Output 4 2 2 3 3 2" xfId="10077" xr:uid="{00000000-0005-0000-0000-0000EE5A0000}"/>
    <cellStyle name="Output 4 2 2 3 3 2 2" xfId="20974" xr:uid="{00000000-0005-0000-0000-0000EF5A0000}"/>
    <cellStyle name="Output 4 2 2 3 3 2 3" xfId="25104" xr:uid="{00000000-0005-0000-0000-0000F05A0000}"/>
    <cellStyle name="Output 4 2 2 3 3 2 4" xfId="26621" xr:uid="{00000000-0005-0000-0000-0000F15A0000}"/>
    <cellStyle name="Output 4 2 2 3 3 3" xfId="11072" xr:uid="{00000000-0005-0000-0000-0000F25A0000}"/>
    <cellStyle name="Output 4 2 2 3 3 3 2" xfId="21969" xr:uid="{00000000-0005-0000-0000-0000F35A0000}"/>
    <cellStyle name="Output 4 2 2 3 3 3 3" xfId="26099" xr:uid="{00000000-0005-0000-0000-0000F45A0000}"/>
    <cellStyle name="Output 4 2 2 3 3 3 4" xfId="27616" xr:uid="{00000000-0005-0000-0000-0000F55A0000}"/>
    <cellStyle name="Output 4 2 2 3 3 4" xfId="16023" xr:uid="{00000000-0005-0000-0000-0000F65A0000}"/>
    <cellStyle name="Output 4 2 2 3 3 5" xfId="23415" xr:uid="{00000000-0005-0000-0000-0000F75A0000}"/>
    <cellStyle name="Output 4 2 2 3 3 6" xfId="22256" xr:uid="{00000000-0005-0000-0000-0000F85A0000}"/>
    <cellStyle name="Output 4 2 2 3 4" xfId="6370" xr:uid="{00000000-0005-0000-0000-0000F95A0000}"/>
    <cellStyle name="Output 4 2 2 3 4 2" xfId="17267" xr:uid="{00000000-0005-0000-0000-0000FA5A0000}"/>
    <cellStyle name="Output 4 2 2 3 4 3" xfId="23901" xr:uid="{00000000-0005-0000-0000-0000FB5A0000}"/>
    <cellStyle name="Output 4 2 2 3 4 4" xfId="23733" xr:uid="{00000000-0005-0000-0000-0000FC5A0000}"/>
    <cellStyle name="Output 4 2 2 3 5" xfId="10404" xr:uid="{00000000-0005-0000-0000-0000FD5A0000}"/>
    <cellStyle name="Output 4 2 2 3 5 2" xfId="21301" xr:uid="{00000000-0005-0000-0000-0000FE5A0000}"/>
    <cellStyle name="Output 4 2 2 3 5 3" xfId="25431" xr:uid="{00000000-0005-0000-0000-0000FF5A0000}"/>
    <cellStyle name="Output 4 2 2 3 5 4" xfId="26948" xr:uid="{00000000-0005-0000-0000-0000005B0000}"/>
    <cellStyle name="Output 4 2 2 3 6" xfId="12347" xr:uid="{00000000-0005-0000-0000-0000015B0000}"/>
    <cellStyle name="Output 4 2 2 3 7" xfId="24104" xr:uid="{00000000-0005-0000-0000-0000025B0000}"/>
    <cellStyle name="Output 4 2 2 4" xfId="3046" xr:uid="{00000000-0005-0000-0000-0000035B0000}"/>
    <cellStyle name="Output 4 2 2 4 2" xfId="7997" xr:uid="{00000000-0005-0000-0000-0000045B0000}"/>
    <cellStyle name="Output 4 2 2 4 2 2" xfId="18894" xr:uid="{00000000-0005-0000-0000-0000055B0000}"/>
    <cellStyle name="Output 4 2 2 4 2 3" xfId="24348" xr:uid="{00000000-0005-0000-0000-0000065B0000}"/>
    <cellStyle name="Output 4 2 2 4 2 4" xfId="24034" xr:uid="{00000000-0005-0000-0000-0000075B0000}"/>
    <cellStyle name="Output 4 2 2 4 3" xfId="10605" xr:uid="{00000000-0005-0000-0000-0000085B0000}"/>
    <cellStyle name="Output 4 2 2 4 3 2" xfId="21502" xr:uid="{00000000-0005-0000-0000-0000095B0000}"/>
    <cellStyle name="Output 4 2 2 4 3 3" xfId="25632" xr:uid="{00000000-0005-0000-0000-00000A5B0000}"/>
    <cellStyle name="Output 4 2 2 4 3 4" xfId="27149" xr:uid="{00000000-0005-0000-0000-00000B5B0000}"/>
    <cellStyle name="Output 4 2 2 4 4" xfId="13943" xr:uid="{00000000-0005-0000-0000-00000C5B0000}"/>
    <cellStyle name="Output 4 2 2 4 5" xfId="22652" xr:uid="{00000000-0005-0000-0000-00000D5B0000}"/>
    <cellStyle name="Output 4 2 2 4 6" xfId="24722" xr:uid="{00000000-0005-0000-0000-00000E5B0000}"/>
    <cellStyle name="Output 4 2 2 5" xfId="4986" xr:uid="{00000000-0005-0000-0000-00000F5B0000}"/>
    <cellStyle name="Output 4 2 2 5 2" xfId="9937" xr:uid="{00000000-0005-0000-0000-0000105B0000}"/>
    <cellStyle name="Output 4 2 2 5 2 2" xfId="20834" xr:uid="{00000000-0005-0000-0000-0000115B0000}"/>
    <cellStyle name="Output 4 2 2 5 2 3" xfId="24964" xr:uid="{00000000-0005-0000-0000-0000125B0000}"/>
    <cellStyle name="Output 4 2 2 5 2 4" xfId="26481" xr:uid="{00000000-0005-0000-0000-0000135B0000}"/>
    <cellStyle name="Output 4 2 2 5 3" xfId="10932" xr:uid="{00000000-0005-0000-0000-0000145B0000}"/>
    <cellStyle name="Output 4 2 2 5 3 2" xfId="21829" xr:uid="{00000000-0005-0000-0000-0000155B0000}"/>
    <cellStyle name="Output 4 2 2 5 3 3" xfId="25959" xr:uid="{00000000-0005-0000-0000-0000165B0000}"/>
    <cellStyle name="Output 4 2 2 5 3 4" xfId="27476" xr:uid="{00000000-0005-0000-0000-0000175B0000}"/>
    <cellStyle name="Output 4 2 2 5 4" xfId="15883" xr:uid="{00000000-0005-0000-0000-0000185B0000}"/>
    <cellStyle name="Output 4 2 2 5 5" xfId="23275" xr:uid="{00000000-0005-0000-0000-0000195B0000}"/>
    <cellStyle name="Output 4 2 2 5 6" xfId="23001" xr:uid="{00000000-0005-0000-0000-00001A5B0000}"/>
    <cellStyle name="Output 4 2 2 6" xfId="5685" xr:uid="{00000000-0005-0000-0000-00001B5B0000}"/>
    <cellStyle name="Output 4 2 2 6 2" xfId="16582" xr:uid="{00000000-0005-0000-0000-00001C5B0000}"/>
    <cellStyle name="Output 4 2 2 6 3" xfId="23672" xr:uid="{00000000-0005-0000-0000-00001D5B0000}"/>
    <cellStyle name="Output 4 2 2 6 4" xfId="22514" xr:uid="{00000000-0005-0000-0000-00001E5B0000}"/>
    <cellStyle name="Output 4 2 2 7" xfId="10264" xr:uid="{00000000-0005-0000-0000-00001F5B0000}"/>
    <cellStyle name="Output 4 2 2 7 2" xfId="21161" xr:uid="{00000000-0005-0000-0000-0000205B0000}"/>
    <cellStyle name="Output 4 2 2 7 3" xfId="25291" xr:uid="{00000000-0005-0000-0000-0000215B0000}"/>
    <cellStyle name="Output 4 2 2 7 4" xfId="26808" xr:uid="{00000000-0005-0000-0000-0000225B0000}"/>
    <cellStyle name="Output 4 2 2 8" xfId="11683" xr:uid="{00000000-0005-0000-0000-0000235B0000}"/>
    <cellStyle name="Output 4 2 2 9" xfId="22359" xr:uid="{00000000-0005-0000-0000-0000245B0000}"/>
    <cellStyle name="Output 4 2 3" xfId="989" xr:uid="{00000000-0005-0000-0000-0000255B0000}"/>
    <cellStyle name="Output 4 2 3 2" xfId="2146" xr:uid="{00000000-0005-0000-0000-0000265B0000}"/>
    <cellStyle name="Output 4 2 3 2 2" xfId="4458" xr:uid="{00000000-0005-0000-0000-0000275B0000}"/>
    <cellStyle name="Output 4 2 3 2 2 2" xfId="9409" xr:uid="{00000000-0005-0000-0000-0000285B0000}"/>
    <cellStyle name="Output 4 2 3 2 2 2 2" xfId="20306" xr:uid="{00000000-0005-0000-0000-0000295B0000}"/>
    <cellStyle name="Output 4 2 3 2 2 2 3" xfId="24754" xr:uid="{00000000-0005-0000-0000-00002A5B0000}"/>
    <cellStyle name="Output 4 2 3 2 2 2 4" xfId="26354" xr:uid="{00000000-0005-0000-0000-00002B5B0000}"/>
    <cellStyle name="Output 4 2 3 2 2 3" xfId="10805" xr:uid="{00000000-0005-0000-0000-00002C5B0000}"/>
    <cellStyle name="Output 4 2 3 2 2 3 2" xfId="21702" xr:uid="{00000000-0005-0000-0000-00002D5B0000}"/>
    <cellStyle name="Output 4 2 3 2 2 3 3" xfId="25832" xr:uid="{00000000-0005-0000-0000-00002E5B0000}"/>
    <cellStyle name="Output 4 2 3 2 2 3 4" xfId="27349" xr:uid="{00000000-0005-0000-0000-00002F5B0000}"/>
    <cellStyle name="Output 4 2 3 2 2 4" xfId="15355" xr:uid="{00000000-0005-0000-0000-0000305B0000}"/>
    <cellStyle name="Output 4 2 3 2 2 5" xfId="23065" xr:uid="{00000000-0005-0000-0000-0000315B0000}"/>
    <cellStyle name="Output 4 2 3 2 2 6" xfId="11215" xr:uid="{00000000-0005-0000-0000-0000325B0000}"/>
    <cellStyle name="Output 4 2 3 2 3" xfId="5185" xr:uid="{00000000-0005-0000-0000-0000335B0000}"/>
    <cellStyle name="Output 4 2 3 2 3 2" xfId="10136" xr:uid="{00000000-0005-0000-0000-0000345B0000}"/>
    <cellStyle name="Output 4 2 3 2 3 2 2" xfId="21033" xr:uid="{00000000-0005-0000-0000-0000355B0000}"/>
    <cellStyle name="Output 4 2 3 2 3 2 3" xfId="25163" xr:uid="{00000000-0005-0000-0000-0000365B0000}"/>
    <cellStyle name="Output 4 2 3 2 3 2 4" xfId="26680" xr:uid="{00000000-0005-0000-0000-0000375B0000}"/>
    <cellStyle name="Output 4 2 3 2 3 3" xfId="11131" xr:uid="{00000000-0005-0000-0000-0000385B0000}"/>
    <cellStyle name="Output 4 2 3 2 3 3 2" xfId="22028" xr:uid="{00000000-0005-0000-0000-0000395B0000}"/>
    <cellStyle name="Output 4 2 3 2 3 3 3" xfId="26158" xr:uid="{00000000-0005-0000-0000-00003A5B0000}"/>
    <cellStyle name="Output 4 2 3 2 3 3 4" xfId="27675" xr:uid="{00000000-0005-0000-0000-00003B5B0000}"/>
    <cellStyle name="Output 4 2 3 2 3 4" xfId="16082" xr:uid="{00000000-0005-0000-0000-00003C5B0000}"/>
    <cellStyle name="Output 4 2 3 2 3 5" xfId="23474" xr:uid="{00000000-0005-0000-0000-00003D5B0000}"/>
    <cellStyle name="Output 4 2 3 2 3 6" xfId="23774" xr:uid="{00000000-0005-0000-0000-00003E5B0000}"/>
    <cellStyle name="Output 4 2 3 2 4" xfId="7097" xr:uid="{00000000-0005-0000-0000-00003F5B0000}"/>
    <cellStyle name="Output 4 2 3 2 4 2" xfId="17994" xr:uid="{00000000-0005-0000-0000-0000405B0000}"/>
    <cellStyle name="Output 4 2 3 2 4 3" xfId="24077" xr:uid="{00000000-0005-0000-0000-0000415B0000}"/>
    <cellStyle name="Output 4 2 3 2 4 4" xfId="24462" xr:uid="{00000000-0005-0000-0000-0000425B0000}"/>
    <cellStyle name="Output 4 2 3 2 5" xfId="10463" xr:uid="{00000000-0005-0000-0000-0000435B0000}"/>
    <cellStyle name="Output 4 2 3 2 5 2" xfId="21360" xr:uid="{00000000-0005-0000-0000-0000445B0000}"/>
    <cellStyle name="Output 4 2 3 2 5 3" xfId="25490" xr:uid="{00000000-0005-0000-0000-0000455B0000}"/>
    <cellStyle name="Output 4 2 3 2 5 4" xfId="27007" xr:uid="{00000000-0005-0000-0000-0000465B0000}"/>
    <cellStyle name="Output 4 2 3 2 6" xfId="13063" xr:uid="{00000000-0005-0000-0000-0000475B0000}"/>
    <cellStyle name="Output 4 2 3 2 7" xfId="23034" xr:uid="{00000000-0005-0000-0000-0000485B0000}"/>
    <cellStyle name="Output 4 2 3 3" xfId="3313" xr:uid="{00000000-0005-0000-0000-0000495B0000}"/>
    <cellStyle name="Output 4 2 3 3 2" xfId="8264" xr:uid="{00000000-0005-0000-0000-00004A5B0000}"/>
    <cellStyle name="Output 4 2 3 3 2 2" xfId="19161" xr:uid="{00000000-0005-0000-0000-00004B5B0000}"/>
    <cellStyle name="Output 4 2 3 3 2 3" xfId="24427" xr:uid="{00000000-0005-0000-0000-00004C5B0000}"/>
    <cellStyle name="Output 4 2 3 3 2 4" xfId="22258" xr:uid="{00000000-0005-0000-0000-00004D5B0000}"/>
    <cellStyle name="Output 4 2 3 3 3" xfId="10645" xr:uid="{00000000-0005-0000-0000-00004E5B0000}"/>
    <cellStyle name="Output 4 2 3 3 3 2" xfId="21542" xr:uid="{00000000-0005-0000-0000-00004F5B0000}"/>
    <cellStyle name="Output 4 2 3 3 3 3" xfId="25672" xr:uid="{00000000-0005-0000-0000-0000505B0000}"/>
    <cellStyle name="Output 4 2 3 3 3 4" xfId="27189" xr:uid="{00000000-0005-0000-0000-0000515B0000}"/>
    <cellStyle name="Output 4 2 3 3 4" xfId="14210" xr:uid="{00000000-0005-0000-0000-0000525B0000}"/>
    <cellStyle name="Output 4 2 3 3 5" xfId="22735" xr:uid="{00000000-0005-0000-0000-0000535B0000}"/>
    <cellStyle name="Output 4 2 3 3 6" xfId="23794" xr:uid="{00000000-0005-0000-0000-0000545B0000}"/>
    <cellStyle name="Output 4 2 3 4" xfId="5026" xr:uid="{00000000-0005-0000-0000-0000555B0000}"/>
    <cellStyle name="Output 4 2 3 4 2" xfId="9977" xr:uid="{00000000-0005-0000-0000-0000565B0000}"/>
    <cellStyle name="Output 4 2 3 4 2 2" xfId="20874" xr:uid="{00000000-0005-0000-0000-0000575B0000}"/>
    <cellStyle name="Output 4 2 3 4 2 3" xfId="25004" xr:uid="{00000000-0005-0000-0000-0000585B0000}"/>
    <cellStyle name="Output 4 2 3 4 2 4" xfId="26521" xr:uid="{00000000-0005-0000-0000-0000595B0000}"/>
    <cellStyle name="Output 4 2 3 4 3" xfId="10972" xr:uid="{00000000-0005-0000-0000-00005A5B0000}"/>
    <cellStyle name="Output 4 2 3 4 3 2" xfId="21869" xr:uid="{00000000-0005-0000-0000-00005B5B0000}"/>
    <cellStyle name="Output 4 2 3 4 3 3" xfId="25999" xr:uid="{00000000-0005-0000-0000-00005C5B0000}"/>
    <cellStyle name="Output 4 2 3 4 3 4" xfId="27516" xr:uid="{00000000-0005-0000-0000-00005D5B0000}"/>
    <cellStyle name="Output 4 2 3 4 4" xfId="15923" xr:uid="{00000000-0005-0000-0000-00005E5B0000}"/>
    <cellStyle name="Output 4 2 3 4 5" xfId="23315" xr:uid="{00000000-0005-0000-0000-00005F5B0000}"/>
    <cellStyle name="Output 4 2 3 4 6" xfId="22440" xr:uid="{00000000-0005-0000-0000-0000605B0000}"/>
    <cellStyle name="Output 4 2 3 5" xfId="5952" xr:uid="{00000000-0005-0000-0000-0000615B0000}"/>
    <cellStyle name="Output 4 2 3 5 2" xfId="16849" xr:uid="{00000000-0005-0000-0000-0000625B0000}"/>
    <cellStyle name="Output 4 2 3 5 3" xfId="23750" xr:uid="{00000000-0005-0000-0000-0000635B0000}"/>
    <cellStyle name="Output 4 2 3 5 4" xfId="22097" xr:uid="{00000000-0005-0000-0000-0000645B0000}"/>
    <cellStyle name="Output 4 2 3 6" xfId="10304" xr:uid="{00000000-0005-0000-0000-0000655B0000}"/>
    <cellStyle name="Output 4 2 3 6 2" xfId="21201" xr:uid="{00000000-0005-0000-0000-0000665B0000}"/>
    <cellStyle name="Output 4 2 3 6 3" xfId="25331" xr:uid="{00000000-0005-0000-0000-0000675B0000}"/>
    <cellStyle name="Output 4 2 3 6 4" xfId="26848" xr:uid="{00000000-0005-0000-0000-0000685B0000}"/>
    <cellStyle name="Output 4 2 3 7" xfId="11945" xr:uid="{00000000-0005-0000-0000-0000695B0000}"/>
    <cellStyle name="Output 4 2 3 8" xfId="22259" xr:uid="{00000000-0005-0000-0000-00006A5B0000}"/>
    <cellStyle name="Output 4 2 4" xfId="1367" xr:uid="{00000000-0005-0000-0000-00006B5B0000}"/>
    <cellStyle name="Output 4 2 4 2" xfId="3691" xr:uid="{00000000-0005-0000-0000-00006C5B0000}"/>
    <cellStyle name="Output 4 2 4 2 2" xfId="8642" xr:uid="{00000000-0005-0000-0000-00006D5B0000}"/>
    <cellStyle name="Output 4 2 4 2 2 2" xfId="19539" xr:uid="{00000000-0005-0000-0000-00006E5B0000}"/>
    <cellStyle name="Output 4 2 4 2 2 3" xfId="24536" xr:uid="{00000000-0005-0000-0000-00006F5B0000}"/>
    <cellStyle name="Output 4 2 4 2 2 4" xfId="26254" xr:uid="{00000000-0005-0000-0000-0000705B0000}"/>
    <cellStyle name="Output 4 2 4 2 3" xfId="10705" xr:uid="{00000000-0005-0000-0000-0000715B0000}"/>
    <cellStyle name="Output 4 2 4 2 3 2" xfId="21602" xr:uid="{00000000-0005-0000-0000-0000725B0000}"/>
    <cellStyle name="Output 4 2 4 2 3 3" xfId="25732" xr:uid="{00000000-0005-0000-0000-0000735B0000}"/>
    <cellStyle name="Output 4 2 4 2 3 4" xfId="27249" xr:uid="{00000000-0005-0000-0000-0000745B0000}"/>
    <cellStyle name="Output 4 2 4 2 4" xfId="14588" xr:uid="{00000000-0005-0000-0000-0000755B0000}"/>
    <cellStyle name="Output 4 2 4 2 5" xfId="22848" xr:uid="{00000000-0005-0000-0000-0000765B0000}"/>
    <cellStyle name="Output 4 2 4 2 6" xfId="24317" xr:uid="{00000000-0005-0000-0000-0000775B0000}"/>
    <cellStyle name="Output 4 2 4 3" xfId="5086" xr:uid="{00000000-0005-0000-0000-0000785B0000}"/>
    <cellStyle name="Output 4 2 4 3 2" xfId="10037" xr:uid="{00000000-0005-0000-0000-0000795B0000}"/>
    <cellStyle name="Output 4 2 4 3 2 2" xfId="20934" xr:uid="{00000000-0005-0000-0000-00007A5B0000}"/>
    <cellStyle name="Output 4 2 4 3 2 3" xfId="25064" xr:uid="{00000000-0005-0000-0000-00007B5B0000}"/>
    <cellStyle name="Output 4 2 4 3 2 4" xfId="26581" xr:uid="{00000000-0005-0000-0000-00007C5B0000}"/>
    <cellStyle name="Output 4 2 4 3 3" xfId="11032" xr:uid="{00000000-0005-0000-0000-00007D5B0000}"/>
    <cellStyle name="Output 4 2 4 3 3 2" xfId="21929" xr:uid="{00000000-0005-0000-0000-00007E5B0000}"/>
    <cellStyle name="Output 4 2 4 3 3 3" xfId="26059" xr:uid="{00000000-0005-0000-0000-00007F5B0000}"/>
    <cellStyle name="Output 4 2 4 3 3 4" xfId="27576" xr:uid="{00000000-0005-0000-0000-0000805B0000}"/>
    <cellStyle name="Output 4 2 4 3 4" xfId="15983" xr:uid="{00000000-0005-0000-0000-0000815B0000}"/>
    <cellStyle name="Output 4 2 4 3 5" xfId="23375" xr:uid="{00000000-0005-0000-0000-0000825B0000}"/>
    <cellStyle name="Output 4 2 4 3 6" xfId="22995" xr:uid="{00000000-0005-0000-0000-0000835B0000}"/>
    <cellStyle name="Output 4 2 4 4" xfId="6330" xr:uid="{00000000-0005-0000-0000-0000845B0000}"/>
    <cellStyle name="Output 4 2 4 4 2" xfId="17227" xr:uid="{00000000-0005-0000-0000-0000855B0000}"/>
    <cellStyle name="Output 4 2 4 4 3" xfId="23861" xr:uid="{00000000-0005-0000-0000-0000865B0000}"/>
    <cellStyle name="Output 4 2 4 4 4" xfId="22274" xr:uid="{00000000-0005-0000-0000-0000875B0000}"/>
    <cellStyle name="Output 4 2 4 5" xfId="10364" xr:uid="{00000000-0005-0000-0000-0000885B0000}"/>
    <cellStyle name="Output 4 2 4 5 2" xfId="21261" xr:uid="{00000000-0005-0000-0000-0000895B0000}"/>
    <cellStyle name="Output 4 2 4 5 3" xfId="25391" xr:uid="{00000000-0005-0000-0000-00008A5B0000}"/>
    <cellStyle name="Output 4 2 4 5 4" xfId="26908" xr:uid="{00000000-0005-0000-0000-00008B5B0000}"/>
    <cellStyle name="Output 4 2 4 6" xfId="12315" xr:uid="{00000000-0005-0000-0000-00008C5B0000}"/>
    <cellStyle name="Output 4 2 4 7" xfId="24882" xr:uid="{00000000-0005-0000-0000-00008D5B0000}"/>
    <cellStyle name="Output 4 2 5" xfId="2781" xr:uid="{00000000-0005-0000-0000-00008E5B0000}"/>
    <cellStyle name="Output 4 2 5 2" xfId="7732" xr:uid="{00000000-0005-0000-0000-00008F5B0000}"/>
    <cellStyle name="Output 4 2 5 2 2" xfId="18629" xr:uid="{00000000-0005-0000-0000-0000905B0000}"/>
    <cellStyle name="Output 4 2 5 2 3" xfId="24281" xr:uid="{00000000-0005-0000-0000-0000915B0000}"/>
    <cellStyle name="Output 4 2 5 2 4" xfId="24231" xr:uid="{00000000-0005-0000-0000-0000925B0000}"/>
    <cellStyle name="Output 4 2 5 3" xfId="10565" xr:uid="{00000000-0005-0000-0000-0000935B0000}"/>
    <cellStyle name="Output 4 2 5 3 2" xfId="21462" xr:uid="{00000000-0005-0000-0000-0000945B0000}"/>
    <cellStyle name="Output 4 2 5 3 3" xfId="25592" xr:uid="{00000000-0005-0000-0000-0000955B0000}"/>
    <cellStyle name="Output 4 2 5 3 4" xfId="27109" xr:uid="{00000000-0005-0000-0000-0000965B0000}"/>
    <cellStyle name="Output 4 2 5 4" xfId="13678" xr:uid="{00000000-0005-0000-0000-0000975B0000}"/>
    <cellStyle name="Output 4 2 5 5" xfId="22581" xr:uid="{00000000-0005-0000-0000-0000985B0000}"/>
    <cellStyle name="Output 4 2 5 6" xfId="22546" xr:uid="{00000000-0005-0000-0000-0000995B0000}"/>
    <cellStyle name="Output 4 2 6" xfId="4946" xr:uid="{00000000-0005-0000-0000-00009A5B0000}"/>
    <cellStyle name="Output 4 2 6 2" xfId="9897" xr:uid="{00000000-0005-0000-0000-00009B5B0000}"/>
    <cellStyle name="Output 4 2 6 2 2" xfId="20794" xr:uid="{00000000-0005-0000-0000-00009C5B0000}"/>
    <cellStyle name="Output 4 2 6 2 3" xfId="24924" xr:uid="{00000000-0005-0000-0000-00009D5B0000}"/>
    <cellStyle name="Output 4 2 6 2 4" xfId="26441" xr:uid="{00000000-0005-0000-0000-00009E5B0000}"/>
    <cellStyle name="Output 4 2 6 3" xfId="10892" xr:uid="{00000000-0005-0000-0000-00009F5B0000}"/>
    <cellStyle name="Output 4 2 6 3 2" xfId="21789" xr:uid="{00000000-0005-0000-0000-0000A05B0000}"/>
    <cellStyle name="Output 4 2 6 3 3" xfId="25919" xr:uid="{00000000-0005-0000-0000-0000A15B0000}"/>
    <cellStyle name="Output 4 2 6 3 4" xfId="27436" xr:uid="{00000000-0005-0000-0000-0000A25B0000}"/>
    <cellStyle name="Output 4 2 6 4" xfId="15843" xr:uid="{00000000-0005-0000-0000-0000A35B0000}"/>
    <cellStyle name="Output 4 2 6 5" xfId="23235" xr:uid="{00000000-0005-0000-0000-0000A45B0000}"/>
    <cellStyle name="Output 4 2 6 6" xfId="24719" xr:uid="{00000000-0005-0000-0000-0000A55B0000}"/>
    <cellStyle name="Output 4 2 7" xfId="5420" xr:uid="{00000000-0005-0000-0000-0000A65B0000}"/>
    <cellStyle name="Output 4 2 7 2" xfId="16317" xr:uid="{00000000-0005-0000-0000-0000A75B0000}"/>
    <cellStyle name="Output 4 2 7 3" xfId="23600" xr:uid="{00000000-0005-0000-0000-0000A85B0000}"/>
    <cellStyle name="Output 4 2 7 4" xfId="24663" xr:uid="{00000000-0005-0000-0000-0000A95B0000}"/>
    <cellStyle name="Output 4 2 8" xfId="10224" xr:uid="{00000000-0005-0000-0000-0000AA5B0000}"/>
    <cellStyle name="Output 4 2 8 2" xfId="21121" xr:uid="{00000000-0005-0000-0000-0000AB5B0000}"/>
    <cellStyle name="Output 4 2 8 3" xfId="25251" xr:uid="{00000000-0005-0000-0000-0000AC5B0000}"/>
    <cellStyle name="Output 4 2 8 4" xfId="26768" xr:uid="{00000000-0005-0000-0000-0000AD5B0000}"/>
    <cellStyle name="Output 4 2 9" xfId="11422" xr:uid="{00000000-0005-0000-0000-0000AE5B0000}"/>
    <cellStyle name="Output 4 3" xfId="621" xr:uid="{00000000-0005-0000-0000-0000AF5B0000}"/>
    <cellStyle name="Output 4 3 2" xfId="1153" xr:uid="{00000000-0005-0000-0000-0000B05B0000}"/>
    <cellStyle name="Output 4 3 2 2" xfId="2310" xr:uid="{00000000-0005-0000-0000-0000B15B0000}"/>
    <cellStyle name="Output 4 3 2 2 2" xfId="4622" xr:uid="{00000000-0005-0000-0000-0000B25B0000}"/>
    <cellStyle name="Output 4 3 2 2 2 2" xfId="9573" xr:uid="{00000000-0005-0000-0000-0000B35B0000}"/>
    <cellStyle name="Output 4 3 2 2 2 2 2" xfId="20470" xr:uid="{00000000-0005-0000-0000-0000B45B0000}"/>
    <cellStyle name="Output 4 3 2 2 2 2 3" xfId="24803" xr:uid="{00000000-0005-0000-0000-0000B55B0000}"/>
    <cellStyle name="Output 4 3 2 2 2 2 4" xfId="26379" xr:uid="{00000000-0005-0000-0000-0000B65B0000}"/>
    <cellStyle name="Output 4 3 2 2 2 3" xfId="10830" xr:uid="{00000000-0005-0000-0000-0000B75B0000}"/>
    <cellStyle name="Output 4 3 2 2 2 3 2" xfId="21727" xr:uid="{00000000-0005-0000-0000-0000B85B0000}"/>
    <cellStyle name="Output 4 3 2 2 2 3 3" xfId="25857" xr:uid="{00000000-0005-0000-0000-0000B95B0000}"/>
    <cellStyle name="Output 4 3 2 2 2 3 4" xfId="27374" xr:uid="{00000000-0005-0000-0000-0000BA5B0000}"/>
    <cellStyle name="Output 4 3 2 2 2 4" xfId="15519" xr:uid="{00000000-0005-0000-0000-0000BB5B0000}"/>
    <cellStyle name="Output 4 3 2 2 2 5" xfId="23116" xr:uid="{00000000-0005-0000-0000-0000BC5B0000}"/>
    <cellStyle name="Output 4 3 2 2 2 6" xfId="23932" xr:uid="{00000000-0005-0000-0000-0000BD5B0000}"/>
    <cellStyle name="Output 4 3 2 2 3" xfId="5210" xr:uid="{00000000-0005-0000-0000-0000BE5B0000}"/>
    <cellStyle name="Output 4 3 2 2 3 2" xfId="10161" xr:uid="{00000000-0005-0000-0000-0000BF5B0000}"/>
    <cellStyle name="Output 4 3 2 2 3 2 2" xfId="21058" xr:uid="{00000000-0005-0000-0000-0000C05B0000}"/>
    <cellStyle name="Output 4 3 2 2 3 2 3" xfId="25188" xr:uid="{00000000-0005-0000-0000-0000C15B0000}"/>
    <cellStyle name="Output 4 3 2 2 3 2 4" xfId="26705" xr:uid="{00000000-0005-0000-0000-0000C25B0000}"/>
    <cellStyle name="Output 4 3 2 2 3 3" xfId="11156" xr:uid="{00000000-0005-0000-0000-0000C35B0000}"/>
    <cellStyle name="Output 4 3 2 2 3 3 2" xfId="22053" xr:uid="{00000000-0005-0000-0000-0000C45B0000}"/>
    <cellStyle name="Output 4 3 2 2 3 3 3" xfId="26183" xr:uid="{00000000-0005-0000-0000-0000C55B0000}"/>
    <cellStyle name="Output 4 3 2 2 3 3 4" xfId="27700" xr:uid="{00000000-0005-0000-0000-0000C65B0000}"/>
    <cellStyle name="Output 4 3 2 2 3 4" xfId="16107" xr:uid="{00000000-0005-0000-0000-0000C75B0000}"/>
    <cellStyle name="Output 4 3 2 2 3 5" xfId="23499" xr:uid="{00000000-0005-0000-0000-0000C85B0000}"/>
    <cellStyle name="Output 4 3 2 2 3 6" xfId="22098" xr:uid="{00000000-0005-0000-0000-0000C95B0000}"/>
    <cellStyle name="Output 4 3 2 2 4" xfId="7261" xr:uid="{00000000-0005-0000-0000-0000CA5B0000}"/>
    <cellStyle name="Output 4 3 2 2 4 2" xfId="18158" xr:uid="{00000000-0005-0000-0000-0000CB5B0000}"/>
    <cellStyle name="Output 4 3 2 2 4 3" xfId="24129" xr:uid="{00000000-0005-0000-0000-0000CC5B0000}"/>
    <cellStyle name="Output 4 3 2 2 4 4" xfId="22449" xr:uid="{00000000-0005-0000-0000-0000CD5B0000}"/>
    <cellStyle name="Output 4 3 2 2 5" xfId="10488" xr:uid="{00000000-0005-0000-0000-0000CE5B0000}"/>
    <cellStyle name="Output 4 3 2 2 5 2" xfId="21385" xr:uid="{00000000-0005-0000-0000-0000CF5B0000}"/>
    <cellStyle name="Output 4 3 2 2 5 3" xfId="25515" xr:uid="{00000000-0005-0000-0000-0000D05B0000}"/>
    <cellStyle name="Output 4 3 2 2 5 4" xfId="27032" xr:uid="{00000000-0005-0000-0000-0000D15B0000}"/>
    <cellStyle name="Output 4 3 2 2 6" xfId="13222" xr:uid="{00000000-0005-0000-0000-0000D25B0000}"/>
    <cellStyle name="Output 4 3 2 2 7" xfId="24361" xr:uid="{00000000-0005-0000-0000-0000D35B0000}"/>
    <cellStyle name="Output 4 3 2 3" xfId="3477" xr:uid="{00000000-0005-0000-0000-0000D45B0000}"/>
    <cellStyle name="Output 4 3 2 3 2" xfId="8428" xr:uid="{00000000-0005-0000-0000-0000D55B0000}"/>
    <cellStyle name="Output 4 3 2 3 2 2" xfId="19325" xr:uid="{00000000-0005-0000-0000-0000D65B0000}"/>
    <cellStyle name="Output 4 3 2 3 2 3" xfId="24480" xr:uid="{00000000-0005-0000-0000-0000D75B0000}"/>
    <cellStyle name="Output 4 3 2 3 2 4" xfId="12100" xr:uid="{00000000-0005-0000-0000-0000D85B0000}"/>
    <cellStyle name="Output 4 3 2 3 3" xfId="10670" xr:uid="{00000000-0005-0000-0000-0000D95B0000}"/>
    <cellStyle name="Output 4 3 2 3 3 2" xfId="21567" xr:uid="{00000000-0005-0000-0000-0000DA5B0000}"/>
    <cellStyle name="Output 4 3 2 3 3 3" xfId="25697" xr:uid="{00000000-0005-0000-0000-0000DB5B0000}"/>
    <cellStyle name="Output 4 3 2 3 3 4" xfId="27214" xr:uid="{00000000-0005-0000-0000-0000DC5B0000}"/>
    <cellStyle name="Output 4 3 2 3 4" xfId="14374" xr:uid="{00000000-0005-0000-0000-0000DD5B0000}"/>
    <cellStyle name="Output 4 3 2 3 5" xfId="22788" xr:uid="{00000000-0005-0000-0000-0000DE5B0000}"/>
    <cellStyle name="Output 4 3 2 3 6" xfId="23152" xr:uid="{00000000-0005-0000-0000-0000DF5B0000}"/>
    <cellStyle name="Output 4 3 2 4" xfId="5051" xr:uid="{00000000-0005-0000-0000-0000E05B0000}"/>
    <cellStyle name="Output 4 3 2 4 2" xfId="10002" xr:uid="{00000000-0005-0000-0000-0000E15B0000}"/>
    <cellStyle name="Output 4 3 2 4 2 2" xfId="20899" xr:uid="{00000000-0005-0000-0000-0000E25B0000}"/>
    <cellStyle name="Output 4 3 2 4 2 3" xfId="25029" xr:uid="{00000000-0005-0000-0000-0000E35B0000}"/>
    <cellStyle name="Output 4 3 2 4 2 4" xfId="26546" xr:uid="{00000000-0005-0000-0000-0000E45B0000}"/>
    <cellStyle name="Output 4 3 2 4 3" xfId="10997" xr:uid="{00000000-0005-0000-0000-0000E55B0000}"/>
    <cellStyle name="Output 4 3 2 4 3 2" xfId="21894" xr:uid="{00000000-0005-0000-0000-0000E65B0000}"/>
    <cellStyle name="Output 4 3 2 4 3 3" xfId="26024" xr:uid="{00000000-0005-0000-0000-0000E75B0000}"/>
    <cellStyle name="Output 4 3 2 4 3 4" xfId="27541" xr:uid="{00000000-0005-0000-0000-0000E85B0000}"/>
    <cellStyle name="Output 4 3 2 4 4" xfId="15948" xr:uid="{00000000-0005-0000-0000-0000E95B0000}"/>
    <cellStyle name="Output 4 3 2 4 5" xfId="23340" xr:uid="{00000000-0005-0000-0000-0000EA5B0000}"/>
    <cellStyle name="Output 4 3 2 4 6" xfId="23843" xr:uid="{00000000-0005-0000-0000-0000EB5B0000}"/>
    <cellStyle name="Output 4 3 2 5" xfId="6116" xr:uid="{00000000-0005-0000-0000-0000EC5B0000}"/>
    <cellStyle name="Output 4 3 2 5 2" xfId="17013" xr:uid="{00000000-0005-0000-0000-0000ED5B0000}"/>
    <cellStyle name="Output 4 3 2 5 3" xfId="23803" xr:uid="{00000000-0005-0000-0000-0000EE5B0000}"/>
    <cellStyle name="Output 4 3 2 5 4" xfId="24661" xr:uid="{00000000-0005-0000-0000-0000EF5B0000}"/>
    <cellStyle name="Output 4 3 2 6" xfId="10329" xr:uid="{00000000-0005-0000-0000-0000F05B0000}"/>
    <cellStyle name="Output 4 3 2 6 2" xfId="21226" xr:uid="{00000000-0005-0000-0000-0000F15B0000}"/>
    <cellStyle name="Output 4 3 2 6 3" xfId="25356" xr:uid="{00000000-0005-0000-0000-0000F25B0000}"/>
    <cellStyle name="Output 4 3 2 6 4" xfId="26873" xr:uid="{00000000-0005-0000-0000-0000F35B0000}"/>
    <cellStyle name="Output 4 3 2 7" xfId="12104" xr:uid="{00000000-0005-0000-0000-0000F45B0000}"/>
    <cellStyle name="Output 4 3 2 8" xfId="22517" xr:uid="{00000000-0005-0000-0000-0000F55B0000}"/>
    <cellStyle name="Output 4 3 3" xfId="1392" xr:uid="{00000000-0005-0000-0000-0000F65B0000}"/>
    <cellStyle name="Output 4 3 3 2" xfId="3716" xr:uid="{00000000-0005-0000-0000-0000F75B0000}"/>
    <cellStyle name="Output 4 3 3 2 2" xfId="8667" xr:uid="{00000000-0005-0000-0000-0000F85B0000}"/>
    <cellStyle name="Output 4 3 3 2 2 2" xfId="19564" xr:uid="{00000000-0005-0000-0000-0000F95B0000}"/>
    <cellStyle name="Output 4 3 3 2 2 3" xfId="24561" xr:uid="{00000000-0005-0000-0000-0000FA5B0000}"/>
    <cellStyle name="Output 4 3 3 2 2 4" xfId="26279" xr:uid="{00000000-0005-0000-0000-0000FB5B0000}"/>
    <cellStyle name="Output 4 3 3 2 3" xfId="10730" xr:uid="{00000000-0005-0000-0000-0000FC5B0000}"/>
    <cellStyle name="Output 4 3 3 2 3 2" xfId="21627" xr:uid="{00000000-0005-0000-0000-0000FD5B0000}"/>
    <cellStyle name="Output 4 3 3 2 3 3" xfId="25757" xr:uid="{00000000-0005-0000-0000-0000FE5B0000}"/>
    <cellStyle name="Output 4 3 3 2 3 4" xfId="27274" xr:uid="{00000000-0005-0000-0000-0000FF5B0000}"/>
    <cellStyle name="Output 4 3 3 2 4" xfId="14613" xr:uid="{00000000-0005-0000-0000-0000005C0000}"/>
    <cellStyle name="Output 4 3 3 2 5" xfId="22873" xr:uid="{00000000-0005-0000-0000-0000015C0000}"/>
    <cellStyle name="Output 4 3 3 2 6" xfId="24086" xr:uid="{00000000-0005-0000-0000-0000025C0000}"/>
    <cellStyle name="Output 4 3 3 3" xfId="5111" xr:uid="{00000000-0005-0000-0000-0000035C0000}"/>
    <cellStyle name="Output 4 3 3 3 2" xfId="10062" xr:uid="{00000000-0005-0000-0000-0000045C0000}"/>
    <cellStyle name="Output 4 3 3 3 2 2" xfId="20959" xr:uid="{00000000-0005-0000-0000-0000055C0000}"/>
    <cellStyle name="Output 4 3 3 3 2 3" xfId="25089" xr:uid="{00000000-0005-0000-0000-0000065C0000}"/>
    <cellStyle name="Output 4 3 3 3 2 4" xfId="26606" xr:uid="{00000000-0005-0000-0000-0000075C0000}"/>
    <cellStyle name="Output 4 3 3 3 3" xfId="11057" xr:uid="{00000000-0005-0000-0000-0000085C0000}"/>
    <cellStyle name="Output 4 3 3 3 3 2" xfId="21954" xr:uid="{00000000-0005-0000-0000-0000095C0000}"/>
    <cellStyle name="Output 4 3 3 3 3 3" xfId="26084" xr:uid="{00000000-0005-0000-0000-00000A5C0000}"/>
    <cellStyle name="Output 4 3 3 3 3 4" xfId="27601" xr:uid="{00000000-0005-0000-0000-00000B5C0000}"/>
    <cellStyle name="Output 4 3 3 3 4" xfId="16008" xr:uid="{00000000-0005-0000-0000-00000C5C0000}"/>
    <cellStyle name="Output 4 3 3 3 5" xfId="23400" xr:uid="{00000000-0005-0000-0000-00000D5C0000}"/>
    <cellStyle name="Output 4 3 3 3 6" xfId="22207" xr:uid="{00000000-0005-0000-0000-00000E5C0000}"/>
    <cellStyle name="Output 4 3 3 4" xfId="6355" xr:uid="{00000000-0005-0000-0000-00000F5C0000}"/>
    <cellStyle name="Output 4 3 3 4 2" xfId="17252" xr:uid="{00000000-0005-0000-0000-0000105C0000}"/>
    <cellStyle name="Output 4 3 3 4 3" xfId="23886" xr:uid="{00000000-0005-0000-0000-0000115C0000}"/>
    <cellStyle name="Output 4 3 3 4 4" xfId="23913" xr:uid="{00000000-0005-0000-0000-0000125C0000}"/>
    <cellStyle name="Output 4 3 3 5" xfId="10389" xr:uid="{00000000-0005-0000-0000-0000135C0000}"/>
    <cellStyle name="Output 4 3 3 5 2" xfId="21286" xr:uid="{00000000-0005-0000-0000-0000145C0000}"/>
    <cellStyle name="Output 4 3 3 5 3" xfId="25416" xr:uid="{00000000-0005-0000-0000-0000155C0000}"/>
    <cellStyle name="Output 4 3 3 5 4" xfId="26933" xr:uid="{00000000-0005-0000-0000-0000165C0000}"/>
    <cellStyle name="Output 4 3 3 6" xfId="12334" xr:uid="{00000000-0005-0000-0000-0000175C0000}"/>
    <cellStyle name="Output 4 3 3 7" xfId="24028" xr:uid="{00000000-0005-0000-0000-0000185C0000}"/>
    <cellStyle name="Output 4 3 4" xfId="2945" xr:uid="{00000000-0005-0000-0000-0000195C0000}"/>
    <cellStyle name="Output 4 3 4 2" xfId="7896" xr:uid="{00000000-0005-0000-0000-00001A5C0000}"/>
    <cellStyle name="Output 4 3 4 2 2" xfId="18793" xr:uid="{00000000-0005-0000-0000-00001B5C0000}"/>
    <cellStyle name="Output 4 3 4 2 3" xfId="24326" xr:uid="{00000000-0005-0000-0000-00001C5C0000}"/>
    <cellStyle name="Output 4 3 4 2 4" xfId="22320" xr:uid="{00000000-0005-0000-0000-00001D5C0000}"/>
    <cellStyle name="Output 4 3 4 3" xfId="10590" xr:uid="{00000000-0005-0000-0000-00001E5C0000}"/>
    <cellStyle name="Output 4 3 4 3 2" xfId="21487" xr:uid="{00000000-0005-0000-0000-00001F5C0000}"/>
    <cellStyle name="Output 4 3 4 3 3" xfId="25617" xr:uid="{00000000-0005-0000-0000-0000205C0000}"/>
    <cellStyle name="Output 4 3 4 3 4" xfId="27134" xr:uid="{00000000-0005-0000-0000-0000215C0000}"/>
    <cellStyle name="Output 4 3 4 4" xfId="13842" xr:uid="{00000000-0005-0000-0000-0000225C0000}"/>
    <cellStyle name="Output 4 3 4 5" xfId="22630" xr:uid="{00000000-0005-0000-0000-0000235C0000}"/>
    <cellStyle name="Output 4 3 4 6" xfId="23762" xr:uid="{00000000-0005-0000-0000-0000245C0000}"/>
    <cellStyle name="Output 4 3 5" xfId="4971" xr:uid="{00000000-0005-0000-0000-0000255C0000}"/>
    <cellStyle name="Output 4 3 5 2" xfId="9922" xr:uid="{00000000-0005-0000-0000-0000265C0000}"/>
    <cellStyle name="Output 4 3 5 2 2" xfId="20819" xr:uid="{00000000-0005-0000-0000-0000275C0000}"/>
    <cellStyle name="Output 4 3 5 2 3" xfId="24949" xr:uid="{00000000-0005-0000-0000-0000285C0000}"/>
    <cellStyle name="Output 4 3 5 2 4" xfId="26466" xr:uid="{00000000-0005-0000-0000-0000295C0000}"/>
    <cellStyle name="Output 4 3 5 3" xfId="10917" xr:uid="{00000000-0005-0000-0000-00002A5C0000}"/>
    <cellStyle name="Output 4 3 5 3 2" xfId="21814" xr:uid="{00000000-0005-0000-0000-00002B5C0000}"/>
    <cellStyle name="Output 4 3 5 3 3" xfId="25944" xr:uid="{00000000-0005-0000-0000-00002C5C0000}"/>
    <cellStyle name="Output 4 3 5 3 4" xfId="27461" xr:uid="{00000000-0005-0000-0000-00002D5C0000}"/>
    <cellStyle name="Output 4 3 5 4" xfId="15868" xr:uid="{00000000-0005-0000-0000-00002E5C0000}"/>
    <cellStyle name="Output 4 3 5 5" xfId="23260" xr:uid="{00000000-0005-0000-0000-00002F5C0000}"/>
    <cellStyle name="Output 4 3 5 6" xfId="22954" xr:uid="{00000000-0005-0000-0000-0000305C0000}"/>
    <cellStyle name="Output 4 3 6" xfId="5584" xr:uid="{00000000-0005-0000-0000-0000315C0000}"/>
    <cellStyle name="Output 4 3 6 2" xfId="16481" xr:uid="{00000000-0005-0000-0000-0000325C0000}"/>
    <cellStyle name="Output 4 3 6 3" xfId="23646" xr:uid="{00000000-0005-0000-0000-0000335C0000}"/>
    <cellStyle name="Output 4 3 6 4" xfId="23826" xr:uid="{00000000-0005-0000-0000-0000345C0000}"/>
    <cellStyle name="Output 4 3 7" xfId="10249" xr:uid="{00000000-0005-0000-0000-0000355C0000}"/>
    <cellStyle name="Output 4 3 7 2" xfId="21146" xr:uid="{00000000-0005-0000-0000-0000365C0000}"/>
    <cellStyle name="Output 4 3 7 3" xfId="25276" xr:uid="{00000000-0005-0000-0000-0000375C0000}"/>
    <cellStyle name="Output 4 3 7 4" xfId="26793" xr:uid="{00000000-0005-0000-0000-0000385C0000}"/>
    <cellStyle name="Output 4 3 8" xfId="11583" xr:uid="{00000000-0005-0000-0000-0000395C0000}"/>
    <cellStyle name="Output 4 3 9" xfId="24021" xr:uid="{00000000-0005-0000-0000-00003A5C0000}"/>
    <cellStyle name="Output 4 4" xfId="888" xr:uid="{00000000-0005-0000-0000-00003B5C0000}"/>
    <cellStyle name="Output 4 4 2" xfId="2045" xr:uid="{00000000-0005-0000-0000-00003C5C0000}"/>
    <cellStyle name="Output 4 4 2 2" xfId="4357" xr:uid="{00000000-0005-0000-0000-00003D5C0000}"/>
    <cellStyle name="Output 4 4 2 2 2" xfId="9308" xr:uid="{00000000-0005-0000-0000-00003E5C0000}"/>
    <cellStyle name="Output 4 4 2 2 2 2" xfId="20205" xr:uid="{00000000-0005-0000-0000-00003F5C0000}"/>
    <cellStyle name="Output 4 4 2 2 2 3" xfId="24732" xr:uid="{00000000-0005-0000-0000-0000405C0000}"/>
    <cellStyle name="Output 4 4 2 2 2 4" xfId="26339" xr:uid="{00000000-0005-0000-0000-0000415C0000}"/>
    <cellStyle name="Output 4 4 2 2 3" xfId="10790" xr:uid="{00000000-0005-0000-0000-0000425C0000}"/>
    <cellStyle name="Output 4 4 2 2 3 2" xfId="21687" xr:uid="{00000000-0005-0000-0000-0000435C0000}"/>
    <cellStyle name="Output 4 4 2 2 3 3" xfId="25817" xr:uid="{00000000-0005-0000-0000-0000445C0000}"/>
    <cellStyle name="Output 4 4 2 2 3 4" xfId="27334" xr:uid="{00000000-0005-0000-0000-0000455C0000}"/>
    <cellStyle name="Output 4 4 2 2 4" xfId="15254" xr:uid="{00000000-0005-0000-0000-0000465C0000}"/>
    <cellStyle name="Output 4 4 2 2 5" xfId="23041" xr:uid="{00000000-0005-0000-0000-0000475C0000}"/>
    <cellStyle name="Output 4 4 2 2 6" xfId="24105" xr:uid="{00000000-0005-0000-0000-0000485C0000}"/>
    <cellStyle name="Output 4 4 2 3" xfId="5170" xr:uid="{00000000-0005-0000-0000-0000495C0000}"/>
    <cellStyle name="Output 4 4 2 3 2" xfId="10121" xr:uid="{00000000-0005-0000-0000-00004A5C0000}"/>
    <cellStyle name="Output 4 4 2 3 2 2" xfId="21018" xr:uid="{00000000-0005-0000-0000-00004B5C0000}"/>
    <cellStyle name="Output 4 4 2 3 2 3" xfId="25148" xr:uid="{00000000-0005-0000-0000-00004C5C0000}"/>
    <cellStyle name="Output 4 4 2 3 2 4" xfId="26665" xr:uid="{00000000-0005-0000-0000-00004D5C0000}"/>
    <cellStyle name="Output 4 4 2 3 3" xfId="11116" xr:uid="{00000000-0005-0000-0000-00004E5C0000}"/>
    <cellStyle name="Output 4 4 2 3 3 2" xfId="22013" xr:uid="{00000000-0005-0000-0000-00004F5C0000}"/>
    <cellStyle name="Output 4 4 2 3 3 3" xfId="26143" xr:uid="{00000000-0005-0000-0000-0000505C0000}"/>
    <cellStyle name="Output 4 4 2 3 3 4" xfId="27660" xr:uid="{00000000-0005-0000-0000-0000515C0000}"/>
    <cellStyle name="Output 4 4 2 3 4" xfId="16067" xr:uid="{00000000-0005-0000-0000-0000525C0000}"/>
    <cellStyle name="Output 4 4 2 3 5" xfId="23459" xr:uid="{00000000-0005-0000-0000-0000535C0000}"/>
    <cellStyle name="Output 4 4 2 3 6" xfId="24490" xr:uid="{00000000-0005-0000-0000-0000545C0000}"/>
    <cellStyle name="Output 4 4 2 4" xfId="6996" xr:uid="{00000000-0005-0000-0000-0000555C0000}"/>
    <cellStyle name="Output 4 4 2 4 2" xfId="17893" xr:uid="{00000000-0005-0000-0000-0000565C0000}"/>
    <cellStyle name="Output 4 4 2 4 3" xfId="24053" xr:uid="{00000000-0005-0000-0000-0000575C0000}"/>
    <cellStyle name="Output 4 4 2 4 4" xfId="24684" xr:uid="{00000000-0005-0000-0000-0000585C0000}"/>
    <cellStyle name="Output 4 4 2 5" xfId="10448" xr:uid="{00000000-0005-0000-0000-0000595C0000}"/>
    <cellStyle name="Output 4 4 2 5 2" xfId="21345" xr:uid="{00000000-0005-0000-0000-00005A5C0000}"/>
    <cellStyle name="Output 4 4 2 5 3" xfId="25475" xr:uid="{00000000-0005-0000-0000-00005B5C0000}"/>
    <cellStyle name="Output 4 4 2 5 4" xfId="26992" xr:uid="{00000000-0005-0000-0000-00005C5C0000}"/>
    <cellStyle name="Output 4 4 2 6" xfId="12963" xr:uid="{00000000-0005-0000-0000-00005D5C0000}"/>
    <cellStyle name="Output 4 4 2 7" xfId="22747" xr:uid="{00000000-0005-0000-0000-00005E5C0000}"/>
    <cellStyle name="Output 4 4 3" xfId="3212" xr:uid="{00000000-0005-0000-0000-00005F5C0000}"/>
    <cellStyle name="Output 4 4 3 2" xfId="8163" xr:uid="{00000000-0005-0000-0000-0000605C0000}"/>
    <cellStyle name="Output 4 4 3 2 2" xfId="19060" xr:uid="{00000000-0005-0000-0000-0000615C0000}"/>
    <cellStyle name="Output 4 4 3 2 3" xfId="24401" xr:uid="{00000000-0005-0000-0000-0000625C0000}"/>
    <cellStyle name="Output 4 4 3 2 4" xfId="22190" xr:uid="{00000000-0005-0000-0000-0000635C0000}"/>
    <cellStyle name="Output 4 4 3 3" xfId="10630" xr:uid="{00000000-0005-0000-0000-0000645C0000}"/>
    <cellStyle name="Output 4 4 3 3 2" xfId="21527" xr:uid="{00000000-0005-0000-0000-0000655C0000}"/>
    <cellStyle name="Output 4 4 3 3 3" xfId="25657" xr:uid="{00000000-0005-0000-0000-0000665C0000}"/>
    <cellStyle name="Output 4 4 3 3 4" xfId="27174" xr:uid="{00000000-0005-0000-0000-0000675C0000}"/>
    <cellStyle name="Output 4 4 3 4" xfId="14109" xr:uid="{00000000-0005-0000-0000-0000685C0000}"/>
    <cellStyle name="Output 4 4 3 5" xfId="22710" xr:uid="{00000000-0005-0000-0000-0000695C0000}"/>
    <cellStyle name="Output 4 4 3 6" xfId="24009" xr:uid="{00000000-0005-0000-0000-00006A5C0000}"/>
    <cellStyle name="Output 4 4 4" xfId="5011" xr:uid="{00000000-0005-0000-0000-00006B5C0000}"/>
    <cellStyle name="Output 4 4 4 2" xfId="9962" xr:uid="{00000000-0005-0000-0000-00006C5C0000}"/>
    <cellStyle name="Output 4 4 4 2 2" xfId="20859" xr:uid="{00000000-0005-0000-0000-00006D5C0000}"/>
    <cellStyle name="Output 4 4 4 2 3" xfId="24989" xr:uid="{00000000-0005-0000-0000-00006E5C0000}"/>
    <cellStyle name="Output 4 4 4 2 4" xfId="26506" xr:uid="{00000000-0005-0000-0000-00006F5C0000}"/>
    <cellStyle name="Output 4 4 4 3" xfId="10957" xr:uid="{00000000-0005-0000-0000-0000705C0000}"/>
    <cellStyle name="Output 4 4 4 3 2" xfId="21854" xr:uid="{00000000-0005-0000-0000-0000715C0000}"/>
    <cellStyle name="Output 4 4 4 3 3" xfId="25984" xr:uid="{00000000-0005-0000-0000-0000725C0000}"/>
    <cellStyle name="Output 4 4 4 3 4" xfId="27501" xr:uid="{00000000-0005-0000-0000-0000735C0000}"/>
    <cellStyle name="Output 4 4 4 4" xfId="15908" xr:uid="{00000000-0005-0000-0000-0000745C0000}"/>
    <cellStyle name="Output 4 4 4 5" xfId="23300" xr:uid="{00000000-0005-0000-0000-0000755C0000}"/>
    <cellStyle name="Output 4 4 4 6" xfId="22395" xr:uid="{00000000-0005-0000-0000-0000765C0000}"/>
    <cellStyle name="Output 4 4 5" xfId="5851" xr:uid="{00000000-0005-0000-0000-0000775C0000}"/>
    <cellStyle name="Output 4 4 5 2" xfId="16748" xr:uid="{00000000-0005-0000-0000-0000785C0000}"/>
    <cellStyle name="Output 4 4 5 3" xfId="23723" xr:uid="{00000000-0005-0000-0000-0000795C0000}"/>
    <cellStyle name="Output 4 4 5 4" xfId="22913" xr:uid="{00000000-0005-0000-0000-00007A5C0000}"/>
    <cellStyle name="Output 4 4 6" xfId="10289" xr:uid="{00000000-0005-0000-0000-00007B5C0000}"/>
    <cellStyle name="Output 4 4 6 2" xfId="21186" xr:uid="{00000000-0005-0000-0000-00007C5C0000}"/>
    <cellStyle name="Output 4 4 6 3" xfId="25316" xr:uid="{00000000-0005-0000-0000-00007D5C0000}"/>
    <cellStyle name="Output 4 4 6 4" xfId="26833" xr:uid="{00000000-0005-0000-0000-00007E5C0000}"/>
    <cellStyle name="Output 4 4 7" xfId="11845" xr:uid="{00000000-0005-0000-0000-00007F5C0000}"/>
    <cellStyle name="Output 4 4 8" xfId="22151" xr:uid="{00000000-0005-0000-0000-0000805C0000}"/>
    <cellStyle name="Output 4 5" xfId="2680" xr:uid="{00000000-0005-0000-0000-0000815C0000}"/>
    <cellStyle name="Output 4 5 2" xfId="7631" xr:uid="{00000000-0005-0000-0000-0000825C0000}"/>
    <cellStyle name="Output 4 5 2 2" xfId="18528" xr:uid="{00000000-0005-0000-0000-0000835C0000}"/>
    <cellStyle name="Output 4 5 2 3" xfId="24254" xr:uid="{00000000-0005-0000-0000-0000845C0000}"/>
    <cellStyle name="Output 4 5 2 4" xfId="22423" xr:uid="{00000000-0005-0000-0000-0000855C0000}"/>
    <cellStyle name="Output 4 5 3" xfId="10550" xr:uid="{00000000-0005-0000-0000-0000865C0000}"/>
    <cellStyle name="Output 4 5 3 2" xfId="21447" xr:uid="{00000000-0005-0000-0000-0000875C0000}"/>
    <cellStyle name="Output 4 5 3 3" xfId="25577" xr:uid="{00000000-0005-0000-0000-0000885C0000}"/>
    <cellStyle name="Output 4 5 3 4" xfId="27094" xr:uid="{00000000-0005-0000-0000-0000895C0000}"/>
    <cellStyle name="Output 4 5 4" xfId="13577" xr:uid="{00000000-0005-0000-0000-00008A5C0000}"/>
    <cellStyle name="Output 4 5 5" xfId="22554" xr:uid="{00000000-0005-0000-0000-00008B5C0000}"/>
    <cellStyle name="Output 4 5 6" xfId="22220" xr:uid="{00000000-0005-0000-0000-00008C5C0000}"/>
    <cellStyle name="Output 4 6" xfId="4931" xr:uid="{00000000-0005-0000-0000-00008D5C0000}"/>
    <cellStyle name="Output 4 6 2" xfId="9882" xr:uid="{00000000-0005-0000-0000-00008E5C0000}"/>
    <cellStyle name="Output 4 6 2 2" xfId="20779" xr:uid="{00000000-0005-0000-0000-00008F5C0000}"/>
    <cellStyle name="Output 4 6 2 3" xfId="24909" xr:uid="{00000000-0005-0000-0000-0000905C0000}"/>
    <cellStyle name="Output 4 6 2 4" xfId="26426" xr:uid="{00000000-0005-0000-0000-0000915C0000}"/>
    <cellStyle name="Output 4 6 3" xfId="10877" xr:uid="{00000000-0005-0000-0000-0000925C0000}"/>
    <cellStyle name="Output 4 6 3 2" xfId="21774" xr:uid="{00000000-0005-0000-0000-0000935C0000}"/>
    <cellStyle name="Output 4 6 3 3" xfId="25904" xr:uid="{00000000-0005-0000-0000-0000945C0000}"/>
    <cellStyle name="Output 4 6 3 4" xfId="27421" xr:uid="{00000000-0005-0000-0000-0000955C0000}"/>
    <cellStyle name="Output 4 6 4" xfId="15828" xr:uid="{00000000-0005-0000-0000-0000965C0000}"/>
    <cellStyle name="Output 4 6 5" xfId="23220" xr:uid="{00000000-0005-0000-0000-0000975C0000}"/>
    <cellStyle name="Output 4 6 6" xfId="22248" xr:uid="{00000000-0005-0000-0000-0000985C0000}"/>
    <cellStyle name="Output 4 7" xfId="5319" xr:uid="{00000000-0005-0000-0000-0000995C0000}"/>
    <cellStyle name="Output 4 7 2" xfId="16216" xr:uid="{00000000-0005-0000-0000-00009A5C0000}"/>
    <cellStyle name="Output 4 7 3" xfId="23574" xr:uid="{00000000-0005-0000-0000-00009B5C0000}"/>
    <cellStyle name="Output 4 7 4" xfId="22127" xr:uid="{00000000-0005-0000-0000-00009C5C0000}"/>
    <cellStyle name="Output 4 8" xfId="10209" xr:uid="{00000000-0005-0000-0000-00009D5C0000}"/>
    <cellStyle name="Output 4 8 2" xfId="21106" xr:uid="{00000000-0005-0000-0000-00009E5C0000}"/>
    <cellStyle name="Output 4 8 3" xfId="25236" xr:uid="{00000000-0005-0000-0000-00009F5C0000}"/>
    <cellStyle name="Output 4 8 4" xfId="26753" xr:uid="{00000000-0005-0000-0000-0000A05C0000}"/>
    <cellStyle name="Output 4 9" xfId="11322" xr:uid="{00000000-0005-0000-0000-0000A15C0000}"/>
    <cellStyle name="Output 5" xfId="341" xr:uid="{00000000-0005-0000-0000-0000A25C0000}"/>
    <cellStyle name="Output 5 10" xfId="23648" xr:uid="{00000000-0005-0000-0000-0000A35C0000}"/>
    <cellStyle name="Output 5 2" xfId="458" xr:uid="{00000000-0005-0000-0000-0000A45C0000}"/>
    <cellStyle name="Output 5 2 10" xfId="11218" xr:uid="{00000000-0005-0000-0000-0000A55C0000}"/>
    <cellStyle name="Output 5 2 2" xfId="723" xr:uid="{00000000-0005-0000-0000-0000A65C0000}"/>
    <cellStyle name="Output 5 2 2 2" xfId="1255" xr:uid="{00000000-0005-0000-0000-0000A75C0000}"/>
    <cellStyle name="Output 5 2 2 2 2" xfId="2412" xr:uid="{00000000-0005-0000-0000-0000A85C0000}"/>
    <cellStyle name="Output 5 2 2 2 2 2" xfId="4724" xr:uid="{00000000-0005-0000-0000-0000A95C0000}"/>
    <cellStyle name="Output 5 2 2 2 2 2 2" xfId="9675" xr:uid="{00000000-0005-0000-0000-0000AA5C0000}"/>
    <cellStyle name="Output 5 2 2 2 2 2 2 2" xfId="20572" xr:uid="{00000000-0005-0000-0000-0000AB5C0000}"/>
    <cellStyle name="Output 5 2 2 2 2 2 2 3" xfId="24829" xr:uid="{00000000-0005-0000-0000-0000AC5C0000}"/>
    <cellStyle name="Output 5 2 2 2 2 2 2 4" xfId="26395" xr:uid="{00000000-0005-0000-0000-0000AD5C0000}"/>
    <cellStyle name="Output 5 2 2 2 2 2 3" xfId="10846" xr:uid="{00000000-0005-0000-0000-0000AE5C0000}"/>
    <cellStyle name="Output 5 2 2 2 2 2 3 2" xfId="21743" xr:uid="{00000000-0005-0000-0000-0000AF5C0000}"/>
    <cellStyle name="Output 5 2 2 2 2 2 3 3" xfId="25873" xr:uid="{00000000-0005-0000-0000-0000B05C0000}"/>
    <cellStyle name="Output 5 2 2 2 2 2 3 4" xfId="27390" xr:uid="{00000000-0005-0000-0000-0000B15C0000}"/>
    <cellStyle name="Output 5 2 2 2 2 2 4" xfId="15621" xr:uid="{00000000-0005-0000-0000-0000B25C0000}"/>
    <cellStyle name="Output 5 2 2 2 2 2 5" xfId="23142" xr:uid="{00000000-0005-0000-0000-0000B35C0000}"/>
    <cellStyle name="Output 5 2 2 2 2 2 6" xfId="22239" xr:uid="{00000000-0005-0000-0000-0000B45C0000}"/>
    <cellStyle name="Output 5 2 2 2 2 3" xfId="5226" xr:uid="{00000000-0005-0000-0000-0000B55C0000}"/>
    <cellStyle name="Output 5 2 2 2 2 3 2" xfId="10177" xr:uid="{00000000-0005-0000-0000-0000B65C0000}"/>
    <cellStyle name="Output 5 2 2 2 2 3 2 2" xfId="21074" xr:uid="{00000000-0005-0000-0000-0000B75C0000}"/>
    <cellStyle name="Output 5 2 2 2 2 3 2 3" xfId="25204" xr:uid="{00000000-0005-0000-0000-0000B85C0000}"/>
    <cellStyle name="Output 5 2 2 2 2 3 2 4" xfId="26721" xr:uid="{00000000-0005-0000-0000-0000B95C0000}"/>
    <cellStyle name="Output 5 2 2 2 2 3 3" xfId="11172" xr:uid="{00000000-0005-0000-0000-0000BA5C0000}"/>
    <cellStyle name="Output 5 2 2 2 2 3 3 2" xfId="22069" xr:uid="{00000000-0005-0000-0000-0000BB5C0000}"/>
    <cellStyle name="Output 5 2 2 2 2 3 3 3" xfId="26199" xr:uid="{00000000-0005-0000-0000-0000BC5C0000}"/>
    <cellStyle name="Output 5 2 2 2 2 3 3 4" xfId="27716" xr:uid="{00000000-0005-0000-0000-0000BD5C0000}"/>
    <cellStyle name="Output 5 2 2 2 2 3 4" xfId="16123" xr:uid="{00000000-0005-0000-0000-0000BE5C0000}"/>
    <cellStyle name="Output 5 2 2 2 2 3 5" xfId="23515" xr:uid="{00000000-0005-0000-0000-0000BF5C0000}"/>
    <cellStyle name="Output 5 2 2 2 2 3 6" xfId="22513" xr:uid="{00000000-0005-0000-0000-0000C05C0000}"/>
    <cellStyle name="Output 5 2 2 2 2 4" xfId="7363" xr:uid="{00000000-0005-0000-0000-0000C15C0000}"/>
    <cellStyle name="Output 5 2 2 2 2 4 2" xfId="18260" xr:uid="{00000000-0005-0000-0000-0000C25C0000}"/>
    <cellStyle name="Output 5 2 2 2 2 4 3" xfId="24154" xr:uid="{00000000-0005-0000-0000-0000C35C0000}"/>
    <cellStyle name="Output 5 2 2 2 2 4 4" xfId="22577" xr:uid="{00000000-0005-0000-0000-0000C45C0000}"/>
    <cellStyle name="Output 5 2 2 2 2 5" xfId="10504" xr:uid="{00000000-0005-0000-0000-0000C55C0000}"/>
    <cellStyle name="Output 5 2 2 2 2 5 2" xfId="21401" xr:uid="{00000000-0005-0000-0000-0000C65C0000}"/>
    <cellStyle name="Output 5 2 2 2 2 5 3" xfId="25531" xr:uid="{00000000-0005-0000-0000-0000C75C0000}"/>
    <cellStyle name="Output 5 2 2 2 2 5 4" xfId="27048" xr:uid="{00000000-0005-0000-0000-0000C85C0000}"/>
    <cellStyle name="Output 5 2 2 2 2 6" xfId="13323" xr:uid="{00000000-0005-0000-0000-0000C95C0000}"/>
    <cellStyle name="Output 5 2 2 2 2 7" xfId="22352" xr:uid="{00000000-0005-0000-0000-0000CA5C0000}"/>
    <cellStyle name="Output 5 2 2 2 3" xfId="3579" xr:uid="{00000000-0005-0000-0000-0000CB5C0000}"/>
    <cellStyle name="Output 5 2 2 2 3 2" xfId="8530" xr:uid="{00000000-0005-0000-0000-0000CC5C0000}"/>
    <cellStyle name="Output 5 2 2 2 3 2 2" xfId="19427" xr:uid="{00000000-0005-0000-0000-0000CD5C0000}"/>
    <cellStyle name="Output 5 2 2 2 3 2 3" xfId="24505" xr:uid="{00000000-0005-0000-0000-0000CE5C0000}"/>
    <cellStyle name="Output 5 2 2 2 3 2 4" xfId="26235" xr:uid="{00000000-0005-0000-0000-0000CF5C0000}"/>
    <cellStyle name="Output 5 2 2 2 3 3" xfId="10686" xr:uid="{00000000-0005-0000-0000-0000D05C0000}"/>
    <cellStyle name="Output 5 2 2 2 3 3 2" xfId="21583" xr:uid="{00000000-0005-0000-0000-0000D15C0000}"/>
    <cellStyle name="Output 5 2 2 2 3 3 3" xfId="25713" xr:uid="{00000000-0005-0000-0000-0000D25C0000}"/>
    <cellStyle name="Output 5 2 2 2 3 3 4" xfId="27230" xr:uid="{00000000-0005-0000-0000-0000D35C0000}"/>
    <cellStyle name="Output 5 2 2 2 3 4" xfId="14476" xr:uid="{00000000-0005-0000-0000-0000D45C0000}"/>
    <cellStyle name="Output 5 2 2 2 3 5" xfId="22815" xr:uid="{00000000-0005-0000-0000-0000D55C0000}"/>
    <cellStyle name="Output 5 2 2 2 3 6" xfId="24291" xr:uid="{00000000-0005-0000-0000-0000D65C0000}"/>
    <cellStyle name="Output 5 2 2 2 4" xfId="5067" xr:uid="{00000000-0005-0000-0000-0000D75C0000}"/>
    <cellStyle name="Output 5 2 2 2 4 2" xfId="10018" xr:uid="{00000000-0005-0000-0000-0000D85C0000}"/>
    <cellStyle name="Output 5 2 2 2 4 2 2" xfId="20915" xr:uid="{00000000-0005-0000-0000-0000D95C0000}"/>
    <cellStyle name="Output 5 2 2 2 4 2 3" xfId="25045" xr:uid="{00000000-0005-0000-0000-0000DA5C0000}"/>
    <cellStyle name="Output 5 2 2 2 4 2 4" xfId="26562" xr:uid="{00000000-0005-0000-0000-0000DB5C0000}"/>
    <cellStyle name="Output 5 2 2 2 4 3" xfId="11013" xr:uid="{00000000-0005-0000-0000-0000DC5C0000}"/>
    <cellStyle name="Output 5 2 2 2 4 3 2" xfId="21910" xr:uid="{00000000-0005-0000-0000-0000DD5C0000}"/>
    <cellStyle name="Output 5 2 2 2 4 3 3" xfId="26040" xr:uid="{00000000-0005-0000-0000-0000DE5C0000}"/>
    <cellStyle name="Output 5 2 2 2 4 3 4" xfId="27557" xr:uid="{00000000-0005-0000-0000-0000DF5C0000}"/>
    <cellStyle name="Output 5 2 2 2 4 4" xfId="15964" xr:uid="{00000000-0005-0000-0000-0000E05C0000}"/>
    <cellStyle name="Output 5 2 2 2 4 5" xfId="23356" xr:uid="{00000000-0005-0000-0000-0000E15C0000}"/>
    <cellStyle name="Output 5 2 2 2 4 6" xfId="24267" xr:uid="{00000000-0005-0000-0000-0000E25C0000}"/>
    <cellStyle name="Output 5 2 2 2 5" xfId="6218" xr:uid="{00000000-0005-0000-0000-0000E35C0000}"/>
    <cellStyle name="Output 5 2 2 2 5 2" xfId="17115" xr:uid="{00000000-0005-0000-0000-0000E45C0000}"/>
    <cellStyle name="Output 5 2 2 2 5 3" xfId="23830" xr:uid="{00000000-0005-0000-0000-0000E55C0000}"/>
    <cellStyle name="Output 5 2 2 2 5 4" xfId="23160" xr:uid="{00000000-0005-0000-0000-0000E65C0000}"/>
    <cellStyle name="Output 5 2 2 2 6" xfId="10345" xr:uid="{00000000-0005-0000-0000-0000E75C0000}"/>
    <cellStyle name="Output 5 2 2 2 6 2" xfId="21242" xr:uid="{00000000-0005-0000-0000-0000E85C0000}"/>
    <cellStyle name="Output 5 2 2 2 6 3" xfId="25372" xr:uid="{00000000-0005-0000-0000-0000E95C0000}"/>
    <cellStyle name="Output 5 2 2 2 6 4" xfId="26889" xr:uid="{00000000-0005-0000-0000-0000EA5C0000}"/>
    <cellStyle name="Output 5 2 2 2 7" xfId="12205" xr:uid="{00000000-0005-0000-0000-0000EB5C0000}"/>
    <cellStyle name="Output 5 2 2 2 8" xfId="22991" xr:uid="{00000000-0005-0000-0000-0000EC5C0000}"/>
    <cellStyle name="Output 5 2 2 3" xfId="1408" xr:uid="{00000000-0005-0000-0000-0000ED5C0000}"/>
    <cellStyle name="Output 5 2 2 3 2" xfId="3732" xr:uid="{00000000-0005-0000-0000-0000EE5C0000}"/>
    <cellStyle name="Output 5 2 2 3 2 2" xfId="8683" xr:uid="{00000000-0005-0000-0000-0000EF5C0000}"/>
    <cellStyle name="Output 5 2 2 3 2 2 2" xfId="19580" xr:uid="{00000000-0005-0000-0000-0000F05C0000}"/>
    <cellStyle name="Output 5 2 2 3 2 2 3" xfId="24577" xr:uid="{00000000-0005-0000-0000-0000F15C0000}"/>
    <cellStyle name="Output 5 2 2 3 2 2 4" xfId="26295" xr:uid="{00000000-0005-0000-0000-0000F25C0000}"/>
    <cellStyle name="Output 5 2 2 3 2 3" xfId="10746" xr:uid="{00000000-0005-0000-0000-0000F35C0000}"/>
    <cellStyle name="Output 5 2 2 3 2 3 2" xfId="21643" xr:uid="{00000000-0005-0000-0000-0000F45C0000}"/>
    <cellStyle name="Output 5 2 2 3 2 3 3" xfId="25773" xr:uid="{00000000-0005-0000-0000-0000F55C0000}"/>
    <cellStyle name="Output 5 2 2 3 2 3 4" xfId="27290" xr:uid="{00000000-0005-0000-0000-0000F65C0000}"/>
    <cellStyle name="Output 5 2 2 3 2 4" xfId="14629" xr:uid="{00000000-0005-0000-0000-0000F75C0000}"/>
    <cellStyle name="Output 5 2 2 3 2 5" xfId="22889" xr:uid="{00000000-0005-0000-0000-0000F85C0000}"/>
    <cellStyle name="Output 5 2 2 3 2 6" xfId="24838" xr:uid="{00000000-0005-0000-0000-0000F95C0000}"/>
    <cellStyle name="Output 5 2 2 3 3" xfId="5127" xr:uid="{00000000-0005-0000-0000-0000FA5C0000}"/>
    <cellStyle name="Output 5 2 2 3 3 2" xfId="10078" xr:uid="{00000000-0005-0000-0000-0000FB5C0000}"/>
    <cellStyle name="Output 5 2 2 3 3 2 2" xfId="20975" xr:uid="{00000000-0005-0000-0000-0000FC5C0000}"/>
    <cellStyle name="Output 5 2 2 3 3 2 3" xfId="25105" xr:uid="{00000000-0005-0000-0000-0000FD5C0000}"/>
    <cellStyle name="Output 5 2 2 3 3 2 4" xfId="26622" xr:uid="{00000000-0005-0000-0000-0000FE5C0000}"/>
    <cellStyle name="Output 5 2 2 3 3 3" xfId="11073" xr:uid="{00000000-0005-0000-0000-0000FF5C0000}"/>
    <cellStyle name="Output 5 2 2 3 3 3 2" xfId="21970" xr:uid="{00000000-0005-0000-0000-0000005D0000}"/>
    <cellStyle name="Output 5 2 2 3 3 3 3" xfId="26100" xr:uid="{00000000-0005-0000-0000-0000015D0000}"/>
    <cellStyle name="Output 5 2 2 3 3 3 4" xfId="27617" xr:uid="{00000000-0005-0000-0000-0000025D0000}"/>
    <cellStyle name="Output 5 2 2 3 3 4" xfId="16024" xr:uid="{00000000-0005-0000-0000-0000035D0000}"/>
    <cellStyle name="Output 5 2 2 3 3 5" xfId="23416" xr:uid="{00000000-0005-0000-0000-0000045D0000}"/>
    <cellStyle name="Output 5 2 2 3 3 6" xfId="22168" xr:uid="{00000000-0005-0000-0000-0000055D0000}"/>
    <cellStyle name="Output 5 2 2 3 4" xfId="6371" xr:uid="{00000000-0005-0000-0000-0000065D0000}"/>
    <cellStyle name="Output 5 2 2 3 4 2" xfId="17268" xr:uid="{00000000-0005-0000-0000-0000075D0000}"/>
    <cellStyle name="Output 5 2 2 3 4 3" xfId="23902" xr:uid="{00000000-0005-0000-0000-0000085D0000}"/>
    <cellStyle name="Output 5 2 2 3 4 4" xfId="24411" xr:uid="{00000000-0005-0000-0000-0000095D0000}"/>
    <cellStyle name="Output 5 2 2 3 5" xfId="10405" xr:uid="{00000000-0005-0000-0000-00000A5D0000}"/>
    <cellStyle name="Output 5 2 2 3 5 2" xfId="21302" xr:uid="{00000000-0005-0000-0000-00000B5D0000}"/>
    <cellStyle name="Output 5 2 2 3 5 3" xfId="25432" xr:uid="{00000000-0005-0000-0000-00000C5D0000}"/>
    <cellStyle name="Output 5 2 2 3 5 4" xfId="26949" xr:uid="{00000000-0005-0000-0000-00000D5D0000}"/>
    <cellStyle name="Output 5 2 2 3 6" xfId="12348" xr:uid="{00000000-0005-0000-0000-00000E5D0000}"/>
    <cellStyle name="Output 5 2 2 3 7" xfId="24778" xr:uid="{00000000-0005-0000-0000-00000F5D0000}"/>
    <cellStyle name="Output 5 2 2 4" xfId="3047" xr:uid="{00000000-0005-0000-0000-0000105D0000}"/>
    <cellStyle name="Output 5 2 2 4 2" xfId="7998" xr:uid="{00000000-0005-0000-0000-0000115D0000}"/>
    <cellStyle name="Output 5 2 2 4 2 2" xfId="18895" xr:uid="{00000000-0005-0000-0000-0000125D0000}"/>
    <cellStyle name="Output 5 2 2 4 2 3" xfId="24349" xr:uid="{00000000-0005-0000-0000-0000135D0000}"/>
    <cellStyle name="Output 5 2 2 4 2 4" xfId="24712" xr:uid="{00000000-0005-0000-0000-0000145D0000}"/>
    <cellStyle name="Output 5 2 2 4 3" xfId="10606" xr:uid="{00000000-0005-0000-0000-0000155D0000}"/>
    <cellStyle name="Output 5 2 2 4 3 2" xfId="21503" xr:uid="{00000000-0005-0000-0000-0000165D0000}"/>
    <cellStyle name="Output 5 2 2 4 3 3" xfId="25633" xr:uid="{00000000-0005-0000-0000-0000175D0000}"/>
    <cellStyle name="Output 5 2 2 4 3 4" xfId="27150" xr:uid="{00000000-0005-0000-0000-0000185D0000}"/>
    <cellStyle name="Output 5 2 2 4 4" xfId="13944" xr:uid="{00000000-0005-0000-0000-0000195D0000}"/>
    <cellStyle name="Output 5 2 2 4 5" xfId="22653" xr:uid="{00000000-0005-0000-0000-00001A5D0000}"/>
    <cellStyle name="Output 5 2 2 4 6" xfId="23031" xr:uid="{00000000-0005-0000-0000-00001B5D0000}"/>
    <cellStyle name="Output 5 2 2 5" xfId="4987" xr:uid="{00000000-0005-0000-0000-00001C5D0000}"/>
    <cellStyle name="Output 5 2 2 5 2" xfId="9938" xr:uid="{00000000-0005-0000-0000-00001D5D0000}"/>
    <cellStyle name="Output 5 2 2 5 2 2" xfId="20835" xr:uid="{00000000-0005-0000-0000-00001E5D0000}"/>
    <cellStyle name="Output 5 2 2 5 2 3" xfId="24965" xr:uid="{00000000-0005-0000-0000-00001F5D0000}"/>
    <cellStyle name="Output 5 2 2 5 2 4" xfId="26482" xr:uid="{00000000-0005-0000-0000-0000205D0000}"/>
    <cellStyle name="Output 5 2 2 5 3" xfId="10933" xr:uid="{00000000-0005-0000-0000-0000215D0000}"/>
    <cellStyle name="Output 5 2 2 5 3 2" xfId="21830" xr:uid="{00000000-0005-0000-0000-0000225D0000}"/>
    <cellStyle name="Output 5 2 2 5 3 3" xfId="25960" xr:uid="{00000000-0005-0000-0000-0000235D0000}"/>
    <cellStyle name="Output 5 2 2 5 3 4" xfId="27477" xr:uid="{00000000-0005-0000-0000-0000245D0000}"/>
    <cellStyle name="Output 5 2 2 5 4" xfId="15884" xr:uid="{00000000-0005-0000-0000-0000255D0000}"/>
    <cellStyle name="Output 5 2 2 5 5" xfId="23276" xr:uid="{00000000-0005-0000-0000-0000265D0000}"/>
    <cellStyle name="Output 5 2 2 5 6" xfId="22368" xr:uid="{00000000-0005-0000-0000-0000275D0000}"/>
    <cellStyle name="Output 5 2 2 6" xfId="5686" xr:uid="{00000000-0005-0000-0000-0000285D0000}"/>
    <cellStyle name="Output 5 2 2 6 2" xfId="16583" xr:uid="{00000000-0005-0000-0000-0000295D0000}"/>
    <cellStyle name="Output 5 2 2 6 3" xfId="23673" xr:uid="{00000000-0005-0000-0000-00002A5D0000}"/>
    <cellStyle name="Output 5 2 2 6 4" xfId="22287" xr:uid="{00000000-0005-0000-0000-00002B5D0000}"/>
    <cellStyle name="Output 5 2 2 7" xfId="10265" xr:uid="{00000000-0005-0000-0000-00002C5D0000}"/>
    <cellStyle name="Output 5 2 2 7 2" xfId="21162" xr:uid="{00000000-0005-0000-0000-00002D5D0000}"/>
    <cellStyle name="Output 5 2 2 7 3" xfId="25292" xr:uid="{00000000-0005-0000-0000-00002E5D0000}"/>
    <cellStyle name="Output 5 2 2 7 4" xfId="26809" xr:uid="{00000000-0005-0000-0000-00002F5D0000}"/>
    <cellStyle name="Output 5 2 2 8" xfId="11684" xr:uid="{00000000-0005-0000-0000-0000305D0000}"/>
    <cellStyle name="Output 5 2 2 9" xfId="23812" xr:uid="{00000000-0005-0000-0000-0000315D0000}"/>
    <cellStyle name="Output 5 2 3" xfId="990" xr:uid="{00000000-0005-0000-0000-0000325D0000}"/>
    <cellStyle name="Output 5 2 3 2" xfId="2147" xr:uid="{00000000-0005-0000-0000-0000335D0000}"/>
    <cellStyle name="Output 5 2 3 2 2" xfId="4459" xr:uid="{00000000-0005-0000-0000-0000345D0000}"/>
    <cellStyle name="Output 5 2 3 2 2 2" xfId="9410" xr:uid="{00000000-0005-0000-0000-0000355D0000}"/>
    <cellStyle name="Output 5 2 3 2 2 2 2" xfId="20307" xr:uid="{00000000-0005-0000-0000-0000365D0000}"/>
    <cellStyle name="Output 5 2 3 2 2 2 3" xfId="24755" xr:uid="{00000000-0005-0000-0000-0000375D0000}"/>
    <cellStyle name="Output 5 2 3 2 2 2 4" xfId="26355" xr:uid="{00000000-0005-0000-0000-0000385D0000}"/>
    <cellStyle name="Output 5 2 3 2 2 3" xfId="10806" xr:uid="{00000000-0005-0000-0000-0000395D0000}"/>
    <cellStyle name="Output 5 2 3 2 2 3 2" xfId="21703" xr:uid="{00000000-0005-0000-0000-00003A5D0000}"/>
    <cellStyle name="Output 5 2 3 2 2 3 3" xfId="25833" xr:uid="{00000000-0005-0000-0000-00003B5D0000}"/>
    <cellStyle name="Output 5 2 3 2 2 3 4" xfId="27350" xr:uid="{00000000-0005-0000-0000-00003C5D0000}"/>
    <cellStyle name="Output 5 2 3 2 2 4" xfId="15356" xr:uid="{00000000-0005-0000-0000-00003D5D0000}"/>
    <cellStyle name="Output 5 2 3 2 2 5" xfId="23066" xr:uid="{00000000-0005-0000-0000-00003E5D0000}"/>
    <cellStyle name="Output 5 2 3 2 2 6" xfId="12449" xr:uid="{00000000-0005-0000-0000-00003F5D0000}"/>
    <cellStyle name="Output 5 2 3 2 3" xfId="5186" xr:uid="{00000000-0005-0000-0000-0000405D0000}"/>
    <cellStyle name="Output 5 2 3 2 3 2" xfId="10137" xr:uid="{00000000-0005-0000-0000-0000415D0000}"/>
    <cellStyle name="Output 5 2 3 2 3 2 2" xfId="21034" xr:uid="{00000000-0005-0000-0000-0000425D0000}"/>
    <cellStyle name="Output 5 2 3 2 3 2 3" xfId="25164" xr:uid="{00000000-0005-0000-0000-0000435D0000}"/>
    <cellStyle name="Output 5 2 3 2 3 2 4" xfId="26681" xr:uid="{00000000-0005-0000-0000-0000445D0000}"/>
    <cellStyle name="Output 5 2 3 2 3 3" xfId="11132" xr:uid="{00000000-0005-0000-0000-0000455D0000}"/>
    <cellStyle name="Output 5 2 3 2 3 3 2" xfId="22029" xr:uid="{00000000-0005-0000-0000-0000465D0000}"/>
    <cellStyle name="Output 5 2 3 2 3 3 3" xfId="26159" xr:uid="{00000000-0005-0000-0000-0000475D0000}"/>
    <cellStyle name="Output 5 2 3 2 3 3 4" xfId="27676" xr:uid="{00000000-0005-0000-0000-0000485D0000}"/>
    <cellStyle name="Output 5 2 3 2 3 4" xfId="16083" xr:uid="{00000000-0005-0000-0000-0000495D0000}"/>
    <cellStyle name="Output 5 2 3 2 3 5" xfId="23475" xr:uid="{00000000-0005-0000-0000-00004A5D0000}"/>
    <cellStyle name="Output 5 2 3 2 3 6" xfId="24449" xr:uid="{00000000-0005-0000-0000-00004B5D0000}"/>
    <cellStyle name="Output 5 2 3 2 4" xfId="7098" xr:uid="{00000000-0005-0000-0000-00004C5D0000}"/>
    <cellStyle name="Output 5 2 3 2 4 2" xfId="17995" xr:uid="{00000000-0005-0000-0000-00004D5D0000}"/>
    <cellStyle name="Output 5 2 3 2 4 3" xfId="24078" xr:uid="{00000000-0005-0000-0000-00004E5D0000}"/>
    <cellStyle name="Output 5 2 3 2 4 4" xfId="22771" xr:uid="{00000000-0005-0000-0000-00004F5D0000}"/>
    <cellStyle name="Output 5 2 3 2 5" xfId="10464" xr:uid="{00000000-0005-0000-0000-0000505D0000}"/>
    <cellStyle name="Output 5 2 3 2 5 2" xfId="21361" xr:uid="{00000000-0005-0000-0000-0000515D0000}"/>
    <cellStyle name="Output 5 2 3 2 5 3" xfId="25491" xr:uid="{00000000-0005-0000-0000-0000525D0000}"/>
    <cellStyle name="Output 5 2 3 2 5 4" xfId="27008" xr:uid="{00000000-0005-0000-0000-0000535D0000}"/>
    <cellStyle name="Output 5 2 3 2 6" xfId="13064" xr:uid="{00000000-0005-0000-0000-0000545D0000}"/>
    <cellStyle name="Output 5 2 3 2 7" xfId="22389" xr:uid="{00000000-0005-0000-0000-0000555D0000}"/>
    <cellStyle name="Output 5 2 3 3" xfId="3314" xr:uid="{00000000-0005-0000-0000-0000565D0000}"/>
    <cellStyle name="Output 5 2 3 3 2" xfId="8265" xr:uid="{00000000-0005-0000-0000-0000575D0000}"/>
    <cellStyle name="Output 5 2 3 3 2 2" xfId="19162" xr:uid="{00000000-0005-0000-0000-0000585D0000}"/>
    <cellStyle name="Output 5 2 3 3 2 3" xfId="24428" xr:uid="{00000000-0005-0000-0000-0000595D0000}"/>
    <cellStyle name="Output 5 2 3 3 2 4" xfId="22422" xr:uid="{00000000-0005-0000-0000-00005A5D0000}"/>
    <cellStyle name="Output 5 2 3 3 3" xfId="10646" xr:uid="{00000000-0005-0000-0000-00005B5D0000}"/>
    <cellStyle name="Output 5 2 3 3 3 2" xfId="21543" xr:uid="{00000000-0005-0000-0000-00005C5D0000}"/>
    <cellStyle name="Output 5 2 3 3 3 3" xfId="25673" xr:uid="{00000000-0005-0000-0000-00005D5D0000}"/>
    <cellStyle name="Output 5 2 3 3 3 4" xfId="27190" xr:uid="{00000000-0005-0000-0000-00005E5D0000}"/>
    <cellStyle name="Output 5 2 3 3 4" xfId="14211" xr:uid="{00000000-0005-0000-0000-00005F5D0000}"/>
    <cellStyle name="Output 5 2 3 3 5" xfId="22736" xr:uid="{00000000-0005-0000-0000-0000605D0000}"/>
    <cellStyle name="Output 5 2 3 3 6" xfId="24472" xr:uid="{00000000-0005-0000-0000-0000615D0000}"/>
    <cellStyle name="Output 5 2 3 4" xfId="5027" xr:uid="{00000000-0005-0000-0000-0000625D0000}"/>
    <cellStyle name="Output 5 2 3 4 2" xfId="9978" xr:uid="{00000000-0005-0000-0000-0000635D0000}"/>
    <cellStyle name="Output 5 2 3 4 2 2" xfId="20875" xr:uid="{00000000-0005-0000-0000-0000645D0000}"/>
    <cellStyle name="Output 5 2 3 4 2 3" xfId="25005" xr:uid="{00000000-0005-0000-0000-0000655D0000}"/>
    <cellStyle name="Output 5 2 3 4 2 4" xfId="26522" xr:uid="{00000000-0005-0000-0000-0000665D0000}"/>
    <cellStyle name="Output 5 2 3 4 3" xfId="10973" xr:uid="{00000000-0005-0000-0000-0000675D0000}"/>
    <cellStyle name="Output 5 2 3 4 3 2" xfId="21870" xr:uid="{00000000-0005-0000-0000-0000685D0000}"/>
    <cellStyle name="Output 5 2 3 4 3 3" xfId="26000" xr:uid="{00000000-0005-0000-0000-0000695D0000}"/>
    <cellStyle name="Output 5 2 3 4 3 4" xfId="27517" xr:uid="{00000000-0005-0000-0000-00006A5D0000}"/>
    <cellStyle name="Output 5 2 3 4 4" xfId="15924" xr:uid="{00000000-0005-0000-0000-00006B5D0000}"/>
    <cellStyle name="Output 5 2 3 4 5" xfId="23316" xr:uid="{00000000-0005-0000-0000-00006C5D0000}"/>
    <cellStyle name="Output 5 2 3 4 6" xfId="22226" xr:uid="{00000000-0005-0000-0000-00006D5D0000}"/>
    <cellStyle name="Output 5 2 3 5" xfId="5953" xr:uid="{00000000-0005-0000-0000-00006E5D0000}"/>
    <cellStyle name="Output 5 2 3 5 2" xfId="16850" xr:uid="{00000000-0005-0000-0000-00006F5D0000}"/>
    <cellStyle name="Output 5 2 3 5 3" xfId="23751" xr:uid="{00000000-0005-0000-0000-0000705D0000}"/>
    <cellStyle name="Output 5 2 3 5 4" xfId="23555" xr:uid="{00000000-0005-0000-0000-0000715D0000}"/>
    <cellStyle name="Output 5 2 3 6" xfId="10305" xr:uid="{00000000-0005-0000-0000-0000725D0000}"/>
    <cellStyle name="Output 5 2 3 6 2" xfId="21202" xr:uid="{00000000-0005-0000-0000-0000735D0000}"/>
    <cellStyle name="Output 5 2 3 6 3" xfId="25332" xr:uid="{00000000-0005-0000-0000-0000745D0000}"/>
    <cellStyle name="Output 5 2 3 6 4" xfId="26849" xr:uid="{00000000-0005-0000-0000-0000755D0000}"/>
    <cellStyle name="Output 5 2 3 7" xfId="11946" xr:uid="{00000000-0005-0000-0000-0000765D0000}"/>
    <cellStyle name="Output 5 2 3 8" xfId="22222" xr:uid="{00000000-0005-0000-0000-0000775D0000}"/>
    <cellStyle name="Output 5 2 4" xfId="1368" xr:uid="{00000000-0005-0000-0000-0000785D0000}"/>
    <cellStyle name="Output 5 2 4 2" xfId="3692" xr:uid="{00000000-0005-0000-0000-0000795D0000}"/>
    <cellStyle name="Output 5 2 4 2 2" xfId="8643" xr:uid="{00000000-0005-0000-0000-00007A5D0000}"/>
    <cellStyle name="Output 5 2 4 2 2 2" xfId="19540" xr:uid="{00000000-0005-0000-0000-00007B5D0000}"/>
    <cellStyle name="Output 5 2 4 2 2 3" xfId="24537" xr:uid="{00000000-0005-0000-0000-00007C5D0000}"/>
    <cellStyle name="Output 5 2 4 2 2 4" xfId="26255" xr:uid="{00000000-0005-0000-0000-00007D5D0000}"/>
    <cellStyle name="Output 5 2 4 2 3" xfId="10706" xr:uid="{00000000-0005-0000-0000-00007E5D0000}"/>
    <cellStyle name="Output 5 2 4 2 3 2" xfId="21603" xr:uid="{00000000-0005-0000-0000-00007F5D0000}"/>
    <cellStyle name="Output 5 2 4 2 3 3" xfId="25733" xr:uid="{00000000-0005-0000-0000-0000805D0000}"/>
    <cellStyle name="Output 5 2 4 2 3 4" xfId="27250" xr:uid="{00000000-0005-0000-0000-0000815D0000}"/>
    <cellStyle name="Output 5 2 4 2 4" xfId="14589" xr:uid="{00000000-0005-0000-0000-0000825D0000}"/>
    <cellStyle name="Output 5 2 4 2 5" xfId="22849" xr:uid="{00000000-0005-0000-0000-0000835D0000}"/>
    <cellStyle name="Output 5 2 4 2 6" xfId="22621" xr:uid="{00000000-0005-0000-0000-0000845D0000}"/>
    <cellStyle name="Output 5 2 4 3" xfId="5087" xr:uid="{00000000-0005-0000-0000-0000855D0000}"/>
    <cellStyle name="Output 5 2 4 3 2" xfId="10038" xr:uid="{00000000-0005-0000-0000-0000865D0000}"/>
    <cellStyle name="Output 5 2 4 3 2 2" xfId="20935" xr:uid="{00000000-0005-0000-0000-0000875D0000}"/>
    <cellStyle name="Output 5 2 4 3 2 3" xfId="25065" xr:uid="{00000000-0005-0000-0000-0000885D0000}"/>
    <cellStyle name="Output 5 2 4 3 2 4" xfId="26582" xr:uid="{00000000-0005-0000-0000-0000895D0000}"/>
    <cellStyle name="Output 5 2 4 3 3" xfId="11033" xr:uid="{00000000-0005-0000-0000-00008A5D0000}"/>
    <cellStyle name="Output 5 2 4 3 3 2" xfId="21930" xr:uid="{00000000-0005-0000-0000-00008B5D0000}"/>
    <cellStyle name="Output 5 2 4 3 3 3" xfId="26060" xr:uid="{00000000-0005-0000-0000-00008C5D0000}"/>
    <cellStyle name="Output 5 2 4 3 3 4" xfId="27577" xr:uid="{00000000-0005-0000-0000-00008D5D0000}"/>
    <cellStyle name="Output 5 2 4 3 4" xfId="15984" xr:uid="{00000000-0005-0000-0000-00008E5D0000}"/>
    <cellStyle name="Output 5 2 4 3 5" xfId="23376" xr:uid="{00000000-0005-0000-0000-00008F5D0000}"/>
    <cellStyle name="Output 5 2 4 3 6" xfId="22362" xr:uid="{00000000-0005-0000-0000-0000905D0000}"/>
    <cellStyle name="Output 5 2 4 4" xfId="6331" xr:uid="{00000000-0005-0000-0000-0000915D0000}"/>
    <cellStyle name="Output 5 2 4 4 2" xfId="17228" xr:uid="{00000000-0005-0000-0000-0000925D0000}"/>
    <cellStyle name="Output 5 2 4 4 3" xfId="23862" xr:uid="{00000000-0005-0000-0000-0000935D0000}"/>
    <cellStyle name="Output 5 2 4 4 4" xfId="23921" xr:uid="{00000000-0005-0000-0000-0000945D0000}"/>
    <cellStyle name="Output 5 2 4 5" xfId="10365" xr:uid="{00000000-0005-0000-0000-0000955D0000}"/>
    <cellStyle name="Output 5 2 4 5 2" xfId="21262" xr:uid="{00000000-0005-0000-0000-0000965D0000}"/>
    <cellStyle name="Output 5 2 4 5 3" xfId="25392" xr:uid="{00000000-0005-0000-0000-0000975D0000}"/>
    <cellStyle name="Output 5 2 4 5 4" xfId="26909" xr:uid="{00000000-0005-0000-0000-0000985D0000}"/>
    <cellStyle name="Output 5 2 4 6" xfId="12316" xr:uid="{00000000-0005-0000-0000-0000995D0000}"/>
    <cellStyle name="Output 5 2 4 7" xfId="23196" xr:uid="{00000000-0005-0000-0000-00009A5D0000}"/>
    <cellStyle name="Output 5 2 5" xfId="2782" xr:uid="{00000000-0005-0000-0000-00009B5D0000}"/>
    <cellStyle name="Output 5 2 5 2" xfId="7733" xr:uid="{00000000-0005-0000-0000-00009C5D0000}"/>
    <cellStyle name="Output 5 2 5 2 2" xfId="18630" xr:uid="{00000000-0005-0000-0000-00009D5D0000}"/>
    <cellStyle name="Output 5 2 5 2 3" xfId="24282" xr:uid="{00000000-0005-0000-0000-00009E5D0000}"/>
    <cellStyle name="Output 5 2 5 2 4" xfId="22530" xr:uid="{00000000-0005-0000-0000-00009F5D0000}"/>
    <cellStyle name="Output 5 2 5 3" xfId="10566" xr:uid="{00000000-0005-0000-0000-0000A05D0000}"/>
    <cellStyle name="Output 5 2 5 3 2" xfId="21463" xr:uid="{00000000-0005-0000-0000-0000A15D0000}"/>
    <cellStyle name="Output 5 2 5 3 3" xfId="25593" xr:uid="{00000000-0005-0000-0000-0000A25D0000}"/>
    <cellStyle name="Output 5 2 5 3 4" xfId="27110" xr:uid="{00000000-0005-0000-0000-0000A35D0000}"/>
    <cellStyle name="Output 5 2 5 4" xfId="13679" xr:uid="{00000000-0005-0000-0000-0000A45D0000}"/>
    <cellStyle name="Output 5 2 5 5" xfId="22582" xr:uid="{00000000-0005-0000-0000-0000A55D0000}"/>
    <cellStyle name="Output 5 2 5 6" xfId="23949" xr:uid="{00000000-0005-0000-0000-0000A65D0000}"/>
    <cellStyle name="Output 5 2 6" xfId="4947" xr:uid="{00000000-0005-0000-0000-0000A75D0000}"/>
    <cellStyle name="Output 5 2 6 2" xfId="9898" xr:uid="{00000000-0005-0000-0000-0000A85D0000}"/>
    <cellStyle name="Output 5 2 6 2 2" xfId="20795" xr:uid="{00000000-0005-0000-0000-0000A95D0000}"/>
    <cellStyle name="Output 5 2 6 2 3" xfId="24925" xr:uid="{00000000-0005-0000-0000-0000AA5D0000}"/>
    <cellStyle name="Output 5 2 6 2 4" xfId="26442" xr:uid="{00000000-0005-0000-0000-0000AB5D0000}"/>
    <cellStyle name="Output 5 2 6 3" xfId="10893" xr:uid="{00000000-0005-0000-0000-0000AC5D0000}"/>
    <cellStyle name="Output 5 2 6 3 2" xfId="21790" xr:uid="{00000000-0005-0000-0000-0000AD5D0000}"/>
    <cellStyle name="Output 5 2 6 3 3" xfId="25920" xr:uid="{00000000-0005-0000-0000-0000AE5D0000}"/>
    <cellStyle name="Output 5 2 6 3 4" xfId="27437" xr:uid="{00000000-0005-0000-0000-0000AF5D0000}"/>
    <cellStyle name="Output 5 2 6 4" xfId="15844" xr:uid="{00000000-0005-0000-0000-0000B05D0000}"/>
    <cellStyle name="Output 5 2 6 5" xfId="23236" xr:uid="{00000000-0005-0000-0000-0000B15D0000}"/>
    <cellStyle name="Output 5 2 6 6" xfId="23029" xr:uid="{00000000-0005-0000-0000-0000B25D0000}"/>
    <cellStyle name="Output 5 2 7" xfId="5421" xr:uid="{00000000-0005-0000-0000-0000B35D0000}"/>
    <cellStyle name="Output 5 2 7 2" xfId="16318" xr:uid="{00000000-0005-0000-0000-0000B45D0000}"/>
    <cellStyle name="Output 5 2 7 3" xfId="23601" xr:uid="{00000000-0005-0000-0000-0000B55D0000}"/>
    <cellStyle name="Output 5 2 7 4" xfId="22978" xr:uid="{00000000-0005-0000-0000-0000B65D0000}"/>
    <cellStyle name="Output 5 2 8" xfId="10225" xr:uid="{00000000-0005-0000-0000-0000B75D0000}"/>
    <cellStyle name="Output 5 2 8 2" xfId="21122" xr:uid="{00000000-0005-0000-0000-0000B85D0000}"/>
    <cellStyle name="Output 5 2 8 3" xfId="25252" xr:uid="{00000000-0005-0000-0000-0000B95D0000}"/>
    <cellStyle name="Output 5 2 8 4" xfId="26769" xr:uid="{00000000-0005-0000-0000-0000BA5D0000}"/>
    <cellStyle name="Output 5 2 9" xfId="11423" xr:uid="{00000000-0005-0000-0000-0000BB5D0000}"/>
    <cellStyle name="Output 5 3" xfId="622" xr:uid="{00000000-0005-0000-0000-0000BC5D0000}"/>
    <cellStyle name="Output 5 3 2" xfId="1154" xr:uid="{00000000-0005-0000-0000-0000BD5D0000}"/>
    <cellStyle name="Output 5 3 2 2" xfId="2311" xr:uid="{00000000-0005-0000-0000-0000BE5D0000}"/>
    <cellStyle name="Output 5 3 2 2 2" xfId="4623" xr:uid="{00000000-0005-0000-0000-0000BF5D0000}"/>
    <cellStyle name="Output 5 3 2 2 2 2" xfId="9574" xr:uid="{00000000-0005-0000-0000-0000C05D0000}"/>
    <cellStyle name="Output 5 3 2 2 2 2 2" xfId="20471" xr:uid="{00000000-0005-0000-0000-0000C15D0000}"/>
    <cellStyle name="Output 5 3 2 2 2 2 3" xfId="24804" xr:uid="{00000000-0005-0000-0000-0000C25D0000}"/>
    <cellStyle name="Output 5 3 2 2 2 2 4" xfId="26380" xr:uid="{00000000-0005-0000-0000-0000C35D0000}"/>
    <cellStyle name="Output 5 3 2 2 2 3" xfId="10831" xr:uid="{00000000-0005-0000-0000-0000C45D0000}"/>
    <cellStyle name="Output 5 3 2 2 2 3 2" xfId="21728" xr:uid="{00000000-0005-0000-0000-0000C55D0000}"/>
    <cellStyle name="Output 5 3 2 2 2 3 3" xfId="25858" xr:uid="{00000000-0005-0000-0000-0000C65D0000}"/>
    <cellStyle name="Output 5 3 2 2 2 3 4" xfId="27375" xr:uid="{00000000-0005-0000-0000-0000C75D0000}"/>
    <cellStyle name="Output 5 3 2 2 2 4" xfId="15520" xr:uid="{00000000-0005-0000-0000-0000C85D0000}"/>
    <cellStyle name="Output 5 3 2 2 2 5" xfId="23117" xr:uid="{00000000-0005-0000-0000-0000C95D0000}"/>
    <cellStyle name="Output 5 3 2 2 2 6" xfId="24607" xr:uid="{00000000-0005-0000-0000-0000CA5D0000}"/>
    <cellStyle name="Output 5 3 2 2 3" xfId="5211" xr:uid="{00000000-0005-0000-0000-0000CB5D0000}"/>
    <cellStyle name="Output 5 3 2 2 3 2" xfId="10162" xr:uid="{00000000-0005-0000-0000-0000CC5D0000}"/>
    <cellStyle name="Output 5 3 2 2 3 2 2" xfId="21059" xr:uid="{00000000-0005-0000-0000-0000CD5D0000}"/>
    <cellStyle name="Output 5 3 2 2 3 2 3" xfId="25189" xr:uid="{00000000-0005-0000-0000-0000CE5D0000}"/>
    <cellStyle name="Output 5 3 2 2 3 2 4" xfId="26706" xr:uid="{00000000-0005-0000-0000-0000CF5D0000}"/>
    <cellStyle name="Output 5 3 2 2 3 3" xfId="11157" xr:uid="{00000000-0005-0000-0000-0000D05D0000}"/>
    <cellStyle name="Output 5 3 2 2 3 3 2" xfId="22054" xr:uid="{00000000-0005-0000-0000-0000D15D0000}"/>
    <cellStyle name="Output 5 3 2 2 3 3 3" xfId="26184" xr:uid="{00000000-0005-0000-0000-0000D25D0000}"/>
    <cellStyle name="Output 5 3 2 2 3 3 4" xfId="27701" xr:uid="{00000000-0005-0000-0000-0000D35D0000}"/>
    <cellStyle name="Output 5 3 2 2 3 4" xfId="16108" xr:uid="{00000000-0005-0000-0000-0000D45D0000}"/>
    <cellStyle name="Output 5 3 2 2 3 5" xfId="23500" xr:uid="{00000000-0005-0000-0000-0000D55D0000}"/>
    <cellStyle name="Output 5 3 2 2 3 6" xfId="11248" xr:uid="{00000000-0005-0000-0000-0000D65D0000}"/>
    <cellStyle name="Output 5 3 2 2 4" xfId="7262" xr:uid="{00000000-0005-0000-0000-0000D75D0000}"/>
    <cellStyle name="Output 5 3 2 2 4 2" xfId="18159" xr:uid="{00000000-0005-0000-0000-0000D85D0000}"/>
    <cellStyle name="Output 5 3 2 2 4 3" xfId="24130" xr:uid="{00000000-0005-0000-0000-0000D95D0000}"/>
    <cellStyle name="Output 5 3 2 2 4 4" xfId="22234" xr:uid="{00000000-0005-0000-0000-0000DA5D0000}"/>
    <cellStyle name="Output 5 3 2 2 5" xfId="10489" xr:uid="{00000000-0005-0000-0000-0000DB5D0000}"/>
    <cellStyle name="Output 5 3 2 2 5 2" xfId="21386" xr:uid="{00000000-0005-0000-0000-0000DC5D0000}"/>
    <cellStyle name="Output 5 3 2 2 5 3" xfId="25516" xr:uid="{00000000-0005-0000-0000-0000DD5D0000}"/>
    <cellStyle name="Output 5 3 2 2 5 4" xfId="27033" xr:uid="{00000000-0005-0000-0000-0000DE5D0000}"/>
    <cellStyle name="Output 5 3 2 2 6" xfId="13223" xr:uid="{00000000-0005-0000-0000-0000DF5D0000}"/>
    <cellStyle name="Output 5 3 2 2 7" xfId="22665" xr:uid="{00000000-0005-0000-0000-0000E05D0000}"/>
    <cellStyle name="Output 5 3 2 3" xfId="3478" xr:uid="{00000000-0005-0000-0000-0000E15D0000}"/>
    <cellStyle name="Output 5 3 2 3 2" xfId="8429" xr:uid="{00000000-0005-0000-0000-0000E25D0000}"/>
    <cellStyle name="Output 5 3 2 3 2 2" xfId="19326" xr:uid="{00000000-0005-0000-0000-0000E35D0000}"/>
    <cellStyle name="Output 5 3 2 3 2 3" xfId="24481" xr:uid="{00000000-0005-0000-0000-0000E45D0000}"/>
    <cellStyle name="Output 5 3 2 3 2 4" xfId="13218" xr:uid="{00000000-0005-0000-0000-0000E55D0000}"/>
    <cellStyle name="Output 5 3 2 3 3" xfId="10671" xr:uid="{00000000-0005-0000-0000-0000E65D0000}"/>
    <cellStyle name="Output 5 3 2 3 3 2" xfId="21568" xr:uid="{00000000-0005-0000-0000-0000E75D0000}"/>
    <cellStyle name="Output 5 3 2 3 3 3" xfId="25698" xr:uid="{00000000-0005-0000-0000-0000E85D0000}"/>
    <cellStyle name="Output 5 3 2 3 3 4" xfId="27215" xr:uid="{00000000-0005-0000-0000-0000E95D0000}"/>
    <cellStyle name="Output 5 3 2 3 4" xfId="14375" xr:uid="{00000000-0005-0000-0000-0000EA5D0000}"/>
    <cellStyle name="Output 5 3 2 3 5" xfId="22789" xr:uid="{00000000-0005-0000-0000-0000EB5D0000}"/>
    <cellStyle name="Output 5 3 2 3 6" xfId="22456" xr:uid="{00000000-0005-0000-0000-0000EC5D0000}"/>
    <cellStyle name="Output 5 3 2 4" xfId="5052" xr:uid="{00000000-0005-0000-0000-0000ED5D0000}"/>
    <cellStyle name="Output 5 3 2 4 2" xfId="10003" xr:uid="{00000000-0005-0000-0000-0000EE5D0000}"/>
    <cellStyle name="Output 5 3 2 4 2 2" xfId="20900" xr:uid="{00000000-0005-0000-0000-0000EF5D0000}"/>
    <cellStyle name="Output 5 3 2 4 2 3" xfId="25030" xr:uid="{00000000-0005-0000-0000-0000F05D0000}"/>
    <cellStyle name="Output 5 3 2 4 2 4" xfId="26547" xr:uid="{00000000-0005-0000-0000-0000F15D0000}"/>
    <cellStyle name="Output 5 3 2 4 3" xfId="10998" xr:uid="{00000000-0005-0000-0000-0000F25D0000}"/>
    <cellStyle name="Output 5 3 2 4 3 2" xfId="21895" xr:uid="{00000000-0005-0000-0000-0000F35D0000}"/>
    <cellStyle name="Output 5 3 2 4 3 3" xfId="26025" xr:uid="{00000000-0005-0000-0000-0000F45D0000}"/>
    <cellStyle name="Output 5 3 2 4 3 4" xfId="27542" xr:uid="{00000000-0005-0000-0000-0000F55D0000}"/>
    <cellStyle name="Output 5 3 2 4 4" xfId="15949" xr:uid="{00000000-0005-0000-0000-0000F65D0000}"/>
    <cellStyle name="Output 5 3 2 4 5" xfId="23341" xr:uid="{00000000-0005-0000-0000-0000F75D0000}"/>
    <cellStyle name="Output 5 3 2 4 6" xfId="24519" xr:uid="{00000000-0005-0000-0000-0000F85D0000}"/>
    <cellStyle name="Output 5 3 2 5" xfId="6117" xr:uid="{00000000-0005-0000-0000-0000F95D0000}"/>
    <cellStyle name="Output 5 3 2 5 2" xfId="17014" xr:uid="{00000000-0005-0000-0000-0000FA5D0000}"/>
    <cellStyle name="Output 5 3 2 5 3" xfId="23804" xr:uid="{00000000-0005-0000-0000-0000FB5D0000}"/>
    <cellStyle name="Output 5 3 2 5 4" xfId="22976" xr:uid="{00000000-0005-0000-0000-0000FC5D0000}"/>
    <cellStyle name="Output 5 3 2 6" xfId="10330" xr:uid="{00000000-0005-0000-0000-0000FD5D0000}"/>
    <cellStyle name="Output 5 3 2 6 2" xfId="21227" xr:uid="{00000000-0005-0000-0000-0000FE5D0000}"/>
    <cellStyle name="Output 5 3 2 6 3" xfId="25357" xr:uid="{00000000-0005-0000-0000-0000FF5D0000}"/>
    <cellStyle name="Output 5 3 2 6 4" xfId="26874" xr:uid="{00000000-0005-0000-0000-0000005E0000}"/>
    <cellStyle name="Output 5 3 2 7" xfId="12105" xr:uid="{00000000-0005-0000-0000-0000015E0000}"/>
    <cellStyle name="Output 5 3 2 8" xfId="22291" xr:uid="{00000000-0005-0000-0000-0000025E0000}"/>
    <cellStyle name="Output 5 3 3" xfId="1393" xr:uid="{00000000-0005-0000-0000-0000035E0000}"/>
    <cellStyle name="Output 5 3 3 2" xfId="3717" xr:uid="{00000000-0005-0000-0000-0000045E0000}"/>
    <cellStyle name="Output 5 3 3 2 2" xfId="8668" xr:uid="{00000000-0005-0000-0000-0000055E0000}"/>
    <cellStyle name="Output 5 3 3 2 2 2" xfId="19565" xr:uid="{00000000-0005-0000-0000-0000065E0000}"/>
    <cellStyle name="Output 5 3 3 2 2 3" xfId="24562" xr:uid="{00000000-0005-0000-0000-0000075E0000}"/>
    <cellStyle name="Output 5 3 3 2 2 4" xfId="26280" xr:uid="{00000000-0005-0000-0000-0000085E0000}"/>
    <cellStyle name="Output 5 3 3 2 3" xfId="10731" xr:uid="{00000000-0005-0000-0000-0000095E0000}"/>
    <cellStyle name="Output 5 3 3 2 3 2" xfId="21628" xr:uid="{00000000-0005-0000-0000-00000A5E0000}"/>
    <cellStyle name="Output 5 3 3 2 3 3" xfId="25758" xr:uid="{00000000-0005-0000-0000-00000B5E0000}"/>
    <cellStyle name="Output 5 3 3 2 3 4" xfId="27275" xr:uid="{00000000-0005-0000-0000-00000C5E0000}"/>
    <cellStyle name="Output 5 3 3 2 4" xfId="14614" xr:uid="{00000000-0005-0000-0000-00000D5E0000}"/>
    <cellStyle name="Output 5 3 3 2 5" xfId="22874" xr:uid="{00000000-0005-0000-0000-00000E5E0000}"/>
    <cellStyle name="Output 5 3 3 2 6" xfId="24763" xr:uid="{00000000-0005-0000-0000-00000F5E0000}"/>
    <cellStyle name="Output 5 3 3 3" xfId="5112" xr:uid="{00000000-0005-0000-0000-0000105E0000}"/>
    <cellStyle name="Output 5 3 3 3 2" xfId="10063" xr:uid="{00000000-0005-0000-0000-0000115E0000}"/>
    <cellStyle name="Output 5 3 3 3 2 2" xfId="20960" xr:uid="{00000000-0005-0000-0000-0000125E0000}"/>
    <cellStyle name="Output 5 3 3 3 2 3" xfId="25090" xr:uid="{00000000-0005-0000-0000-0000135E0000}"/>
    <cellStyle name="Output 5 3 3 3 2 4" xfId="26607" xr:uid="{00000000-0005-0000-0000-0000145E0000}"/>
    <cellStyle name="Output 5 3 3 3 3" xfId="11058" xr:uid="{00000000-0005-0000-0000-0000155E0000}"/>
    <cellStyle name="Output 5 3 3 3 3 2" xfId="21955" xr:uid="{00000000-0005-0000-0000-0000165E0000}"/>
    <cellStyle name="Output 5 3 3 3 3 3" xfId="26085" xr:uid="{00000000-0005-0000-0000-0000175E0000}"/>
    <cellStyle name="Output 5 3 3 3 3 4" xfId="27602" xr:uid="{00000000-0005-0000-0000-0000185E0000}"/>
    <cellStyle name="Output 5 3 3 3 4" xfId="16009" xr:uid="{00000000-0005-0000-0000-0000195E0000}"/>
    <cellStyle name="Output 5 3 3 3 5" xfId="23401" xr:uid="{00000000-0005-0000-0000-00001A5E0000}"/>
    <cellStyle name="Output 5 3 3 3 6" xfId="23694" xr:uid="{00000000-0005-0000-0000-00001B5E0000}"/>
    <cellStyle name="Output 5 3 3 4" xfId="6356" xr:uid="{00000000-0005-0000-0000-00001C5E0000}"/>
    <cellStyle name="Output 5 3 3 4 2" xfId="17253" xr:uid="{00000000-0005-0000-0000-00001D5E0000}"/>
    <cellStyle name="Output 5 3 3 4 3" xfId="23887" xr:uid="{00000000-0005-0000-0000-00001E5E0000}"/>
    <cellStyle name="Output 5 3 3 4 4" xfId="24588" xr:uid="{00000000-0005-0000-0000-00001F5E0000}"/>
    <cellStyle name="Output 5 3 3 5" xfId="10390" xr:uid="{00000000-0005-0000-0000-0000205E0000}"/>
    <cellStyle name="Output 5 3 3 5 2" xfId="21287" xr:uid="{00000000-0005-0000-0000-0000215E0000}"/>
    <cellStyle name="Output 5 3 3 5 3" xfId="25417" xr:uid="{00000000-0005-0000-0000-0000225E0000}"/>
    <cellStyle name="Output 5 3 3 5 4" xfId="26934" xr:uid="{00000000-0005-0000-0000-0000235E0000}"/>
    <cellStyle name="Output 5 3 3 6" xfId="12335" xr:uid="{00000000-0005-0000-0000-0000245E0000}"/>
    <cellStyle name="Output 5 3 3 7" xfId="24706" xr:uid="{00000000-0005-0000-0000-0000255E0000}"/>
    <cellStyle name="Output 5 3 4" xfId="2946" xr:uid="{00000000-0005-0000-0000-0000265E0000}"/>
    <cellStyle name="Output 5 3 4 2" xfId="7897" xr:uid="{00000000-0005-0000-0000-0000275E0000}"/>
    <cellStyle name="Output 5 3 4 2 2" xfId="18794" xr:uid="{00000000-0005-0000-0000-0000285E0000}"/>
    <cellStyle name="Output 5 3 4 2 3" xfId="24327" xr:uid="{00000000-0005-0000-0000-0000295E0000}"/>
    <cellStyle name="Output 5 3 4 2 4" xfId="23745" xr:uid="{00000000-0005-0000-0000-00002A5E0000}"/>
    <cellStyle name="Output 5 3 4 3" xfId="10591" xr:uid="{00000000-0005-0000-0000-00002B5E0000}"/>
    <cellStyle name="Output 5 3 4 3 2" xfId="21488" xr:uid="{00000000-0005-0000-0000-00002C5E0000}"/>
    <cellStyle name="Output 5 3 4 3 3" xfId="25618" xr:uid="{00000000-0005-0000-0000-00002D5E0000}"/>
    <cellStyle name="Output 5 3 4 3 4" xfId="27135" xr:uid="{00000000-0005-0000-0000-00002E5E0000}"/>
    <cellStyle name="Output 5 3 4 4" xfId="13843" xr:uid="{00000000-0005-0000-0000-00002F5E0000}"/>
    <cellStyle name="Output 5 3 4 5" xfId="22631" xr:uid="{00000000-0005-0000-0000-0000305E0000}"/>
    <cellStyle name="Output 5 3 4 6" xfId="24439" xr:uid="{00000000-0005-0000-0000-0000315E0000}"/>
    <cellStyle name="Output 5 3 5" xfId="4972" xr:uid="{00000000-0005-0000-0000-0000325E0000}"/>
    <cellStyle name="Output 5 3 5 2" xfId="9923" xr:uid="{00000000-0005-0000-0000-0000335E0000}"/>
    <cellStyle name="Output 5 3 5 2 2" xfId="20820" xr:uid="{00000000-0005-0000-0000-0000345E0000}"/>
    <cellStyle name="Output 5 3 5 2 3" xfId="24950" xr:uid="{00000000-0005-0000-0000-0000355E0000}"/>
    <cellStyle name="Output 5 3 5 2 4" xfId="26467" xr:uid="{00000000-0005-0000-0000-0000365E0000}"/>
    <cellStyle name="Output 5 3 5 3" xfId="10918" xr:uid="{00000000-0005-0000-0000-0000375E0000}"/>
    <cellStyle name="Output 5 3 5 3 2" xfId="21815" xr:uid="{00000000-0005-0000-0000-0000385E0000}"/>
    <cellStyle name="Output 5 3 5 3 3" xfId="25945" xr:uid="{00000000-0005-0000-0000-0000395E0000}"/>
    <cellStyle name="Output 5 3 5 3 4" xfId="27462" xr:uid="{00000000-0005-0000-0000-00003A5E0000}"/>
    <cellStyle name="Output 5 3 5 4" xfId="15869" xr:uid="{00000000-0005-0000-0000-00003B5E0000}"/>
    <cellStyle name="Output 5 3 5 5" xfId="23261" xr:uid="{00000000-0005-0000-0000-00003C5E0000}"/>
    <cellStyle name="Output 5 3 5 6" xfId="22324" xr:uid="{00000000-0005-0000-0000-00003D5E0000}"/>
    <cellStyle name="Output 5 3 6" xfId="5585" xr:uid="{00000000-0005-0000-0000-00003E5E0000}"/>
    <cellStyle name="Output 5 3 6 2" xfId="16482" xr:uid="{00000000-0005-0000-0000-00003F5E0000}"/>
    <cellStyle name="Output 5 3 6 3" xfId="23647" xr:uid="{00000000-0005-0000-0000-0000405E0000}"/>
    <cellStyle name="Output 5 3 6 4" xfId="24501" xr:uid="{00000000-0005-0000-0000-0000415E0000}"/>
    <cellStyle name="Output 5 3 7" xfId="10250" xr:uid="{00000000-0005-0000-0000-0000425E0000}"/>
    <cellStyle name="Output 5 3 7 2" xfId="21147" xr:uid="{00000000-0005-0000-0000-0000435E0000}"/>
    <cellStyle name="Output 5 3 7 3" xfId="25277" xr:uid="{00000000-0005-0000-0000-0000445E0000}"/>
    <cellStyle name="Output 5 3 7 4" xfId="26794" xr:uid="{00000000-0005-0000-0000-0000455E0000}"/>
    <cellStyle name="Output 5 3 8" xfId="11584" xr:uid="{00000000-0005-0000-0000-0000465E0000}"/>
    <cellStyle name="Output 5 3 9" xfId="24699" xr:uid="{00000000-0005-0000-0000-0000475E0000}"/>
    <cellStyle name="Output 5 4" xfId="889" xr:uid="{00000000-0005-0000-0000-0000485E0000}"/>
    <cellStyle name="Output 5 4 2" xfId="2046" xr:uid="{00000000-0005-0000-0000-0000495E0000}"/>
    <cellStyle name="Output 5 4 2 2" xfId="4358" xr:uid="{00000000-0005-0000-0000-00004A5E0000}"/>
    <cellStyle name="Output 5 4 2 2 2" xfId="9309" xr:uid="{00000000-0005-0000-0000-00004B5E0000}"/>
    <cellStyle name="Output 5 4 2 2 2 2" xfId="20206" xr:uid="{00000000-0005-0000-0000-00004C5E0000}"/>
    <cellStyle name="Output 5 4 2 2 2 3" xfId="24733" xr:uid="{00000000-0005-0000-0000-00004D5E0000}"/>
    <cellStyle name="Output 5 4 2 2 2 4" xfId="26340" xr:uid="{00000000-0005-0000-0000-00004E5E0000}"/>
    <cellStyle name="Output 5 4 2 2 3" xfId="10791" xr:uid="{00000000-0005-0000-0000-00004F5E0000}"/>
    <cellStyle name="Output 5 4 2 2 3 2" xfId="21688" xr:uid="{00000000-0005-0000-0000-0000505E0000}"/>
    <cellStyle name="Output 5 4 2 2 3 3" xfId="25818" xr:uid="{00000000-0005-0000-0000-0000515E0000}"/>
    <cellStyle name="Output 5 4 2 2 3 4" xfId="27335" xr:uid="{00000000-0005-0000-0000-0000525E0000}"/>
    <cellStyle name="Output 5 4 2 2 4" xfId="15255" xr:uid="{00000000-0005-0000-0000-0000535E0000}"/>
    <cellStyle name="Output 5 4 2 2 5" xfId="23042" xr:uid="{00000000-0005-0000-0000-0000545E0000}"/>
    <cellStyle name="Output 5 4 2 2 6" xfId="24779" xr:uid="{00000000-0005-0000-0000-0000555E0000}"/>
    <cellStyle name="Output 5 4 2 3" xfId="5171" xr:uid="{00000000-0005-0000-0000-0000565E0000}"/>
    <cellStyle name="Output 5 4 2 3 2" xfId="10122" xr:uid="{00000000-0005-0000-0000-0000575E0000}"/>
    <cellStyle name="Output 5 4 2 3 2 2" xfId="21019" xr:uid="{00000000-0005-0000-0000-0000585E0000}"/>
    <cellStyle name="Output 5 4 2 3 2 3" xfId="25149" xr:uid="{00000000-0005-0000-0000-0000595E0000}"/>
    <cellStyle name="Output 5 4 2 3 2 4" xfId="26666" xr:uid="{00000000-0005-0000-0000-00005A5E0000}"/>
    <cellStyle name="Output 5 4 2 3 3" xfId="11117" xr:uid="{00000000-0005-0000-0000-00005B5E0000}"/>
    <cellStyle name="Output 5 4 2 3 3 2" xfId="22014" xr:uid="{00000000-0005-0000-0000-00005C5E0000}"/>
    <cellStyle name="Output 5 4 2 3 3 3" xfId="26144" xr:uid="{00000000-0005-0000-0000-00005D5E0000}"/>
    <cellStyle name="Output 5 4 2 3 3 4" xfId="27661" xr:uid="{00000000-0005-0000-0000-00005E5E0000}"/>
    <cellStyle name="Output 5 4 2 3 4" xfId="16068" xr:uid="{00000000-0005-0000-0000-00005F5E0000}"/>
    <cellStyle name="Output 5 4 2 3 5" xfId="23460" xr:uid="{00000000-0005-0000-0000-0000605E0000}"/>
    <cellStyle name="Output 5 4 2 3 6" xfId="22801" xr:uid="{00000000-0005-0000-0000-0000615E0000}"/>
    <cellStyle name="Output 5 4 2 4" xfId="6997" xr:uid="{00000000-0005-0000-0000-0000625E0000}"/>
    <cellStyle name="Output 5 4 2 4 2" xfId="17894" xr:uid="{00000000-0005-0000-0000-0000635E0000}"/>
    <cellStyle name="Output 5 4 2 4 3" xfId="24054" xr:uid="{00000000-0005-0000-0000-0000645E0000}"/>
    <cellStyle name="Output 5 4 2 4 4" xfId="22999" xr:uid="{00000000-0005-0000-0000-0000655E0000}"/>
    <cellStyle name="Output 5 4 2 5" xfId="10449" xr:uid="{00000000-0005-0000-0000-0000665E0000}"/>
    <cellStyle name="Output 5 4 2 5 2" xfId="21346" xr:uid="{00000000-0005-0000-0000-0000675E0000}"/>
    <cellStyle name="Output 5 4 2 5 3" xfId="25476" xr:uid="{00000000-0005-0000-0000-0000685E0000}"/>
    <cellStyle name="Output 5 4 2 5 4" xfId="26993" xr:uid="{00000000-0005-0000-0000-0000695E0000}"/>
    <cellStyle name="Output 5 4 2 6" xfId="12964" xr:uid="{00000000-0005-0000-0000-00006A5E0000}"/>
    <cellStyle name="Output 5 4 2 7" xfId="24089" xr:uid="{00000000-0005-0000-0000-00006B5E0000}"/>
    <cellStyle name="Output 5 4 3" xfId="3213" xr:uid="{00000000-0005-0000-0000-00006C5E0000}"/>
    <cellStyle name="Output 5 4 3 2" xfId="8164" xr:uid="{00000000-0005-0000-0000-00006D5E0000}"/>
    <cellStyle name="Output 5 4 3 2 2" xfId="19061" xr:uid="{00000000-0005-0000-0000-00006E5E0000}"/>
    <cellStyle name="Output 5 4 3 2 3" xfId="24402" xr:uid="{00000000-0005-0000-0000-00006F5E0000}"/>
    <cellStyle name="Output 5 4 3 2 4" xfId="23666" xr:uid="{00000000-0005-0000-0000-0000705E0000}"/>
    <cellStyle name="Output 5 4 3 3" xfId="10631" xr:uid="{00000000-0005-0000-0000-0000715E0000}"/>
    <cellStyle name="Output 5 4 3 3 2" xfId="21528" xr:uid="{00000000-0005-0000-0000-0000725E0000}"/>
    <cellStyle name="Output 5 4 3 3 3" xfId="25658" xr:uid="{00000000-0005-0000-0000-0000735E0000}"/>
    <cellStyle name="Output 5 4 3 3 4" xfId="27175" xr:uid="{00000000-0005-0000-0000-0000745E0000}"/>
    <cellStyle name="Output 5 4 3 4" xfId="14110" xr:uid="{00000000-0005-0000-0000-0000755E0000}"/>
    <cellStyle name="Output 5 4 3 5" xfId="22711" xr:uid="{00000000-0005-0000-0000-0000765E0000}"/>
    <cellStyle name="Output 5 4 3 6" xfId="24687" xr:uid="{00000000-0005-0000-0000-0000775E0000}"/>
    <cellStyle name="Output 5 4 4" xfId="5012" xr:uid="{00000000-0005-0000-0000-0000785E0000}"/>
    <cellStyle name="Output 5 4 4 2" xfId="9963" xr:uid="{00000000-0005-0000-0000-0000795E0000}"/>
    <cellStyle name="Output 5 4 4 2 2" xfId="20860" xr:uid="{00000000-0005-0000-0000-00007A5E0000}"/>
    <cellStyle name="Output 5 4 4 2 3" xfId="24990" xr:uid="{00000000-0005-0000-0000-00007B5E0000}"/>
    <cellStyle name="Output 5 4 4 2 4" xfId="26507" xr:uid="{00000000-0005-0000-0000-00007C5E0000}"/>
    <cellStyle name="Output 5 4 4 3" xfId="10958" xr:uid="{00000000-0005-0000-0000-00007D5E0000}"/>
    <cellStyle name="Output 5 4 4 3 2" xfId="21855" xr:uid="{00000000-0005-0000-0000-00007E5E0000}"/>
    <cellStyle name="Output 5 4 4 3 3" xfId="25985" xr:uid="{00000000-0005-0000-0000-00007F5E0000}"/>
    <cellStyle name="Output 5 4 4 3 4" xfId="27502" xr:uid="{00000000-0005-0000-0000-0000805E0000}"/>
    <cellStyle name="Output 5 4 4 4" xfId="15909" xr:uid="{00000000-0005-0000-0000-0000815E0000}"/>
    <cellStyle name="Output 5 4 4 5" xfId="23301" xr:uid="{00000000-0005-0000-0000-0000825E0000}"/>
    <cellStyle name="Output 5 4 4 6" xfId="22183" xr:uid="{00000000-0005-0000-0000-0000835E0000}"/>
    <cellStyle name="Output 5 4 5" xfId="5852" xr:uid="{00000000-0005-0000-0000-0000845E0000}"/>
    <cellStyle name="Output 5 4 5 2" xfId="16749" xr:uid="{00000000-0005-0000-0000-0000855E0000}"/>
    <cellStyle name="Output 5 4 5 3" xfId="23724" xr:uid="{00000000-0005-0000-0000-0000865E0000}"/>
    <cellStyle name="Output 5 4 5 4" xfId="24211" xr:uid="{00000000-0005-0000-0000-0000875E0000}"/>
    <cellStyle name="Output 5 4 6" xfId="10290" xr:uid="{00000000-0005-0000-0000-0000885E0000}"/>
    <cellStyle name="Output 5 4 6 2" xfId="21187" xr:uid="{00000000-0005-0000-0000-0000895E0000}"/>
    <cellStyle name="Output 5 4 6 3" xfId="25317" xr:uid="{00000000-0005-0000-0000-00008A5E0000}"/>
    <cellStyle name="Output 5 4 6 4" xfId="26834" xr:uid="{00000000-0005-0000-0000-00008B5E0000}"/>
    <cellStyle name="Output 5 4 7" xfId="11846" xr:uid="{00000000-0005-0000-0000-00008C5E0000}"/>
    <cellStyle name="Output 5 4 8" xfId="22106" xr:uid="{00000000-0005-0000-0000-00008D5E0000}"/>
    <cellStyle name="Output 5 5" xfId="2681" xr:uid="{00000000-0005-0000-0000-00008E5E0000}"/>
    <cellStyle name="Output 5 5 2" xfId="7632" xr:uid="{00000000-0005-0000-0000-00008F5E0000}"/>
    <cellStyle name="Output 5 5 2 2" xfId="18529" xr:uid="{00000000-0005-0000-0000-0000905E0000}"/>
    <cellStyle name="Output 5 5 2 3" xfId="24255" xr:uid="{00000000-0005-0000-0000-0000915E0000}"/>
    <cellStyle name="Output 5 5 2 4" xfId="22209" xr:uid="{00000000-0005-0000-0000-0000925E0000}"/>
    <cellStyle name="Output 5 5 3" xfId="10551" xr:uid="{00000000-0005-0000-0000-0000935E0000}"/>
    <cellStyle name="Output 5 5 3 2" xfId="21448" xr:uid="{00000000-0005-0000-0000-0000945E0000}"/>
    <cellStyle name="Output 5 5 3 3" xfId="25578" xr:uid="{00000000-0005-0000-0000-0000955E0000}"/>
    <cellStyle name="Output 5 5 3 4" xfId="27095" xr:uid="{00000000-0005-0000-0000-0000965E0000}"/>
    <cellStyle name="Output 5 5 4" xfId="13578" xr:uid="{00000000-0005-0000-0000-0000975E0000}"/>
    <cellStyle name="Output 5 5 5" xfId="22555" xr:uid="{00000000-0005-0000-0000-0000985E0000}"/>
    <cellStyle name="Output 5 5 6" xfId="22133" xr:uid="{00000000-0005-0000-0000-0000995E0000}"/>
    <cellStyle name="Output 5 6" xfId="4932" xr:uid="{00000000-0005-0000-0000-00009A5E0000}"/>
    <cellStyle name="Output 5 6 2" xfId="9883" xr:uid="{00000000-0005-0000-0000-00009B5E0000}"/>
    <cellStyle name="Output 5 6 2 2" xfId="20780" xr:uid="{00000000-0005-0000-0000-00009C5E0000}"/>
    <cellStyle name="Output 5 6 2 3" xfId="24910" xr:uid="{00000000-0005-0000-0000-00009D5E0000}"/>
    <cellStyle name="Output 5 6 2 4" xfId="26427" xr:uid="{00000000-0005-0000-0000-00009E5E0000}"/>
    <cellStyle name="Output 5 6 3" xfId="10878" xr:uid="{00000000-0005-0000-0000-00009F5E0000}"/>
    <cellStyle name="Output 5 6 3 2" xfId="21775" xr:uid="{00000000-0005-0000-0000-0000A05E0000}"/>
    <cellStyle name="Output 5 6 3 3" xfId="25905" xr:uid="{00000000-0005-0000-0000-0000A15E0000}"/>
    <cellStyle name="Output 5 6 3 4" xfId="27422" xr:uid="{00000000-0005-0000-0000-0000A25E0000}"/>
    <cellStyle name="Output 5 6 4" xfId="15829" xr:uid="{00000000-0005-0000-0000-0000A35E0000}"/>
    <cellStyle name="Output 5 6 5" xfId="23221" xr:uid="{00000000-0005-0000-0000-0000A45E0000}"/>
    <cellStyle name="Output 5 6 6" xfId="22159" xr:uid="{00000000-0005-0000-0000-0000A55E0000}"/>
    <cellStyle name="Output 5 7" xfId="5320" xr:uid="{00000000-0005-0000-0000-0000A65E0000}"/>
    <cellStyle name="Output 5 7 2" xfId="16217" xr:uid="{00000000-0005-0000-0000-0000A75E0000}"/>
    <cellStyle name="Output 5 7 3" xfId="23575" xr:uid="{00000000-0005-0000-0000-0000A85E0000}"/>
    <cellStyle name="Output 5 7 4" xfId="22257" xr:uid="{00000000-0005-0000-0000-0000A95E0000}"/>
    <cellStyle name="Output 5 8" xfId="10210" xr:uid="{00000000-0005-0000-0000-0000AA5E0000}"/>
    <cellStyle name="Output 5 8 2" xfId="21107" xr:uid="{00000000-0005-0000-0000-0000AB5E0000}"/>
    <cellStyle name="Output 5 8 3" xfId="25237" xr:uid="{00000000-0005-0000-0000-0000AC5E0000}"/>
    <cellStyle name="Output 5 8 4" xfId="26754" xr:uid="{00000000-0005-0000-0000-0000AD5E0000}"/>
    <cellStyle name="Output 5 9" xfId="11323" xr:uid="{00000000-0005-0000-0000-0000AE5E0000}"/>
    <cellStyle name="PAS Table Header" xfId="5251" xr:uid="{00000000-0005-0000-0000-0000AF5E0000}"/>
    <cellStyle name="PAS Table Header 2" xfId="10202" xr:uid="{00000000-0005-0000-0000-0000B05E0000}"/>
    <cellStyle name="PAS Table Header 2 2" xfId="21099" xr:uid="{00000000-0005-0000-0000-0000B15E0000}"/>
    <cellStyle name="PAS Table Header 2 3" xfId="25229" xr:uid="{00000000-0005-0000-0000-0000B25E0000}"/>
    <cellStyle name="PAS Table Header 2 4" xfId="26746" xr:uid="{00000000-0005-0000-0000-0000B35E0000}"/>
    <cellStyle name="PAS Table Header 3" xfId="11197" xr:uid="{00000000-0005-0000-0000-0000B45E0000}"/>
    <cellStyle name="PAS Table Header 3 2" xfId="22094" xr:uid="{00000000-0005-0000-0000-0000B55E0000}"/>
    <cellStyle name="PAS Table Header 3 3" xfId="26224" xr:uid="{00000000-0005-0000-0000-0000B65E0000}"/>
    <cellStyle name="PAS Table Header 3 4" xfId="27741" xr:uid="{00000000-0005-0000-0000-0000B75E0000}"/>
    <cellStyle name="PAS Table Header 4" xfId="16148" xr:uid="{00000000-0005-0000-0000-0000B85E0000}"/>
    <cellStyle name="PAS Table Header 5" xfId="23540" xr:uid="{00000000-0005-0000-0000-0000B95E0000}"/>
    <cellStyle name="PAS Table Header 6" xfId="23656" xr:uid="{00000000-0005-0000-0000-0000BA5E0000}"/>
    <cellStyle name="Percent" xfId="2" builtinId="5"/>
    <cellStyle name="Percent 10" xfId="342" xr:uid="{00000000-0005-0000-0000-0000BC5E0000}"/>
    <cellStyle name="Percent 10 2" xfId="412" xr:uid="{00000000-0005-0000-0000-0000BD5E0000}"/>
    <cellStyle name="Percent 10 2 2" xfId="542" xr:uid="{00000000-0005-0000-0000-0000BE5E0000}"/>
    <cellStyle name="Percent 10 2 2 2" xfId="807" xr:uid="{00000000-0005-0000-0000-0000BF5E0000}"/>
    <cellStyle name="Percent 10 2 2 2 2" xfId="1339" xr:uid="{00000000-0005-0000-0000-0000C05E0000}"/>
    <cellStyle name="Percent 10 2 2 2 2 2" xfId="2496" xr:uid="{00000000-0005-0000-0000-0000C15E0000}"/>
    <cellStyle name="Percent 10 2 2 2 2 2 2" xfId="4808" xr:uid="{00000000-0005-0000-0000-0000C25E0000}"/>
    <cellStyle name="Percent 10 2 2 2 2 2 2 2" xfId="9759" xr:uid="{00000000-0005-0000-0000-0000C35E0000}"/>
    <cellStyle name="Percent 10 2 2 2 2 2 2 2 2" xfId="20656" xr:uid="{00000000-0005-0000-0000-0000C45E0000}"/>
    <cellStyle name="Percent 10 2 2 2 2 2 2 3" xfId="15705" xr:uid="{00000000-0005-0000-0000-0000C55E0000}"/>
    <cellStyle name="Percent 10 2 2 2 2 2 3" xfId="7447" xr:uid="{00000000-0005-0000-0000-0000C65E0000}"/>
    <cellStyle name="Percent 10 2 2 2 2 2 3 2" xfId="18344" xr:uid="{00000000-0005-0000-0000-0000C75E0000}"/>
    <cellStyle name="Percent 10 2 2 2 2 2 4" xfId="13407" xr:uid="{00000000-0005-0000-0000-0000C85E0000}"/>
    <cellStyle name="Percent 10 2 2 2 2 3" xfId="3663" xr:uid="{00000000-0005-0000-0000-0000C95E0000}"/>
    <cellStyle name="Percent 10 2 2 2 2 3 2" xfId="8614" xr:uid="{00000000-0005-0000-0000-0000CA5E0000}"/>
    <cellStyle name="Percent 10 2 2 2 2 3 2 2" xfId="19511" xr:uid="{00000000-0005-0000-0000-0000CB5E0000}"/>
    <cellStyle name="Percent 10 2 2 2 2 3 3" xfId="14560" xr:uid="{00000000-0005-0000-0000-0000CC5E0000}"/>
    <cellStyle name="Percent 10 2 2 2 2 4" xfId="6302" xr:uid="{00000000-0005-0000-0000-0000CD5E0000}"/>
    <cellStyle name="Percent 10 2 2 2 2 4 2" xfId="17199" xr:uid="{00000000-0005-0000-0000-0000CE5E0000}"/>
    <cellStyle name="Percent 10 2 2 2 2 5" xfId="12289" xr:uid="{00000000-0005-0000-0000-0000CF5E0000}"/>
    <cellStyle name="Percent 10 2 2 2 3" xfId="1965" xr:uid="{00000000-0005-0000-0000-0000D05E0000}"/>
    <cellStyle name="Percent 10 2 2 2 3 2" xfId="4277" xr:uid="{00000000-0005-0000-0000-0000D15E0000}"/>
    <cellStyle name="Percent 10 2 2 2 3 2 2" xfId="9228" xr:uid="{00000000-0005-0000-0000-0000D25E0000}"/>
    <cellStyle name="Percent 10 2 2 2 3 2 2 2" xfId="20125" xr:uid="{00000000-0005-0000-0000-0000D35E0000}"/>
    <cellStyle name="Percent 10 2 2 2 3 2 3" xfId="15174" xr:uid="{00000000-0005-0000-0000-0000D45E0000}"/>
    <cellStyle name="Percent 10 2 2 2 3 3" xfId="6916" xr:uid="{00000000-0005-0000-0000-0000D55E0000}"/>
    <cellStyle name="Percent 10 2 2 2 3 3 2" xfId="17813" xr:uid="{00000000-0005-0000-0000-0000D65E0000}"/>
    <cellStyle name="Percent 10 2 2 2 3 4" xfId="12889" xr:uid="{00000000-0005-0000-0000-0000D75E0000}"/>
    <cellStyle name="Percent 10 2 2 2 4" xfId="3131" xr:uid="{00000000-0005-0000-0000-0000D85E0000}"/>
    <cellStyle name="Percent 10 2 2 2 4 2" xfId="8082" xr:uid="{00000000-0005-0000-0000-0000D95E0000}"/>
    <cellStyle name="Percent 10 2 2 2 4 2 2" xfId="18979" xr:uid="{00000000-0005-0000-0000-0000DA5E0000}"/>
    <cellStyle name="Percent 10 2 2 2 4 3" xfId="14028" xr:uid="{00000000-0005-0000-0000-0000DB5E0000}"/>
    <cellStyle name="Percent 10 2 2 2 5" xfId="5770" xr:uid="{00000000-0005-0000-0000-0000DC5E0000}"/>
    <cellStyle name="Percent 10 2 2 2 5 2" xfId="16667" xr:uid="{00000000-0005-0000-0000-0000DD5E0000}"/>
    <cellStyle name="Percent 10 2 2 2 6" xfId="11768" xr:uid="{00000000-0005-0000-0000-0000DE5E0000}"/>
    <cellStyle name="Percent 10 2 2 3" xfId="1074" xr:uid="{00000000-0005-0000-0000-0000DF5E0000}"/>
    <cellStyle name="Percent 10 2 2 3 2" xfId="2231" xr:uid="{00000000-0005-0000-0000-0000E05E0000}"/>
    <cellStyle name="Percent 10 2 2 3 2 2" xfId="4543" xr:uid="{00000000-0005-0000-0000-0000E15E0000}"/>
    <cellStyle name="Percent 10 2 2 3 2 2 2" xfId="9494" xr:uid="{00000000-0005-0000-0000-0000E25E0000}"/>
    <cellStyle name="Percent 10 2 2 3 2 2 2 2" xfId="20391" xr:uid="{00000000-0005-0000-0000-0000E35E0000}"/>
    <cellStyle name="Percent 10 2 2 3 2 2 3" xfId="15440" xr:uid="{00000000-0005-0000-0000-0000E45E0000}"/>
    <cellStyle name="Percent 10 2 2 3 2 3" xfId="7182" xr:uid="{00000000-0005-0000-0000-0000E55E0000}"/>
    <cellStyle name="Percent 10 2 2 3 2 3 2" xfId="18079" xr:uid="{00000000-0005-0000-0000-0000E65E0000}"/>
    <cellStyle name="Percent 10 2 2 3 2 4" xfId="13148" xr:uid="{00000000-0005-0000-0000-0000E75E0000}"/>
    <cellStyle name="Percent 10 2 2 3 3" xfId="3398" xr:uid="{00000000-0005-0000-0000-0000E85E0000}"/>
    <cellStyle name="Percent 10 2 2 3 3 2" xfId="8349" xr:uid="{00000000-0005-0000-0000-0000E95E0000}"/>
    <cellStyle name="Percent 10 2 2 3 3 2 2" xfId="19246" xr:uid="{00000000-0005-0000-0000-0000EA5E0000}"/>
    <cellStyle name="Percent 10 2 2 3 3 3" xfId="14295" xr:uid="{00000000-0005-0000-0000-0000EB5E0000}"/>
    <cellStyle name="Percent 10 2 2 3 4" xfId="6037" xr:uid="{00000000-0005-0000-0000-0000EC5E0000}"/>
    <cellStyle name="Percent 10 2 2 3 4 2" xfId="16934" xr:uid="{00000000-0005-0000-0000-0000ED5E0000}"/>
    <cellStyle name="Percent 10 2 2 3 5" xfId="12030" xr:uid="{00000000-0005-0000-0000-0000EE5E0000}"/>
    <cellStyle name="Percent 10 2 2 4" xfId="1732" xr:uid="{00000000-0005-0000-0000-0000EF5E0000}"/>
    <cellStyle name="Percent 10 2 2 4 2" xfId="4044" xr:uid="{00000000-0005-0000-0000-0000F05E0000}"/>
    <cellStyle name="Percent 10 2 2 4 2 2" xfId="8995" xr:uid="{00000000-0005-0000-0000-0000F15E0000}"/>
    <cellStyle name="Percent 10 2 2 4 2 2 2" xfId="19892" xr:uid="{00000000-0005-0000-0000-0000F25E0000}"/>
    <cellStyle name="Percent 10 2 2 4 2 3" xfId="14941" xr:uid="{00000000-0005-0000-0000-0000F35E0000}"/>
    <cellStyle name="Percent 10 2 2 4 3" xfId="6683" xr:uid="{00000000-0005-0000-0000-0000F45E0000}"/>
    <cellStyle name="Percent 10 2 2 4 3 2" xfId="17580" xr:uid="{00000000-0005-0000-0000-0000F55E0000}"/>
    <cellStyle name="Percent 10 2 2 4 4" xfId="12663" xr:uid="{00000000-0005-0000-0000-0000F65E0000}"/>
    <cellStyle name="Percent 10 2 2 5" xfId="2866" xr:uid="{00000000-0005-0000-0000-0000F75E0000}"/>
    <cellStyle name="Percent 10 2 2 5 2" xfId="7817" xr:uid="{00000000-0005-0000-0000-0000F85E0000}"/>
    <cellStyle name="Percent 10 2 2 5 2 2" xfId="18714" xr:uid="{00000000-0005-0000-0000-0000F95E0000}"/>
    <cellStyle name="Percent 10 2 2 5 3" xfId="13763" xr:uid="{00000000-0005-0000-0000-0000FA5E0000}"/>
    <cellStyle name="Percent 10 2 2 6" xfId="5505" xr:uid="{00000000-0005-0000-0000-0000FB5E0000}"/>
    <cellStyle name="Percent 10 2 2 6 2" xfId="16402" xr:uid="{00000000-0005-0000-0000-0000FC5E0000}"/>
    <cellStyle name="Percent 10 2 2 7" xfId="11507" xr:uid="{00000000-0005-0000-0000-0000FD5E0000}"/>
    <cellStyle name="Percent 10 2 3" xfId="678" xr:uid="{00000000-0005-0000-0000-0000FE5E0000}"/>
    <cellStyle name="Percent 10 2 3 2" xfId="1210" xr:uid="{00000000-0005-0000-0000-0000FF5E0000}"/>
    <cellStyle name="Percent 10 2 3 2 2" xfId="2367" xr:uid="{00000000-0005-0000-0000-0000005F0000}"/>
    <cellStyle name="Percent 10 2 3 2 2 2" xfId="4679" xr:uid="{00000000-0005-0000-0000-0000015F0000}"/>
    <cellStyle name="Percent 10 2 3 2 2 2 2" xfId="9630" xr:uid="{00000000-0005-0000-0000-0000025F0000}"/>
    <cellStyle name="Percent 10 2 3 2 2 2 2 2" xfId="20527" xr:uid="{00000000-0005-0000-0000-0000035F0000}"/>
    <cellStyle name="Percent 10 2 3 2 2 2 3" xfId="15576" xr:uid="{00000000-0005-0000-0000-0000045F0000}"/>
    <cellStyle name="Percent 10 2 3 2 2 3" xfId="7318" xr:uid="{00000000-0005-0000-0000-0000055F0000}"/>
    <cellStyle name="Percent 10 2 3 2 2 3 2" xfId="18215" xr:uid="{00000000-0005-0000-0000-0000065F0000}"/>
    <cellStyle name="Percent 10 2 3 2 2 4" xfId="13279" xr:uid="{00000000-0005-0000-0000-0000075F0000}"/>
    <cellStyle name="Percent 10 2 3 2 3" xfId="3534" xr:uid="{00000000-0005-0000-0000-0000085F0000}"/>
    <cellStyle name="Percent 10 2 3 2 3 2" xfId="8485" xr:uid="{00000000-0005-0000-0000-0000095F0000}"/>
    <cellStyle name="Percent 10 2 3 2 3 2 2" xfId="19382" xr:uid="{00000000-0005-0000-0000-00000A5F0000}"/>
    <cellStyle name="Percent 10 2 3 2 3 3" xfId="14431" xr:uid="{00000000-0005-0000-0000-00000B5F0000}"/>
    <cellStyle name="Percent 10 2 3 2 4" xfId="6173" xr:uid="{00000000-0005-0000-0000-00000C5F0000}"/>
    <cellStyle name="Percent 10 2 3 2 4 2" xfId="17070" xr:uid="{00000000-0005-0000-0000-00000D5F0000}"/>
    <cellStyle name="Percent 10 2 3 2 5" xfId="12161" xr:uid="{00000000-0005-0000-0000-00000E5F0000}"/>
    <cellStyle name="Percent 10 2 3 3" xfId="1851" xr:uid="{00000000-0005-0000-0000-00000F5F0000}"/>
    <cellStyle name="Percent 10 2 3 3 2" xfId="4163" xr:uid="{00000000-0005-0000-0000-0000105F0000}"/>
    <cellStyle name="Percent 10 2 3 3 2 2" xfId="9114" xr:uid="{00000000-0005-0000-0000-0000115F0000}"/>
    <cellStyle name="Percent 10 2 3 3 2 2 2" xfId="20011" xr:uid="{00000000-0005-0000-0000-0000125F0000}"/>
    <cellStyle name="Percent 10 2 3 3 2 3" xfId="15060" xr:uid="{00000000-0005-0000-0000-0000135F0000}"/>
    <cellStyle name="Percent 10 2 3 3 3" xfId="6802" xr:uid="{00000000-0005-0000-0000-0000145F0000}"/>
    <cellStyle name="Percent 10 2 3 3 3 2" xfId="17699" xr:uid="{00000000-0005-0000-0000-0000155F0000}"/>
    <cellStyle name="Percent 10 2 3 3 4" xfId="12776" xr:uid="{00000000-0005-0000-0000-0000165F0000}"/>
    <cellStyle name="Percent 10 2 3 4" xfId="3002" xr:uid="{00000000-0005-0000-0000-0000175F0000}"/>
    <cellStyle name="Percent 10 2 3 4 2" xfId="7953" xr:uid="{00000000-0005-0000-0000-0000185F0000}"/>
    <cellStyle name="Percent 10 2 3 4 2 2" xfId="18850" xr:uid="{00000000-0005-0000-0000-0000195F0000}"/>
    <cellStyle name="Percent 10 2 3 4 3" xfId="13899" xr:uid="{00000000-0005-0000-0000-00001A5F0000}"/>
    <cellStyle name="Percent 10 2 3 5" xfId="5641" xr:uid="{00000000-0005-0000-0000-00001B5F0000}"/>
    <cellStyle name="Percent 10 2 3 5 2" xfId="16538" xr:uid="{00000000-0005-0000-0000-00001C5F0000}"/>
    <cellStyle name="Percent 10 2 3 6" xfId="11640" xr:uid="{00000000-0005-0000-0000-00001D5F0000}"/>
    <cellStyle name="Percent 10 2 4" xfId="945" xr:uid="{00000000-0005-0000-0000-00001E5F0000}"/>
    <cellStyle name="Percent 10 2 4 2" xfId="2102" xr:uid="{00000000-0005-0000-0000-00001F5F0000}"/>
    <cellStyle name="Percent 10 2 4 2 2" xfId="4414" xr:uid="{00000000-0005-0000-0000-0000205F0000}"/>
    <cellStyle name="Percent 10 2 4 2 2 2" xfId="9365" xr:uid="{00000000-0005-0000-0000-0000215F0000}"/>
    <cellStyle name="Percent 10 2 4 2 2 2 2" xfId="20262" xr:uid="{00000000-0005-0000-0000-0000225F0000}"/>
    <cellStyle name="Percent 10 2 4 2 2 3" xfId="15311" xr:uid="{00000000-0005-0000-0000-0000235F0000}"/>
    <cellStyle name="Percent 10 2 4 2 3" xfId="7053" xr:uid="{00000000-0005-0000-0000-0000245F0000}"/>
    <cellStyle name="Percent 10 2 4 2 3 2" xfId="17950" xr:uid="{00000000-0005-0000-0000-0000255F0000}"/>
    <cellStyle name="Percent 10 2 4 2 4" xfId="13020" xr:uid="{00000000-0005-0000-0000-0000265F0000}"/>
    <cellStyle name="Percent 10 2 4 3" xfId="3269" xr:uid="{00000000-0005-0000-0000-0000275F0000}"/>
    <cellStyle name="Percent 10 2 4 3 2" xfId="8220" xr:uid="{00000000-0005-0000-0000-0000285F0000}"/>
    <cellStyle name="Percent 10 2 4 3 2 2" xfId="19117" xr:uid="{00000000-0005-0000-0000-0000295F0000}"/>
    <cellStyle name="Percent 10 2 4 3 3" xfId="14166" xr:uid="{00000000-0005-0000-0000-00002A5F0000}"/>
    <cellStyle name="Percent 10 2 4 4" xfId="5908" xr:uid="{00000000-0005-0000-0000-00002B5F0000}"/>
    <cellStyle name="Percent 10 2 4 4 2" xfId="16805" xr:uid="{00000000-0005-0000-0000-00002C5F0000}"/>
    <cellStyle name="Percent 10 2 4 5" xfId="11902" xr:uid="{00000000-0005-0000-0000-00002D5F0000}"/>
    <cellStyle name="Percent 10 2 5" xfId="1618" xr:uid="{00000000-0005-0000-0000-00002E5F0000}"/>
    <cellStyle name="Percent 10 2 5 2" xfId="3930" xr:uid="{00000000-0005-0000-0000-00002F5F0000}"/>
    <cellStyle name="Percent 10 2 5 2 2" xfId="8881" xr:uid="{00000000-0005-0000-0000-0000305F0000}"/>
    <cellStyle name="Percent 10 2 5 2 2 2" xfId="19778" xr:uid="{00000000-0005-0000-0000-0000315F0000}"/>
    <cellStyle name="Percent 10 2 5 2 3" xfId="14827" xr:uid="{00000000-0005-0000-0000-0000325F0000}"/>
    <cellStyle name="Percent 10 2 5 3" xfId="6569" xr:uid="{00000000-0005-0000-0000-0000335F0000}"/>
    <cellStyle name="Percent 10 2 5 3 2" xfId="17466" xr:uid="{00000000-0005-0000-0000-0000345F0000}"/>
    <cellStyle name="Percent 10 2 5 4" xfId="12550" xr:uid="{00000000-0005-0000-0000-0000355F0000}"/>
    <cellStyle name="Percent 10 2 6" xfId="2737" xr:uid="{00000000-0005-0000-0000-0000365F0000}"/>
    <cellStyle name="Percent 10 2 6 2" xfId="7688" xr:uid="{00000000-0005-0000-0000-0000375F0000}"/>
    <cellStyle name="Percent 10 2 6 2 2" xfId="18585" xr:uid="{00000000-0005-0000-0000-0000385F0000}"/>
    <cellStyle name="Percent 10 2 6 3" xfId="13634" xr:uid="{00000000-0005-0000-0000-0000395F0000}"/>
    <cellStyle name="Percent 10 2 7" xfId="5376" xr:uid="{00000000-0005-0000-0000-00003A5F0000}"/>
    <cellStyle name="Percent 10 2 7 2" xfId="16273" xr:uid="{00000000-0005-0000-0000-00003B5F0000}"/>
    <cellStyle name="Percent 10 2 8" xfId="11379" xr:uid="{00000000-0005-0000-0000-00003C5F0000}"/>
    <cellStyle name="Percent 10 3" xfId="491" xr:uid="{00000000-0005-0000-0000-00003D5F0000}"/>
    <cellStyle name="Percent 10 3 2" xfId="756" xr:uid="{00000000-0005-0000-0000-00003E5F0000}"/>
    <cellStyle name="Percent 10 3 2 2" xfId="1288" xr:uid="{00000000-0005-0000-0000-00003F5F0000}"/>
    <cellStyle name="Percent 10 3 2 2 2" xfId="2445" xr:uid="{00000000-0005-0000-0000-0000405F0000}"/>
    <cellStyle name="Percent 10 3 2 2 2 2" xfId="4757" xr:uid="{00000000-0005-0000-0000-0000415F0000}"/>
    <cellStyle name="Percent 10 3 2 2 2 2 2" xfId="9708" xr:uid="{00000000-0005-0000-0000-0000425F0000}"/>
    <cellStyle name="Percent 10 3 2 2 2 2 2 2" xfId="20605" xr:uid="{00000000-0005-0000-0000-0000435F0000}"/>
    <cellStyle name="Percent 10 3 2 2 2 2 3" xfId="15654" xr:uid="{00000000-0005-0000-0000-0000445F0000}"/>
    <cellStyle name="Percent 10 3 2 2 2 3" xfId="7396" xr:uid="{00000000-0005-0000-0000-0000455F0000}"/>
    <cellStyle name="Percent 10 3 2 2 2 3 2" xfId="18293" xr:uid="{00000000-0005-0000-0000-0000465F0000}"/>
    <cellStyle name="Percent 10 3 2 2 2 4" xfId="13356" xr:uid="{00000000-0005-0000-0000-0000475F0000}"/>
    <cellStyle name="Percent 10 3 2 2 3" xfId="3612" xr:uid="{00000000-0005-0000-0000-0000485F0000}"/>
    <cellStyle name="Percent 10 3 2 2 3 2" xfId="8563" xr:uid="{00000000-0005-0000-0000-0000495F0000}"/>
    <cellStyle name="Percent 10 3 2 2 3 2 2" xfId="19460" xr:uid="{00000000-0005-0000-0000-00004A5F0000}"/>
    <cellStyle name="Percent 10 3 2 2 3 3" xfId="14509" xr:uid="{00000000-0005-0000-0000-00004B5F0000}"/>
    <cellStyle name="Percent 10 3 2 2 4" xfId="6251" xr:uid="{00000000-0005-0000-0000-00004C5F0000}"/>
    <cellStyle name="Percent 10 3 2 2 4 2" xfId="17148" xr:uid="{00000000-0005-0000-0000-00004D5F0000}"/>
    <cellStyle name="Percent 10 3 2 2 5" xfId="12238" xr:uid="{00000000-0005-0000-0000-00004E5F0000}"/>
    <cellStyle name="Percent 10 3 2 3" xfId="1914" xr:uid="{00000000-0005-0000-0000-00004F5F0000}"/>
    <cellStyle name="Percent 10 3 2 3 2" xfId="4226" xr:uid="{00000000-0005-0000-0000-0000505F0000}"/>
    <cellStyle name="Percent 10 3 2 3 2 2" xfId="9177" xr:uid="{00000000-0005-0000-0000-0000515F0000}"/>
    <cellStyle name="Percent 10 3 2 3 2 2 2" xfId="20074" xr:uid="{00000000-0005-0000-0000-0000525F0000}"/>
    <cellStyle name="Percent 10 3 2 3 2 3" xfId="15123" xr:uid="{00000000-0005-0000-0000-0000535F0000}"/>
    <cellStyle name="Percent 10 3 2 3 3" xfId="6865" xr:uid="{00000000-0005-0000-0000-0000545F0000}"/>
    <cellStyle name="Percent 10 3 2 3 3 2" xfId="17762" xr:uid="{00000000-0005-0000-0000-0000555F0000}"/>
    <cellStyle name="Percent 10 3 2 3 4" xfId="12838" xr:uid="{00000000-0005-0000-0000-0000565F0000}"/>
    <cellStyle name="Percent 10 3 2 4" xfId="3080" xr:uid="{00000000-0005-0000-0000-0000575F0000}"/>
    <cellStyle name="Percent 10 3 2 4 2" xfId="8031" xr:uid="{00000000-0005-0000-0000-0000585F0000}"/>
    <cellStyle name="Percent 10 3 2 4 2 2" xfId="18928" xr:uid="{00000000-0005-0000-0000-0000595F0000}"/>
    <cellStyle name="Percent 10 3 2 4 3" xfId="13977" xr:uid="{00000000-0005-0000-0000-00005A5F0000}"/>
    <cellStyle name="Percent 10 3 2 5" xfId="5719" xr:uid="{00000000-0005-0000-0000-00005B5F0000}"/>
    <cellStyle name="Percent 10 3 2 5 2" xfId="16616" xr:uid="{00000000-0005-0000-0000-00005C5F0000}"/>
    <cellStyle name="Percent 10 3 2 6" xfId="11717" xr:uid="{00000000-0005-0000-0000-00005D5F0000}"/>
    <cellStyle name="Percent 10 3 3" xfId="1023" xr:uid="{00000000-0005-0000-0000-00005E5F0000}"/>
    <cellStyle name="Percent 10 3 3 2" xfId="2180" xr:uid="{00000000-0005-0000-0000-00005F5F0000}"/>
    <cellStyle name="Percent 10 3 3 2 2" xfId="4492" xr:uid="{00000000-0005-0000-0000-0000605F0000}"/>
    <cellStyle name="Percent 10 3 3 2 2 2" xfId="9443" xr:uid="{00000000-0005-0000-0000-0000615F0000}"/>
    <cellStyle name="Percent 10 3 3 2 2 2 2" xfId="20340" xr:uid="{00000000-0005-0000-0000-0000625F0000}"/>
    <cellStyle name="Percent 10 3 3 2 2 3" xfId="15389" xr:uid="{00000000-0005-0000-0000-0000635F0000}"/>
    <cellStyle name="Percent 10 3 3 2 3" xfId="7131" xr:uid="{00000000-0005-0000-0000-0000645F0000}"/>
    <cellStyle name="Percent 10 3 3 2 3 2" xfId="18028" xr:uid="{00000000-0005-0000-0000-0000655F0000}"/>
    <cellStyle name="Percent 10 3 3 2 4" xfId="13097" xr:uid="{00000000-0005-0000-0000-0000665F0000}"/>
    <cellStyle name="Percent 10 3 3 3" xfId="3347" xr:uid="{00000000-0005-0000-0000-0000675F0000}"/>
    <cellStyle name="Percent 10 3 3 3 2" xfId="8298" xr:uid="{00000000-0005-0000-0000-0000685F0000}"/>
    <cellStyle name="Percent 10 3 3 3 2 2" xfId="19195" xr:uid="{00000000-0005-0000-0000-0000695F0000}"/>
    <cellStyle name="Percent 10 3 3 3 3" xfId="14244" xr:uid="{00000000-0005-0000-0000-00006A5F0000}"/>
    <cellStyle name="Percent 10 3 3 4" xfId="5986" xr:uid="{00000000-0005-0000-0000-00006B5F0000}"/>
    <cellStyle name="Percent 10 3 3 4 2" xfId="16883" xr:uid="{00000000-0005-0000-0000-00006C5F0000}"/>
    <cellStyle name="Percent 10 3 3 5" xfId="11979" xr:uid="{00000000-0005-0000-0000-00006D5F0000}"/>
    <cellStyle name="Percent 10 3 4" xfId="1681" xr:uid="{00000000-0005-0000-0000-00006E5F0000}"/>
    <cellStyle name="Percent 10 3 4 2" xfId="3993" xr:uid="{00000000-0005-0000-0000-00006F5F0000}"/>
    <cellStyle name="Percent 10 3 4 2 2" xfId="8944" xr:uid="{00000000-0005-0000-0000-0000705F0000}"/>
    <cellStyle name="Percent 10 3 4 2 2 2" xfId="19841" xr:uid="{00000000-0005-0000-0000-0000715F0000}"/>
    <cellStyle name="Percent 10 3 4 2 3" xfId="14890" xr:uid="{00000000-0005-0000-0000-0000725F0000}"/>
    <cellStyle name="Percent 10 3 4 3" xfId="6632" xr:uid="{00000000-0005-0000-0000-0000735F0000}"/>
    <cellStyle name="Percent 10 3 4 3 2" xfId="17529" xr:uid="{00000000-0005-0000-0000-0000745F0000}"/>
    <cellStyle name="Percent 10 3 4 4" xfId="12612" xr:uid="{00000000-0005-0000-0000-0000755F0000}"/>
    <cellStyle name="Percent 10 3 5" xfId="2815" xr:uid="{00000000-0005-0000-0000-0000765F0000}"/>
    <cellStyle name="Percent 10 3 5 2" xfId="7766" xr:uid="{00000000-0005-0000-0000-0000775F0000}"/>
    <cellStyle name="Percent 10 3 5 2 2" xfId="18663" xr:uid="{00000000-0005-0000-0000-0000785F0000}"/>
    <cellStyle name="Percent 10 3 5 3" xfId="13712" xr:uid="{00000000-0005-0000-0000-0000795F0000}"/>
    <cellStyle name="Percent 10 3 6" xfId="5454" xr:uid="{00000000-0005-0000-0000-00007A5F0000}"/>
    <cellStyle name="Percent 10 3 6 2" xfId="16351" xr:uid="{00000000-0005-0000-0000-00007B5F0000}"/>
    <cellStyle name="Percent 10 3 7" xfId="11456" xr:uid="{00000000-0005-0000-0000-00007C5F0000}"/>
    <cellStyle name="Percent 10 4" xfId="623" xr:uid="{00000000-0005-0000-0000-00007D5F0000}"/>
    <cellStyle name="Percent 10 4 2" xfId="1155" xr:uid="{00000000-0005-0000-0000-00007E5F0000}"/>
    <cellStyle name="Percent 10 4 2 2" xfId="2312" xr:uid="{00000000-0005-0000-0000-00007F5F0000}"/>
    <cellStyle name="Percent 10 4 2 2 2" xfId="4624" xr:uid="{00000000-0005-0000-0000-0000805F0000}"/>
    <cellStyle name="Percent 10 4 2 2 2 2" xfId="9575" xr:uid="{00000000-0005-0000-0000-0000815F0000}"/>
    <cellStyle name="Percent 10 4 2 2 2 2 2" xfId="20472" xr:uid="{00000000-0005-0000-0000-0000825F0000}"/>
    <cellStyle name="Percent 10 4 2 2 2 3" xfId="15521" xr:uid="{00000000-0005-0000-0000-0000835F0000}"/>
    <cellStyle name="Percent 10 4 2 2 3" xfId="7263" xr:uid="{00000000-0005-0000-0000-0000845F0000}"/>
    <cellStyle name="Percent 10 4 2 2 3 2" xfId="18160" xr:uid="{00000000-0005-0000-0000-0000855F0000}"/>
    <cellStyle name="Percent 10 4 2 2 4" xfId="13224" xr:uid="{00000000-0005-0000-0000-0000865F0000}"/>
    <cellStyle name="Percent 10 4 2 3" xfId="3479" xr:uid="{00000000-0005-0000-0000-0000875F0000}"/>
    <cellStyle name="Percent 10 4 2 3 2" xfId="8430" xr:uid="{00000000-0005-0000-0000-0000885F0000}"/>
    <cellStyle name="Percent 10 4 2 3 2 2" xfId="19327" xr:uid="{00000000-0005-0000-0000-0000895F0000}"/>
    <cellStyle name="Percent 10 4 2 3 3" xfId="14376" xr:uid="{00000000-0005-0000-0000-00008A5F0000}"/>
    <cellStyle name="Percent 10 4 2 4" xfId="6118" xr:uid="{00000000-0005-0000-0000-00008B5F0000}"/>
    <cellStyle name="Percent 10 4 2 4 2" xfId="17015" xr:uid="{00000000-0005-0000-0000-00008C5F0000}"/>
    <cellStyle name="Percent 10 4 2 5" xfId="12106" xr:uid="{00000000-0005-0000-0000-00008D5F0000}"/>
    <cellStyle name="Percent 10 4 3" xfId="1800" xr:uid="{00000000-0005-0000-0000-00008E5F0000}"/>
    <cellStyle name="Percent 10 4 3 2" xfId="4112" xr:uid="{00000000-0005-0000-0000-00008F5F0000}"/>
    <cellStyle name="Percent 10 4 3 2 2" xfId="9063" xr:uid="{00000000-0005-0000-0000-0000905F0000}"/>
    <cellStyle name="Percent 10 4 3 2 2 2" xfId="19960" xr:uid="{00000000-0005-0000-0000-0000915F0000}"/>
    <cellStyle name="Percent 10 4 3 2 3" xfId="15009" xr:uid="{00000000-0005-0000-0000-0000925F0000}"/>
    <cellStyle name="Percent 10 4 3 3" xfId="6751" xr:uid="{00000000-0005-0000-0000-0000935F0000}"/>
    <cellStyle name="Percent 10 4 3 3 2" xfId="17648" xr:uid="{00000000-0005-0000-0000-0000945F0000}"/>
    <cellStyle name="Percent 10 4 3 4" xfId="12725" xr:uid="{00000000-0005-0000-0000-0000955F0000}"/>
    <cellStyle name="Percent 10 4 4" xfId="2947" xr:uid="{00000000-0005-0000-0000-0000965F0000}"/>
    <cellStyle name="Percent 10 4 4 2" xfId="7898" xr:uid="{00000000-0005-0000-0000-0000975F0000}"/>
    <cellStyle name="Percent 10 4 4 2 2" xfId="18795" xr:uid="{00000000-0005-0000-0000-0000985F0000}"/>
    <cellStyle name="Percent 10 4 4 3" xfId="13844" xr:uid="{00000000-0005-0000-0000-0000995F0000}"/>
    <cellStyle name="Percent 10 4 5" xfId="5586" xr:uid="{00000000-0005-0000-0000-00009A5F0000}"/>
    <cellStyle name="Percent 10 4 5 2" xfId="16483" xr:uid="{00000000-0005-0000-0000-00009B5F0000}"/>
    <cellStyle name="Percent 10 4 6" xfId="11585" xr:uid="{00000000-0005-0000-0000-00009C5F0000}"/>
    <cellStyle name="Percent 10 5" xfId="890" xr:uid="{00000000-0005-0000-0000-00009D5F0000}"/>
    <cellStyle name="Percent 10 5 2" xfId="2047" xr:uid="{00000000-0005-0000-0000-00009E5F0000}"/>
    <cellStyle name="Percent 10 5 2 2" xfId="4359" xr:uid="{00000000-0005-0000-0000-00009F5F0000}"/>
    <cellStyle name="Percent 10 5 2 2 2" xfId="9310" xr:uid="{00000000-0005-0000-0000-0000A05F0000}"/>
    <cellStyle name="Percent 10 5 2 2 2 2" xfId="20207" xr:uid="{00000000-0005-0000-0000-0000A15F0000}"/>
    <cellStyle name="Percent 10 5 2 2 3" xfId="15256" xr:uid="{00000000-0005-0000-0000-0000A25F0000}"/>
    <cellStyle name="Percent 10 5 2 3" xfId="6998" xr:uid="{00000000-0005-0000-0000-0000A35F0000}"/>
    <cellStyle name="Percent 10 5 2 3 2" xfId="17895" xr:uid="{00000000-0005-0000-0000-0000A45F0000}"/>
    <cellStyle name="Percent 10 5 2 4" xfId="12965" xr:uid="{00000000-0005-0000-0000-0000A55F0000}"/>
    <cellStyle name="Percent 10 5 3" xfId="3214" xr:uid="{00000000-0005-0000-0000-0000A65F0000}"/>
    <cellStyle name="Percent 10 5 3 2" xfId="8165" xr:uid="{00000000-0005-0000-0000-0000A75F0000}"/>
    <cellStyle name="Percent 10 5 3 2 2" xfId="19062" xr:uid="{00000000-0005-0000-0000-0000A85F0000}"/>
    <cellStyle name="Percent 10 5 3 3" xfId="14111" xr:uid="{00000000-0005-0000-0000-0000A95F0000}"/>
    <cellStyle name="Percent 10 5 4" xfId="5853" xr:uid="{00000000-0005-0000-0000-0000AA5F0000}"/>
    <cellStyle name="Percent 10 5 4 2" xfId="16750" xr:uid="{00000000-0005-0000-0000-0000AB5F0000}"/>
    <cellStyle name="Percent 10 5 5" xfId="11847" xr:uid="{00000000-0005-0000-0000-0000AC5F0000}"/>
    <cellStyle name="Percent 10 6" xfId="1567" xr:uid="{00000000-0005-0000-0000-0000AD5F0000}"/>
    <cellStyle name="Percent 10 6 2" xfId="3879" xr:uid="{00000000-0005-0000-0000-0000AE5F0000}"/>
    <cellStyle name="Percent 10 6 2 2" xfId="8830" xr:uid="{00000000-0005-0000-0000-0000AF5F0000}"/>
    <cellStyle name="Percent 10 6 2 2 2" xfId="19727" xr:uid="{00000000-0005-0000-0000-0000B05F0000}"/>
    <cellStyle name="Percent 10 6 2 3" xfId="14776" xr:uid="{00000000-0005-0000-0000-0000B15F0000}"/>
    <cellStyle name="Percent 10 6 3" xfId="6518" xr:uid="{00000000-0005-0000-0000-0000B25F0000}"/>
    <cellStyle name="Percent 10 6 3 2" xfId="17415" xr:uid="{00000000-0005-0000-0000-0000B35F0000}"/>
    <cellStyle name="Percent 10 6 4" xfId="12499" xr:uid="{00000000-0005-0000-0000-0000B45F0000}"/>
    <cellStyle name="Percent 10 7" xfId="2682" xr:uid="{00000000-0005-0000-0000-0000B55F0000}"/>
    <cellStyle name="Percent 10 7 2" xfId="7633" xr:uid="{00000000-0005-0000-0000-0000B65F0000}"/>
    <cellStyle name="Percent 10 7 2 2" xfId="18530" xr:uid="{00000000-0005-0000-0000-0000B75F0000}"/>
    <cellStyle name="Percent 10 7 3" xfId="13579" xr:uid="{00000000-0005-0000-0000-0000B85F0000}"/>
    <cellStyle name="Percent 10 8" xfId="5321" xr:uid="{00000000-0005-0000-0000-0000B95F0000}"/>
    <cellStyle name="Percent 10 8 2" xfId="16218" xr:uid="{00000000-0005-0000-0000-0000BA5F0000}"/>
    <cellStyle name="Percent 10 9" xfId="11324" xr:uid="{00000000-0005-0000-0000-0000BB5F0000}"/>
    <cellStyle name="Percent 11" xfId="343" xr:uid="{00000000-0005-0000-0000-0000BC5F0000}"/>
    <cellStyle name="Percent 12" xfId="344" xr:uid="{00000000-0005-0000-0000-0000BD5F0000}"/>
    <cellStyle name="Percent 12 2" xfId="413" xr:uid="{00000000-0005-0000-0000-0000BE5F0000}"/>
    <cellStyle name="Percent 12 2 2" xfId="543" xr:uid="{00000000-0005-0000-0000-0000BF5F0000}"/>
    <cellStyle name="Percent 12 2 2 2" xfId="808" xr:uid="{00000000-0005-0000-0000-0000C05F0000}"/>
    <cellStyle name="Percent 12 2 2 2 2" xfId="1340" xr:uid="{00000000-0005-0000-0000-0000C15F0000}"/>
    <cellStyle name="Percent 12 2 2 2 2 2" xfId="2497" xr:uid="{00000000-0005-0000-0000-0000C25F0000}"/>
    <cellStyle name="Percent 12 2 2 2 2 2 2" xfId="4809" xr:uid="{00000000-0005-0000-0000-0000C35F0000}"/>
    <cellStyle name="Percent 12 2 2 2 2 2 2 2" xfId="9760" xr:uid="{00000000-0005-0000-0000-0000C45F0000}"/>
    <cellStyle name="Percent 12 2 2 2 2 2 2 2 2" xfId="20657" xr:uid="{00000000-0005-0000-0000-0000C55F0000}"/>
    <cellStyle name="Percent 12 2 2 2 2 2 2 3" xfId="15706" xr:uid="{00000000-0005-0000-0000-0000C65F0000}"/>
    <cellStyle name="Percent 12 2 2 2 2 2 3" xfId="7448" xr:uid="{00000000-0005-0000-0000-0000C75F0000}"/>
    <cellStyle name="Percent 12 2 2 2 2 2 3 2" xfId="18345" xr:uid="{00000000-0005-0000-0000-0000C85F0000}"/>
    <cellStyle name="Percent 12 2 2 2 2 2 4" xfId="13408" xr:uid="{00000000-0005-0000-0000-0000C95F0000}"/>
    <cellStyle name="Percent 12 2 2 2 2 3" xfId="3664" xr:uid="{00000000-0005-0000-0000-0000CA5F0000}"/>
    <cellStyle name="Percent 12 2 2 2 2 3 2" xfId="8615" xr:uid="{00000000-0005-0000-0000-0000CB5F0000}"/>
    <cellStyle name="Percent 12 2 2 2 2 3 2 2" xfId="19512" xr:uid="{00000000-0005-0000-0000-0000CC5F0000}"/>
    <cellStyle name="Percent 12 2 2 2 2 3 3" xfId="14561" xr:uid="{00000000-0005-0000-0000-0000CD5F0000}"/>
    <cellStyle name="Percent 12 2 2 2 2 4" xfId="6303" xr:uid="{00000000-0005-0000-0000-0000CE5F0000}"/>
    <cellStyle name="Percent 12 2 2 2 2 4 2" xfId="17200" xr:uid="{00000000-0005-0000-0000-0000CF5F0000}"/>
    <cellStyle name="Percent 12 2 2 2 2 5" xfId="12290" xr:uid="{00000000-0005-0000-0000-0000D05F0000}"/>
    <cellStyle name="Percent 12 2 2 2 3" xfId="1966" xr:uid="{00000000-0005-0000-0000-0000D15F0000}"/>
    <cellStyle name="Percent 12 2 2 2 3 2" xfId="4278" xr:uid="{00000000-0005-0000-0000-0000D25F0000}"/>
    <cellStyle name="Percent 12 2 2 2 3 2 2" xfId="9229" xr:uid="{00000000-0005-0000-0000-0000D35F0000}"/>
    <cellStyle name="Percent 12 2 2 2 3 2 2 2" xfId="20126" xr:uid="{00000000-0005-0000-0000-0000D45F0000}"/>
    <cellStyle name="Percent 12 2 2 2 3 2 3" xfId="15175" xr:uid="{00000000-0005-0000-0000-0000D55F0000}"/>
    <cellStyle name="Percent 12 2 2 2 3 3" xfId="6917" xr:uid="{00000000-0005-0000-0000-0000D65F0000}"/>
    <cellStyle name="Percent 12 2 2 2 3 3 2" xfId="17814" xr:uid="{00000000-0005-0000-0000-0000D75F0000}"/>
    <cellStyle name="Percent 12 2 2 2 3 4" xfId="12890" xr:uid="{00000000-0005-0000-0000-0000D85F0000}"/>
    <cellStyle name="Percent 12 2 2 2 4" xfId="3132" xr:uid="{00000000-0005-0000-0000-0000D95F0000}"/>
    <cellStyle name="Percent 12 2 2 2 4 2" xfId="8083" xr:uid="{00000000-0005-0000-0000-0000DA5F0000}"/>
    <cellStyle name="Percent 12 2 2 2 4 2 2" xfId="18980" xr:uid="{00000000-0005-0000-0000-0000DB5F0000}"/>
    <cellStyle name="Percent 12 2 2 2 4 3" xfId="14029" xr:uid="{00000000-0005-0000-0000-0000DC5F0000}"/>
    <cellStyle name="Percent 12 2 2 2 5" xfId="5771" xr:uid="{00000000-0005-0000-0000-0000DD5F0000}"/>
    <cellStyle name="Percent 12 2 2 2 5 2" xfId="16668" xr:uid="{00000000-0005-0000-0000-0000DE5F0000}"/>
    <cellStyle name="Percent 12 2 2 2 6" xfId="11769" xr:uid="{00000000-0005-0000-0000-0000DF5F0000}"/>
    <cellStyle name="Percent 12 2 2 3" xfId="1075" xr:uid="{00000000-0005-0000-0000-0000E05F0000}"/>
    <cellStyle name="Percent 12 2 2 3 2" xfId="2232" xr:uid="{00000000-0005-0000-0000-0000E15F0000}"/>
    <cellStyle name="Percent 12 2 2 3 2 2" xfId="4544" xr:uid="{00000000-0005-0000-0000-0000E25F0000}"/>
    <cellStyle name="Percent 12 2 2 3 2 2 2" xfId="9495" xr:uid="{00000000-0005-0000-0000-0000E35F0000}"/>
    <cellStyle name="Percent 12 2 2 3 2 2 2 2" xfId="20392" xr:uid="{00000000-0005-0000-0000-0000E45F0000}"/>
    <cellStyle name="Percent 12 2 2 3 2 2 3" xfId="15441" xr:uid="{00000000-0005-0000-0000-0000E55F0000}"/>
    <cellStyle name="Percent 12 2 2 3 2 3" xfId="7183" xr:uid="{00000000-0005-0000-0000-0000E65F0000}"/>
    <cellStyle name="Percent 12 2 2 3 2 3 2" xfId="18080" xr:uid="{00000000-0005-0000-0000-0000E75F0000}"/>
    <cellStyle name="Percent 12 2 2 3 2 4" xfId="13149" xr:uid="{00000000-0005-0000-0000-0000E85F0000}"/>
    <cellStyle name="Percent 12 2 2 3 3" xfId="3399" xr:uid="{00000000-0005-0000-0000-0000E95F0000}"/>
    <cellStyle name="Percent 12 2 2 3 3 2" xfId="8350" xr:uid="{00000000-0005-0000-0000-0000EA5F0000}"/>
    <cellStyle name="Percent 12 2 2 3 3 2 2" xfId="19247" xr:uid="{00000000-0005-0000-0000-0000EB5F0000}"/>
    <cellStyle name="Percent 12 2 2 3 3 3" xfId="14296" xr:uid="{00000000-0005-0000-0000-0000EC5F0000}"/>
    <cellStyle name="Percent 12 2 2 3 4" xfId="6038" xr:uid="{00000000-0005-0000-0000-0000ED5F0000}"/>
    <cellStyle name="Percent 12 2 2 3 4 2" xfId="16935" xr:uid="{00000000-0005-0000-0000-0000EE5F0000}"/>
    <cellStyle name="Percent 12 2 2 3 5" xfId="12031" xr:uid="{00000000-0005-0000-0000-0000EF5F0000}"/>
    <cellStyle name="Percent 12 2 2 4" xfId="1733" xr:uid="{00000000-0005-0000-0000-0000F05F0000}"/>
    <cellStyle name="Percent 12 2 2 4 2" xfId="4045" xr:uid="{00000000-0005-0000-0000-0000F15F0000}"/>
    <cellStyle name="Percent 12 2 2 4 2 2" xfId="8996" xr:uid="{00000000-0005-0000-0000-0000F25F0000}"/>
    <cellStyle name="Percent 12 2 2 4 2 2 2" xfId="19893" xr:uid="{00000000-0005-0000-0000-0000F35F0000}"/>
    <cellStyle name="Percent 12 2 2 4 2 3" xfId="14942" xr:uid="{00000000-0005-0000-0000-0000F45F0000}"/>
    <cellStyle name="Percent 12 2 2 4 3" xfId="6684" xr:uid="{00000000-0005-0000-0000-0000F55F0000}"/>
    <cellStyle name="Percent 12 2 2 4 3 2" xfId="17581" xr:uid="{00000000-0005-0000-0000-0000F65F0000}"/>
    <cellStyle name="Percent 12 2 2 4 4" xfId="12664" xr:uid="{00000000-0005-0000-0000-0000F75F0000}"/>
    <cellStyle name="Percent 12 2 2 5" xfId="2867" xr:uid="{00000000-0005-0000-0000-0000F85F0000}"/>
    <cellStyle name="Percent 12 2 2 5 2" xfId="7818" xr:uid="{00000000-0005-0000-0000-0000F95F0000}"/>
    <cellStyle name="Percent 12 2 2 5 2 2" xfId="18715" xr:uid="{00000000-0005-0000-0000-0000FA5F0000}"/>
    <cellStyle name="Percent 12 2 2 5 3" xfId="13764" xr:uid="{00000000-0005-0000-0000-0000FB5F0000}"/>
    <cellStyle name="Percent 12 2 2 6" xfId="5506" xr:uid="{00000000-0005-0000-0000-0000FC5F0000}"/>
    <cellStyle name="Percent 12 2 2 6 2" xfId="16403" xr:uid="{00000000-0005-0000-0000-0000FD5F0000}"/>
    <cellStyle name="Percent 12 2 2 7" xfId="11508" xr:uid="{00000000-0005-0000-0000-0000FE5F0000}"/>
    <cellStyle name="Percent 12 2 3" xfId="679" xr:uid="{00000000-0005-0000-0000-0000FF5F0000}"/>
    <cellStyle name="Percent 12 2 3 2" xfId="1211" xr:uid="{00000000-0005-0000-0000-000000600000}"/>
    <cellStyle name="Percent 12 2 3 2 2" xfId="2368" xr:uid="{00000000-0005-0000-0000-000001600000}"/>
    <cellStyle name="Percent 12 2 3 2 2 2" xfId="4680" xr:uid="{00000000-0005-0000-0000-000002600000}"/>
    <cellStyle name="Percent 12 2 3 2 2 2 2" xfId="9631" xr:uid="{00000000-0005-0000-0000-000003600000}"/>
    <cellStyle name="Percent 12 2 3 2 2 2 2 2" xfId="20528" xr:uid="{00000000-0005-0000-0000-000004600000}"/>
    <cellStyle name="Percent 12 2 3 2 2 2 3" xfId="15577" xr:uid="{00000000-0005-0000-0000-000005600000}"/>
    <cellStyle name="Percent 12 2 3 2 2 3" xfId="7319" xr:uid="{00000000-0005-0000-0000-000006600000}"/>
    <cellStyle name="Percent 12 2 3 2 2 3 2" xfId="18216" xr:uid="{00000000-0005-0000-0000-000007600000}"/>
    <cellStyle name="Percent 12 2 3 2 2 4" xfId="13280" xr:uid="{00000000-0005-0000-0000-000008600000}"/>
    <cellStyle name="Percent 12 2 3 2 3" xfId="3535" xr:uid="{00000000-0005-0000-0000-000009600000}"/>
    <cellStyle name="Percent 12 2 3 2 3 2" xfId="8486" xr:uid="{00000000-0005-0000-0000-00000A600000}"/>
    <cellStyle name="Percent 12 2 3 2 3 2 2" xfId="19383" xr:uid="{00000000-0005-0000-0000-00000B600000}"/>
    <cellStyle name="Percent 12 2 3 2 3 3" xfId="14432" xr:uid="{00000000-0005-0000-0000-00000C600000}"/>
    <cellStyle name="Percent 12 2 3 2 4" xfId="6174" xr:uid="{00000000-0005-0000-0000-00000D600000}"/>
    <cellStyle name="Percent 12 2 3 2 4 2" xfId="17071" xr:uid="{00000000-0005-0000-0000-00000E600000}"/>
    <cellStyle name="Percent 12 2 3 2 5" xfId="12162" xr:uid="{00000000-0005-0000-0000-00000F600000}"/>
    <cellStyle name="Percent 12 2 3 3" xfId="1852" xr:uid="{00000000-0005-0000-0000-000010600000}"/>
    <cellStyle name="Percent 12 2 3 3 2" xfId="4164" xr:uid="{00000000-0005-0000-0000-000011600000}"/>
    <cellStyle name="Percent 12 2 3 3 2 2" xfId="9115" xr:uid="{00000000-0005-0000-0000-000012600000}"/>
    <cellStyle name="Percent 12 2 3 3 2 2 2" xfId="20012" xr:uid="{00000000-0005-0000-0000-000013600000}"/>
    <cellStyle name="Percent 12 2 3 3 2 3" xfId="15061" xr:uid="{00000000-0005-0000-0000-000014600000}"/>
    <cellStyle name="Percent 12 2 3 3 3" xfId="6803" xr:uid="{00000000-0005-0000-0000-000015600000}"/>
    <cellStyle name="Percent 12 2 3 3 3 2" xfId="17700" xr:uid="{00000000-0005-0000-0000-000016600000}"/>
    <cellStyle name="Percent 12 2 3 3 4" xfId="12777" xr:uid="{00000000-0005-0000-0000-000017600000}"/>
    <cellStyle name="Percent 12 2 3 4" xfId="3003" xr:uid="{00000000-0005-0000-0000-000018600000}"/>
    <cellStyle name="Percent 12 2 3 4 2" xfId="7954" xr:uid="{00000000-0005-0000-0000-000019600000}"/>
    <cellStyle name="Percent 12 2 3 4 2 2" xfId="18851" xr:uid="{00000000-0005-0000-0000-00001A600000}"/>
    <cellStyle name="Percent 12 2 3 4 3" xfId="13900" xr:uid="{00000000-0005-0000-0000-00001B600000}"/>
    <cellStyle name="Percent 12 2 3 5" xfId="5642" xr:uid="{00000000-0005-0000-0000-00001C600000}"/>
    <cellStyle name="Percent 12 2 3 5 2" xfId="16539" xr:uid="{00000000-0005-0000-0000-00001D600000}"/>
    <cellStyle name="Percent 12 2 3 6" xfId="11641" xr:uid="{00000000-0005-0000-0000-00001E600000}"/>
    <cellStyle name="Percent 12 2 4" xfId="946" xr:uid="{00000000-0005-0000-0000-00001F600000}"/>
    <cellStyle name="Percent 12 2 4 2" xfId="2103" xr:uid="{00000000-0005-0000-0000-000020600000}"/>
    <cellStyle name="Percent 12 2 4 2 2" xfId="4415" xr:uid="{00000000-0005-0000-0000-000021600000}"/>
    <cellStyle name="Percent 12 2 4 2 2 2" xfId="9366" xr:uid="{00000000-0005-0000-0000-000022600000}"/>
    <cellStyle name="Percent 12 2 4 2 2 2 2" xfId="20263" xr:uid="{00000000-0005-0000-0000-000023600000}"/>
    <cellStyle name="Percent 12 2 4 2 2 3" xfId="15312" xr:uid="{00000000-0005-0000-0000-000024600000}"/>
    <cellStyle name="Percent 12 2 4 2 3" xfId="7054" xr:uid="{00000000-0005-0000-0000-000025600000}"/>
    <cellStyle name="Percent 12 2 4 2 3 2" xfId="17951" xr:uid="{00000000-0005-0000-0000-000026600000}"/>
    <cellStyle name="Percent 12 2 4 2 4" xfId="13021" xr:uid="{00000000-0005-0000-0000-000027600000}"/>
    <cellStyle name="Percent 12 2 4 3" xfId="3270" xr:uid="{00000000-0005-0000-0000-000028600000}"/>
    <cellStyle name="Percent 12 2 4 3 2" xfId="8221" xr:uid="{00000000-0005-0000-0000-000029600000}"/>
    <cellStyle name="Percent 12 2 4 3 2 2" xfId="19118" xr:uid="{00000000-0005-0000-0000-00002A600000}"/>
    <cellStyle name="Percent 12 2 4 3 3" xfId="14167" xr:uid="{00000000-0005-0000-0000-00002B600000}"/>
    <cellStyle name="Percent 12 2 4 4" xfId="5909" xr:uid="{00000000-0005-0000-0000-00002C600000}"/>
    <cellStyle name="Percent 12 2 4 4 2" xfId="16806" xr:uid="{00000000-0005-0000-0000-00002D600000}"/>
    <cellStyle name="Percent 12 2 4 5" xfId="11903" xr:uid="{00000000-0005-0000-0000-00002E600000}"/>
    <cellStyle name="Percent 12 2 5" xfId="1619" xr:uid="{00000000-0005-0000-0000-00002F600000}"/>
    <cellStyle name="Percent 12 2 5 2" xfId="3931" xr:uid="{00000000-0005-0000-0000-000030600000}"/>
    <cellStyle name="Percent 12 2 5 2 2" xfId="8882" xr:uid="{00000000-0005-0000-0000-000031600000}"/>
    <cellStyle name="Percent 12 2 5 2 2 2" xfId="19779" xr:uid="{00000000-0005-0000-0000-000032600000}"/>
    <cellStyle name="Percent 12 2 5 2 3" xfId="14828" xr:uid="{00000000-0005-0000-0000-000033600000}"/>
    <cellStyle name="Percent 12 2 5 3" xfId="6570" xr:uid="{00000000-0005-0000-0000-000034600000}"/>
    <cellStyle name="Percent 12 2 5 3 2" xfId="17467" xr:uid="{00000000-0005-0000-0000-000035600000}"/>
    <cellStyle name="Percent 12 2 5 4" xfId="12551" xr:uid="{00000000-0005-0000-0000-000036600000}"/>
    <cellStyle name="Percent 12 2 6" xfId="2738" xr:uid="{00000000-0005-0000-0000-000037600000}"/>
    <cellStyle name="Percent 12 2 6 2" xfId="7689" xr:uid="{00000000-0005-0000-0000-000038600000}"/>
    <cellStyle name="Percent 12 2 6 2 2" xfId="18586" xr:uid="{00000000-0005-0000-0000-000039600000}"/>
    <cellStyle name="Percent 12 2 6 3" xfId="13635" xr:uid="{00000000-0005-0000-0000-00003A600000}"/>
    <cellStyle name="Percent 12 2 7" xfId="5377" xr:uid="{00000000-0005-0000-0000-00003B600000}"/>
    <cellStyle name="Percent 12 2 7 2" xfId="16274" xr:uid="{00000000-0005-0000-0000-00003C600000}"/>
    <cellStyle name="Percent 12 2 8" xfId="11380" xr:uid="{00000000-0005-0000-0000-00003D600000}"/>
    <cellStyle name="Percent 12 3" xfId="492" xr:uid="{00000000-0005-0000-0000-00003E600000}"/>
    <cellStyle name="Percent 12 3 2" xfId="757" xr:uid="{00000000-0005-0000-0000-00003F600000}"/>
    <cellStyle name="Percent 12 3 2 2" xfId="1289" xr:uid="{00000000-0005-0000-0000-000040600000}"/>
    <cellStyle name="Percent 12 3 2 2 2" xfId="2446" xr:uid="{00000000-0005-0000-0000-000041600000}"/>
    <cellStyle name="Percent 12 3 2 2 2 2" xfId="4758" xr:uid="{00000000-0005-0000-0000-000042600000}"/>
    <cellStyle name="Percent 12 3 2 2 2 2 2" xfId="9709" xr:uid="{00000000-0005-0000-0000-000043600000}"/>
    <cellStyle name="Percent 12 3 2 2 2 2 2 2" xfId="20606" xr:uid="{00000000-0005-0000-0000-000044600000}"/>
    <cellStyle name="Percent 12 3 2 2 2 2 3" xfId="15655" xr:uid="{00000000-0005-0000-0000-000045600000}"/>
    <cellStyle name="Percent 12 3 2 2 2 3" xfId="7397" xr:uid="{00000000-0005-0000-0000-000046600000}"/>
    <cellStyle name="Percent 12 3 2 2 2 3 2" xfId="18294" xr:uid="{00000000-0005-0000-0000-000047600000}"/>
    <cellStyle name="Percent 12 3 2 2 2 4" xfId="13357" xr:uid="{00000000-0005-0000-0000-000048600000}"/>
    <cellStyle name="Percent 12 3 2 2 3" xfId="3613" xr:uid="{00000000-0005-0000-0000-000049600000}"/>
    <cellStyle name="Percent 12 3 2 2 3 2" xfId="8564" xr:uid="{00000000-0005-0000-0000-00004A600000}"/>
    <cellStyle name="Percent 12 3 2 2 3 2 2" xfId="19461" xr:uid="{00000000-0005-0000-0000-00004B600000}"/>
    <cellStyle name="Percent 12 3 2 2 3 3" xfId="14510" xr:uid="{00000000-0005-0000-0000-00004C600000}"/>
    <cellStyle name="Percent 12 3 2 2 4" xfId="6252" xr:uid="{00000000-0005-0000-0000-00004D600000}"/>
    <cellStyle name="Percent 12 3 2 2 4 2" xfId="17149" xr:uid="{00000000-0005-0000-0000-00004E600000}"/>
    <cellStyle name="Percent 12 3 2 2 5" xfId="12239" xr:uid="{00000000-0005-0000-0000-00004F600000}"/>
    <cellStyle name="Percent 12 3 2 3" xfId="1915" xr:uid="{00000000-0005-0000-0000-000050600000}"/>
    <cellStyle name="Percent 12 3 2 3 2" xfId="4227" xr:uid="{00000000-0005-0000-0000-000051600000}"/>
    <cellStyle name="Percent 12 3 2 3 2 2" xfId="9178" xr:uid="{00000000-0005-0000-0000-000052600000}"/>
    <cellStyle name="Percent 12 3 2 3 2 2 2" xfId="20075" xr:uid="{00000000-0005-0000-0000-000053600000}"/>
    <cellStyle name="Percent 12 3 2 3 2 3" xfId="15124" xr:uid="{00000000-0005-0000-0000-000054600000}"/>
    <cellStyle name="Percent 12 3 2 3 3" xfId="6866" xr:uid="{00000000-0005-0000-0000-000055600000}"/>
    <cellStyle name="Percent 12 3 2 3 3 2" xfId="17763" xr:uid="{00000000-0005-0000-0000-000056600000}"/>
    <cellStyle name="Percent 12 3 2 3 4" xfId="12839" xr:uid="{00000000-0005-0000-0000-000057600000}"/>
    <cellStyle name="Percent 12 3 2 4" xfId="3081" xr:uid="{00000000-0005-0000-0000-000058600000}"/>
    <cellStyle name="Percent 12 3 2 4 2" xfId="8032" xr:uid="{00000000-0005-0000-0000-000059600000}"/>
    <cellStyle name="Percent 12 3 2 4 2 2" xfId="18929" xr:uid="{00000000-0005-0000-0000-00005A600000}"/>
    <cellStyle name="Percent 12 3 2 4 3" xfId="13978" xr:uid="{00000000-0005-0000-0000-00005B600000}"/>
    <cellStyle name="Percent 12 3 2 5" xfId="5720" xr:uid="{00000000-0005-0000-0000-00005C600000}"/>
    <cellStyle name="Percent 12 3 2 5 2" xfId="16617" xr:uid="{00000000-0005-0000-0000-00005D600000}"/>
    <cellStyle name="Percent 12 3 2 6" xfId="11718" xr:uid="{00000000-0005-0000-0000-00005E600000}"/>
    <cellStyle name="Percent 12 3 3" xfId="1024" xr:uid="{00000000-0005-0000-0000-00005F600000}"/>
    <cellStyle name="Percent 12 3 3 2" xfId="2181" xr:uid="{00000000-0005-0000-0000-000060600000}"/>
    <cellStyle name="Percent 12 3 3 2 2" xfId="4493" xr:uid="{00000000-0005-0000-0000-000061600000}"/>
    <cellStyle name="Percent 12 3 3 2 2 2" xfId="9444" xr:uid="{00000000-0005-0000-0000-000062600000}"/>
    <cellStyle name="Percent 12 3 3 2 2 2 2" xfId="20341" xr:uid="{00000000-0005-0000-0000-000063600000}"/>
    <cellStyle name="Percent 12 3 3 2 2 3" xfId="15390" xr:uid="{00000000-0005-0000-0000-000064600000}"/>
    <cellStyle name="Percent 12 3 3 2 3" xfId="7132" xr:uid="{00000000-0005-0000-0000-000065600000}"/>
    <cellStyle name="Percent 12 3 3 2 3 2" xfId="18029" xr:uid="{00000000-0005-0000-0000-000066600000}"/>
    <cellStyle name="Percent 12 3 3 2 4" xfId="13098" xr:uid="{00000000-0005-0000-0000-000067600000}"/>
    <cellStyle name="Percent 12 3 3 3" xfId="3348" xr:uid="{00000000-0005-0000-0000-000068600000}"/>
    <cellStyle name="Percent 12 3 3 3 2" xfId="8299" xr:uid="{00000000-0005-0000-0000-000069600000}"/>
    <cellStyle name="Percent 12 3 3 3 2 2" xfId="19196" xr:uid="{00000000-0005-0000-0000-00006A600000}"/>
    <cellStyle name="Percent 12 3 3 3 3" xfId="14245" xr:uid="{00000000-0005-0000-0000-00006B600000}"/>
    <cellStyle name="Percent 12 3 3 4" xfId="5987" xr:uid="{00000000-0005-0000-0000-00006C600000}"/>
    <cellStyle name="Percent 12 3 3 4 2" xfId="16884" xr:uid="{00000000-0005-0000-0000-00006D600000}"/>
    <cellStyle name="Percent 12 3 3 5" xfId="11980" xr:uid="{00000000-0005-0000-0000-00006E600000}"/>
    <cellStyle name="Percent 12 3 4" xfId="1682" xr:uid="{00000000-0005-0000-0000-00006F600000}"/>
    <cellStyle name="Percent 12 3 4 2" xfId="3994" xr:uid="{00000000-0005-0000-0000-000070600000}"/>
    <cellStyle name="Percent 12 3 4 2 2" xfId="8945" xr:uid="{00000000-0005-0000-0000-000071600000}"/>
    <cellStyle name="Percent 12 3 4 2 2 2" xfId="19842" xr:uid="{00000000-0005-0000-0000-000072600000}"/>
    <cellStyle name="Percent 12 3 4 2 3" xfId="14891" xr:uid="{00000000-0005-0000-0000-000073600000}"/>
    <cellStyle name="Percent 12 3 4 3" xfId="6633" xr:uid="{00000000-0005-0000-0000-000074600000}"/>
    <cellStyle name="Percent 12 3 4 3 2" xfId="17530" xr:uid="{00000000-0005-0000-0000-000075600000}"/>
    <cellStyle name="Percent 12 3 4 4" xfId="12613" xr:uid="{00000000-0005-0000-0000-000076600000}"/>
    <cellStyle name="Percent 12 3 5" xfId="2816" xr:uid="{00000000-0005-0000-0000-000077600000}"/>
    <cellStyle name="Percent 12 3 5 2" xfId="7767" xr:uid="{00000000-0005-0000-0000-000078600000}"/>
    <cellStyle name="Percent 12 3 5 2 2" xfId="18664" xr:uid="{00000000-0005-0000-0000-000079600000}"/>
    <cellStyle name="Percent 12 3 5 3" xfId="13713" xr:uid="{00000000-0005-0000-0000-00007A600000}"/>
    <cellStyle name="Percent 12 3 6" xfId="5455" xr:uid="{00000000-0005-0000-0000-00007B600000}"/>
    <cellStyle name="Percent 12 3 6 2" xfId="16352" xr:uid="{00000000-0005-0000-0000-00007C600000}"/>
    <cellStyle name="Percent 12 3 7" xfId="11457" xr:uid="{00000000-0005-0000-0000-00007D600000}"/>
    <cellStyle name="Percent 12 4" xfId="624" xr:uid="{00000000-0005-0000-0000-00007E600000}"/>
    <cellStyle name="Percent 12 4 2" xfId="1156" xr:uid="{00000000-0005-0000-0000-00007F600000}"/>
    <cellStyle name="Percent 12 4 2 2" xfId="2313" xr:uid="{00000000-0005-0000-0000-000080600000}"/>
    <cellStyle name="Percent 12 4 2 2 2" xfId="4625" xr:uid="{00000000-0005-0000-0000-000081600000}"/>
    <cellStyle name="Percent 12 4 2 2 2 2" xfId="9576" xr:uid="{00000000-0005-0000-0000-000082600000}"/>
    <cellStyle name="Percent 12 4 2 2 2 2 2" xfId="20473" xr:uid="{00000000-0005-0000-0000-000083600000}"/>
    <cellStyle name="Percent 12 4 2 2 2 3" xfId="15522" xr:uid="{00000000-0005-0000-0000-000084600000}"/>
    <cellStyle name="Percent 12 4 2 2 3" xfId="7264" xr:uid="{00000000-0005-0000-0000-000085600000}"/>
    <cellStyle name="Percent 12 4 2 2 3 2" xfId="18161" xr:uid="{00000000-0005-0000-0000-000086600000}"/>
    <cellStyle name="Percent 12 4 2 2 4" xfId="13225" xr:uid="{00000000-0005-0000-0000-000087600000}"/>
    <cellStyle name="Percent 12 4 2 3" xfId="3480" xr:uid="{00000000-0005-0000-0000-000088600000}"/>
    <cellStyle name="Percent 12 4 2 3 2" xfId="8431" xr:uid="{00000000-0005-0000-0000-000089600000}"/>
    <cellStyle name="Percent 12 4 2 3 2 2" xfId="19328" xr:uid="{00000000-0005-0000-0000-00008A600000}"/>
    <cellStyle name="Percent 12 4 2 3 3" xfId="14377" xr:uid="{00000000-0005-0000-0000-00008B600000}"/>
    <cellStyle name="Percent 12 4 2 4" xfId="6119" xr:uid="{00000000-0005-0000-0000-00008C600000}"/>
    <cellStyle name="Percent 12 4 2 4 2" xfId="17016" xr:uid="{00000000-0005-0000-0000-00008D600000}"/>
    <cellStyle name="Percent 12 4 2 5" xfId="12107" xr:uid="{00000000-0005-0000-0000-00008E600000}"/>
    <cellStyle name="Percent 12 4 3" xfId="1801" xr:uid="{00000000-0005-0000-0000-00008F600000}"/>
    <cellStyle name="Percent 12 4 3 2" xfId="4113" xr:uid="{00000000-0005-0000-0000-000090600000}"/>
    <cellStyle name="Percent 12 4 3 2 2" xfId="9064" xr:uid="{00000000-0005-0000-0000-000091600000}"/>
    <cellStyle name="Percent 12 4 3 2 2 2" xfId="19961" xr:uid="{00000000-0005-0000-0000-000092600000}"/>
    <cellStyle name="Percent 12 4 3 2 3" xfId="15010" xr:uid="{00000000-0005-0000-0000-000093600000}"/>
    <cellStyle name="Percent 12 4 3 3" xfId="6752" xr:uid="{00000000-0005-0000-0000-000094600000}"/>
    <cellStyle name="Percent 12 4 3 3 2" xfId="17649" xr:uid="{00000000-0005-0000-0000-000095600000}"/>
    <cellStyle name="Percent 12 4 3 4" xfId="12726" xr:uid="{00000000-0005-0000-0000-000096600000}"/>
    <cellStyle name="Percent 12 4 4" xfId="2948" xr:uid="{00000000-0005-0000-0000-000097600000}"/>
    <cellStyle name="Percent 12 4 4 2" xfId="7899" xr:uid="{00000000-0005-0000-0000-000098600000}"/>
    <cellStyle name="Percent 12 4 4 2 2" xfId="18796" xr:uid="{00000000-0005-0000-0000-000099600000}"/>
    <cellStyle name="Percent 12 4 4 3" xfId="13845" xr:uid="{00000000-0005-0000-0000-00009A600000}"/>
    <cellStyle name="Percent 12 4 5" xfId="5587" xr:uid="{00000000-0005-0000-0000-00009B600000}"/>
    <cellStyle name="Percent 12 4 5 2" xfId="16484" xr:uid="{00000000-0005-0000-0000-00009C600000}"/>
    <cellStyle name="Percent 12 4 6" xfId="11586" xr:uid="{00000000-0005-0000-0000-00009D600000}"/>
    <cellStyle name="Percent 12 5" xfId="891" xr:uid="{00000000-0005-0000-0000-00009E600000}"/>
    <cellStyle name="Percent 12 5 2" xfId="2048" xr:uid="{00000000-0005-0000-0000-00009F600000}"/>
    <cellStyle name="Percent 12 5 2 2" xfId="4360" xr:uid="{00000000-0005-0000-0000-0000A0600000}"/>
    <cellStyle name="Percent 12 5 2 2 2" xfId="9311" xr:uid="{00000000-0005-0000-0000-0000A1600000}"/>
    <cellStyle name="Percent 12 5 2 2 2 2" xfId="20208" xr:uid="{00000000-0005-0000-0000-0000A2600000}"/>
    <cellStyle name="Percent 12 5 2 2 3" xfId="15257" xr:uid="{00000000-0005-0000-0000-0000A3600000}"/>
    <cellStyle name="Percent 12 5 2 3" xfId="6999" xr:uid="{00000000-0005-0000-0000-0000A4600000}"/>
    <cellStyle name="Percent 12 5 2 3 2" xfId="17896" xr:uid="{00000000-0005-0000-0000-0000A5600000}"/>
    <cellStyle name="Percent 12 5 2 4" xfId="12966" xr:uid="{00000000-0005-0000-0000-0000A6600000}"/>
    <cellStyle name="Percent 12 5 3" xfId="3215" xr:uid="{00000000-0005-0000-0000-0000A7600000}"/>
    <cellStyle name="Percent 12 5 3 2" xfId="8166" xr:uid="{00000000-0005-0000-0000-0000A8600000}"/>
    <cellStyle name="Percent 12 5 3 2 2" xfId="19063" xr:uid="{00000000-0005-0000-0000-0000A9600000}"/>
    <cellStyle name="Percent 12 5 3 3" xfId="14112" xr:uid="{00000000-0005-0000-0000-0000AA600000}"/>
    <cellStyle name="Percent 12 5 4" xfId="5854" xr:uid="{00000000-0005-0000-0000-0000AB600000}"/>
    <cellStyle name="Percent 12 5 4 2" xfId="16751" xr:uid="{00000000-0005-0000-0000-0000AC600000}"/>
    <cellStyle name="Percent 12 5 5" xfId="11848" xr:uid="{00000000-0005-0000-0000-0000AD600000}"/>
    <cellStyle name="Percent 12 6" xfId="1568" xr:uid="{00000000-0005-0000-0000-0000AE600000}"/>
    <cellStyle name="Percent 12 6 2" xfId="3880" xr:uid="{00000000-0005-0000-0000-0000AF600000}"/>
    <cellStyle name="Percent 12 6 2 2" xfId="8831" xr:uid="{00000000-0005-0000-0000-0000B0600000}"/>
    <cellStyle name="Percent 12 6 2 2 2" xfId="19728" xr:uid="{00000000-0005-0000-0000-0000B1600000}"/>
    <cellStyle name="Percent 12 6 2 3" xfId="14777" xr:uid="{00000000-0005-0000-0000-0000B2600000}"/>
    <cellStyle name="Percent 12 6 3" xfId="6519" xr:uid="{00000000-0005-0000-0000-0000B3600000}"/>
    <cellStyle name="Percent 12 6 3 2" xfId="17416" xr:uid="{00000000-0005-0000-0000-0000B4600000}"/>
    <cellStyle name="Percent 12 6 4" xfId="12500" xr:uid="{00000000-0005-0000-0000-0000B5600000}"/>
    <cellStyle name="Percent 12 7" xfId="2683" xr:uid="{00000000-0005-0000-0000-0000B6600000}"/>
    <cellStyle name="Percent 12 7 2" xfId="7634" xr:uid="{00000000-0005-0000-0000-0000B7600000}"/>
    <cellStyle name="Percent 12 7 2 2" xfId="18531" xr:uid="{00000000-0005-0000-0000-0000B8600000}"/>
    <cellStyle name="Percent 12 7 3" xfId="13580" xr:uid="{00000000-0005-0000-0000-0000B9600000}"/>
    <cellStyle name="Percent 12 8" xfId="5322" xr:uid="{00000000-0005-0000-0000-0000BA600000}"/>
    <cellStyle name="Percent 12 8 2" xfId="16219" xr:uid="{00000000-0005-0000-0000-0000BB600000}"/>
    <cellStyle name="Percent 12 9" xfId="11325" xr:uid="{00000000-0005-0000-0000-0000BC600000}"/>
    <cellStyle name="Percent 13" xfId="345" xr:uid="{00000000-0005-0000-0000-0000BD600000}"/>
    <cellStyle name="Percent 14" xfId="1427" xr:uid="{00000000-0005-0000-0000-0000BE600000}"/>
    <cellStyle name="Percent 14 2" xfId="2536" xr:uid="{00000000-0005-0000-0000-0000BF600000}"/>
    <cellStyle name="Percent 14 2 2" xfId="4848" xr:uid="{00000000-0005-0000-0000-0000C0600000}"/>
    <cellStyle name="Percent 14 2 2 2" xfId="9799" xr:uid="{00000000-0005-0000-0000-0000C1600000}"/>
    <cellStyle name="Percent 14 2 2 2 2" xfId="20696" xr:uid="{00000000-0005-0000-0000-0000C2600000}"/>
    <cellStyle name="Percent 14 2 2 3" xfId="15745" xr:uid="{00000000-0005-0000-0000-0000C3600000}"/>
    <cellStyle name="Percent 14 2 3" xfId="7487" xr:uid="{00000000-0005-0000-0000-0000C4600000}"/>
    <cellStyle name="Percent 14 2 3 2" xfId="18384" xr:uid="{00000000-0005-0000-0000-0000C5600000}"/>
    <cellStyle name="Percent 14 2 4" xfId="13433" xr:uid="{00000000-0005-0000-0000-0000C6600000}"/>
    <cellStyle name="Percent 14 3" xfId="3751" xr:uid="{00000000-0005-0000-0000-0000C7600000}"/>
    <cellStyle name="Percent 14 3 2" xfId="8702" xr:uid="{00000000-0005-0000-0000-0000C8600000}"/>
    <cellStyle name="Percent 14 3 2 2" xfId="19599" xr:uid="{00000000-0005-0000-0000-0000C9600000}"/>
    <cellStyle name="Percent 14 3 3" xfId="14648" xr:uid="{00000000-0005-0000-0000-0000CA600000}"/>
    <cellStyle name="Percent 14 4" xfId="6390" xr:uid="{00000000-0005-0000-0000-0000CB600000}"/>
    <cellStyle name="Percent 14 4 2" xfId="17287" xr:uid="{00000000-0005-0000-0000-0000CC600000}"/>
    <cellStyle name="Percent 14 5" xfId="12365" xr:uid="{00000000-0005-0000-0000-0000CD600000}"/>
    <cellStyle name="Percent 15" xfId="1451" xr:uid="{00000000-0005-0000-0000-0000CE600000}"/>
    <cellStyle name="Percent 15 2" xfId="2559" xr:uid="{00000000-0005-0000-0000-0000CF600000}"/>
    <cellStyle name="Percent 15 2 2" xfId="4871" xr:uid="{00000000-0005-0000-0000-0000D0600000}"/>
    <cellStyle name="Percent 15 2 2 2" xfId="9822" xr:uid="{00000000-0005-0000-0000-0000D1600000}"/>
    <cellStyle name="Percent 15 2 2 2 2" xfId="20719" xr:uid="{00000000-0005-0000-0000-0000D2600000}"/>
    <cellStyle name="Percent 15 2 2 3" xfId="15768" xr:uid="{00000000-0005-0000-0000-0000D3600000}"/>
    <cellStyle name="Percent 15 2 3" xfId="7510" xr:uid="{00000000-0005-0000-0000-0000D4600000}"/>
    <cellStyle name="Percent 15 2 3 2" xfId="18407" xr:uid="{00000000-0005-0000-0000-0000D5600000}"/>
    <cellStyle name="Percent 15 2 4" xfId="13456" xr:uid="{00000000-0005-0000-0000-0000D6600000}"/>
    <cellStyle name="Percent 15 3" xfId="3774" xr:uid="{00000000-0005-0000-0000-0000D7600000}"/>
    <cellStyle name="Percent 15 3 2" xfId="8725" xr:uid="{00000000-0005-0000-0000-0000D8600000}"/>
    <cellStyle name="Percent 15 3 2 2" xfId="19622" xr:uid="{00000000-0005-0000-0000-0000D9600000}"/>
    <cellStyle name="Percent 15 3 3" xfId="14671" xr:uid="{00000000-0005-0000-0000-0000DA600000}"/>
    <cellStyle name="Percent 15 4" xfId="6413" xr:uid="{00000000-0005-0000-0000-0000DB600000}"/>
    <cellStyle name="Percent 15 4 2" xfId="17310" xr:uid="{00000000-0005-0000-0000-0000DC600000}"/>
    <cellStyle name="Percent 15 5" xfId="12392" xr:uid="{00000000-0005-0000-0000-0000DD600000}"/>
    <cellStyle name="Percent 16" xfId="1483" xr:uid="{00000000-0005-0000-0000-0000DE600000}"/>
    <cellStyle name="Percent 16 2" xfId="2587" xr:uid="{00000000-0005-0000-0000-0000DF600000}"/>
    <cellStyle name="Percent 16 2 2" xfId="4899" xr:uid="{00000000-0005-0000-0000-0000E0600000}"/>
    <cellStyle name="Percent 16 2 2 2" xfId="9850" xr:uid="{00000000-0005-0000-0000-0000E1600000}"/>
    <cellStyle name="Percent 16 2 2 2 2" xfId="20747" xr:uid="{00000000-0005-0000-0000-0000E2600000}"/>
    <cellStyle name="Percent 16 2 2 3" xfId="15796" xr:uid="{00000000-0005-0000-0000-0000E3600000}"/>
    <cellStyle name="Percent 16 2 3" xfId="7538" xr:uid="{00000000-0005-0000-0000-0000E4600000}"/>
    <cellStyle name="Percent 16 2 3 2" xfId="18435" xr:uid="{00000000-0005-0000-0000-0000E5600000}"/>
    <cellStyle name="Percent 16 2 4" xfId="13484" xr:uid="{00000000-0005-0000-0000-0000E6600000}"/>
    <cellStyle name="Percent 16 3" xfId="3802" xr:uid="{00000000-0005-0000-0000-0000E7600000}"/>
    <cellStyle name="Percent 16 3 2" xfId="8753" xr:uid="{00000000-0005-0000-0000-0000E8600000}"/>
    <cellStyle name="Percent 16 3 2 2" xfId="19650" xr:uid="{00000000-0005-0000-0000-0000E9600000}"/>
    <cellStyle name="Percent 16 3 3" xfId="14699" xr:uid="{00000000-0005-0000-0000-0000EA600000}"/>
    <cellStyle name="Percent 16 4" xfId="6441" xr:uid="{00000000-0005-0000-0000-0000EB600000}"/>
    <cellStyle name="Percent 16 4 2" xfId="17338" xr:uid="{00000000-0005-0000-0000-0000EC600000}"/>
    <cellStyle name="Percent 16 5" xfId="12420" xr:uid="{00000000-0005-0000-0000-0000ED600000}"/>
    <cellStyle name="Percent 17" xfId="1490" xr:uid="{00000000-0005-0000-0000-0000EE600000}"/>
    <cellStyle name="Percent 17 2" xfId="2593" xr:uid="{00000000-0005-0000-0000-0000EF600000}"/>
    <cellStyle name="Percent 17 2 2" xfId="4905" xr:uid="{00000000-0005-0000-0000-0000F0600000}"/>
    <cellStyle name="Percent 17 2 2 2" xfId="9856" xr:uid="{00000000-0005-0000-0000-0000F1600000}"/>
    <cellStyle name="Percent 17 2 2 2 2" xfId="20753" xr:uid="{00000000-0005-0000-0000-0000F2600000}"/>
    <cellStyle name="Percent 17 2 2 3" xfId="15802" xr:uid="{00000000-0005-0000-0000-0000F3600000}"/>
    <cellStyle name="Percent 17 2 3" xfId="7544" xr:uid="{00000000-0005-0000-0000-0000F4600000}"/>
    <cellStyle name="Percent 17 2 3 2" xfId="18441" xr:uid="{00000000-0005-0000-0000-0000F5600000}"/>
    <cellStyle name="Percent 17 2 4" xfId="13490" xr:uid="{00000000-0005-0000-0000-0000F6600000}"/>
    <cellStyle name="Percent 17 3" xfId="3809" xr:uid="{00000000-0005-0000-0000-0000F7600000}"/>
    <cellStyle name="Percent 17 3 2" xfId="8760" xr:uid="{00000000-0005-0000-0000-0000F8600000}"/>
    <cellStyle name="Percent 17 3 2 2" xfId="19657" xr:uid="{00000000-0005-0000-0000-0000F9600000}"/>
    <cellStyle name="Percent 17 3 3" xfId="14706" xr:uid="{00000000-0005-0000-0000-0000FA600000}"/>
    <cellStyle name="Percent 17 4" xfId="6448" xr:uid="{00000000-0005-0000-0000-0000FB600000}"/>
    <cellStyle name="Percent 17 4 2" xfId="17345" xr:uid="{00000000-0005-0000-0000-0000FC600000}"/>
    <cellStyle name="Percent 17 5" xfId="12426" xr:uid="{00000000-0005-0000-0000-0000FD600000}"/>
    <cellStyle name="Percent 2" xfId="346" xr:uid="{00000000-0005-0000-0000-0000FE600000}"/>
    <cellStyle name="Percent 2 2" xfId="1456" xr:uid="{00000000-0005-0000-0000-0000FF600000}"/>
    <cellStyle name="Percent 2 2 2" xfId="2562" xr:uid="{00000000-0005-0000-0000-000000610000}"/>
    <cellStyle name="Percent 2 2 2 2" xfId="4874" xr:uid="{00000000-0005-0000-0000-000001610000}"/>
    <cellStyle name="Percent 2 2 2 2 2" xfId="9825" xr:uid="{00000000-0005-0000-0000-000002610000}"/>
    <cellStyle name="Percent 2 2 2 2 2 2" xfId="20722" xr:uid="{00000000-0005-0000-0000-000003610000}"/>
    <cellStyle name="Percent 2 2 2 2 3" xfId="15771" xr:uid="{00000000-0005-0000-0000-000004610000}"/>
    <cellStyle name="Percent 2 2 2 3" xfId="7513" xr:uid="{00000000-0005-0000-0000-000005610000}"/>
    <cellStyle name="Percent 2 2 2 3 2" xfId="18410" xr:uid="{00000000-0005-0000-0000-000006610000}"/>
    <cellStyle name="Percent 2 2 2 4" xfId="13459" xr:uid="{00000000-0005-0000-0000-000007610000}"/>
    <cellStyle name="Percent 2 2 3" xfId="3777" xr:uid="{00000000-0005-0000-0000-000008610000}"/>
    <cellStyle name="Percent 2 2 3 2" xfId="8728" xr:uid="{00000000-0005-0000-0000-000009610000}"/>
    <cellStyle name="Percent 2 2 3 2 2" xfId="19625" xr:uid="{00000000-0005-0000-0000-00000A610000}"/>
    <cellStyle name="Percent 2 2 3 3" xfId="14674" xr:uid="{00000000-0005-0000-0000-00000B610000}"/>
    <cellStyle name="Percent 2 2 4" xfId="6416" xr:uid="{00000000-0005-0000-0000-00000C610000}"/>
    <cellStyle name="Percent 2 2 4 2" xfId="17313" xr:uid="{00000000-0005-0000-0000-00000D610000}"/>
    <cellStyle name="Percent 2 2 5" xfId="12395" xr:uid="{00000000-0005-0000-0000-00000E610000}"/>
    <cellStyle name="Percent 2 3" xfId="1474" xr:uid="{00000000-0005-0000-0000-00000F610000}"/>
    <cellStyle name="Percent 2 3 2" xfId="2579" xr:uid="{00000000-0005-0000-0000-000010610000}"/>
    <cellStyle name="Percent 2 3 2 2" xfId="4891" xr:uid="{00000000-0005-0000-0000-000011610000}"/>
    <cellStyle name="Percent 2 3 2 2 2" xfId="9842" xr:uid="{00000000-0005-0000-0000-000012610000}"/>
    <cellStyle name="Percent 2 3 2 2 2 2" xfId="20739" xr:uid="{00000000-0005-0000-0000-000013610000}"/>
    <cellStyle name="Percent 2 3 2 2 3" xfId="15788" xr:uid="{00000000-0005-0000-0000-000014610000}"/>
    <cellStyle name="Percent 2 3 2 3" xfId="7530" xr:uid="{00000000-0005-0000-0000-000015610000}"/>
    <cellStyle name="Percent 2 3 2 3 2" xfId="18427" xr:uid="{00000000-0005-0000-0000-000016610000}"/>
    <cellStyle name="Percent 2 3 2 4" xfId="13476" xr:uid="{00000000-0005-0000-0000-000017610000}"/>
    <cellStyle name="Percent 2 3 3" xfId="3794" xr:uid="{00000000-0005-0000-0000-000018610000}"/>
    <cellStyle name="Percent 2 3 3 2" xfId="8745" xr:uid="{00000000-0005-0000-0000-000019610000}"/>
    <cellStyle name="Percent 2 3 3 2 2" xfId="19642" xr:uid="{00000000-0005-0000-0000-00001A610000}"/>
    <cellStyle name="Percent 2 3 3 3" xfId="14691" xr:uid="{00000000-0005-0000-0000-00001B610000}"/>
    <cellStyle name="Percent 2 3 4" xfId="6433" xr:uid="{00000000-0005-0000-0000-00001C610000}"/>
    <cellStyle name="Percent 2 3 4 2" xfId="17330" xr:uid="{00000000-0005-0000-0000-00001D610000}"/>
    <cellStyle name="Percent 2 3 5" xfId="12412" xr:uid="{00000000-0005-0000-0000-00001E610000}"/>
    <cellStyle name="Percent 3" xfId="347" xr:uid="{00000000-0005-0000-0000-00001F610000}"/>
    <cellStyle name="Percent 3 2" xfId="1475" xr:uid="{00000000-0005-0000-0000-000020610000}"/>
    <cellStyle name="Percent 4" xfId="348" xr:uid="{00000000-0005-0000-0000-000021610000}"/>
    <cellStyle name="Percent 5" xfId="349" xr:uid="{00000000-0005-0000-0000-000022610000}"/>
    <cellStyle name="Percent 6" xfId="350" xr:uid="{00000000-0005-0000-0000-000023610000}"/>
    <cellStyle name="Percent 7" xfId="351" xr:uid="{00000000-0005-0000-0000-000024610000}"/>
    <cellStyle name="Percent 7 2" xfId="414" xr:uid="{00000000-0005-0000-0000-000025610000}"/>
    <cellStyle name="Percent 7 2 2" xfId="544" xr:uid="{00000000-0005-0000-0000-000026610000}"/>
    <cellStyle name="Percent 7 2 2 2" xfId="809" xr:uid="{00000000-0005-0000-0000-000027610000}"/>
    <cellStyle name="Percent 7 2 2 2 2" xfId="1341" xr:uid="{00000000-0005-0000-0000-000028610000}"/>
    <cellStyle name="Percent 7 2 2 2 2 2" xfId="2498" xr:uid="{00000000-0005-0000-0000-000029610000}"/>
    <cellStyle name="Percent 7 2 2 2 2 2 2" xfId="4810" xr:uid="{00000000-0005-0000-0000-00002A610000}"/>
    <cellStyle name="Percent 7 2 2 2 2 2 2 2" xfId="9761" xr:uid="{00000000-0005-0000-0000-00002B610000}"/>
    <cellStyle name="Percent 7 2 2 2 2 2 2 2 2" xfId="20658" xr:uid="{00000000-0005-0000-0000-00002C610000}"/>
    <cellStyle name="Percent 7 2 2 2 2 2 2 3" xfId="15707" xr:uid="{00000000-0005-0000-0000-00002D610000}"/>
    <cellStyle name="Percent 7 2 2 2 2 2 3" xfId="7449" xr:uid="{00000000-0005-0000-0000-00002E610000}"/>
    <cellStyle name="Percent 7 2 2 2 2 2 3 2" xfId="18346" xr:uid="{00000000-0005-0000-0000-00002F610000}"/>
    <cellStyle name="Percent 7 2 2 2 2 2 4" xfId="13409" xr:uid="{00000000-0005-0000-0000-000030610000}"/>
    <cellStyle name="Percent 7 2 2 2 2 3" xfId="3665" xr:uid="{00000000-0005-0000-0000-000031610000}"/>
    <cellStyle name="Percent 7 2 2 2 2 3 2" xfId="8616" xr:uid="{00000000-0005-0000-0000-000032610000}"/>
    <cellStyle name="Percent 7 2 2 2 2 3 2 2" xfId="19513" xr:uid="{00000000-0005-0000-0000-000033610000}"/>
    <cellStyle name="Percent 7 2 2 2 2 3 3" xfId="14562" xr:uid="{00000000-0005-0000-0000-000034610000}"/>
    <cellStyle name="Percent 7 2 2 2 2 4" xfId="6304" xr:uid="{00000000-0005-0000-0000-000035610000}"/>
    <cellStyle name="Percent 7 2 2 2 2 4 2" xfId="17201" xr:uid="{00000000-0005-0000-0000-000036610000}"/>
    <cellStyle name="Percent 7 2 2 2 2 5" xfId="12291" xr:uid="{00000000-0005-0000-0000-000037610000}"/>
    <cellStyle name="Percent 7 2 2 2 3" xfId="1967" xr:uid="{00000000-0005-0000-0000-000038610000}"/>
    <cellStyle name="Percent 7 2 2 2 3 2" xfId="4279" xr:uid="{00000000-0005-0000-0000-000039610000}"/>
    <cellStyle name="Percent 7 2 2 2 3 2 2" xfId="9230" xr:uid="{00000000-0005-0000-0000-00003A610000}"/>
    <cellStyle name="Percent 7 2 2 2 3 2 2 2" xfId="20127" xr:uid="{00000000-0005-0000-0000-00003B610000}"/>
    <cellStyle name="Percent 7 2 2 2 3 2 3" xfId="15176" xr:uid="{00000000-0005-0000-0000-00003C610000}"/>
    <cellStyle name="Percent 7 2 2 2 3 3" xfId="6918" xr:uid="{00000000-0005-0000-0000-00003D610000}"/>
    <cellStyle name="Percent 7 2 2 2 3 3 2" xfId="17815" xr:uid="{00000000-0005-0000-0000-00003E610000}"/>
    <cellStyle name="Percent 7 2 2 2 3 4" xfId="12891" xr:uid="{00000000-0005-0000-0000-00003F610000}"/>
    <cellStyle name="Percent 7 2 2 2 4" xfId="3133" xr:uid="{00000000-0005-0000-0000-000040610000}"/>
    <cellStyle name="Percent 7 2 2 2 4 2" xfId="8084" xr:uid="{00000000-0005-0000-0000-000041610000}"/>
    <cellStyle name="Percent 7 2 2 2 4 2 2" xfId="18981" xr:uid="{00000000-0005-0000-0000-000042610000}"/>
    <cellStyle name="Percent 7 2 2 2 4 3" xfId="14030" xr:uid="{00000000-0005-0000-0000-000043610000}"/>
    <cellStyle name="Percent 7 2 2 2 5" xfId="5772" xr:uid="{00000000-0005-0000-0000-000044610000}"/>
    <cellStyle name="Percent 7 2 2 2 5 2" xfId="16669" xr:uid="{00000000-0005-0000-0000-000045610000}"/>
    <cellStyle name="Percent 7 2 2 2 6" xfId="11770" xr:uid="{00000000-0005-0000-0000-000046610000}"/>
    <cellStyle name="Percent 7 2 2 3" xfId="1076" xr:uid="{00000000-0005-0000-0000-000047610000}"/>
    <cellStyle name="Percent 7 2 2 3 2" xfId="2233" xr:uid="{00000000-0005-0000-0000-000048610000}"/>
    <cellStyle name="Percent 7 2 2 3 2 2" xfId="4545" xr:uid="{00000000-0005-0000-0000-000049610000}"/>
    <cellStyle name="Percent 7 2 2 3 2 2 2" xfId="9496" xr:uid="{00000000-0005-0000-0000-00004A610000}"/>
    <cellStyle name="Percent 7 2 2 3 2 2 2 2" xfId="20393" xr:uid="{00000000-0005-0000-0000-00004B610000}"/>
    <cellStyle name="Percent 7 2 2 3 2 2 3" xfId="15442" xr:uid="{00000000-0005-0000-0000-00004C610000}"/>
    <cellStyle name="Percent 7 2 2 3 2 3" xfId="7184" xr:uid="{00000000-0005-0000-0000-00004D610000}"/>
    <cellStyle name="Percent 7 2 2 3 2 3 2" xfId="18081" xr:uid="{00000000-0005-0000-0000-00004E610000}"/>
    <cellStyle name="Percent 7 2 2 3 2 4" xfId="13150" xr:uid="{00000000-0005-0000-0000-00004F610000}"/>
    <cellStyle name="Percent 7 2 2 3 3" xfId="3400" xr:uid="{00000000-0005-0000-0000-000050610000}"/>
    <cellStyle name="Percent 7 2 2 3 3 2" xfId="8351" xr:uid="{00000000-0005-0000-0000-000051610000}"/>
    <cellStyle name="Percent 7 2 2 3 3 2 2" xfId="19248" xr:uid="{00000000-0005-0000-0000-000052610000}"/>
    <cellStyle name="Percent 7 2 2 3 3 3" xfId="14297" xr:uid="{00000000-0005-0000-0000-000053610000}"/>
    <cellStyle name="Percent 7 2 2 3 4" xfId="6039" xr:uid="{00000000-0005-0000-0000-000054610000}"/>
    <cellStyle name="Percent 7 2 2 3 4 2" xfId="16936" xr:uid="{00000000-0005-0000-0000-000055610000}"/>
    <cellStyle name="Percent 7 2 2 3 5" xfId="12032" xr:uid="{00000000-0005-0000-0000-000056610000}"/>
    <cellStyle name="Percent 7 2 2 4" xfId="1734" xr:uid="{00000000-0005-0000-0000-000057610000}"/>
    <cellStyle name="Percent 7 2 2 4 2" xfId="4046" xr:uid="{00000000-0005-0000-0000-000058610000}"/>
    <cellStyle name="Percent 7 2 2 4 2 2" xfId="8997" xr:uid="{00000000-0005-0000-0000-000059610000}"/>
    <cellStyle name="Percent 7 2 2 4 2 2 2" xfId="19894" xr:uid="{00000000-0005-0000-0000-00005A610000}"/>
    <cellStyle name="Percent 7 2 2 4 2 3" xfId="14943" xr:uid="{00000000-0005-0000-0000-00005B610000}"/>
    <cellStyle name="Percent 7 2 2 4 3" xfId="6685" xr:uid="{00000000-0005-0000-0000-00005C610000}"/>
    <cellStyle name="Percent 7 2 2 4 3 2" xfId="17582" xr:uid="{00000000-0005-0000-0000-00005D610000}"/>
    <cellStyle name="Percent 7 2 2 4 4" xfId="12665" xr:uid="{00000000-0005-0000-0000-00005E610000}"/>
    <cellStyle name="Percent 7 2 2 5" xfId="2868" xr:uid="{00000000-0005-0000-0000-00005F610000}"/>
    <cellStyle name="Percent 7 2 2 5 2" xfId="7819" xr:uid="{00000000-0005-0000-0000-000060610000}"/>
    <cellStyle name="Percent 7 2 2 5 2 2" xfId="18716" xr:uid="{00000000-0005-0000-0000-000061610000}"/>
    <cellStyle name="Percent 7 2 2 5 3" xfId="13765" xr:uid="{00000000-0005-0000-0000-000062610000}"/>
    <cellStyle name="Percent 7 2 2 6" xfId="5507" xr:uid="{00000000-0005-0000-0000-000063610000}"/>
    <cellStyle name="Percent 7 2 2 6 2" xfId="16404" xr:uid="{00000000-0005-0000-0000-000064610000}"/>
    <cellStyle name="Percent 7 2 2 7" xfId="11509" xr:uid="{00000000-0005-0000-0000-000065610000}"/>
    <cellStyle name="Percent 7 2 3" xfId="680" xr:uid="{00000000-0005-0000-0000-000066610000}"/>
    <cellStyle name="Percent 7 2 3 2" xfId="1212" xr:uid="{00000000-0005-0000-0000-000067610000}"/>
    <cellStyle name="Percent 7 2 3 2 2" xfId="2369" xr:uid="{00000000-0005-0000-0000-000068610000}"/>
    <cellStyle name="Percent 7 2 3 2 2 2" xfId="4681" xr:uid="{00000000-0005-0000-0000-000069610000}"/>
    <cellStyle name="Percent 7 2 3 2 2 2 2" xfId="9632" xr:uid="{00000000-0005-0000-0000-00006A610000}"/>
    <cellStyle name="Percent 7 2 3 2 2 2 2 2" xfId="20529" xr:uid="{00000000-0005-0000-0000-00006B610000}"/>
    <cellStyle name="Percent 7 2 3 2 2 2 3" xfId="15578" xr:uid="{00000000-0005-0000-0000-00006C610000}"/>
    <cellStyle name="Percent 7 2 3 2 2 3" xfId="7320" xr:uid="{00000000-0005-0000-0000-00006D610000}"/>
    <cellStyle name="Percent 7 2 3 2 2 3 2" xfId="18217" xr:uid="{00000000-0005-0000-0000-00006E610000}"/>
    <cellStyle name="Percent 7 2 3 2 2 4" xfId="13281" xr:uid="{00000000-0005-0000-0000-00006F610000}"/>
    <cellStyle name="Percent 7 2 3 2 3" xfId="3536" xr:uid="{00000000-0005-0000-0000-000070610000}"/>
    <cellStyle name="Percent 7 2 3 2 3 2" xfId="8487" xr:uid="{00000000-0005-0000-0000-000071610000}"/>
    <cellStyle name="Percent 7 2 3 2 3 2 2" xfId="19384" xr:uid="{00000000-0005-0000-0000-000072610000}"/>
    <cellStyle name="Percent 7 2 3 2 3 3" xfId="14433" xr:uid="{00000000-0005-0000-0000-000073610000}"/>
    <cellStyle name="Percent 7 2 3 2 4" xfId="6175" xr:uid="{00000000-0005-0000-0000-000074610000}"/>
    <cellStyle name="Percent 7 2 3 2 4 2" xfId="17072" xr:uid="{00000000-0005-0000-0000-000075610000}"/>
    <cellStyle name="Percent 7 2 3 2 5" xfId="12163" xr:uid="{00000000-0005-0000-0000-000076610000}"/>
    <cellStyle name="Percent 7 2 3 3" xfId="1853" xr:uid="{00000000-0005-0000-0000-000077610000}"/>
    <cellStyle name="Percent 7 2 3 3 2" xfId="4165" xr:uid="{00000000-0005-0000-0000-000078610000}"/>
    <cellStyle name="Percent 7 2 3 3 2 2" xfId="9116" xr:uid="{00000000-0005-0000-0000-000079610000}"/>
    <cellStyle name="Percent 7 2 3 3 2 2 2" xfId="20013" xr:uid="{00000000-0005-0000-0000-00007A610000}"/>
    <cellStyle name="Percent 7 2 3 3 2 3" xfId="15062" xr:uid="{00000000-0005-0000-0000-00007B610000}"/>
    <cellStyle name="Percent 7 2 3 3 3" xfId="6804" xr:uid="{00000000-0005-0000-0000-00007C610000}"/>
    <cellStyle name="Percent 7 2 3 3 3 2" xfId="17701" xr:uid="{00000000-0005-0000-0000-00007D610000}"/>
    <cellStyle name="Percent 7 2 3 3 4" xfId="12778" xr:uid="{00000000-0005-0000-0000-00007E610000}"/>
    <cellStyle name="Percent 7 2 3 4" xfId="3004" xr:uid="{00000000-0005-0000-0000-00007F610000}"/>
    <cellStyle name="Percent 7 2 3 4 2" xfId="7955" xr:uid="{00000000-0005-0000-0000-000080610000}"/>
    <cellStyle name="Percent 7 2 3 4 2 2" xfId="18852" xr:uid="{00000000-0005-0000-0000-000081610000}"/>
    <cellStyle name="Percent 7 2 3 4 3" xfId="13901" xr:uid="{00000000-0005-0000-0000-000082610000}"/>
    <cellStyle name="Percent 7 2 3 5" xfId="5643" xr:uid="{00000000-0005-0000-0000-000083610000}"/>
    <cellStyle name="Percent 7 2 3 5 2" xfId="16540" xr:uid="{00000000-0005-0000-0000-000084610000}"/>
    <cellStyle name="Percent 7 2 3 6" xfId="11642" xr:uid="{00000000-0005-0000-0000-000085610000}"/>
    <cellStyle name="Percent 7 2 4" xfId="947" xr:uid="{00000000-0005-0000-0000-000086610000}"/>
    <cellStyle name="Percent 7 2 4 2" xfId="2104" xr:uid="{00000000-0005-0000-0000-000087610000}"/>
    <cellStyle name="Percent 7 2 4 2 2" xfId="4416" xr:uid="{00000000-0005-0000-0000-000088610000}"/>
    <cellStyle name="Percent 7 2 4 2 2 2" xfId="9367" xr:uid="{00000000-0005-0000-0000-000089610000}"/>
    <cellStyle name="Percent 7 2 4 2 2 2 2" xfId="20264" xr:uid="{00000000-0005-0000-0000-00008A610000}"/>
    <cellStyle name="Percent 7 2 4 2 2 3" xfId="15313" xr:uid="{00000000-0005-0000-0000-00008B610000}"/>
    <cellStyle name="Percent 7 2 4 2 3" xfId="7055" xr:uid="{00000000-0005-0000-0000-00008C610000}"/>
    <cellStyle name="Percent 7 2 4 2 3 2" xfId="17952" xr:uid="{00000000-0005-0000-0000-00008D610000}"/>
    <cellStyle name="Percent 7 2 4 2 4" xfId="13022" xr:uid="{00000000-0005-0000-0000-00008E610000}"/>
    <cellStyle name="Percent 7 2 4 3" xfId="3271" xr:uid="{00000000-0005-0000-0000-00008F610000}"/>
    <cellStyle name="Percent 7 2 4 3 2" xfId="8222" xr:uid="{00000000-0005-0000-0000-000090610000}"/>
    <cellStyle name="Percent 7 2 4 3 2 2" xfId="19119" xr:uid="{00000000-0005-0000-0000-000091610000}"/>
    <cellStyle name="Percent 7 2 4 3 3" xfId="14168" xr:uid="{00000000-0005-0000-0000-000092610000}"/>
    <cellStyle name="Percent 7 2 4 4" xfId="5910" xr:uid="{00000000-0005-0000-0000-000093610000}"/>
    <cellStyle name="Percent 7 2 4 4 2" xfId="16807" xr:uid="{00000000-0005-0000-0000-000094610000}"/>
    <cellStyle name="Percent 7 2 4 5" xfId="11904" xr:uid="{00000000-0005-0000-0000-000095610000}"/>
    <cellStyle name="Percent 7 2 5" xfId="1620" xr:uid="{00000000-0005-0000-0000-000096610000}"/>
    <cellStyle name="Percent 7 2 5 2" xfId="3932" xr:uid="{00000000-0005-0000-0000-000097610000}"/>
    <cellStyle name="Percent 7 2 5 2 2" xfId="8883" xr:uid="{00000000-0005-0000-0000-000098610000}"/>
    <cellStyle name="Percent 7 2 5 2 2 2" xfId="19780" xr:uid="{00000000-0005-0000-0000-000099610000}"/>
    <cellStyle name="Percent 7 2 5 2 3" xfId="14829" xr:uid="{00000000-0005-0000-0000-00009A610000}"/>
    <cellStyle name="Percent 7 2 5 3" xfId="6571" xr:uid="{00000000-0005-0000-0000-00009B610000}"/>
    <cellStyle name="Percent 7 2 5 3 2" xfId="17468" xr:uid="{00000000-0005-0000-0000-00009C610000}"/>
    <cellStyle name="Percent 7 2 5 4" xfId="12552" xr:uid="{00000000-0005-0000-0000-00009D610000}"/>
    <cellStyle name="Percent 7 2 6" xfId="2739" xr:uid="{00000000-0005-0000-0000-00009E610000}"/>
    <cellStyle name="Percent 7 2 6 2" xfId="7690" xr:uid="{00000000-0005-0000-0000-00009F610000}"/>
    <cellStyle name="Percent 7 2 6 2 2" xfId="18587" xr:uid="{00000000-0005-0000-0000-0000A0610000}"/>
    <cellStyle name="Percent 7 2 6 3" xfId="13636" xr:uid="{00000000-0005-0000-0000-0000A1610000}"/>
    <cellStyle name="Percent 7 2 7" xfId="5378" xr:uid="{00000000-0005-0000-0000-0000A2610000}"/>
    <cellStyle name="Percent 7 2 7 2" xfId="16275" xr:uid="{00000000-0005-0000-0000-0000A3610000}"/>
    <cellStyle name="Percent 7 2 8" xfId="11381" xr:uid="{00000000-0005-0000-0000-0000A4610000}"/>
    <cellStyle name="Percent 7 3" xfId="493" xr:uid="{00000000-0005-0000-0000-0000A5610000}"/>
    <cellStyle name="Percent 7 3 2" xfId="758" xr:uid="{00000000-0005-0000-0000-0000A6610000}"/>
    <cellStyle name="Percent 7 3 2 2" xfId="1290" xr:uid="{00000000-0005-0000-0000-0000A7610000}"/>
    <cellStyle name="Percent 7 3 2 2 2" xfId="2447" xr:uid="{00000000-0005-0000-0000-0000A8610000}"/>
    <cellStyle name="Percent 7 3 2 2 2 2" xfId="4759" xr:uid="{00000000-0005-0000-0000-0000A9610000}"/>
    <cellStyle name="Percent 7 3 2 2 2 2 2" xfId="9710" xr:uid="{00000000-0005-0000-0000-0000AA610000}"/>
    <cellStyle name="Percent 7 3 2 2 2 2 2 2" xfId="20607" xr:uid="{00000000-0005-0000-0000-0000AB610000}"/>
    <cellStyle name="Percent 7 3 2 2 2 2 3" xfId="15656" xr:uid="{00000000-0005-0000-0000-0000AC610000}"/>
    <cellStyle name="Percent 7 3 2 2 2 3" xfId="7398" xr:uid="{00000000-0005-0000-0000-0000AD610000}"/>
    <cellStyle name="Percent 7 3 2 2 2 3 2" xfId="18295" xr:uid="{00000000-0005-0000-0000-0000AE610000}"/>
    <cellStyle name="Percent 7 3 2 2 2 4" xfId="13358" xr:uid="{00000000-0005-0000-0000-0000AF610000}"/>
    <cellStyle name="Percent 7 3 2 2 3" xfId="3614" xr:uid="{00000000-0005-0000-0000-0000B0610000}"/>
    <cellStyle name="Percent 7 3 2 2 3 2" xfId="8565" xr:uid="{00000000-0005-0000-0000-0000B1610000}"/>
    <cellStyle name="Percent 7 3 2 2 3 2 2" xfId="19462" xr:uid="{00000000-0005-0000-0000-0000B2610000}"/>
    <cellStyle name="Percent 7 3 2 2 3 3" xfId="14511" xr:uid="{00000000-0005-0000-0000-0000B3610000}"/>
    <cellStyle name="Percent 7 3 2 2 4" xfId="6253" xr:uid="{00000000-0005-0000-0000-0000B4610000}"/>
    <cellStyle name="Percent 7 3 2 2 4 2" xfId="17150" xr:uid="{00000000-0005-0000-0000-0000B5610000}"/>
    <cellStyle name="Percent 7 3 2 2 5" xfId="12240" xr:uid="{00000000-0005-0000-0000-0000B6610000}"/>
    <cellStyle name="Percent 7 3 2 3" xfId="1916" xr:uid="{00000000-0005-0000-0000-0000B7610000}"/>
    <cellStyle name="Percent 7 3 2 3 2" xfId="4228" xr:uid="{00000000-0005-0000-0000-0000B8610000}"/>
    <cellStyle name="Percent 7 3 2 3 2 2" xfId="9179" xr:uid="{00000000-0005-0000-0000-0000B9610000}"/>
    <cellStyle name="Percent 7 3 2 3 2 2 2" xfId="20076" xr:uid="{00000000-0005-0000-0000-0000BA610000}"/>
    <cellStyle name="Percent 7 3 2 3 2 3" xfId="15125" xr:uid="{00000000-0005-0000-0000-0000BB610000}"/>
    <cellStyle name="Percent 7 3 2 3 3" xfId="6867" xr:uid="{00000000-0005-0000-0000-0000BC610000}"/>
    <cellStyle name="Percent 7 3 2 3 3 2" xfId="17764" xr:uid="{00000000-0005-0000-0000-0000BD610000}"/>
    <cellStyle name="Percent 7 3 2 3 4" xfId="12840" xr:uid="{00000000-0005-0000-0000-0000BE610000}"/>
    <cellStyle name="Percent 7 3 2 4" xfId="3082" xr:uid="{00000000-0005-0000-0000-0000BF610000}"/>
    <cellStyle name="Percent 7 3 2 4 2" xfId="8033" xr:uid="{00000000-0005-0000-0000-0000C0610000}"/>
    <cellStyle name="Percent 7 3 2 4 2 2" xfId="18930" xr:uid="{00000000-0005-0000-0000-0000C1610000}"/>
    <cellStyle name="Percent 7 3 2 4 3" xfId="13979" xr:uid="{00000000-0005-0000-0000-0000C2610000}"/>
    <cellStyle name="Percent 7 3 2 5" xfId="5721" xr:uid="{00000000-0005-0000-0000-0000C3610000}"/>
    <cellStyle name="Percent 7 3 2 5 2" xfId="16618" xr:uid="{00000000-0005-0000-0000-0000C4610000}"/>
    <cellStyle name="Percent 7 3 2 6" xfId="11719" xr:uid="{00000000-0005-0000-0000-0000C5610000}"/>
    <cellStyle name="Percent 7 3 3" xfId="1025" xr:uid="{00000000-0005-0000-0000-0000C6610000}"/>
    <cellStyle name="Percent 7 3 3 2" xfId="2182" xr:uid="{00000000-0005-0000-0000-0000C7610000}"/>
    <cellStyle name="Percent 7 3 3 2 2" xfId="4494" xr:uid="{00000000-0005-0000-0000-0000C8610000}"/>
    <cellStyle name="Percent 7 3 3 2 2 2" xfId="9445" xr:uid="{00000000-0005-0000-0000-0000C9610000}"/>
    <cellStyle name="Percent 7 3 3 2 2 2 2" xfId="20342" xr:uid="{00000000-0005-0000-0000-0000CA610000}"/>
    <cellStyle name="Percent 7 3 3 2 2 3" xfId="15391" xr:uid="{00000000-0005-0000-0000-0000CB610000}"/>
    <cellStyle name="Percent 7 3 3 2 3" xfId="7133" xr:uid="{00000000-0005-0000-0000-0000CC610000}"/>
    <cellStyle name="Percent 7 3 3 2 3 2" xfId="18030" xr:uid="{00000000-0005-0000-0000-0000CD610000}"/>
    <cellStyle name="Percent 7 3 3 2 4" xfId="13099" xr:uid="{00000000-0005-0000-0000-0000CE610000}"/>
    <cellStyle name="Percent 7 3 3 3" xfId="3349" xr:uid="{00000000-0005-0000-0000-0000CF610000}"/>
    <cellStyle name="Percent 7 3 3 3 2" xfId="8300" xr:uid="{00000000-0005-0000-0000-0000D0610000}"/>
    <cellStyle name="Percent 7 3 3 3 2 2" xfId="19197" xr:uid="{00000000-0005-0000-0000-0000D1610000}"/>
    <cellStyle name="Percent 7 3 3 3 3" xfId="14246" xr:uid="{00000000-0005-0000-0000-0000D2610000}"/>
    <cellStyle name="Percent 7 3 3 4" xfId="5988" xr:uid="{00000000-0005-0000-0000-0000D3610000}"/>
    <cellStyle name="Percent 7 3 3 4 2" xfId="16885" xr:uid="{00000000-0005-0000-0000-0000D4610000}"/>
    <cellStyle name="Percent 7 3 3 5" xfId="11981" xr:uid="{00000000-0005-0000-0000-0000D5610000}"/>
    <cellStyle name="Percent 7 3 4" xfId="1683" xr:uid="{00000000-0005-0000-0000-0000D6610000}"/>
    <cellStyle name="Percent 7 3 4 2" xfId="3995" xr:uid="{00000000-0005-0000-0000-0000D7610000}"/>
    <cellStyle name="Percent 7 3 4 2 2" xfId="8946" xr:uid="{00000000-0005-0000-0000-0000D8610000}"/>
    <cellStyle name="Percent 7 3 4 2 2 2" xfId="19843" xr:uid="{00000000-0005-0000-0000-0000D9610000}"/>
    <cellStyle name="Percent 7 3 4 2 3" xfId="14892" xr:uid="{00000000-0005-0000-0000-0000DA610000}"/>
    <cellStyle name="Percent 7 3 4 3" xfId="6634" xr:uid="{00000000-0005-0000-0000-0000DB610000}"/>
    <cellStyle name="Percent 7 3 4 3 2" xfId="17531" xr:uid="{00000000-0005-0000-0000-0000DC610000}"/>
    <cellStyle name="Percent 7 3 4 4" xfId="12614" xr:uid="{00000000-0005-0000-0000-0000DD610000}"/>
    <cellStyle name="Percent 7 3 5" xfId="2817" xr:uid="{00000000-0005-0000-0000-0000DE610000}"/>
    <cellStyle name="Percent 7 3 5 2" xfId="7768" xr:uid="{00000000-0005-0000-0000-0000DF610000}"/>
    <cellStyle name="Percent 7 3 5 2 2" xfId="18665" xr:uid="{00000000-0005-0000-0000-0000E0610000}"/>
    <cellStyle name="Percent 7 3 5 3" xfId="13714" xr:uid="{00000000-0005-0000-0000-0000E1610000}"/>
    <cellStyle name="Percent 7 3 6" xfId="5456" xr:uid="{00000000-0005-0000-0000-0000E2610000}"/>
    <cellStyle name="Percent 7 3 6 2" xfId="16353" xr:uid="{00000000-0005-0000-0000-0000E3610000}"/>
    <cellStyle name="Percent 7 3 7" xfId="11458" xr:uid="{00000000-0005-0000-0000-0000E4610000}"/>
    <cellStyle name="Percent 7 4" xfId="625" xr:uid="{00000000-0005-0000-0000-0000E5610000}"/>
    <cellStyle name="Percent 7 4 2" xfId="1157" xr:uid="{00000000-0005-0000-0000-0000E6610000}"/>
    <cellStyle name="Percent 7 4 2 2" xfId="2314" xr:uid="{00000000-0005-0000-0000-0000E7610000}"/>
    <cellStyle name="Percent 7 4 2 2 2" xfId="4626" xr:uid="{00000000-0005-0000-0000-0000E8610000}"/>
    <cellStyle name="Percent 7 4 2 2 2 2" xfId="9577" xr:uid="{00000000-0005-0000-0000-0000E9610000}"/>
    <cellStyle name="Percent 7 4 2 2 2 2 2" xfId="20474" xr:uid="{00000000-0005-0000-0000-0000EA610000}"/>
    <cellStyle name="Percent 7 4 2 2 2 3" xfId="15523" xr:uid="{00000000-0005-0000-0000-0000EB610000}"/>
    <cellStyle name="Percent 7 4 2 2 3" xfId="7265" xr:uid="{00000000-0005-0000-0000-0000EC610000}"/>
    <cellStyle name="Percent 7 4 2 2 3 2" xfId="18162" xr:uid="{00000000-0005-0000-0000-0000ED610000}"/>
    <cellStyle name="Percent 7 4 2 2 4" xfId="13226" xr:uid="{00000000-0005-0000-0000-0000EE610000}"/>
    <cellStyle name="Percent 7 4 2 3" xfId="3481" xr:uid="{00000000-0005-0000-0000-0000EF610000}"/>
    <cellStyle name="Percent 7 4 2 3 2" xfId="8432" xr:uid="{00000000-0005-0000-0000-0000F0610000}"/>
    <cellStyle name="Percent 7 4 2 3 2 2" xfId="19329" xr:uid="{00000000-0005-0000-0000-0000F1610000}"/>
    <cellStyle name="Percent 7 4 2 3 3" xfId="14378" xr:uid="{00000000-0005-0000-0000-0000F2610000}"/>
    <cellStyle name="Percent 7 4 2 4" xfId="6120" xr:uid="{00000000-0005-0000-0000-0000F3610000}"/>
    <cellStyle name="Percent 7 4 2 4 2" xfId="17017" xr:uid="{00000000-0005-0000-0000-0000F4610000}"/>
    <cellStyle name="Percent 7 4 2 5" xfId="12108" xr:uid="{00000000-0005-0000-0000-0000F5610000}"/>
    <cellStyle name="Percent 7 4 3" xfId="1802" xr:uid="{00000000-0005-0000-0000-0000F6610000}"/>
    <cellStyle name="Percent 7 4 3 2" xfId="4114" xr:uid="{00000000-0005-0000-0000-0000F7610000}"/>
    <cellStyle name="Percent 7 4 3 2 2" xfId="9065" xr:uid="{00000000-0005-0000-0000-0000F8610000}"/>
    <cellStyle name="Percent 7 4 3 2 2 2" xfId="19962" xr:uid="{00000000-0005-0000-0000-0000F9610000}"/>
    <cellStyle name="Percent 7 4 3 2 3" xfId="15011" xr:uid="{00000000-0005-0000-0000-0000FA610000}"/>
    <cellStyle name="Percent 7 4 3 3" xfId="6753" xr:uid="{00000000-0005-0000-0000-0000FB610000}"/>
    <cellStyle name="Percent 7 4 3 3 2" xfId="17650" xr:uid="{00000000-0005-0000-0000-0000FC610000}"/>
    <cellStyle name="Percent 7 4 3 4" xfId="12727" xr:uid="{00000000-0005-0000-0000-0000FD610000}"/>
    <cellStyle name="Percent 7 4 4" xfId="2949" xr:uid="{00000000-0005-0000-0000-0000FE610000}"/>
    <cellStyle name="Percent 7 4 4 2" xfId="7900" xr:uid="{00000000-0005-0000-0000-0000FF610000}"/>
    <cellStyle name="Percent 7 4 4 2 2" xfId="18797" xr:uid="{00000000-0005-0000-0000-000000620000}"/>
    <cellStyle name="Percent 7 4 4 3" xfId="13846" xr:uid="{00000000-0005-0000-0000-000001620000}"/>
    <cellStyle name="Percent 7 4 5" xfId="5588" xr:uid="{00000000-0005-0000-0000-000002620000}"/>
    <cellStyle name="Percent 7 4 5 2" xfId="16485" xr:uid="{00000000-0005-0000-0000-000003620000}"/>
    <cellStyle name="Percent 7 4 6" xfId="11587" xr:uid="{00000000-0005-0000-0000-000004620000}"/>
    <cellStyle name="Percent 7 5" xfId="892" xr:uid="{00000000-0005-0000-0000-000005620000}"/>
    <cellStyle name="Percent 7 5 2" xfId="2049" xr:uid="{00000000-0005-0000-0000-000006620000}"/>
    <cellStyle name="Percent 7 5 2 2" xfId="4361" xr:uid="{00000000-0005-0000-0000-000007620000}"/>
    <cellStyle name="Percent 7 5 2 2 2" xfId="9312" xr:uid="{00000000-0005-0000-0000-000008620000}"/>
    <cellStyle name="Percent 7 5 2 2 2 2" xfId="20209" xr:uid="{00000000-0005-0000-0000-000009620000}"/>
    <cellStyle name="Percent 7 5 2 2 3" xfId="15258" xr:uid="{00000000-0005-0000-0000-00000A620000}"/>
    <cellStyle name="Percent 7 5 2 3" xfId="7000" xr:uid="{00000000-0005-0000-0000-00000B620000}"/>
    <cellStyle name="Percent 7 5 2 3 2" xfId="17897" xr:uid="{00000000-0005-0000-0000-00000C620000}"/>
    <cellStyle name="Percent 7 5 2 4" xfId="12967" xr:uid="{00000000-0005-0000-0000-00000D620000}"/>
    <cellStyle name="Percent 7 5 3" xfId="3216" xr:uid="{00000000-0005-0000-0000-00000E620000}"/>
    <cellStyle name="Percent 7 5 3 2" xfId="8167" xr:uid="{00000000-0005-0000-0000-00000F620000}"/>
    <cellStyle name="Percent 7 5 3 2 2" xfId="19064" xr:uid="{00000000-0005-0000-0000-000010620000}"/>
    <cellStyle name="Percent 7 5 3 3" xfId="14113" xr:uid="{00000000-0005-0000-0000-000011620000}"/>
    <cellStyle name="Percent 7 5 4" xfId="5855" xr:uid="{00000000-0005-0000-0000-000012620000}"/>
    <cellStyle name="Percent 7 5 4 2" xfId="16752" xr:uid="{00000000-0005-0000-0000-000013620000}"/>
    <cellStyle name="Percent 7 5 5" xfId="11849" xr:uid="{00000000-0005-0000-0000-000014620000}"/>
    <cellStyle name="Percent 7 6" xfId="1569" xr:uid="{00000000-0005-0000-0000-000015620000}"/>
    <cellStyle name="Percent 7 6 2" xfId="3881" xr:uid="{00000000-0005-0000-0000-000016620000}"/>
    <cellStyle name="Percent 7 6 2 2" xfId="8832" xr:uid="{00000000-0005-0000-0000-000017620000}"/>
    <cellStyle name="Percent 7 6 2 2 2" xfId="19729" xr:uid="{00000000-0005-0000-0000-000018620000}"/>
    <cellStyle name="Percent 7 6 2 3" xfId="14778" xr:uid="{00000000-0005-0000-0000-000019620000}"/>
    <cellStyle name="Percent 7 6 3" xfId="6520" xr:uid="{00000000-0005-0000-0000-00001A620000}"/>
    <cellStyle name="Percent 7 6 3 2" xfId="17417" xr:uid="{00000000-0005-0000-0000-00001B620000}"/>
    <cellStyle name="Percent 7 6 4" xfId="12501" xr:uid="{00000000-0005-0000-0000-00001C620000}"/>
    <cellStyle name="Percent 7 7" xfId="2684" xr:uid="{00000000-0005-0000-0000-00001D620000}"/>
    <cellStyle name="Percent 7 7 2" xfId="7635" xr:uid="{00000000-0005-0000-0000-00001E620000}"/>
    <cellStyle name="Percent 7 7 2 2" xfId="18532" xr:uid="{00000000-0005-0000-0000-00001F620000}"/>
    <cellStyle name="Percent 7 7 3" xfId="13581" xr:uid="{00000000-0005-0000-0000-000020620000}"/>
    <cellStyle name="Percent 7 8" xfId="5323" xr:uid="{00000000-0005-0000-0000-000021620000}"/>
    <cellStyle name="Percent 7 8 2" xfId="16220" xr:uid="{00000000-0005-0000-0000-000022620000}"/>
    <cellStyle name="Percent 7 9" xfId="11326" xr:uid="{00000000-0005-0000-0000-000023620000}"/>
    <cellStyle name="Percent 8" xfId="352" xr:uid="{00000000-0005-0000-0000-000024620000}"/>
    <cellStyle name="Percent 8 2" xfId="415" xr:uid="{00000000-0005-0000-0000-000025620000}"/>
    <cellStyle name="Percent 8 2 2" xfId="545" xr:uid="{00000000-0005-0000-0000-000026620000}"/>
    <cellStyle name="Percent 8 2 2 2" xfId="810" xr:uid="{00000000-0005-0000-0000-000027620000}"/>
    <cellStyle name="Percent 8 2 2 2 2" xfId="1342" xr:uid="{00000000-0005-0000-0000-000028620000}"/>
    <cellStyle name="Percent 8 2 2 2 2 2" xfId="2499" xr:uid="{00000000-0005-0000-0000-000029620000}"/>
    <cellStyle name="Percent 8 2 2 2 2 2 2" xfId="4811" xr:uid="{00000000-0005-0000-0000-00002A620000}"/>
    <cellStyle name="Percent 8 2 2 2 2 2 2 2" xfId="9762" xr:uid="{00000000-0005-0000-0000-00002B620000}"/>
    <cellStyle name="Percent 8 2 2 2 2 2 2 2 2" xfId="20659" xr:uid="{00000000-0005-0000-0000-00002C620000}"/>
    <cellStyle name="Percent 8 2 2 2 2 2 2 3" xfId="15708" xr:uid="{00000000-0005-0000-0000-00002D620000}"/>
    <cellStyle name="Percent 8 2 2 2 2 2 3" xfId="7450" xr:uid="{00000000-0005-0000-0000-00002E620000}"/>
    <cellStyle name="Percent 8 2 2 2 2 2 3 2" xfId="18347" xr:uid="{00000000-0005-0000-0000-00002F620000}"/>
    <cellStyle name="Percent 8 2 2 2 2 2 4" xfId="13410" xr:uid="{00000000-0005-0000-0000-000030620000}"/>
    <cellStyle name="Percent 8 2 2 2 2 3" xfId="3666" xr:uid="{00000000-0005-0000-0000-000031620000}"/>
    <cellStyle name="Percent 8 2 2 2 2 3 2" xfId="8617" xr:uid="{00000000-0005-0000-0000-000032620000}"/>
    <cellStyle name="Percent 8 2 2 2 2 3 2 2" xfId="19514" xr:uid="{00000000-0005-0000-0000-000033620000}"/>
    <cellStyle name="Percent 8 2 2 2 2 3 3" xfId="14563" xr:uid="{00000000-0005-0000-0000-000034620000}"/>
    <cellStyle name="Percent 8 2 2 2 2 4" xfId="6305" xr:uid="{00000000-0005-0000-0000-000035620000}"/>
    <cellStyle name="Percent 8 2 2 2 2 4 2" xfId="17202" xr:uid="{00000000-0005-0000-0000-000036620000}"/>
    <cellStyle name="Percent 8 2 2 2 2 5" xfId="12292" xr:uid="{00000000-0005-0000-0000-000037620000}"/>
    <cellStyle name="Percent 8 2 2 2 3" xfId="1968" xr:uid="{00000000-0005-0000-0000-000038620000}"/>
    <cellStyle name="Percent 8 2 2 2 3 2" xfId="4280" xr:uid="{00000000-0005-0000-0000-000039620000}"/>
    <cellStyle name="Percent 8 2 2 2 3 2 2" xfId="9231" xr:uid="{00000000-0005-0000-0000-00003A620000}"/>
    <cellStyle name="Percent 8 2 2 2 3 2 2 2" xfId="20128" xr:uid="{00000000-0005-0000-0000-00003B620000}"/>
    <cellStyle name="Percent 8 2 2 2 3 2 3" xfId="15177" xr:uid="{00000000-0005-0000-0000-00003C620000}"/>
    <cellStyle name="Percent 8 2 2 2 3 3" xfId="6919" xr:uid="{00000000-0005-0000-0000-00003D620000}"/>
    <cellStyle name="Percent 8 2 2 2 3 3 2" xfId="17816" xr:uid="{00000000-0005-0000-0000-00003E620000}"/>
    <cellStyle name="Percent 8 2 2 2 3 4" xfId="12892" xr:uid="{00000000-0005-0000-0000-00003F620000}"/>
    <cellStyle name="Percent 8 2 2 2 4" xfId="3134" xr:uid="{00000000-0005-0000-0000-000040620000}"/>
    <cellStyle name="Percent 8 2 2 2 4 2" xfId="8085" xr:uid="{00000000-0005-0000-0000-000041620000}"/>
    <cellStyle name="Percent 8 2 2 2 4 2 2" xfId="18982" xr:uid="{00000000-0005-0000-0000-000042620000}"/>
    <cellStyle name="Percent 8 2 2 2 4 3" xfId="14031" xr:uid="{00000000-0005-0000-0000-000043620000}"/>
    <cellStyle name="Percent 8 2 2 2 5" xfId="5773" xr:uid="{00000000-0005-0000-0000-000044620000}"/>
    <cellStyle name="Percent 8 2 2 2 5 2" xfId="16670" xr:uid="{00000000-0005-0000-0000-000045620000}"/>
    <cellStyle name="Percent 8 2 2 2 6" xfId="11771" xr:uid="{00000000-0005-0000-0000-000046620000}"/>
    <cellStyle name="Percent 8 2 2 3" xfId="1077" xr:uid="{00000000-0005-0000-0000-000047620000}"/>
    <cellStyle name="Percent 8 2 2 3 2" xfId="2234" xr:uid="{00000000-0005-0000-0000-000048620000}"/>
    <cellStyle name="Percent 8 2 2 3 2 2" xfId="4546" xr:uid="{00000000-0005-0000-0000-000049620000}"/>
    <cellStyle name="Percent 8 2 2 3 2 2 2" xfId="9497" xr:uid="{00000000-0005-0000-0000-00004A620000}"/>
    <cellStyle name="Percent 8 2 2 3 2 2 2 2" xfId="20394" xr:uid="{00000000-0005-0000-0000-00004B620000}"/>
    <cellStyle name="Percent 8 2 2 3 2 2 3" xfId="15443" xr:uid="{00000000-0005-0000-0000-00004C620000}"/>
    <cellStyle name="Percent 8 2 2 3 2 3" xfId="7185" xr:uid="{00000000-0005-0000-0000-00004D620000}"/>
    <cellStyle name="Percent 8 2 2 3 2 3 2" xfId="18082" xr:uid="{00000000-0005-0000-0000-00004E620000}"/>
    <cellStyle name="Percent 8 2 2 3 2 4" xfId="13151" xr:uid="{00000000-0005-0000-0000-00004F620000}"/>
    <cellStyle name="Percent 8 2 2 3 3" xfId="3401" xr:uid="{00000000-0005-0000-0000-000050620000}"/>
    <cellStyle name="Percent 8 2 2 3 3 2" xfId="8352" xr:uid="{00000000-0005-0000-0000-000051620000}"/>
    <cellStyle name="Percent 8 2 2 3 3 2 2" xfId="19249" xr:uid="{00000000-0005-0000-0000-000052620000}"/>
    <cellStyle name="Percent 8 2 2 3 3 3" xfId="14298" xr:uid="{00000000-0005-0000-0000-000053620000}"/>
    <cellStyle name="Percent 8 2 2 3 4" xfId="6040" xr:uid="{00000000-0005-0000-0000-000054620000}"/>
    <cellStyle name="Percent 8 2 2 3 4 2" xfId="16937" xr:uid="{00000000-0005-0000-0000-000055620000}"/>
    <cellStyle name="Percent 8 2 2 3 5" xfId="12033" xr:uid="{00000000-0005-0000-0000-000056620000}"/>
    <cellStyle name="Percent 8 2 2 4" xfId="1735" xr:uid="{00000000-0005-0000-0000-000057620000}"/>
    <cellStyle name="Percent 8 2 2 4 2" xfId="4047" xr:uid="{00000000-0005-0000-0000-000058620000}"/>
    <cellStyle name="Percent 8 2 2 4 2 2" xfId="8998" xr:uid="{00000000-0005-0000-0000-000059620000}"/>
    <cellStyle name="Percent 8 2 2 4 2 2 2" xfId="19895" xr:uid="{00000000-0005-0000-0000-00005A620000}"/>
    <cellStyle name="Percent 8 2 2 4 2 3" xfId="14944" xr:uid="{00000000-0005-0000-0000-00005B620000}"/>
    <cellStyle name="Percent 8 2 2 4 3" xfId="6686" xr:uid="{00000000-0005-0000-0000-00005C620000}"/>
    <cellStyle name="Percent 8 2 2 4 3 2" xfId="17583" xr:uid="{00000000-0005-0000-0000-00005D620000}"/>
    <cellStyle name="Percent 8 2 2 4 4" xfId="12666" xr:uid="{00000000-0005-0000-0000-00005E620000}"/>
    <cellStyle name="Percent 8 2 2 5" xfId="2869" xr:uid="{00000000-0005-0000-0000-00005F620000}"/>
    <cellStyle name="Percent 8 2 2 5 2" xfId="7820" xr:uid="{00000000-0005-0000-0000-000060620000}"/>
    <cellStyle name="Percent 8 2 2 5 2 2" xfId="18717" xr:uid="{00000000-0005-0000-0000-000061620000}"/>
    <cellStyle name="Percent 8 2 2 5 3" xfId="13766" xr:uid="{00000000-0005-0000-0000-000062620000}"/>
    <cellStyle name="Percent 8 2 2 6" xfId="5508" xr:uid="{00000000-0005-0000-0000-000063620000}"/>
    <cellStyle name="Percent 8 2 2 6 2" xfId="16405" xr:uid="{00000000-0005-0000-0000-000064620000}"/>
    <cellStyle name="Percent 8 2 2 7" xfId="11510" xr:uid="{00000000-0005-0000-0000-000065620000}"/>
    <cellStyle name="Percent 8 2 3" xfId="681" xr:uid="{00000000-0005-0000-0000-000066620000}"/>
    <cellStyle name="Percent 8 2 3 2" xfId="1213" xr:uid="{00000000-0005-0000-0000-000067620000}"/>
    <cellStyle name="Percent 8 2 3 2 2" xfId="2370" xr:uid="{00000000-0005-0000-0000-000068620000}"/>
    <cellStyle name="Percent 8 2 3 2 2 2" xfId="4682" xr:uid="{00000000-0005-0000-0000-000069620000}"/>
    <cellStyle name="Percent 8 2 3 2 2 2 2" xfId="9633" xr:uid="{00000000-0005-0000-0000-00006A620000}"/>
    <cellStyle name="Percent 8 2 3 2 2 2 2 2" xfId="20530" xr:uid="{00000000-0005-0000-0000-00006B620000}"/>
    <cellStyle name="Percent 8 2 3 2 2 2 3" xfId="15579" xr:uid="{00000000-0005-0000-0000-00006C620000}"/>
    <cellStyle name="Percent 8 2 3 2 2 3" xfId="7321" xr:uid="{00000000-0005-0000-0000-00006D620000}"/>
    <cellStyle name="Percent 8 2 3 2 2 3 2" xfId="18218" xr:uid="{00000000-0005-0000-0000-00006E620000}"/>
    <cellStyle name="Percent 8 2 3 2 2 4" xfId="13282" xr:uid="{00000000-0005-0000-0000-00006F620000}"/>
    <cellStyle name="Percent 8 2 3 2 3" xfId="3537" xr:uid="{00000000-0005-0000-0000-000070620000}"/>
    <cellStyle name="Percent 8 2 3 2 3 2" xfId="8488" xr:uid="{00000000-0005-0000-0000-000071620000}"/>
    <cellStyle name="Percent 8 2 3 2 3 2 2" xfId="19385" xr:uid="{00000000-0005-0000-0000-000072620000}"/>
    <cellStyle name="Percent 8 2 3 2 3 3" xfId="14434" xr:uid="{00000000-0005-0000-0000-000073620000}"/>
    <cellStyle name="Percent 8 2 3 2 4" xfId="6176" xr:uid="{00000000-0005-0000-0000-000074620000}"/>
    <cellStyle name="Percent 8 2 3 2 4 2" xfId="17073" xr:uid="{00000000-0005-0000-0000-000075620000}"/>
    <cellStyle name="Percent 8 2 3 2 5" xfId="12164" xr:uid="{00000000-0005-0000-0000-000076620000}"/>
    <cellStyle name="Percent 8 2 3 3" xfId="1854" xr:uid="{00000000-0005-0000-0000-000077620000}"/>
    <cellStyle name="Percent 8 2 3 3 2" xfId="4166" xr:uid="{00000000-0005-0000-0000-000078620000}"/>
    <cellStyle name="Percent 8 2 3 3 2 2" xfId="9117" xr:uid="{00000000-0005-0000-0000-000079620000}"/>
    <cellStyle name="Percent 8 2 3 3 2 2 2" xfId="20014" xr:uid="{00000000-0005-0000-0000-00007A620000}"/>
    <cellStyle name="Percent 8 2 3 3 2 3" xfId="15063" xr:uid="{00000000-0005-0000-0000-00007B620000}"/>
    <cellStyle name="Percent 8 2 3 3 3" xfId="6805" xr:uid="{00000000-0005-0000-0000-00007C620000}"/>
    <cellStyle name="Percent 8 2 3 3 3 2" xfId="17702" xr:uid="{00000000-0005-0000-0000-00007D620000}"/>
    <cellStyle name="Percent 8 2 3 3 4" xfId="12779" xr:uid="{00000000-0005-0000-0000-00007E620000}"/>
    <cellStyle name="Percent 8 2 3 4" xfId="3005" xr:uid="{00000000-0005-0000-0000-00007F620000}"/>
    <cellStyle name="Percent 8 2 3 4 2" xfId="7956" xr:uid="{00000000-0005-0000-0000-000080620000}"/>
    <cellStyle name="Percent 8 2 3 4 2 2" xfId="18853" xr:uid="{00000000-0005-0000-0000-000081620000}"/>
    <cellStyle name="Percent 8 2 3 4 3" xfId="13902" xr:uid="{00000000-0005-0000-0000-000082620000}"/>
    <cellStyle name="Percent 8 2 3 5" xfId="5644" xr:uid="{00000000-0005-0000-0000-000083620000}"/>
    <cellStyle name="Percent 8 2 3 5 2" xfId="16541" xr:uid="{00000000-0005-0000-0000-000084620000}"/>
    <cellStyle name="Percent 8 2 3 6" xfId="11643" xr:uid="{00000000-0005-0000-0000-000085620000}"/>
    <cellStyle name="Percent 8 2 4" xfId="948" xr:uid="{00000000-0005-0000-0000-000086620000}"/>
    <cellStyle name="Percent 8 2 4 2" xfId="2105" xr:uid="{00000000-0005-0000-0000-000087620000}"/>
    <cellStyle name="Percent 8 2 4 2 2" xfId="4417" xr:uid="{00000000-0005-0000-0000-000088620000}"/>
    <cellStyle name="Percent 8 2 4 2 2 2" xfId="9368" xr:uid="{00000000-0005-0000-0000-000089620000}"/>
    <cellStyle name="Percent 8 2 4 2 2 2 2" xfId="20265" xr:uid="{00000000-0005-0000-0000-00008A620000}"/>
    <cellStyle name="Percent 8 2 4 2 2 3" xfId="15314" xr:uid="{00000000-0005-0000-0000-00008B620000}"/>
    <cellStyle name="Percent 8 2 4 2 3" xfId="7056" xr:uid="{00000000-0005-0000-0000-00008C620000}"/>
    <cellStyle name="Percent 8 2 4 2 3 2" xfId="17953" xr:uid="{00000000-0005-0000-0000-00008D620000}"/>
    <cellStyle name="Percent 8 2 4 2 4" xfId="13023" xr:uid="{00000000-0005-0000-0000-00008E620000}"/>
    <cellStyle name="Percent 8 2 4 3" xfId="3272" xr:uid="{00000000-0005-0000-0000-00008F620000}"/>
    <cellStyle name="Percent 8 2 4 3 2" xfId="8223" xr:uid="{00000000-0005-0000-0000-000090620000}"/>
    <cellStyle name="Percent 8 2 4 3 2 2" xfId="19120" xr:uid="{00000000-0005-0000-0000-000091620000}"/>
    <cellStyle name="Percent 8 2 4 3 3" xfId="14169" xr:uid="{00000000-0005-0000-0000-000092620000}"/>
    <cellStyle name="Percent 8 2 4 4" xfId="5911" xr:uid="{00000000-0005-0000-0000-000093620000}"/>
    <cellStyle name="Percent 8 2 4 4 2" xfId="16808" xr:uid="{00000000-0005-0000-0000-000094620000}"/>
    <cellStyle name="Percent 8 2 4 5" xfId="11905" xr:uid="{00000000-0005-0000-0000-000095620000}"/>
    <cellStyle name="Percent 8 2 5" xfId="1621" xr:uid="{00000000-0005-0000-0000-000096620000}"/>
    <cellStyle name="Percent 8 2 5 2" xfId="3933" xr:uid="{00000000-0005-0000-0000-000097620000}"/>
    <cellStyle name="Percent 8 2 5 2 2" xfId="8884" xr:uid="{00000000-0005-0000-0000-000098620000}"/>
    <cellStyle name="Percent 8 2 5 2 2 2" xfId="19781" xr:uid="{00000000-0005-0000-0000-000099620000}"/>
    <cellStyle name="Percent 8 2 5 2 3" xfId="14830" xr:uid="{00000000-0005-0000-0000-00009A620000}"/>
    <cellStyle name="Percent 8 2 5 3" xfId="6572" xr:uid="{00000000-0005-0000-0000-00009B620000}"/>
    <cellStyle name="Percent 8 2 5 3 2" xfId="17469" xr:uid="{00000000-0005-0000-0000-00009C620000}"/>
    <cellStyle name="Percent 8 2 5 4" xfId="12553" xr:uid="{00000000-0005-0000-0000-00009D620000}"/>
    <cellStyle name="Percent 8 2 6" xfId="2740" xr:uid="{00000000-0005-0000-0000-00009E620000}"/>
    <cellStyle name="Percent 8 2 6 2" xfId="7691" xr:uid="{00000000-0005-0000-0000-00009F620000}"/>
    <cellStyle name="Percent 8 2 6 2 2" xfId="18588" xr:uid="{00000000-0005-0000-0000-0000A0620000}"/>
    <cellStyle name="Percent 8 2 6 3" xfId="13637" xr:uid="{00000000-0005-0000-0000-0000A1620000}"/>
    <cellStyle name="Percent 8 2 7" xfId="5379" xr:uid="{00000000-0005-0000-0000-0000A2620000}"/>
    <cellStyle name="Percent 8 2 7 2" xfId="16276" xr:uid="{00000000-0005-0000-0000-0000A3620000}"/>
    <cellStyle name="Percent 8 2 8" xfId="11382" xr:uid="{00000000-0005-0000-0000-0000A4620000}"/>
    <cellStyle name="Percent 8 3" xfId="494" xr:uid="{00000000-0005-0000-0000-0000A5620000}"/>
    <cellStyle name="Percent 8 3 2" xfId="759" xr:uid="{00000000-0005-0000-0000-0000A6620000}"/>
    <cellStyle name="Percent 8 3 2 2" xfId="1291" xr:uid="{00000000-0005-0000-0000-0000A7620000}"/>
    <cellStyle name="Percent 8 3 2 2 2" xfId="2448" xr:uid="{00000000-0005-0000-0000-0000A8620000}"/>
    <cellStyle name="Percent 8 3 2 2 2 2" xfId="4760" xr:uid="{00000000-0005-0000-0000-0000A9620000}"/>
    <cellStyle name="Percent 8 3 2 2 2 2 2" xfId="9711" xr:uid="{00000000-0005-0000-0000-0000AA620000}"/>
    <cellStyle name="Percent 8 3 2 2 2 2 2 2" xfId="20608" xr:uid="{00000000-0005-0000-0000-0000AB620000}"/>
    <cellStyle name="Percent 8 3 2 2 2 2 3" xfId="15657" xr:uid="{00000000-0005-0000-0000-0000AC620000}"/>
    <cellStyle name="Percent 8 3 2 2 2 3" xfId="7399" xr:uid="{00000000-0005-0000-0000-0000AD620000}"/>
    <cellStyle name="Percent 8 3 2 2 2 3 2" xfId="18296" xr:uid="{00000000-0005-0000-0000-0000AE620000}"/>
    <cellStyle name="Percent 8 3 2 2 2 4" xfId="13359" xr:uid="{00000000-0005-0000-0000-0000AF620000}"/>
    <cellStyle name="Percent 8 3 2 2 3" xfId="3615" xr:uid="{00000000-0005-0000-0000-0000B0620000}"/>
    <cellStyle name="Percent 8 3 2 2 3 2" xfId="8566" xr:uid="{00000000-0005-0000-0000-0000B1620000}"/>
    <cellStyle name="Percent 8 3 2 2 3 2 2" xfId="19463" xr:uid="{00000000-0005-0000-0000-0000B2620000}"/>
    <cellStyle name="Percent 8 3 2 2 3 3" xfId="14512" xr:uid="{00000000-0005-0000-0000-0000B3620000}"/>
    <cellStyle name="Percent 8 3 2 2 4" xfId="6254" xr:uid="{00000000-0005-0000-0000-0000B4620000}"/>
    <cellStyle name="Percent 8 3 2 2 4 2" xfId="17151" xr:uid="{00000000-0005-0000-0000-0000B5620000}"/>
    <cellStyle name="Percent 8 3 2 2 5" xfId="12241" xr:uid="{00000000-0005-0000-0000-0000B6620000}"/>
    <cellStyle name="Percent 8 3 2 3" xfId="1917" xr:uid="{00000000-0005-0000-0000-0000B7620000}"/>
    <cellStyle name="Percent 8 3 2 3 2" xfId="4229" xr:uid="{00000000-0005-0000-0000-0000B8620000}"/>
    <cellStyle name="Percent 8 3 2 3 2 2" xfId="9180" xr:uid="{00000000-0005-0000-0000-0000B9620000}"/>
    <cellStyle name="Percent 8 3 2 3 2 2 2" xfId="20077" xr:uid="{00000000-0005-0000-0000-0000BA620000}"/>
    <cellStyle name="Percent 8 3 2 3 2 3" xfId="15126" xr:uid="{00000000-0005-0000-0000-0000BB620000}"/>
    <cellStyle name="Percent 8 3 2 3 3" xfId="6868" xr:uid="{00000000-0005-0000-0000-0000BC620000}"/>
    <cellStyle name="Percent 8 3 2 3 3 2" xfId="17765" xr:uid="{00000000-0005-0000-0000-0000BD620000}"/>
    <cellStyle name="Percent 8 3 2 3 4" xfId="12841" xr:uid="{00000000-0005-0000-0000-0000BE620000}"/>
    <cellStyle name="Percent 8 3 2 4" xfId="3083" xr:uid="{00000000-0005-0000-0000-0000BF620000}"/>
    <cellStyle name="Percent 8 3 2 4 2" xfId="8034" xr:uid="{00000000-0005-0000-0000-0000C0620000}"/>
    <cellStyle name="Percent 8 3 2 4 2 2" xfId="18931" xr:uid="{00000000-0005-0000-0000-0000C1620000}"/>
    <cellStyle name="Percent 8 3 2 4 3" xfId="13980" xr:uid="{00000000-0005-0000-0000-0000C2620000}"/>
    <cellStyle name="Percent 8 3 2 5" xfId="5722" xr:uid="{00000000-0005-0000-0000-0000C3620000}"/>
    <cellStyle name="Percent 8 3 2 5 2" xfId="16619" xr:uid="{00000000-0005-0000-0000-0000C4620000}"/>
    <cellStyle name="Percent 8 3 2 6" xfId="11720" xr:uid="{00000000-0005-0000-0000-0000C5620000}"/>
    <cellStyle name="Percent 8 3 3" xfId="1026" xr:uid="{00000000-0005-0000-0000-0000C6620000}"/>
    <cellStyle name="Percent 8 3 3 2" xfId="2183" xr:uid="{00000000-0005-0000-0000-0000C7620000}"/>
    <cellStyle name="Percent 8 3 3 2 2" xfId="4495" xr:uid="{00000000-0005-0000-0000-0000C8620000}"/>
    <cellStyle name="Percent 8 3 3 2 2 2" xfId="9446" xr:uid="{00000000-0005-0000-0000-0000C9620000}"/>
    <cellStyle name="Percent 8 3 3 2 2 2 2" xfId="20343" xr:uid="{00000000-0005-0000-0000-0000CA620000}"/>
    <cellStyle name="Percent 8 3 3 2 2 3" xfId="15392" xr:uid="{00000000-0005-0000-0000-0000CB620000}"/>
    <cellStyle name="Percent 8 3 3 2 3" xfId="7134" xr:uid="{00000000-0005-0000-0000-0000CC620000}"/>
    <cellStyle name="Percent 8 3 3 2 3 2" xfId="18031" xr:uid="{00000000-0005-0000-0000-0000CD620000}"/>
    <cellStyle name="Percent 8 3 3 2 4" xfId="13100" xr:uid="{00000000-0005-0000-0000-0000CE620000}"/>
    <cellStyle name="Percent 8 3 3 3" xfId="3350" xr:uid="{00000000-0005-0000-0000-0000CF620000}"/>
    <cellStyle name="Percent 8 3 3 3 2" xfId="8301" xr:uid="{00000000-0005-0000-0000-0000D0620000}"/>
    <cellStyle name="Percent 8 3 3 3 2 2" xfId="19198" xr:uid="{00000000-0005-0000-0000-0000D1620000}"/>
    <cellStyle name="Percent 8 3 3 3 3" xfId="14247" xr:uid="{00000000-0005-0000-0000-0000D2620000}"/>
    <cellStyle name="Percent 8 3 3 4" xfId="5989" xr:uid="{00000000-0005-0000-0000-0000D3620000}"/>
    <cellStyle name="Percent 8 3 3 4 2" xfId="16886" xr:uid="{00000000-0005-0000-0000-0000D4620000}"/>
    <cellStyle name="Percent 8 3 3 5" xfId="11982" xr:uid="{00000000-0005-0000-0000-0000D5620000}"/>
    <cellStyle name="Percent 8 3 4" xfId="1684" xr:uid="{00000000-0005-0000-0000-0000D6620000}"/>
    <cellStyle name="Percent 8 3 4 2" xfId="3996" xr:uid="{00000000-0005-0000-0000-0000D7620000}"/>
    <cellStyle name="Percent 8 3 4 2 2" xfId="8947" xr:uid="{00000000-0005-0000-0000-0000D8620000}"/>
    <cellStyle name="Percent 8 3 4 2 2 2" xfId="19844" xr:uid="{00000000-0005-0000-0000-0000D9620000}"/>
    <cellStyle name="Percent 8 3 4 2 3" xfId="14893" xr:uid="{00000000-0005-0000-0000-0000DA620000}"/>
    <cellStyle name="Percent 8 3 4 3" xfId="6635" xr:uid="{00000000-0005-0000-0000-0000DB620000}"/>
    <cellStyle name="Percent 8 3 4 3 2" xfId="17532" xr:uid="{00000000-0005-0000-0000-0000DC620000}"/>
    <cellStyle name="Percent 8 3 4 4" xfId="12615" xr:uid="{00000000-0005-0000-0000-0000DD620000}"/>
    <cellStyle name="Percent 8 3 5" xfId="2818" xr:uid="{00000000-0005-0000-0000-0000DE620000}"/>
    <cellStyle name="Percent 8 3 5 2" xfId="7769" xr:uid="{00000000-0005-0000-0000-0000DF620000}"/>
    <cellStyle name="Percent 8 3 5 2 2" xfId="18666" xr:uid="{00000000-0005-0000-0000-0000E0620000}"/>
    <cellStyle name="Percent 8 3 5 3" xfId="13715" xr:uid="{00000000-0005-0000-0000-0000E1620000}"/>
    <cellStyle name="Percent 8 3 6" xfId="5457" xr:uid="{00000000-0005-0000-0000-0000E2620000}"/>
    <cellStyle name="Percent 8 3 6 2" xfId="16354" xr:uid="{00000000-0005-0000-0000-0000E3620000}"/>
    <cellStyle name="Percent 8 3 7" xfId="11459" xr:uid="{00000000-0005-0000-0000-0000E4620000}"/>
    <cellStyle name="Percent 8 4" xfId="626" xr:uid="{00000000-0005-0000-0000-0000E5620000}"/>
    <cellStyle name="Percent 8 4 2" xfId="1158" xr:uid="{00000000-0005-0000-0000-0000E6620000}"/>
    <cellStyle name="Percent 8 4 2 2" xfId="2315" xr:uid="{00000000-0005-0000-0000-0000E7620000}"/>
    <cellStyle name="Percent 8 4 2 2 2" xfId="4627" xr:uid="{00000000-0005-0000-0000-0000E8620000}"/>
    <cellStyle name="Percent 8 4 2 2 2 2" xfId="9578" xr:uid="{00000000-0005-0000-0000-0000E9620000}"/>
    <cellStyle name="Percent 8 4 2 2 2 2 2" xfId="20475" xr:uid="{00000000-0005-0000-0000-0000EA620000}"/>
    <cellStyle name="Percent 8 4 2 2 2 3" xfId="15524" xr:uid="{00000000-0005-0000-0000-0000EB620000}"/>
    <cellStyle name="Percent 8 4 2 2 3" xfId="7266" xr:uid="{00000000-0005-0000-0000-0000EC620000}"/>
    <cellStyle name="Percent 8 4 2 2 3 2" xfId="18163" xr:uid="{00000000-0005-0000-0000-0000ED620000}"/>
    <cellStyle name="Percent 8 4 2 2 4" xfId="13227" xr:uid="{00000000-0005-0000-0000-0000EE620000}"/>
    <cellStyle name="Percent 8 4 2 3" xfId="3482" xr:uid="{00000000-0005-0000-0000-0000EF620000}"/>
    <cellStyle name="Percent 8 4 2 3 2" xfId="8433" xr:uid="{00000000-0005-0000-0000-0000F0620000}"/>
    <cellStyle name="Percent 8 4 2 3 2 2" xfId="19330" xr:uid="{00000000-0005-0000-0000-0000F1620000}"/>
    <cellStyle name="Percent 8 4 2 3 3" xfId="14379" xr:uid="{00000000-0005-0000-0000-0000F2620000}"/>
    <cellStyle name="Percent 8 4 2 4" xfId="6121" xr:uid="{00000000-0005-0000-0000-0000F3620000}"/>
    <cellStyle name="Percent 8 4 2 4 2" xfId="17018" xr:uid="{00000000-0005-0000-0000-0000F4620000}"/>
    <cellStyle name="Percent 8 4 2 5" xfId="12109" xr:uid="{00000000-0005-0000-0000-0000F5620000}"/>
    <cellStyle name="Percent 8 4 3" xfId="1803" xr:uid="{00000000-0005-0000-0000-0000F6620000}"/>
    <cellStyle name="Percent 8 4 3 2" xfId="4115" xr:uid="{00000000-0005-0000-0000-0000F7620000}"/>
    <cellStyle name="Percent 8 4 3 2 2" xfId="9066" xr:uid="{00000000-0005-0000-0000-0000F8620000}"/>
    <cellStyle name="Percent 8 4 3 2 2 2" xfId="19963" xr:uid="{00000000-0005-0000-0000-0000F9620000}"/>
    <cellStyle name="Percent 8 4 3 2 3" xfId="15012" xr:uid="{00000000-0005-0000-0000-0000FA620000}"/>
    <cellStyle name="Percent 8 4 3 3" xfId="6754" xr:uid="{00000000-0005-0000-0000-0000FB620000}"/>
    <cellStyle name="Percent 8 4 3 3 2" xfId="17651" xr:uid="{00000000-0005-0000-0000-0000FC620000}"/>
    <cellStyle name="Percent 8 4 3 4" xfId="12728" xr:uid="{00000000-0005-0000-0000-0000FD620000}"/>
    <cellStyle name="Percent 8 4 4" xfId="2950" xr:uid="{00000000-0005-0000-0000-0000FE620000}"/>
    <cellStyle name="Percent 8 4 4 2" xfId="7901" xr:uid="{00000000-0005-0000-0000-0000FF620000}"/>
    <cellStyle name="Percent 8 4 4 2 2" xfId="18798" xr:uid="{00000000-0005-0000-0000-000000630000}"/>
    <cellStyle name="Percent 8 4 4 3" xfId="13847" xr:uid="{00000000-0005-0000-0000-000001630000}"/>
    <cellStyle name="Percent 8 4 5" xfId="5589" xr:uid="{00000000-0005-0000-0000-000002630000}"/>
    <cellStyle name="Percent 8 4 5 2" xfId="16486" xr:uid="{00000000-0005-0000-0000-000003630000}"/>
    <cellStyle name="Percent 8 4 6" xfId="11588" xr:uid="{00000000-0005-0000-0000-000004630000}"/>
    <cellStyle name="Percent 8 5" xfId="893" xr:uid="{00000000-0005-0000-0000-000005630000}"/>
    <cellStyle name="Percent 8 5 2" xfId="2050" xr:uid="{00000000-0005-0000-0000-000006630000}"/>
    <cellStyle name="Percent 8 5 2 2" xfId="4362" xr:uid="{00000000-0005-0000-0000-000007630000}"/>
    <cellStyle name="Percent 8 5 2 2 2" xfId="9313" xr:uid="{00000000-0005-0000-0000-000008630000}"/>
    <cellStyle name="Percent 8 5 2 2 2 2" xfId="20210" xr:uid="{00000000-0005-0000-0000-000009630000}"/>
    <cellStyle name="Percent 8 5 2 2 3" xfId="15259" xr:uid="{00000000-0005-0000-0000-00000A630000}"/>
    <cellStyle name="Percent 8 5 2 3" xfId="7001" xr:uid="{00000000-0005-0000-0000-00000B630000}"/>
    <cellStyle name="Percent 8 5 2 3 2" xfId="17898" xr:uid="{00000000-0005-0000-0000-00000C630000}"/>
    <cellStyle name="Percent 8 5 2 4" xfId="12968" xr:uid="{00000000-0005-0000-0000-00000D630000}"/>
    <cellStyle name="Percent 8 5 3" xfId="3217" xr:uid="{00000000-0005-0000-0000-00000E630000}"/>
    <cellStyle name="Percent 8 5 3 2" xfId="8168" xr:uid="{00000000-0005-0000-0000-00000F630000}"/>
    <cellStyle name="Percent 8 5 3 2 2" xfId="19065" xr:uid="{00000000-0005-0000-0000-000010630000}"/>
    <cellStyle name="Percent 8 5 3 3" xfId="14114" xr:uid="{00000000-0005-0000-0000-000011630000}"/>
    <cellStyle name="Percent 8 5 4" xfId="5856" xr:uid="{00000000-0005-0000-0000-000012630000}"/>
    <cellStyle name="Percent 8 5 4 2" xfId="16753" xr:uid="{00000000-0005-0000-0000-000013630000}"/>
    <cellStyle name="Percent 8 5 5" xfId="11850" xr:uid="{00000000-0005-0000-0000-000014630000}"/>
    <cellStyle name="Percent 8 6" xfId="1570" xr:uid="{00000000-0005-0000-0000-000015630000}"/>
    <cellStyle name="Percent 8 6 2" xfId="3882" xr:uid="{00000000-0005-0000-0000-000016630000}"/>
    <cellStyle name="Percent 8 6 2 2" xfId="8833" xr:uid="{00000000-0005-0000-0000-000017630000}"/>
    <cellStyle name="Percent 8 6 2 2 2" xfId="19730" xr:uid="{00000000-0005-0000-0000-000018630000}"/>
    <cellStyle name="Percent 8 6 2 3" xfId="14779" xr:uid="{00000000-0005-0000-0000-000019630000}"/>
    <cellStyle name="Percent 8 6 3" xfId="6521" xr:uid="{00000000-0005-0000-0000-00001A630000}"/>
    <cellStyle name="Percent 8 6 3 2" xfId="17418" xr:uid="{00000000-0005-0000-0000-00001B630000}"/>
    <cellStyle name="Percent 8 6 4" xfId="12502" xr:uid="{00000000-0005-0000-0000-00001C630000}"/>
    <cellStyle name="Percent 8 7" xfId="2685" xr:uid="{00000000-0005-0000-0000-00001D630000}"/>
    <cellStyle name="Percent 8 7 2" xfId="7636" xr:uid="{00000000-0005-0000-0000-00001E630000}"/>
    <cellStyle name="Percent 8 7 2 2" xfId="18533" xr:uid="{00000000-0005-0000-0000-00001F630000}"/>
    <cellStyle name="Percent 8 7 3" xfId="13582" xr:uid="{00000000-0005-0000-0000-000020630000}"/>
    <cellStyle name="Percent 8 8" xfId="5324" xr:uid="{00000000-0005-0000-0000-000021630000}"/>
    <cellStyle name="Percent 8 8 2" xfId="16221" xr:uid="{00000000-0005-0000-0000-000022630000}"/>
    <cellStyle name="Percent 8 9" xfId="11327" xr:uid="{00000000-0005-0000-0000-000023630000}"/>
    <cellStyle name="Percent 9" xfId="353" xr:uid="{00000000-0005-0000-0000-000024630000}"/>
    <cellStyle name="Percent 9 2" xfId="416" xr:uid="{00000000-0005-0000-0000-000025630000}"/>
    <cellStyle name="Percent 9 2 2" xfId="546" xr:uid="{00000000-0005-0000-0000-000026630000}"/>
    <cellStyle name="Percent 9 2 2 2" xfId="811" xr:uid="{00000000-0005-0000-0000-000027630000}"/>
    <cellStyle name="Percent 9 2 2 2 2" xfId="1343" xr:uid="{00000000-0005-0000-0000-000028630000}"/>
    <cellStyle name="Percent 9 2 2 2 2 2" xfId="2500" xr:uid="{00000000-0005-0000-0000-000029630000}"/>
    <cellStyle name="Percent 9 2 2 2 2 2 2" xfId="4812" xr:uid="{00000000-0005-0000-0000-00002A630000}"/>
    <cellStyle name="Percent 9 2 2 2 2 2 2 2" xfId="9763" xr:uid="{00000000-0005-0000-0000-00002B630000}"/>
    <cellStyle name="Percent 9 2 2 2 2 2 2 2 2" xfId="20660" xr:uid="{00000000-0005-0000-0000-00002C630000}"/>
    <cellStyle name="Percent 9 2 2 2 2 2 2 3" xfId="15709" xr:uid="{00000000-0005-0000-0000-00002D630000}"/>
    <cellStyle name="Percent 9 2 2 2 2 2 3" xfId="7451" xr:uid="{00000000-0005-0000-0000-00002E630000}"/>
    <cellStyle name="Percent 9 2 2 2 2 2 3 2" xfId="18348" xr:uid="{00000000-0005-0000-0000-00002F630000}"/>
    <cellStyle name="Percent 9 2 2 2 2 2 4" xfId="13411" xr:uid="{00000000-0005-0000-0000-000030630000}"/>
    <cellStyle name="Percent 9 2 2 2 2 3" xfId="3667" xr:uid="{00000000-0005-0000-0000-000031630000}"/>
    <cellStyle name="Percent 9 2 2 2 2 3 2" xfId="8618" xr:uid="{00000000-0005-0000-0000-000032630000}"/>
    <cellStyle name="Percent 9 2 2 2 2 3 2 2" xfId="19515" xr:uid="{00000000-0005-0000-0000-000033630000}"/>
    <cellStyle name="Percent 9 2 2 2 2 3 3" xfId="14564" xr:uid="{00000000-0005-0000-0000-000034630000}"/>
    <cellStyle name="Percent 9 2 2 2 2 4" xfId="6306" xr:uid="{00000000-0005-0000-0000-000035630000}"/>
    <cellStyle name="Percent 9 2 2 2 2 4 2" xfId="17203" xr:uid="{00000000-0005-0000-0000-000036630000}"/>
    <cellStyle name="Percent 9 2 2 2 2 5" xfId="12293" xr:uid="{00000000-0005-0000-0000-000037630000}"/>
    <cellStyle name="Percent 9 2 2 2 3" xfId="1969" xr:uid="{00000000-0005-0000-0000-000038630000}"/>
    <cellStyle name="Percent 9 2 2 2 3 2" xfId="4281" xr:uid="{00000000-0005-0000-0000-000039630000}"/>
    <cellStyle name="Percent 9 2 2 2 3 2 2" xfId="9232" xr:uid="{00000000-0005-0000-0000-00003A630000}"/>
    <cellStyle name="Percent 9 2 2 2 3 2 2 2" xfId="20129" xr:uid="{00000000-0005-0000-0000-00003B630000}"/>
    <cellStyle name="Percent 9 2 2 2 3 2 3" xfId="15178" xr:uid="{00000000-0005-0000-0000-00003C630000}"/>
    <cellStyle name="Percent 9 2 2 2 3 3" xfId="6920" xr:uid="{00000000-0005-0000-0000-00003D630000}"/>
    <cellStyle name="Percent 9 2 2 2 3 3 2" xfId="17817" xr:uid="{00000000-0005-0000-0000-00003E630000}"/>
    <cellStyle name="Percent 9 2 2 2 3 4" xfId="12893" xr:uid="{00000000-0005-0000-0000-00003F630000}"/>
    <cellStyle name="Percent 9 2 2 2 4" xfId="3135" xr:uid="{00000000-0005-0000-0000-000040630000}"/>
    <cellStyle name="Percent 9 2 2 2 4 2" xfId="8086" xr:uid="{00000000-0005-0000-0000-000041630000}"/>
    <cellStyle name="Percent 9 2 2 2 4 2 2" xfId="18983" xr:uid="{00000000-0005-0000-0000-000042630000}"/>
    <cellStyle name="Percent 9 2 2 2 4 3" xfId="14032" xr:uid="{00000000-0005-0000-0000-000043630000}"/>
    <cellStyle name="Percent 9 2 2 2 5" xfId="5774" xr:uid="{00000000-0005-0000-0000-000044630000}"/>
    <cellStyle name="Percent 9 2 2 2 5 2" xfId="16671" xr:uid="{00000000-0005-0000-0000-000045630000}"/>
    <cellStyle name="Percent 9 2 2 2 6" xfId="11772" xr:uid="{00000000-0005-0000-0000-000046630000}"/>
    <cellStyle name="Percent 9 2 2 3" xfId="1078" xr:uid="{00000000-0005-0000-0000-000047630000}"/>
    <cellStyle name="Percent 9 2 2 3 2" xfId="2235" xr:uid="{00000000-0005-0000-0000-000048630000}"/>
    <cellStyle name="Percent 9 2 2 3 2 2" xfId="4547" xr:uid="{00000000-0005-0000-0000-000049630000}"/>
    <cellStyle name="Percent 9 2 2 3 2 2 2" xfId="9498" xr:uid="{00000000-0005-0000-0000-00004A630000}"/>
    <cellStyle name="Percent 9 2 2 3 2 2 2 2" xfId="20395" xr:uid="{00000000-0005-0000-0000-00004B630000}"/>
    <cellStyle name="Percent 9 2 2 3 2 2 3" xfId="15444" xr:uid="{00000000-0005-0000-0000-00004C630000}"/>
    <cellStyle name="Percent 9 2 2 3 2 3" xfId="7186" xr:uid="{00000000-0005-0000-0000-00004D630000}"/>
    <cellStyle name="Percent 9 2 2 3 2 3 2" xfId="18083" xr:uid="{00000000-0005-0000-0000-00004E630000}"/>
    <cellStyle name="Percent 9 2 2 3 2 4" xfId="13152" xr:uid="{00000000-0005-0000-0000-00004F630000}"/>
    <cellStyle name="Percent 9 2 2 3 3" xfId="3402" xr:uid="{00000000-0005-0000-0000-000050630000}"/>
    <cellStyle name="Percent 9 2 2 3 3 2" xfId="8353" xr:uid="{00000000-0005-0000-0000-000051630000}"/>
    <cellStyle name="Percent 9 2 2 3 3 2 2" xfId="19250" xr:uid="{00000000-0005-0000-0000-000052630000}"/>
    <cellStyle name="Percent 9 2 2 3 3 3" xfId="14299" xr:uid="{00000000-0005-0000-0000-000053630000}"/>
    <cellStyle name="Percent 9 2 2 3 4" xfId="6041" xr:uid="{00000000-0005-0000-0000-000054630000}"/>
    <cellStyle name="Percent 9 2 2 3 4 2" xfId="16938" xr:uid="{00000000-0005-0000-0000-000055630000}"/>
    <cellStyle name="Percent 9 2 2 3 5" xfId="12034" xr:uid="{00000000-0005-0000-0000-000056630000}"/>
    <cellStyle name="Percent 9 2 2 4" xfId="1736" xr:uid="{00000000-0005-0000-0000-000057630000}"/>
    <cellStyle name="Percent 9 2 2 4 2" xfId="4048" xr:uid="{00000000-0005-0000-0000-000058630000}"/>
    <cellStyle name="Percent 9 2 2 4 2 2" xfId="8999" xr:uid="{00000000-0005-0000-0000-000059630000}"/>
    <cellStyle name="Percent 9 2 2 4 2 2 2" xfId="19896" xr:uid="{00000000-0005-0000-0000-00005A630000}"/>
    <cellStyle name="Percent 9 2 2 4 2 3" xfId="14945" xr:uid="{00000000-0005-0000-0000-00005B630000}"/>
    <cellStyle name="Percent 9 2 2 4 3" xfId="6687" xr:uid="{00000000-0005-0000-0000-00005C630000}"/>
    <cellStyle name="Percent 9 2 2 4 3 2" xfId="17584" xr:uid="{00000000-0005-0000-0000-00005D630000}"/>
    <cellStyle name="Percent 9 2 2 4 4" xfId="12667" xr:uid="{00000000-0005-0000-0000-00005E630000}"/>
    <cellStyle name="Percent 9 2 2 5" xfId="2870" xr:uid="{00000000-0005-0000-0000-00005F630000}"/>
    <cellStyle name="Percent 9 2 2 5 2" xfId="7821" xr:uid="{00000000-0005-0000-0000-000060630000}"/>
    <cellStyle name="Percent 9 2 2 5 2 2" xfId="18718" xr:uid="{00000000-0005-0000-0000-000061630000}"/>
    <cellStyle name="Percent 9 2 2 5 3" xfId="13767" xr:uid="{00000000-0005-0000-0000-000062630000}"/>
    <cellStyle name="Percent 9 2 2 6" xfId="5509" xr:uid="{00000000-0005-0000-0000-000063630000}"/>
    <cellStyle name="Percent 9 2 2 6 2" xfId="16406" xr:uid="{00000000-0005-0000-0000-000064630000}"/>
    <cellStyle name="Percent 9 2 2 7" xfId="11511" xr:uid="{00000000-0005-0000-0000-000065630000}"/>
    <cellStyle name="Percent 9 2 3" xfId="682" xr:uid="{00000000-0005-0000-0000-000066630000}"/>
    <cellStyle name="Percent 9 2 3 2" xfId="1214" xr:uid="{00000000-0005-0000-0000-000067630000}"/>
    <cellStyle name="Percent 9 2 3 2 2" xfId="2371" xr:uid="{00000000-0005-0000-0000-000068630000}"/>
    <cellStyle name="Percent 9 2 3 2 2 2" xfId="4683" xr:uid="{00000000-0005-0000-0000-000069630000}"/>
    <cellStyle name="Percent 9 2 3 2 2 2 2" xfId="9634" xr:uid="{00000000-0005-0000-0000-00006A630000}"/>
    <cellStyle name="Percent 9 2 3 2 2 2 2 2" xfId="20531" xr:uid="{00000000-0005-0000-0000-00006B630000}"/>
    <cellStyle name="Percent 9 2 3 2 2 2 3" xfId="15580" xr:uid="{00000000-0005-0000-0000-00006C630000}"/>
    <cellStyle name="Percent 9 2 3 2 2 3" xfId="7322" xr:uid="{00000000-0005-0000-0000-00006D630000}"/>
    <cellStyle name="Percent 9 2 3 2 2 3 2" xfId="18219" xr:uid="{00000000-0005-0000-0000-00006E630000}"/>
    <cellStyle name="Percent 9 2 3 2 2 4" xfId="13283" xr:uid="{00000000-0005-0000-0000-00006F630000}"/>
    <cellStyle name="Percent 9 2 3 2 3" xfId="3538" xr:uid="{00000000-0005-0000-0000-000070630000}"/>
    <cellStyle name="Percent 9 2 3 2 3 2" xfId="8489" xr:uid="{00000000-0005-0000-0000-000071630000}"/>
    <cellStyle name="Percent 9 2 3 2 3 2 2" xfId="19386" xr:uid="{00000000-0005-0000-0000-000072630000}"/>
    <cellStyle name="Percent 9 2 3 2 3 3" xfId="14435" xr:uid="{00000000-0005-0000-0000-000073630000}"/>
    <cellStyle name="Percent 9 2 3 2 4" xfId="6177" xr:uid="{00000000-0005-0000-0000-000074630000}"/>
    <cellStyle name="Percent 9 2 3 2 4 2" xfId="17074" xr:uid="{00000000-0005-0000-0000-000075630000}"/>
    <cellStyle name="Percent 9 2 3 2 5" xfId="12165" xr:uid="{00000000-0005-0000-0000-000076630000}"/>
    <cellStyle name="Percent 9 2 3 3" xfId="1855" xr:uid="{00000000-0005-0000-0000-000077630000}"/>
    <cellStyle name="Percent 9 2 3 3 2" xfId="4167" xr:uid="{00000000-0005-0000-0000-000078630000}"/>
    <cellStyle name="Percent 9 2 3 3 2 2" xfId="9118" xr:uid="{00000000-0005-0000-0000-000079630000}"/>
    <cellStyle name="Percent 9 2 3 3 2 2 2" xfId="20015" xr:uid="{00000000-0005-0000-0000-00007A630000}"/>
    <cellStyle name="Percent 9 2 3 3 2 3" xfId="15064" xr:uid="{00000000-0005-0000-0000-00007B630000}"/>
    <cellStyle name="Percent 9 2 3 3 3" xfId="6806" xr:uid="{00000000-0005-0000-0000-00007C630000}"/>
    <cellStyle name="Percent 9 2 3 3 3 2" xfId="17703" xr:uid="{00000000-0005-0000-0000-00007D630000}"/>
    <cellStyle name="Percent 9 2 3 3 4" xfId="12780" xr:uid="{00000000-0005-0000-0000-00007E630000}"/>
    <cellStyle name="Percent 9 2 3 4" xfId="3006" xr:uid="{00000000-0005-0000-0000-00007F630000}"/>
    <cellStyle name="Percent 9 2 3 4 2" xfId="7957" xr:uid="{00000000-0005-0000-0000-000080630000}"/>
    <cellStyle name="Percent 9 2 3 4 2 2" xfId="18854" xr:uid="{00000000-0005-0000-0000-000081630000}"/>
    <cellStyle name="Percent 9 2 3 4 3" xfId="13903" xr:uid="{00000000-0005-0000-0000-000082630000}"/>
    <cellStyle name="Percent 9 2 3 5" xfId="5645" xr:uid="{00000000-0005-0000-0000-000083630000}"/>
    <cellStyle name="Percent 9 2 3 5 2" xfId="16542" xr:uid="{00000000-0005-0000-0000-000084630000}"/>
    <cellStyle name="Percent 9 2 3 6" xfId="11644" xr:uid="{00000000-0005-0000-0000-000085630000}"/>
    <cellStyle name="Percent 9 2 4" xfId="949" xr:uid="{00000000-0005-0000-0000-000086630000}"/>
    <cellStyle name="Percent 9 2 4 2" xfId="2106" xr:uid="{00000000-0005-0000-0000-000087630000}"/>
    <cellStyle name="Percent 9 2 4 2 2" xfId="4418" xr:uid="{00000000-0005-0000-0000-000088630000}"/>
    <cellStyle name="Percent 9 2 4 2 2 2" xfId="9369" xr:uid="{00000000-0005-0000-0000-000089630000}"/>
    <cellStyle name="Percent 9 2 4 2 2 2 2" xfId="20266" xr:uid="{00000000-0005-0000-0000-00008A630000}"/>
    <cellStyle name="Percent 9 2 4 2 2 3" xfId="15315" xr:uid="{00000000-0005-0000-0000-00008B630000}"/>
    <cellStyle name="Percent 9 2 4 2 3" xfId="7057" xr:uid="{00000000-0005-0000-0000-00008C630000}"/>
    <cellStyle name="Percent 9 2 4 2 3 2" xfId="17954" xr:uid="{00000000-0005-0000-0000-00008D630000}"/>
    <cellStyle name="Percent 9 2 4 2 4" xfId="13024" xr:uid="{00000000-0005-0000-0000-00008E630000}"/>
    <cellStyle name="Percent 9 2 4 3" xfId="3273" xr:uid="{00000000-0005-0000-0000-00008F630000}"/>
    <cellStyle name="Percent 9 2 4 3 2" xfId="8224" xr:uid="{00000000-0005-0000-0000-000090630000}"/>
    <cellStyle name="Percent 9 2 4 3 2 2" xfId="19121" xr:uid="{00000000-0005-0000-0000-000091630000}"/>
    <cellStyle name="Percent 9 2 4 3 3" xfId="14170" xr:uid="{00000000-0005-0000-0000-000092630000}"/>
    <cellStyle name="Percent 9 2 4 4" xfId="5912" xr:uid="{00000000-0005-0000-0000-000093630000}"/>
    <cellStyle name="Percent 9 2 4 4 2" xfId="16809" xr:uid="{00000000-0005-0000-0000-000094630000}"/>
    <cellStyle name="Percent 9 2 4 5" xfId="11906" xr:uid="{00000000-0005-0000-0000-000095630000}"/>
    <cellStyle name="Percent 9 2 5" xfId="1622" xr:uid="{00000000-0005-0000-0000-000096630000}"/>
    <cellStyle name="Percent 9 2 5 2" xfId="3934" xr:uid="{00000000-0005-0000-0000-000097630000}"/>
    <cellStyle name="Percent 9 2 5 2 2" xfId="8885" xr:uid="{00000000-0005-0000-0000-000098630000}"/>
    <cellStyle name="Percent 9 2 5 2 2 2" xfId="19782" xr:uid="{00000000-0005-0000-0000-000099630000}"/>
    <cellStyle name="Percent 9 2 5 2 3" xfId="14831" xr:uid="{00000000-0005-0000-0000-00009A630000}"/>
    <cellStyle name="Percent 9 2 5 3" xfId="6573" xr:uid="{00000000-0005-0000-0000-00009B630000}"/>
    <cellStyle name="Percent 9 2 5 3 2" xfId="17470" xr:uid="{00000000-0005-0000-0000-00009C630000}"/>
    <cellStyle name="Percent 9 2 5 4" xfId="12554" xr:uid="{00000000-0005-0000-0000-00009D630000}"/>
    <cellStyle name="Percent 9 2 6" xfId="2741" xr:uid="{00000000-0005-0000-0000-00009E630000}"/>
    <cellStyle name="Percent 9 2 6 2" xfId="7692" xr:uid="{00000000-0005-0000-0000-00009F630000}"/>
    <cellStyle name="Percent 9 2 6 2 2" xfId="18589" xr:uid="{00000000-0005-0000-0000-0000A0630000}"/>
    <cellStyle name="Percent 9 2 6 3" xfId="13638" xr:uid="{00000000-0005-0000-0000-0000A1630000}"/>
    <cellStyle name="Percent 9 2 7" xfId="5380" xr:uid="{00000000-0005-0000-0000-0000A2630000}"/>
    <cellStyle name="Percent 9 2 7 2" xfId="16277" xr:uid="{00000000-0005-0000-0000-0000A3630000}"/>
    <cellStyle name="Percent 9 2 8" xfId="11383" xr:uid="{00000000-0005-0000-0000-0000A4630000}"/>
    <cellStyle name="Percent 9 3" xfId="495" xr:uid="{00000000-0005-0000-0000-0000A5630000}"/>
    <cellStyle name="Percent 9 3 2" xfId="760" xr:uid="{00000000-0005-0000-0000-0000A6630000}"/>
    <cellStyle name="Percent 9 3 2 2" xfId="1292" xr:uid="{00000000-0005-0000-0000-0000A7630000}"/>
    <cellStyle name="Percent 9 3 2 2 2" xfId="2449" xr:uid="{00000000-0005-0000-0000-0000A8630000}"/>
    <cellStyle name="Percent 9 3 2 2 2 2" xfId="4761" xr:uid="{00000000-0005-0000-0000-0000A9630000}"/>
    <cellStyle name="Percent 9 3 2 2 2 2 2" xfId="9712" xr:uid="{00000000-0005-0000-0000-0000AA630000}"/>
    <cellStyle name="Percent 9 3 2 2 2 2 2 2" xfId="20609" xr:uid="{00000000-0005-0000-0000-0000AB630000}"/>
    <cellStyle name="Percent 9 3 2 2 2 2 3" xfId="15658" xr:uid="{00000000-0005-0000-0000-0000AC630000}"/>
    <cellStyle name="Percent 9 3 2 2 2 3" xfId="7400" xr:uid="{00000000-0005-0000-0000-0000AD630000}"/>
    <cellStyle name="Percent 9 3 2 2 2 3 2" xfId="18297" xr:uid="{00000000-0005-0000-0000-0000AE630000}"/>
    <cellStyle name="Percent 9 3 2 2 2 4" xfId="13360" xr:uid="{00000000-0005-0000-0000-0000AF630000}"/>
    <cellStyle name="Percent 9 3 2 2 3" xfId="3616" xr:uid="{00000000-0005-0000-0000-0000B0630000}"/>
    <cellStyle name="Percent 9 3 2 2 3 2" xfId="8567" xr:uid="{00000000-0005-0000-0000-0000B1630000}"/>
    <cellStyle name="Percent 9 3 2 2 3 2 2" xfId="19464" xr:uid="{00000000-0005-0000-0000-0000B2630000}"/>
    <cellStyle name="Percent 9 3 2 2 3 3" xfId="14513" xr:uid="{00000000-0005-0000-0000-0000B3630000}"/>
    <cellStyle name="Percent 9 3 2 2 4" xfId="6255" xr:uid="{00000000-0005-0000-0000-0000B4630000}"/>
    <cellStyle name="Percent 9 3 2 2 4 2" xfId="17152" xr:uid="{00000000-0005-0000-0000-0000B5630000}"/>
    <cellStyle name="Percent 9 3 2 2 5" xfId="12242" xr:uid="{00000000-0005-0000-0000-0000B6630000}"/>
    <cellStyle name="Percent 9 3 2 3" xfId="1918" xr:uid="{00000000-0005-0000-0000-0000B7630000}"/>
    <cellStyle name="Percent 9 3 2 3 2" xfId="4230" xr:uid="{00000000-0005-0000-0000-0000B8630000}"/>
    <cellStyle name="Percent 9 3 2 3 2 2" xfId="9181" xr:uid="{00000000-0005-0000-0000-0000B9630000}"/>
    <cellStyle name="Percent 9 3 2 3 2 2 2" xfId="20078" xr:uid="{00000000-0005-0000-0000-0000BA630000}"/>
    <cellStyle name="Percent 9 3 2 3 2 3" xfId="15127" xr:uid="{00000000-0005-0000-0000-0000BB630000}"/>
    <cellStyle name="Percent 9 3 2 3 3" xfId="6869" xr:uid="{00000000-0005-0000-0000-0000BC630000}"/>
    <cellStyle name="Percent 9 3 2 3 3 2" xfId="17766" xr:uid="{00000000-0005-0000-0000-0000BD630000}"/>
    <cellStyle name="Percent 9 3 2 3 4" xfId="12842" xr:uid="{00000000-0005-0000-0000-0000BE630000}"/>
    <cellStyle name="Percent 9 3 2 4" xfId="3084" xr:uid="{00000000-0005-0000-0000-0000BF630000}"/>
    <cellStyle name="Percent 9 3 2 4 2" xfId="8035" xr:uid="{00000000-0005-0000-0000-0000C0630000}"/>
    <cellStyle name="Percent 9 3 2 4 2 2" xfId="18932" xr:uid="{00000000-0005-0000-0000-0000C1630000}"/>
    <cellStyle name="Percent 9 3 2 4 3" xfId="13981" xr:uid="{00000000-0005-0000-0000-0000C2630000}"/>
    <cellStyle name="Percent 9 3 2 5" xfId="5723" xr:uid="{00000000-0005-0000-0000-0000C3630000}"/>
    <cellStyle name="Percent 9 3 2 5 2" xfId="16620" xr:uid="{00000000-0005-0000-0000-0000C4630000}"/>
    <cellStyle name="Percent 9 3 2 6" xfId="11721" xr:uid="{00000000-0005-0000-0000-0000C5630000}"/>
    <cellStyle name="Percent 9 3 3" xfId="1027" xr:uid="{00000000-0005-0000-0000-0000C6630000}"/>
    <cellStyle name="Percent 9 3 3 2" xfId="2184" xr:uid="{00000000-0005-0000-0000-0000C7630000}"/>
    <cellStyle name="Percent 9 3 3 2 2" xfId="4496" xr:uid="{00000000-0005-0000-0000-0000C8630000}"/>
    <cellStyle name="Percent 9 3 3 2 2 2" xfId="9447" xr:uid="{00000000-0005-0000-0000-0000C9630000}"/>
    <cellStyle name="Percent 9 3 3 2 2 2 2" xfId="20344" xr:uid="{00000000-0005-0000-0000-0000CA630000}"/>
    <cellStyle name="Percent 9 3 3 2 2 3" xfId="15393" xr:uid="{00000000-0005-0000-0000-0000CB630000}"/>
    <cellStyle name="Percent 9 3 3 2 3" xfId="7135" xr:uid="{00000000-0005-0000-0000-0000CC630000}"/>
    <cellStyle name="Percent 9 3 3 2 3 2" xfId="18032" xr:uid="{00000000-0005-0000-0000-0000CD630000}"/>
    <cellStyle name="Percent 9 3 3 2 4" xfId="13101" xr:uid="{00000000-0005-0000-0000-0000CE630000}"/>
    <cellStyle name="Percent 9 3 3 3" xfId="3351" xr:uid="{00000000-0005-0000-0000-0000CF630000}"/>
    <cellStyle name="Percent 9 3 3 3 2" xfId="8302" xr:uid="{00000000-0005-0000-0000-0000D0630000}"/>
    <cellStyle name="Percent 9 3 3 3 2 2" xfId="19199" xr:uid="{00000000-0005-0000-0000-0000D1630000}"/>
    <cellStyle name="Percent 9 3 3 3 3" xfId="14248" xr:uid="{00000000-0005-0000-0000-0000D2630000}"/>
    <cellStyle name="Percent 9 3 3 4" xfId="5990" xr:uid="{00000000-0005-0000-0000-0000D3630000}"/>
    <cellStyle name="Percent 9 3 3 4 2" xfId="16887" xr:uid="{00000000-0005-0000-0000-0000D4630000}"/>
    <cellStyle name="Percent 9 3 3 5" xfId="11983" xr:uid="{00000000-0005-0000-0000-0000D5630000}"/>
    <cellStyle name="Percent 9 3 4" xfId="1685" xr:uid="{00000000-0005-0000-0000-0000D6630000}"/>
    <cellStyle name="Percent 9 3 4 2" xfId="3997" xr:uid="{00000000-0005-0000-0000-0000D7630000}"/>
    <cellStyle name="Percent 9 3 4 2 2" xfId="8948" xr:uid="{00000000-0005-0000-0000-0000D8630000}"/>
    <cellStyle name="Percent 9 3 4 2 2 2" xfId="19845" xr:uid="{00000000-0005-0000-0000-0000D9630000}"/>
    <cellStyle name="Percent 9 3 4 2 3" xfId="14894" xr:uid="{00000000-0005-0000-0000-0000DA630000}"/>
    <cellStyle name="Percent 9 3 4 3" xfId="6636" xr:uid="{00000000-0005-0000-0000-0000DB630000}"/>
    <cellStyle name="Percent 9 3 4 3 2" xfId="17533" xr:uid="{00000000-0005-0000-0000-0000DC630000}"/>
    <cellStyle name="Percent 9 3 4 4" xfId="12616" xr:uid="{00000000-0005-0000-0000-0000DD630000}"/>
    <cellStyle name="Percent 9 3 5" xfId="2819" xr:uid="{00000000-0005-0000-0000-0000DE630000}"/>
    <cellStyle name="Percent 9 3 5 2" xfId="7770" xr:uid="{00000000-0005-0000-0000-0000DF630000}"/>
    <cellStyle name="Percent 9 3 5 2 2" xfId="18667" xr:uid="{00000000-0005-0000-0000-0000E0630000}"/>
    <cellStyle name="Percent 9 3 5 3" xfId="13716" xr:uid="{00000000-0005-0000-0000-0000E1630000}"/>
    <cellStyle name="Percent 9 3 6" xfId="5458" xr:uid="{00000000-0005-0000-0000-0000E2630000}"/>
    <cellStyle name="Percent 9 3 6 2" xfId="16355" xr:uid="{00000000-0005-0000-0000-0000E3630000}"/>
    <cellStyle name="Percent 9 3 7" xfId="11460" xr:uid="{00000000-0005-0000-0000-0000E4630000}"/>
    <cellStyle name="Percent 9 4" xfId="627" xr:uid="{00000000-0005-0000-0000-0000E5630000}"/>
    <cellStyle name="Percent 9 4 2" xfId="1159" xr:uid="{00000000-0005-0000-0000-0000E6630000}"/>
    <cellStyle name="Percent 9 4 2 2" xfId="2316" xr:uid="{00000000-0005-0000-0000-0000E7630000}"/>
    <cellStyle name="Percent 9 4 2 2 2" xfId="4628" xr:uid="{00000000-0005-0000-0000-0000E8630000}"/>
    <cellStyle name="Percent 9 4 2 2 2 2" xfId="9579" xr:uid="{00000000-0005-0000-0000-0000E9630000}"/>
    <cellStyle name="Percent 9 4 2 2 2 2 2" xfId="20476" xr:uid="{00000000-0005-0000-0000-0000EA630000}"/>
    <cellStyle name="Percent 9 4 2 2 2 3" xfId="15525" xr:uid="{00000000-0005-0000-0000-0000EB630000}"/>
    <cellStyle name="Percent 9 4 2 2 3" xfId="7267" xr:uid="{00000000-0005-0000-0000-0000EC630000}"/>
    <cellStyle name="Percent 9 4 2 2 3 2" xfId="18164" xr:uid="{00000000-0005-0000-0000-0000ED630000}"/>
    <cellStyle name="Percent 9 4 2 2 4" xfId="13228" xr:uid="{00000000-0005-0000-0000-0000EE630000}"/>
    <cellStyle name="Percent 9 4 2 3" xfId="3483" xr:uid="{00000000-0005-0000-0000-0000EF630000}"/>
    <cellStyle name="Percent 9 4 2 3 2" xfId="8434" xr:uid="{00000000-0005-0000-0000-0000F0630000}"/>
    <cellStyle name="Percent 9 4 2 3 2 2" xfId="19331" xr:uid="{00000000-0005-0000-0000-0000F1630000}"/>
    <cellStyle name="Percent 9 4 2 3 3" xfId="14380" xr:uid="{00000000-0005-0000-0000-0000F2630000}"/>
    <cellStyle name="Percent 9 4 2 4" xfId="6122" xr:uid="{00000000-0005-0000-0000-0000F3630000}"/>
    <cellStyle name="Percent 9 4 2 4 2" xfId="17019" xr:uid="{00000000-0005-0000-0000-0000F4630000}"/>
    <cellStyle name="Percent 9 4 2 5" xfId="12110" xr:uid="{00000000-0005-0000-0000-0000F5630000}"/>
    <cellStyle name="Percent 9 4 3" xfId="1804" xr:uid="{00000000-0005-0000-0000-0000F6630000}"/>
    <cellStyle name="Percent 9 4 3 2" xfId="4116" xr:uid="{00000000-0005-0000-0000-0000F7630000}"/>
    <cellStyle name="Percent 9 4 3 2 2" xfId="9067" xr:uid="{00000000-0005-0000-0000-0000F8630000}"/>
    <cellStyle name="Percent 9 4 3 2 2 2" xfId="19964" xr:uid="{00000000-0005-0000-0000-0000F9630000}"/>
    <cellStyle name="Percent 9 4 3 2 3" xfId="15013" xr:uid="{00000000-0005-0000-0000-0000FA630000}"/>
    <cellStyle name="Percent 9 4 3 3" xfId="6755" xr:uid="{00000000-0005-0000-0000-0000FB630000}"/>
    <cellStyle name="Percent 9 4 3 3 2" xfId="17652" xr:uid="{00000000-0005-0000-0000-0000FC630000}"/>
    <cellStyle name="Percent 9 4 3 4" xfId="12729" xr:uid="{00000000-0005-0000-0000-0000FD630000}"/>
    <cellStyle name="Percent 9 4 4" xfId="2951" xr:uid="{00000000-0005-0000-0000-0000FE630000}"/>
    <cellStyle name="Percent 9 4 4 2" xfId="7902" xr:uid="{00000000-0005-0000-0000-0000FF630000}"/>
    <cellStyle name="Percent 9 4 4 2 2" xfId="18799" xr:uid="{00000000-0005-0000-0000-000000640000}"/>
    <cellStyle name="Percent 9 4 4 3" xfId="13848" xr:uid="{00000000-0005-0000-0000-000001640000}"/>
    <cellStyle name="Percent 9 4 5" xfId="5590" xr:uid="{00000000-0005-0000-0000-000002640000}"/>
    <cellStyle name="Percent 9 4 5 2" xfId="16487" xr:uid="{00000000-0005-0000-0000-000003640000}"/>
    <cellStyle name="Percent 9 4 6" xfId="11589" xr:uid="{00000000-0005-0000-0000-000004640000}"/>
    <cellStyle name="Percent 9 5" xfId="894" xr:uid="{00000000-0005-0000-0000-000005640000}"/>
    <cellStyle name="Percent 9 5 2" xfId="2051" xr:uid="{00000000-0005-0000-0000-000006640000}"/>
    <cellStyle name="Percent 9 5 2 2" xfId="4363" xr:uid="{00000000-0005-0000-0000-000007640000}"/>
    <cellStyle name="Percent 9 5 2 2 2" xfId="9314" xr:uid="{00000000-0005-0000-0000-000008640000}"/>
    <cellStyle name="Percent 9 5 2 2 2 2" xfId="20211" xr:uid="{00000000-0005-0000-0000-000009640000}"/>
    <cellStyle name="Percent 9 5 2 2 3" xfId="15260" xr:uid="{00000000-0005-0000-0000-00000A640000}"/>
    <cellStyle name="Percent 9 5 2 3" xfId="7002" xr:uid="{00000000-0005-0000-0000-00000B640000}"/>
    <cellStyle name="Percent 9 5 2 3 2" xfId="17899" xr:uid="{00000000-0005-0000-0000-00000C640000}"/>
    <cellStyle name="Percent 9 5 2 4" xfId="12969" xr:uid="{00000000-0005-0000-0000-00000D640000}"/>
    <cellStyle name="Percent 9 5 3" xfId="3218" xr:uid="{00000000-0005-0000-0000-00000E640000}"/>
    <cellStyle name="Percent 9 5 3 2" xfId="8169" xr:uid="{00000000-0005-0000-0000-00000F640000}"/>
    <cellStyle name="Percent 9 5 3 2 2" xfId="19066" xr:uid="{00000000-0005-0000-0000-000010640000}"/>
    <cellStyle name="Percent 9 5 3 3" xfId="14115" xr:uid="{00000000-0005-0000-0000-000011640000}"/>
    <cellStyle name="Percent 9 5 4" xfId="5857" xr:uid="{00000000-0005-0000-0000-000012640000}"/>
    <cellStyle name="Percent 9 5 4 2" xfId="16754" xr:uid="{00000000-0005-0000-0000-000013640000}"/>
    <cellStyle name="Percent 9 5 5" xfId="11851" xr:uid="{00000000-0005-0000-0000-000014640000}"/>
    <cellStyle name="Percent 9 6" xfId="1571" xr:uid="{00000000-0005-0000-0000-000015640000}"/>
    <cellStyle name="Percent 9 6 2" xfId="3883" xr:uid="{00000000-0005-0000-0000-000016640000}"/>
    <cellStyle name="Percent 9 6 2 2" xfId="8834" xr:uid="{00000000-0005-0000-0000-000017640000}"/>
    <cellStyle name="Percent 9 6 2 2 2" xfId="19731" xr:uid="{00000000-0005-0000-0000-000018640000}"/>
    <cellStyle name="Percent 9 6 2 3" xfId="14780" xr:uid="{00000000-0005-0000-0000-000019640000}"/>
    <cellStyle name="Percent 9 6 3" xfId="6522" xr:uid="{00000000-0005-0000-0000-00001A640000}"/>
    <cellStyle name="Percent 9 6 3 2" xfId="17419" xr:uid="{00000000-0005-0000-0000-00001B640000}"/>
    <cellStyle name="Percent 9 6 4" xfId="12503" xr:uid="{00000000-0005-0000-0000-00001C640000}"/>
    <cellStyle name="Percent 9 7" xfId="2686" xr:uid="{00000000-0005-0000-0000-00001D640000}"/>
    <cellStyle name="Percent 9 7 2" xfId="7637" xr:uid="{00000000-0005-0000-0000-00001E640000}"/>
    <cellStyle name="Percent 9 7 2 2" xfId="18534" xr:uid="{00000000-0005-0000-0000-00001F640000}"/>
    <cellStyle name="Percent 9 7 3" xfId="13583" xr:uid="{00000000-0005-0000-0000-000020640000}"/>
    <cellStyle name="Percent 9 8" xfId="5325" xr:uid="{00000000-0005-0000-0000-000021640000}"/>
    <cellStyle name="Percent 9 8 2" xfId="16222" xr:uid="{00000000-0005-0000-0000-000022640000}"/>
    <cellStyle name="Percent 9 9" xfId="11328" xr:uid="{00000000-0005-0000-0000-000023640000}"/>
    <cellStyle name="Table Body 2" xfId="27743" xr:uid="{7B405118-A244-47E7-83A4-9A3FC8ED6502}"/>
    <cellStyle name="Title 2" xfId="354" xr:uid="{00000000-0005-0000-0000-000024640000}"/>
    <cellStyle name="Title 3" xfId="355" xr:uid="{00000000-0005-0000-0000-000025640000}"/>
    <cellStyle name="Title 4" xfId="356" xr:uid="{00000000-0005-0000-0000-000026640000}"/>
    <cellStyle name="Title 5" xfId="357" xr:uid="{00000000-0005-0000-0000-000027640000}"/>
    <cellStyle name="Total" xfId="1503" builtinId="25"/>
    <cellStyle name="Total 2" xfId="358" xr:uid="{00000000-0005-0000-0000-000029640000}"/>
    <cellStyle name="Total 2 10" xfId="24294" xr:uid="{00000000-0005-0000-0000-00002A640000}"/>
    <cellStyle name="Total 2 2" xfId="462" xr:uid="{00000000-0005-0000-0000-00002B640000}"/>
    <cellStyle name="Total 2 2 10" xfId="24216" xr:uid="{00000000-0005-0000-0000-00002C640000}"/>
    <cellStyle name="Total 2 2 2" xfId="727" xr:uid="{00000000-0005-0000-0000-00002D640000}"/>
    <cellStyle name="Total 2 2 2 2" xfId="1259" xr:uid="{00000000-0005-0000-0000-00002E640000}"/>
    <cellStyle name="Total 2 2 2 2 2" xfId="2416" xr:uid="{00000000-0005-0000-0000-00002F640000}"/>
    <cellStyle name="Total 2 2 2 2 2 2" xfId="4728" xr:uid="{00000000-0005-0000-0000-000030640000}"/>
    <cellStyle name="Total 2 2 2 2 2 2 2" xfId="9679" xr:uid="{00000000-0005-0000-0000-000031640000}"/>
    <cellStyle name="Total 2 2 2 2 2 2 2 2" xfId="20576" xr:uid="{00000000-0005-0000-0000-000032640000}"/>
    <cellStyle name="Total 2 2 2 2 2 2 2 3" xfId="24832" xr:uid="{00000000-0005-0000-0000-000033640000}"/>
    <cellStyle name="Total 2 2 2 2 2 2 2 4" xfId="26396" xr:uid="{00000000-0005-0000-0000-000034640000}"/>
    <cellStyle name="Total 2 2 2 2 2 2 3" xfId="10847" xr:uid="{00000000-0005-0000-0000-000035640000}"/>
    <cellStyle name="Total 2 2 2 2 2 2 3 2" xfId="21744" xr:uid="{00000000-0005-0000-0000-000036640000}"/>
    <cellStyle name="Total 2 2 2 2 2 2 3 3" xfId="25874" xr:uid="{00000000-0005-0000-0000-000037640000}"/>
    <cellStyle name="Total 2 2 2 2 2 2 3 4" xfId="27391" xr:uid="{00000000-0005-0000-0000-000038640000}"/>
    <cellStyle name="Total 2 2 2 2 2 2 4" xfId="15625" xr:uid="{00000000-0005-0000-0000-000039640000}"/>
    <cellStyle name="Total 2 2 2 2 2 2 5" xfId="23145" xr:uid="{00000000-0005-0000-0000-00003A640000}"/>
    <cellStyle name="Total 2 2 2 2 2 2 6" xfId="24261" xr:uid="{00000000-0005-0000-0000-00003B640000}"/>
    <cellStyle name="Total 2 2 2 2 2 3" xfId="5227" xr:uid="{00000000-0005-0000-0000-00003C640000}"/>
    <cellStyle name="Total 2 2 2 2 2 3 2" xfId="10178" xr:uid="{00000000-0005-0000-0000-00003D640000}"/>
    <cellStyle name="Total 2 2 2 2 2 3 2 2" xfId="21075" xr:uid="{00000000-0005-0000-0000-00003E640000}"/>
    <cellStyle name="Total 2 2 2 2 2 3 2 3" xfId="25205" xr:uid="{00000000-0005-0000-0000-00003F640000}"/>
    <cellStyle name="Total 2 2 2 2 2 3 2 4" xfId="26722" xr:uid="{00000000-0005-0000-0000-000040640000}"/>
    <cellStyle name="Total 2 2 2 2 2 3 3" xfId="11173" xr:uid="{00000000-0005-0000-0000-000041640000}"/>
    <cellStyle name="Total 2 2 2 2 2 3 3 2" xfId="22070" xr:uid="{00000000-0005-0000-0000-000042640000}"/>
    <cellStyle name="Total 2 2 2 2 2 3 3 3" xfId="26200" xr:uid="{00000000-0005-0000-0000-000043640000}"/>
    <cellStyle name="Total 2 2 2 2 2 3 3 4" xfId="27717" xr:uid="{00000000-0005-0000-0000-000044640000}"/>
    <cellStyle name="Total 2 2 2 2 2 3 4" xfId="16124" xr:uid="{00000000-0005-0000-0000-000045640000}"/>
    <cellStyle name="Total 2 2 2 2 2 3 5" xfId="23516" xr:uid="{00000000-0005-0000-0000-000046640000}"/>
    <cellStyle name="Total 2 2 2 2 2 3 6" xfId="22286" xr:uid="{00000000-0005-0000-0000-000047640000}"/>
    <cellStyle name="Total 2 2 2 2 2 4" xfId="7367" xr:uid="{00000000-0005-0000-0000-000048640000}"/>
    <cellStyle name="Total 2 2 2 2 2 4 2" xfId="18264" xr:uid="{00000000-0005-0000-0000-000049640000}"/>
    <cellStyle name="Total 2 2 2 2 2 4 3" xfId="24156" xr:uid="{00000000-0005-0000-0000-00004A640000}"/>
    <cellStyle name="Total 2 2 2 2 2 4 4" xfId="22322" xr:uid="{00000000-0005-0000-0000-00004B640000}"/>
    <cellStyle name="Total 2 2 2 2 2 5" xfId="10505" xr:uid="{00000000-0005-0000-0000-00004C640000}"/>
    <cellStyle name="Total 2 2 2 2 2 5 2" xfId="21402" xr:uid="{00000000-0005-0000-0000-00004D640000}"/>
    <cellStyle name="Total 2 2 2 2 2 5 3" xfId="25532" xr:uid="{00000000-0005-0000-0000-00004E640000}"/>
    <cellStyle name="Total 2 2 2 2 2 5 4" xfId="27049" xr:uid="{00000000-0005-0000-0000-00004F640000}"/>
    <cellStyle name="Total 2 2 2 2 2 6" xfId="13327" xr:uid="{00000000-0005-0000-0000-000050640000}"/>
    <cellStyle name="Total 2 2 2 2 2 7" xfId="24121" xr:uid="{00000000-0005-0000-0000-000051640000}"/>
    <cellStyle name="Total 2 2 2 2 3" xfId="3583" xr:uid="{00000000-0005-0000-0000-000052640000}"/>
    <cellStyle name="Total 2 2 2 2 3 2" xfId="8534" xr:uid="{00000000-0005-0000-0000-000053640000}"/>
    <cellStyle name="Total 2 2 2 2 3 2 2" xfId="19431" xr:uid="{00000000-0005-0000-0000-000054640000}"/>
    <cellStyle name="Total 2 2 2 2 3 2 3" xfId="24507" xr:uid="{00000000-0005-0000-0000-000055640000}"/>
    <cellStyle name="Total 2 2 2 2 3 2 4" xfId="26236" xr:uid="{00000000-0005-0000-0000-000056640000}"/>
    <cellStyle name="Total 2 2 2 2 3 3" xfId="10687" xr:uid="{00000000-0005-0000-0000-000057640000}"/>
    <cellStyle name="Total 2 2 2 2 3 3 2" xfId="21584" xr:uid="{00000000-0005-0000-0000-000058640000}"/>
    <cellStyle name="Total 2 2 2 2 3 3 3" xfId="25714" xr:uid="{00000000-0005-0000-0000-000059640000}"/>
    <cellStyle name="Total 2 2 2 2 3 3 4" xfId="27231" xr:uid="{00000000-0005-0000-0000-00005A640000}"/>
    <cellStyle name="Total 2 2 2 2 3 4" xfId="14480" xr:uid="{00000000-0005-0000-0000-00005B640000}"/>
    <cellStyle name="Total 2 2 2 2 3 5" xfId="22817" xr:uid="{00000000-0005-0000-0000-00005C640000}"/>
    <cellStyle name="Total 2 2 2 2 3 6" xfId="22957" xr:uid="{00000000-0005-0000-0000-00005D640000}"/>
    <cellStyle name="Total 2 2 2 2 4" xfId="5068" xr:uid="{00000000-0005-0000-0000-00005E640000}"/>
    <cellStyle name="Total 2 2 2 2 4 2" xfId="10019" xr:uid="{00000000-0005-0000-0000-00005F640000}"/>
    <cellStyle name="Total 2 2 2 2 4 2 2" xfId="20916" xr:uid="{00000000-0005-0000-0000-000060640000}"/>
    <cellStyle name="Total 2 2 2 2 4 2 3" xfId="25046" xr:uid="{00000000-0005-0000-0000-000061640000}"/>
    <cellStyle name="Total 2 2 2 2 4 2 4" xfId="26563" xr:uid="{00000000-0005-0000-0000-000062640000}"/>
    <cellStyle name="Total 2 2 2 2 4 3" xfId="11014" xr:uid="{00000000-0005-0000-0000-000063640000}"/>
    <cellStyle name="Total 2 2 2 2 4 3 2" xfId="21911" xr:uid="{00000000-0005-0000-0000-000064640000}"/>
    <cellStyle name="Total 2 2 2 2 4 3 3" xfId="26041" xr:uid="{00000000-0005-0000-0000-000065640000}"/>
    <cellStyle name="Total 2 2 2 2 4 3 4" xfId="27558" xr:uid="{00000000-0005-0000-0000-000066640000}"/>
    <cellStyle name="Total 2 2 2 2 4 4" xfId="15965" xr:uid="{00000000-0005-0000-0000-000067640000}"/>
    <cellStyle name="Total 2 2 2 2 4 5" xfId="23357" xr:uid="{00000000-0005-0000-0000-000068640000}"/>
    <cellStyle name="Total 2 2 2 2 4 6" xfId="22567" xr:uid="{00000000-0005-0000-0000-000069640000}"/>
    <cellStyle name="Total 2 2 2 2 5" xfId="6222" xr:uid="{00000000-0005-0000-0000-00006A640000}"/>
    <cellStyle name="Total 2 2 2 2 5 2" xfId="17119" xr:uid="{00000000-0005-0000-0000-00006B640000}"/>
    <cellStyle name="Total 2 2 2 2 5 3" xfId="23832" xr:uid="{00000000-0005-0000-0000-00006C640000}"/>
    <cellStyle name="Total 2 2 2 2 5 4" xfId="22114" xr:uid="{00000000-0005-0000-0000-00006D640000}"/>
    <cellStyle name="Total 2 2 2 2 6" xfId="10346" xr:uid="{00000000-0005-0000-0000-00006E640000}"/>
    <cellStyle name="Total 2 2 2 2 6 2" xfId="21243" xr:uid="{00000000-0005-0000-0000-00006F640000}"/>
    <cellStyle name="Total 2 2 2 2 6 3" xfId="25373" xr:uid="{00000000-0005-0000-0000-000070640000}"/>
    <cellStyle name="Total 2 2 2 2 6 4" xfId="26890" xr:uid="{00000000-0005-0000-0000-000071640000}"/>
    <cellStyle name="Total 2 2 2 2 7" xfId="12209" xr:uid="{00000000-0005-0000-0000-000072640000}"/>
    <cellStyle name="Total 2 2 2 2 8" xfId="22797" xr:uid="{00000000-0005-0000-0000-000073640000}"/>
    <cellStyle name="Total 2 2 2 3" xfId="1409" xr:uid="{00000000-0005-0000-0000-000074640000}"/>
    <cellStyle name="Total 2 2 2 3 2" xfId="3733" xr:uid="{00000000-0005-0000-0000-000075640000}"/>
    <cellStyle name="Total 2 2 2 3 2 2" xfId="8684" xr:uid="{00000000-0005-0000-0000-000076640000}"/>
    <cellStyle name="Total 2 2 2 3 2 2 2" xfId="19581" xr:uid="{00000000-0005-0000-0000-000077640000}"/>
    <cellStyle name="Total 2 2 2 3 2 2 3" xfId="24578" xr:uid="{00000000-0005-0000-0000-000078640000}"/>
    <cellStyle name="Total 2 2 2 3 2 2 4" xfId="26296" xr:uid="{00000000-0005-0000-0000-000079640000}"/>
    <cellStyle name="Total 2 2 2 3 2 3" xfId="10747" xr:uid="{00000000-0005-0000-0000-00007A640000}"/>
    <cellStyle name="Total 2 2 2 3 2 3 2" xfId="21644" xr:uid="{00000000-0005-0000-0000-00007B640000}"/>
    <cellStyle name="Total 2 2 2 3 2 3 3" xfId="25774" xr:uid="{00000000-0005-0000-0000-00007C640000}"/>
    <cellStyle name="Total 2 2 2 3 2 3 4" xfId="27291" xr:uid="{00000000-0005-0000-0000-00007D640000}"/>
    <cellStyle name="Total 2 2 2 3 2 4" xfId="14630" xr:uid="{00000000-0005-0000-0000-00007E640000}"/>
    <cellStyle name="Total 2 2 2 3 2 5" xfId="22890" xr:uid="{00000000-0005-0000-0000-00007F640000}"/>
    <cellStyle name="Total 2 2 2 3 2 6" xfId="23151" xr:uid="{00000000-0005-0000-0000-000080640000}"/>
    <cellStyle name="Total 2 2 2 3 3" xfId="5128" xr:uid="{00000000-0005-0000-0000-000081640000}"/>
    <cellStyle name="Total 2 2 2 3 3 2" xfId="10079" xr:uid="{00000000-0005-0000-0000-000082640000}"/>
    <cellStyle name="Total 2 2 2 3 3 2 2" xfId="20976" xr:uid="{00000000-0005-0000-0000-000083640000}"/>
    <cellStyle name="Total 2 2 2 3 3 2 3" xfId="25106" xr:uid="{00000000-0005-0000-0000-000084640000}"/>
    <cellStyle name="Total 2 2 2 3 3 2 4" xfId="26623" xr:uid="{00000000-0005-0000-0000-000085640000}"/>
    <cellStyle name="Total 2 2 2 3 3 3" xfId="11074" xr:uid="{00000000-0005-0000-0000-000086640000}"/>
    <cellStyle name="Total 2 2 2 3 3 3 2" xfId="21971" xr:uid="{00000000-0005-0000-0000-000087640000}"/>
    <cellStyle name="Total 2 2 2 3 3 3 3" xfId="26101" xr:uid="{00000000-0005-0000-0000-000088640000}"/>
    <cellStyle name="Total 2 2 2 3 3 3 4" xfId="27618" xr:uid="{00000000-0005-0000-0000-000089640000}"/>
    <cellStyle name="Total 2 2 2 3 3 4" xfId="16025" xr:uid="{00000000-0005-0000-0000-00008A640000}"/>
    <cellStyle name="Total 2 2 2 3 3 5" xfId="23417" xr:uid="{00000000-0005-0000-0000-00008B640000}"/>
    <cellStyle name="Total 2 2 2 3 3 6" xfId="22122" xr:uid="{00000000-0005-0000-0000-00008C640000}"/>
    <cellStyle name="Total 2 2 2 3 4" xfId="6372" xr:uid="{00000000-0005-0000-0000-00008D640000}"/>
    <cellStyle name="Total 2 2 2 3 4 2" xfId="17269" xr:uid="{00000000-0005-0000-0000-00008E640000}"/>
    <cellStyle name="Total 2 2 2 3 4 3" xfId="23903" xr:uid="{00000000-0005-0000-0000-00008F640000}"/>
    <cellStyle name="Total 2 2 2 3 4 4" xfId="22719" xr:uid="{00000000-0005-0000-0000-000090640000}"/>
    <cellStyle name="Total 2 2 2 3 5" xfId="10406" xr:uid="{00000000-0005-0000-0000-000091640000}"/>
    <cellStyle name="Total 2 2 2 3 5 2" xfId="21303" xr:uid="{00000000-0005-0000-0000-000092640000}"/>
    <cellStyle name="Total 2 2 2 3 5 3" xfId="25433" xr:uid="{00000000-0005-0000-0000-000093640000}"/>
    <cellStyle name="Total 2 2 2 3 5 4" xfId="26950" xr:uid="{00000000-0005-0000-0000-000094640000}"/>
    <cellStyle name="Total 2 2 2 3 6" xfId="12349" xr:uid="{00000000-0005-0000-0000-000095640000}"/>
    <cellStyle name="Total 2 2 2 3 7" xfId="23091" xr:uid="{00000000-0005-0000-0000-000096640000}"/>
    <cellStyle name="Total 2 2 2 4" xfId="3051" xr:uid="{00000000-0005-0000-0000-000097640000}"/>
    <cellStyle name="Total 2 2 2 4 2" xfId="8002" xr:uid="{00000000-0005-0000-0000-000098640000}"/>
    <cellStyle name="Total 2 2 2 4 2 2" xfId="18899" xr:uid="{00000000-0005-0000-0000-000099640000}"/>
    <cellStyle name="Total 2 2 2 4 2 3" xfId="24351" xr:uid="{00000000-0005-0000-0000-00009A640000}"/>
    <cellStyle name="Total 2 2 2 4 2 4" xfId="23628" xr:uid="{00000000-0005-0000-0000-00009B640000}"/>
    <cellStyle name="Total 2 2 2 4 3" xfId="10607" xr:uid="{00000000-0005-0000-0000-00009C640000}"/>
    <cellStyle name="Total 2 2 2 4 3 2" xfId="21504" xr:uid="{00000000-0005-0000-0000-00009D640000}"/>
    <cellStyle name="Total 2 2 2 4 3 3" xfId="25634" xr:uid="{00000000-0005-0000-0000-00009E640000}"/>
    <cellStyle name="Total 2 2 2 4 3 4" xfId="27151" xr:uid="{00000000-0005-0000-0000-00009F640000}"/>
    <cellStyle name="Total 2 2 2 4 4" xfId="13948" xr:uid="{00000000-0005-0000-0000-0000A0640000}"/>
    <cellStyle name="Total 2 2 2 4 5" xfId="22655" xr:uid="{00000000-0005-0000-0000-0000A1640000}"/>
    <cellStyle name="Total 2 2 2 4 6" xfId="24319" xr:uid="{00000000-0005-0000-0000-0000A2640000}"/>
    <cellStyle name="Total 2 2 2 5" xfId="4988" xr:uid="{00000000-0005-0000-0000-0000A3640000}"/>
    <cellStyle name="Total 2 2 2 5 2" xfId="9939" xr:uid="{00000000-0005-0000-0000-0000A4640000}"/>
    <cellStyle name="Total 2 2 2 5 2 2" xfId="20836" xr:uid="{00000000-0005-0000-0000-0000A5640000}"/>
    <cellStyle name="Total 2 2 2 5 2 3" xfId="24966" xr:uid="{00000000-0005-0000-0000-0000A6640000}"/>
    <cellStyle name="Total 2 2 2 5 2 4" xfId="26483" xr:uid="{00000000-0005-0000-0000-0000A7640000}"/>
    <cellStyle name="Total 2 2 2 5 3" xfId="10934" xr:uid="{00000000-0005-0000-0000-0000A8640000}"/>
    <cellStyle name="Total 2 2 2 5 3 2" xfId="21831" xr:uid="{00000000-0005-0000-0000-0000A9640000}"/>
    <cellStyle name="Total 2 2 2 5 3 3" xfId="25961" xr:uid="{00000000-0005-0000-0000-0000AA640000}"/>
    <cellStyle name="Total 2 2 2 5 3 4" xfId="27478" xr:uid="{00000000-0005-0000-0000-0000AB640000}"/>
    <cellStyle name="Total 2 2 2 5 4" xfId="15885" xr:uid="{00000000-0005-0000-0000-0000AC640000}"/>
    <cellStyle name="Total 2 2 2 5 5" xfId="23277" xr:uid="{00000000-0005-0000-0000-0000AD640000}"/>
    <cellStyle name="Total 2 2 2 5 6" xfId="23831" xr:uid="{00000000-0005-0000-0000-0000AE640000}"/>
    <cellStyle name="Total 2 2 2 6" xfId="5690" xr:uid="{00000000-0005-0000-0000-0000AF640000}"/>
    <cellStyle name="Total 2 2 2 6 2" xfId="16587" xr:uid="{00000000-0005-0000-0000-0000B0640000}"/>
    <cellStyle name="Total 2 2 2 6 3" xfId="23675" xr:uid="{00000000-0005-0000-0000-0000B1640000}"/>
    <cellStyle name="Total 2 2 2 6 4" xfId="22296" xr:uid="{00000000-0005-0000-0000-0000B2640000}"/>
    <cellStyle name="Total 2 2 2 7" xfId="10266" xr:uid="{00000000-0005-0000-0000-0000B3640000}"/>
    <cellStyle name="Total 2 2 2 7 2" xfId="21163" xr:uid="{00000000-0005-0000-0000-0000B4640000}"/>
    <cellStyle name="Total 2 2 2 7 3" xfId="25293" xr:uid="{00000000-0005-0000-0000-0000B5640000}"/>
    <cellStyle name="Total 2 2 2 7 4" xfId="26810" xr:uid="{00000000-0005-0000-0000-0000B6640000}"/>
    <cellStyle name="Total 2 2 2 8" xfId="11688" xr:uid="{00000000-0005-0000-0000-0000B7640000}"/>
    <cellStyle name="Total 2 2 2 9" xfId="24812" xr:uid="{00000000-0005-0000-0000-0000B8640000}"/>
    <cellStyle name="Total 2 2 3" xfId="994" xr:uid="{00000000-0005-0000-0000-0000B9640000}"/>
    <cellStyle name="Total 2 2 3 2" xfId="2151" xr:uid="{00000000-0005-0000-0000-0000BA640000}"/>
    <cellStyle name="Total 2 2 3 2 2" xfId="4463" xr:uid="{00000000-0005-0000-0000-0000BB640000}"/>
    <cellStyle name="Total 2 2 3 2 2 2" xfId="9414" xr:uid="{00000000-0005-0000-0000-0000BC640000}"/>
    <cellStyle name="Total 2 2 3 2 2 2 2" xfId="20311" xr:uid="{00000000-0005-0000-0000-0000BD640000}"/>
    <cellStyle name="Total 2 2 3 2 2 2 3" xfId="24757" xr:uid="{00000000-0005-0000-0000-0000BE640000}"/>
    <cellStyle name="Total 2 2 3 2 2 2 4" xfId="26356" xr:uid="{00000000-0005-0000-0000-0000BF640000}"/>
    <cellStyle name="Total 2 2 3 2 2 3" xfId="10807" xr:uid="{00000000-0005-0000-0000-0000C0640000}"/>
    <cellStyle name="Total 2 2 3 2 2 3 2" xfId="21704" xr:uid="{00000000-0005-0000-0000-0000C1640000}"/>
    <cellStyle name="Total 2 2 3 2 2 3 3" xfId="25834" xr:uid="{00000000-0005-0000-0000-0000C2640000}"/>
    <cellStyle name="Total 2 2 3 2 2 3 4" xfId="27351" xr:uid="{00000000-0005-0000-0000-0000C3640000}"/>
    <cellStyle name="Total 2 2 3 2 2 4" xfId="15360" xr:uid="{00000000-0005-0000-0000-0000C4640000}"/>
    <cellStyle name="Total 2 2 3 2 2 5" xfId="23068" xr:uid="{00000000-0005-0000-0000-0000C5640000}"/>
    <cellStyle name="Total 2 2 3 2 2 6" xfId="11235" xr:uid="{00000000-0005-0000-0000-0000C6640000}"/>
    <cellStyle name="Total 2 2 3 2 3" xfId="5187" xr:uid="{00000000-0005-0000-0000-0000C7640000}"/>
    <cellStyle name="Total 2 2 3 2 3 2" xfId="10138" xr:uid="{00000000-0005-0000-0000-0000C8640000}"/>
    <cellStyle name="Total 2 2 3 2 3 2 2" xfId="21035" xr:uid="{00000000-0005-0000-0000-0000C9640000}"/>
    <cellStyle name="Total 2 2 3 2 3 2 3" xfId="25165" xr:uid="{00000000-0005-0000-0000-0000CA640000}"/>
    <cellStyle name="Total 2 2 3 2 3 2 4" xfId="26682" xr:uid="{00000000-0005-0000-0000-0000CB640000}"/>
    <cellStyle name="Total 2 2 3 2 3 3" xfId="11133" xr:uid="{00000000-0005-0000-0000-0000CC640000}"/>
    <cellStyle name="Total 2 2 3 2 3 3 2" xfId="22030" xr:uid="{00000000-0005-0000-0000-0000CD640000}"/>
    <cellStyle name="Total 2 2 3 2 3 3 3" xfId="26160" xr:uid="{00000000-0005-0000-0000-0000CE640000}"/>
    <cellStyle name="Total 2 2 3 2 3 3 4" xfId="27677" xr:uid="{00000000-0005-0000-0000-0000CF640000}"/>
    <cellStyle name="Total 2 2 3 2 3 4" xfId="16084" xr:uid="{00000000-0005-0000-0000-0000D0640000}"/>
    <cellStyle name="Total 2 2 3 2 3 5" xfId="23476" xr:uid="{00000000-0005-0000-0000-0000D1640000}"/>
    <cellStyle name="Total 2 2 3 2 3 6" xfId="22758" xr:uid="{00000000-0005-0000-0000-0000D2640000}"/>
    <cellStyle name="Total 2 2 3 2 4" xfId="7102" xr:uid="{00000000-0005-0000-0000-0000D3640000}"/>
    <cellStyle name="Total 2 2 3 2 4 2" xfId="17999" xr:uid="{00000000-0005-0000-0000-0000D4640000}"/>
    <cellStyle name="Total 2 2 3 2 4 3" xfId="24080" xr:uid="{00000000-0005-0000-0000-0000D5640000}"/>
    <cellStyle name="Total 2 2 3 2 4 4" xfId="22424" xr:uid="{00000000-0005-0000-0000-0000D6640000}"/>
    <cellStyle name="Total 2 2 3 2 5" xfId="10465" xr:uid="{00000000-0005-0000-0000-0000D7640000}"/>
    <cellStyle name="Total 2 2 3 2 5 2" xfId="21362" xr:uid="{00000000-0005-0000-0000-0000D8640000}"/>
    <cellStyle name="Total 2 2 3 2 5 3" xfId="25492" xr:uid="{00000000-0005-0000-0000-0000D9640000}"/>
    <cellStyle name="Total 2 2 3 2 5 4" xfId="27009" xr:uid="{00000000-0005-0000-0000-0000DA640000}"/>
    <cellStyle name="Total 2 2 3 2 6" xfId="13068" xr:uid="{00000000-0005-0000-0000-0000DB640000}"/>
    <cellStyle name="Total 2 2 3 2 7" xfId="22623" xr:uid="{00000000-0005-0000-0000-0000DC640000}"/>
    <cellStyle name="Total 2 2 3 3" xfId="3318" xr:uid="{00000000-0005-0000-0000-0000DD640000}"/>
    <cellStyle name="Total 2 2 3 3 2" xfId="8269" xr:uid="{00000000-0005-0000-0000-0000DE640000}"/>
    <cellStyle name="Total 2 2 3 3 2 2" xfId="19166" xr:uid="{00000000-0005-0000-0000-0000DF640000}"/>
    <cellStyle name="Total 2 2 3 3 2 3" xfId="24431" xr:uid="{00000000-0005-0000-0000-0000E0640000}"/>
    <cellStyle name="Total 2 2 3 3 2 4" xfId="22403" xr:uid="{00000000-0005-0000-0000-0000E1640000}"/>
    <cellStyle name="Total 2 2 3 3 3" xfId="10647" xr:uid="{00000000-0005-0000-0000-0000E2640000}"/>
    <cellStyle name="Total 2 2 3 3 3 2" xfId="21544" xr:uid="{00000000-0005-0000-0000-0000E3640000}"/>
    <cellStyle name="Total 2 2 3 3 3 3" xfId="25674" xr:uid="{00000000-0005-0000-0000-0000E4640000}"/>
    <cellStyle name="Total 2 2 3 3 3 4" xfId="27191" xr:uid="{00000000-0005-0000-0000-0000E5640000}"/>
    <cellStyle name="Total 2 2 3 3 4" xfId="14215" xr:uid="{00000000-0005-0000-0000-0000E6640000}"/>
    <cellStyle name="Total 2 2 3 3 5" xfId="22738" xr:uid="{00000000-0005-0000-0000-0000E7640000}"/>
    <cellStyle name="Total 2 2 3 3 6" xfId="23106" xr:uid="{00000000-0005-0000-0000-0000E8640000}"/>
    <cellStyle name="Total 2 2 3 4" xfId="5028" xr:uid="{00000000-0005-0000-0000-0000E9640000}"/>
    <cellStyle name="Total 2 2 3 4 2" xfId="9979" xr:uid="{00000000-0005-0000-0000-0000EA640000}"/>
    <cellStyle name="Total 2 2 3 4 2 2" xfId="20876" xr:uid="{00000000-0005-0000-0000-0000EB640000}"/>
    <cellStyle name="Total 2 2 3 4 2 3" xfId="25006" xr:uid="{00000000-0005-0000-0000-0000EC640000}"/>
    <cellStyle name="Total 2 2 3 4 2 4" xfId="26523" xr:uid="{00000000-0005-0000-0000-0000ED640000}"/>
    <cellStyle name="Total 2 2 3 4 3" xfId="10974" xr:uid="{00000000-0005-0000-0000-0000EE640000}"/>
    <cellStyle name="Total 2 2 3 4 3 2" xfId="21871" xr:uid="{00000000-0005-0000-0000-0000EF640000}"/>
    <cellStyle name="Total 2 2 3 4 3 3" xfId="26001" xr:uid="{00000000-0005-0000-0000-0000F0640000}"/>
    <cellStyle name="Total 2 2 3 4 3 4" xfId="27518" xr:uid="{00000000-0005-0000-0000-0000F1640000}"/>
    <cellStyle name="Total 2 2 3 4 4" xfId="15925" xr:uid="{00000000-0005-0000-0000-0000F2640000}"/>
    <cellStyle name="Total 2 2 3 4 5" xfId="23317" xr:uid="{00000000-0005-0000-0000-0000F3640000}"/>
    <cellStyle name="Total 2 2 3 4 6" xfId="22137" xr:uid="{00000000-0005-0000-0000-0000F4640000}"/>
    <cellStyle name="Total 2 2 3 5" xfId="5957" xr:uid="{00000000-0005-0000-0000-0000F5640000}"/>
    <cellStyle name="Total 2 2 3 5 2" xfId="16854" xr:uid="{00000000-0005-0000-0000-0000F6640000}"/>
    <cellStyle name="Total 2 2 3 5 3" xfId="23754" xr:uid="{00000000-0005-0000-0000-0000F7640000}"/>
    <cellStyle name="Total 2 2 3 5 4" xfId="24617" xr:uid="{00000000-0005-0000-0000-0000F8640000}"/>
    <cellStyle name="Total 2 2 3 6" xfId="10306" xr:uid="{00000000-0005-0000-0000-0000F9640000}"/>
    <cellStyle name="Total 2 2 3 6 2" xfId="21203" xr:uid="{00000000-0005-0000-0000-0000FA640000}"/>
    <cellStyle name="Total 2 2 3 6 3" xfId="25333" xr:uid="{00000000-0005-0000-0000-0000FB640000}"/>
    <cellStyle name="Total 2 2 3 6 4" xfId="26850" xr:uid="{00000000-0005-0000-0000-0000FC640000}"/>
    <cellStyle name="Total 2 2 3 7" xfId="11950" xr:uid="{00000000-0005-0000-0000-0000FD640000}"/>
    <cellStyle name="Total 2 2 3 8" xfId="22261" xr:uid="{00000000-0005-0000-0000-0000FE640000}"/>
    <cellStyle name="Total 2 2 4" xfId="1369" xr:uid="{00000000-0005-0000-0000-0000FF640000}"/>
    <cellStyle name="Total 2 2 4 2" xfId="3693" xr:uid="{00000000-0005-0000-0000-000000650000}"/>
    <cellStyle name="Total 2 2 4 2 2" xfId="8644" xr:uid="{00000000-0005-0000-0000-000001650000}"/>
    <cellStyle name="Total 2 2 4 2 2 2" xfId="19541" xr:uid="{00000000-0005-0000-0000-000002650000}"/>
    <cellStyle name="Total 2 2 4 2 2 3" xfId="24538" xr:uid="{00000000-0005-0000-0000-000003650000}"/>
    <cellStyle name="Total 2 2 4 2 2 4" xfId="26256" xr:uid="{00000000-0005-0000-0000-000004650000}"/>
    <cellStyle name="Total 2 2 4 2 3" xfId="10707" xr:uid="{00000000-0005-0000-0000-000005650000}"/>
    <cellStyle name="Total 2 2 4 2 3 2" xfId="21604" xr:uid="{00000000-0005-0000-0000-000006650000}"/>
    <cellStyle name="Total 2 2 4 2 3 3" xfId="25734" xr:uid="{00000000-0005-0000-0000-000007650000}"/>
    <cellStyle name="Total 2 2 4 2 3 4" xfId="27251" xr:uid="{00000000-0005-0000-0000-000008650000}"/>
    <cellStyle name="Total 2 2 4 2 4" xfId="14590" xr:uid="{00000000-0005-0000-0000-000009650000}"/>
    <cellStyle name="Total 2 2 4 2 5" xfId="22850" xr:uid="{00000000-0005-0000-0000-00000A650000}"/>
    <cellStyle name="Total 2 2 4 2 6" xfId="23989" xr:uid="{00000000-0005-0000-0000-00000B650000}"/>
    <cellStyle name="Total 2 2 4 3" xfId="5088" xr:uid="{00000000-0005-0000-0000-00000C650000}"/>
    <cellStyle name="Total 2 2 4 3 2" xfId="10039" xr:uid="{00000000-0005-0000-0000-00000D650000}"/>
    <cellStyle name="Total 2 2 4 3 2 2" xfId="20936" xr:uid="{00000000-0005-0000-0000-00000E650000}"/>
    <cellStyle name="Total 2 2 4 3 2 3" xfId="25066" xr:uid="{00000000-0005-0000-0000-00000F650000}"/>
    <cellStyle name="Total 2 2 4 3 2 4" xfId="26583" xr:uid="{00000000-0005-0000-0000-000010650000}"/>
    <cellStyle name="Total 2 2 4 3 3" xfId="11034" xr:uid="{00000000-0005-0000-0000-000011650000}"/>
    <cellStyle name="Total 2 2 4 3 3 2" xfId="21931" xr:uid="{00000000-0005-0000-0000-000012650000}"/>
    <cellStyle name="Total 2 2 4 3 3 3" xfId="26061" xr:uid="{00000000-0005-0000-0000-000013650000}"/>
    <cellStyle name="Total 2 2 4 3 3 4" xfId="27578" xr:uid="{00000000-0005-0000-0000-000014650000}"/>
    <cellStyle name="Total 2 2 4 3 4" xfId="15985" xr:uid="{00000000-0005-0000-0000-000015650000}"/>
    <cellStyle name="Total 2 2 4 3 5" xfId="23377" xr:uid="{00000000-0005-0000-0000-000016650000}"/>
    <cellStyle name="Total 2 2 4 3 6" xfId="23816" xr:uid="{00000000-0005-0000-0000-000017650000}"/>
    <cellStyle name="Total 2 2 4 4" xfId="6332" xr:uid="{00000000-0005-0000-0000-000018650000}"/>
    <cellStyle name="Total 2 2 4 4 2" xfId="17229" xr:uid="{00000000-0005-0000-0000-000019650000}"/>
    <cellStyle name="Total 2 2 4 4 3" xfId="23863" xr:uid="{00000000-0005-0000-0000-00001A650000}"/>
    <cellStyle name="Total 2 2 4 4 4" xfId="24595" xr:uid="{00000000-0005-0000-0000-00001B650000}"/>
    <cellStyle name="Total 2 2 4 5" xfId="10366" xr:uid="{00000000-0005-0000-0000-00001C650000}"/>
    <cellStyle name="Total 2 2 4 5 2" xfId="21263" xr:uid="{00000000-0005-0000-0000-00001D650000}"/>
    <cellStyle name="Total 2 2 4 5 3" xfId="25393" xr:uid="{00000000-0005-0000-0000-00001E650000}"/>
    <cellStyle name="Total 2 2 4 5 4" xfId="26910" xr:uid="{00000000-0005-0000-0000-00001F650000}"/>
    <cellStyle name="Total 2 2 4 6" xfId="12317" xr:uid="{00000000-0005-0000-0000-000020650000}"/>
    <cellStyle name="Total 2 2 4 7" xfId="22500" xr:uid="{00000000-0005-0000-0000-000021650000}"/>
    <cellStyle name="Total 2 2 5" xfId="2786" xr:uid="{00000000-0005-0000-0000-000022650000}"/>
    <cellStyle name="Total 2 2 5 2" xfId="7737" xr:uid="{00000000-0005-0000-0000-000023650000}"/>
    <cellStyle name="Total 2 2 5 2 2" xfId="18634" xr:uid="{00000000-0005-0000-0000-000024650000}"/>
    <cellStyle name="Total 2 2 5 2 3" xfId="24284" xr:uid="{00000000-0005-0000-0000-000025650000}"/>
    <cellStyle name="Total 2 2 5 2 4" xfId="22297" xr:uid="{00000000-0005-0000-0000-000026650000}"/>
    <cellStyle name="Total 2 2 5 3" xfId="10567" xr:uid="{00000000-0005-0000-0000-000027650000}"/>
    <cellStyle name="Total 2 2 5 3 2" xfId="21464" xr:uid="{00000000-0005-0000-0000-000028650000}"/>
    <cellStyle name="Total 2 2 5 3 3" xfId="25594" xr:uid="{00000000-0005-0000-0000-000029650000}"/>
    <cellStyle name="Total 2 2 5 3 4" xfId="27111" xr:uid="{00000000-0005-0000-0000-00002A650000}"/>
    <cellStyle name="Total 2 2 5 4" xfId="13683" xr:uid="{00000000-0005-0000-0000-00002B650000}"/>
    <cellStyle name="Total 2 2 5 5" xfId="22585" xr:uid="{00000000-0005-0000-0000-00002C650000}"/>
    <cellStyle name="Total 2 2 5 6" xfId="23714" xr:uid="{00000000-0005-0000-0000-00002D650000}"/>
    <cellStyle name="Total 2 2 6" xfId="4948" xr:uid="{00000000-0005-0000-0000-00002E650000}"/>
    <cellStyle name="Total 2 2 6 2" xfId="9899" xr:uid="{00000000-0005-0000-0000-00002F650000}"/>
    <cellStyle name="Total 2 2 6 2 2" xfId="20796" xr:uid="{00000000-0005-0000-0000-000030650000}"/>
    <cellStyle name="Total 2 2 6 2 3" xfId="24926" xr:uid="{00000000-0005-0000-0000-000031650000}"/>
    <cellStyle name="Total 2 2 6 2 4" xfId="26443" xr:uid="{00000000-0005-0000-0000-000032650000}"/>
    <cellStyle name="Total 2 2 6 3" xfId="10894" xr:uid="{00000000-0005-0000-0000-000033650000}"/>
    <cellStyle name="Total 2 2 6 3 2" xfId="21791" xr:uid="{00000000-0005-0000-0000-000034650000}"/>
    <cellStyle name="Total 2 2 6 3 3" xfId="25921" xr:uid="{00000000-0005-0000-0000-000035650000}"/>
    <cellStyle name="Total 2 2 6 3 4" xfId="27438" xr:uid="{00000000-0005-0000-0000-000036650000}"/>
    <cellStyle name="Total 2 2 6 4" xfId="15845" xr:uid="{00000000-0005-0000-0000-000037650000}"/>
    <cellStyle name="Total 2 2 6 5" xfId="23237" xr:uid="{00000000-0005-0000-0000-000038650000}"/>
    <cellStyle name="Total 2 2 6 6" xfId="22385" xr:uid="{00000000-0005-0000-0000-000039650000}"/>
    <cellStyle name="Total 2 2 7" xfId="5425" xr:uid="{00000000-0005-0000-0000-00003A650000}"/>
    <cellStyle name="Total 2 2 7 2" xfId="16322" xr:uid="{00000000-0005-0000-0000-00003B650000}"/>
    <cellStyle name="Total 2 2 7 3" xfId="23603" xr:uid="{00000000-0005-0000-0000-00003C650000}"/>
    <cellStyle name="Total 2 2 7 4" xfId="22772" xr:uid="{00000000-0005-0000-0000-00003D650000}"/>
    <cellStyle name="Total 2 2 8" xfId="10226" xr:uid="{00000000-0005-0000-0000-00003E650000}"/>
    <cellStyle name="Total 2 2 8 2" xfId="21123" xr:uid="{00000000-0005-0000-0000-00003F650000}"/>
    <cellStyle name="Total 2 2 8 3" xfId="25253" xr:uid="{00000000-0005-0000-0000-000040650000}"/>
    <cellStyle name="Total 2 2 8 4" xfId="26770" xr:uid="{00000000-0005-0000-0000-000041650000}"/>
    <cellStyle name="Total 2 2 9" xfId="11427" xr:uid="{00000000-0005-0000-0000-000042650000}"/>
    <cellStyle name="Total 2 3" xfId="628" xr:uid="{00000000-0005-0000-0000-000043650000}"/>
    <cellStyle name="Total 2 3 2" xfId="1160" xr:uid="{00000000-0005-0000-0000-000044650000}"/>
    <cellStyle name="Total 2 3 2 2" xfId="2317" xr:uid="{00000000-0005-0000-0000-000045650000}"/>
    <cellStyle name="Total 2 3 2 2 2" xfId="4629" xr:uid="{00000000-0005-0000-0000-000046650000}"/>
    <cellStyle name="Total 2 3 2 2 2 2" xfId="9580" xr:uid="{00000000-0005-0000-0000-000047650000}"/>
    <cellStyle name="Total 2 3 2 2 2 2 2" xfId="20477" xr:uid="{00000000-0005-0000-0000-000048650000}"/>
    <cellStyle name="Total 2 3 2 2 2 2 3" xfId="24805" xr:uid="{00000000-0005-0000-0000-000049650000}"/>
    <cellStyle name="Total 2 3 2 2 2 2 4" xfId="26381" xr:uid="{00000000-0005-0000-0000-00004A650000}"/>
    <cellStyle name="Total 2 3 2 2 2 3" xfId="10832" xr:uid="{00000000-0005-0000-0000-00004B650000}"/>
    <cellStyle name="Total 2 3 2 2 2 3 2" xfId="21729" xr:uid="{00000000-0005-0000-0000-00004C650000}"/>
    <cellStyle name="Total 2 3 2 2 2 3 3" xfId="25859" xr:uid="{00000000-0005-0000-0000-00004D650000}"/>
    <cellStyle name="Total 2 3 2 2 2 3 4" xfId="27376" xr:uid="{00000000-0005-0000-0000-00004E650000}"/>
    <cellStyle name="Total 2 3 2 2 2 4" xfId="15526" xr:uid="{00000000-0005-0000-0000-00004F650000}"/>
    <cellStyle name="Total 2 3 2 2 2 5" xfId="23118" xr:uid="{00000000-0005-0000-0000-000050650000}"/>
    <cellStyle name="Total 2 3 2 2 2 6" xfId="22288" xr:uid="{00000000-0005-0000-0000-000051650000}"/>
    <cellStyle name="Total 2 3 2 2 3" xfId="5212" xr:uid="{00000000-0005-0000-0000-000052650000}"/>
    <cellStyle name="Total 2 3 2 2 3 2" xfId="10163" xr:uid="{00000000-0005-0000-0000-000053650000}"/>
    <cellStyle name="Total 2 3 2 2 3 2 2" xfId="21060" xr:uid="{00000000-0005-0000-0000-000054650000}"/>
    <cellStyle name="Total 2 3 2 2 3 2 3" xfId="25190" xr:uid="{00000000-0005-0000-0000-000055650000}"/>
    <cellStyle name="Total 2 3 2 2 3 2 4" xfId="26707" xr:uid="{00000000-0005-0000-0000-000056650000}"/>
    <cellStyle name="Total 2 3 2 2 3 3" xfId="11158" xr:uid="{00000000-0005-0000-0000-000057650000}"/>
    <cellStyle name="Total 2 3 2 2 3 3 2" xfId="22055" xr:uid="{00000000-0005-0000-0000-000058650000}"/>
    <cellStyle name="Total 2 3 2 2 3 3 3" xfId="26185" xr:uid="{00000000-0005-0000-0000-000059650000}"/>
    <cellStyle name="Total 2 3 2 2 3 3 4" xfId="27702" xr:uid="{00000000-0005-0000-0000-00005A650000}"/>
    <cellStyle name="Total 2 3 2 2 3 4" xfId="16109" xr:uid="{00000000-0005-0000-0000-00005B650000}"/>
    <cellStyle name="Total 2 3 2 2 3 5" xfId="23501" xr:uid="{00000000-0005-0000-0000-00005C650000}"/>
    <cellStyle name="Total 2 3 2 2 3 6" xfId="23933" xr:uid="{00000000-0005-0000-0000-00005D650000}"/>
    <cellStyle name="Total 2 3 2 2 4" xfId="7268" xr:uid="{00000000-0005-0000-0000-00005E650000}"/>
    <cellStyle name="Total 2 3 2 2 4 2" xfId="18165" xr:uid="{00000000-0005-0000-0000-00005F650000}"/>
    <cellStyle name="Total 2 3 2 2 4 3" xfId="24131" xr:uid="{00000000-0005-0000-0000-000060650000}"/>
    <cellStyle name="Total 2 3 2 2 4 4" xfId="23955" xr:uid="{00000000-0005-0000-0000-000061650000}"/>
    <cellStyle name="Total 2 3 2 2 5" xfId="10490" xr:uid="{00000000-0005-0000-0000-000062650000}"/>
    <cellStyle name="Total 2 3 2 2 5 2" xfId="21387" xr:uid="{00000000-0005-0000-0000-000063650000}"/>
    <cellStyle name="Total 2 3 2 2 5 3" xfId="25517" xr:uid="{00000000-0005-0000-0000-000064650000}"/>
    <cellStyle name="Total 2 3 2 2 5 4" xfId="27034" xr:uid="{00000000-0005-0000-0000-000065650000}"/>
    <cellStyle name="Total 2 3 2 2 6" xfId="13229" xr:uid="{00000000-0005-0000-0000-000066650000}"/>
    <cellStyle name="Total 2 3 2 2 7" xfId="24515" xr:uid="{00000000-0005-0000-0000-000067650000}"/>
    <cellStyle name="Total 2 3 2 3" xfId="3484" xr:uid="{00000000-0005-0000-0000-000068650000}"/>
    <cellStyle name="Total 2 3 2 3 2" xfId="8435" xr:uid="{00000000-0005-0000-0000-000069650000}"/>
    <cellStyle name="Total 2 3 2 3 2 2" xfId="19332" xr:uid="{00000000-0005-0000-0000-00006A650000}"/>
    <cellStyle name="Total 2 3 2 3 2 3" xfId="24482" xr:uid="{00000000-0005-0000-0000-00006B650000}"/>
    <cellStyle name="Total 2 3 2 3 2 4" xfId="12497" xr:uid="{00000000-0005-0000-0000-00006C650000}"/>
    <cellStyle name="Total 2 3 2 3 3" xfId="10672" xr:uid="{00000000-0005-0000-0000-00006D650000}"/>
    <cellStyle name="Total 2 3 2 3 3 2" xfId="21569" xr:uid="{00000000-0005-0000-0000-00006E650000}"/>
    <cellStyle name="Total 2 3 2 3 3 3" xfId="25699" xr:uid="{00000000-0005-0000-0000-00006F650000}"/>
    <cellStyle name="Total 2 3 2 3 3 4" xfId="27216" xr:uid="{00000000-0005-0000-0000-000070650000}"/>
    <cellStyle name="Total 2 3 2 3 4" xfId="14381" xr:uid="{00000000-0005-0000-0000-000071650000}"/>
    <cellStyle name="Total 2 3 2 3 5" xfId="22790" xr:uid="{00000000-0005-0000-0000-000072650000}"/>
    <cellStyle name="Total 2 3 2 3 6" xfId="22563" xr:uid="{00000000-0005-0000-0000-000073650000}"/>
    <cellStyle name="Total 2 3 2 4" xfId="5053" xr:uid="{00000000-0005-0000-0000-000074650000}"/>
    <cellStyle name="Total 2 3 2 4 2" xfId="10004" xr:uid="{00000000-0005-0000-0000-000075650000}"/>
    <cellStyle name="Total 2 3 2 4 2 2" xfId="20901" xr:uid="{00000000-0005-0000-0000-000076650000}"/>
    <cellStyle name="Total 2 3 2 4 2 3" xfId="25031" xr:uid="{00000000-0005-0000-0000-000077650000}"/>
    <cellStyle name="Total 2 3 2 4 2 4" xfId="26548" xr:uid="{00000000-0005-0000-0000-000078650000}"/>
    <cellStyle name="Total 2 3 2 4 3" xfId="10999" xr:uid="{00000000-0005-0000-0000-000079650000}"/>
    <cellStyle name="Total 2 3 2 4 3 2" xfId="21896" xr:uid="{00000000-0005-0000-0000-00007A650000}"/>
    <cellStyle name="Total 2 3 2 4 3 3" xfId="26026" xr:uid="{00000000-0005-0000-0000-00007B650000}"/>
    <cellStyle name="Total 2 3 2 4 3 4" xfId="27543" xr:uid="{00000000-0005-0000-0000-00007C650000}"/>
    <cellStyle name="Total 2 3 2 4 4" xfId="15950" xr:uid="{00000000-0005-0000-0000-00007D650000}"/>
    <cellStyle name="Total 2 3 2 4 5" xfId="23342" xr:uid="{00000000-0005-0000-0000-00007E650000}"/>
    <cellStyle name="Total 2 3 2 4 6" xfId="22831" xr:uid="{00000000-0005-0000-0000-00007F650000}"/>
    <cellStyle name="Total 2 3 2 5" xfId="6123" xr:uid="{00000000-0005-0000-0000-000080650000}"/>
    <cellStyle name="Total 2 3 2 5 2" xfId="17020" xr:uid="{00000000-0005-0000-0000-000081650000}"/>
    <cellStyle name="Total 2 3 2 5 3" xfId="23805" xr:uid="{00000000-0005-0000-0000-000082650000}"/>
    <cellStyle name="Total 2 3 2 5 4" xfId="24786" xr:uid="{00000000-0005-0000-0000-000083650000}"/>
    <cellStyle name="Total 2 3 2 6" xfId="10331" xr:uid="{00000000-0005-0000-0000-000084650000}"/>
    <cellStyle name="Total 2 3 2 6 2" xfId="21228" xr:uid="{00000000-0005-0000-0000-000085650000}"/>
    <cellStyle name="Total 2 3 2 6 3" xfId="25358" xr:uid="{00000000-0005-0000-0000-000086650000}"/>
    <cellStyle name="Total 2 3 2 6 4" xfId="26875" xr:uid="{00000000-0005-0000-0000-000087650000}"/>
    <cellStyle name="Total 2 3 2 7" xfId="12111" xr:uid="{00000000-0005-0000-0000-000088650000}"/>
    <cellStyle name="Total 2 3 2 8" xfId="24890" xr:uid="{00000000-0005-0000-0000-000089650000}"/>
    <cellStyle name="Total 2 3 3" xfId="1394" xr:uid="{00000000-0005-0000-0000-00008A650000}"/>
    <cellStyle name="Total 2 3 3 2" xfId="3718" xr:uid="{00000000-0005-0000-0000-00008B650000}"/>
    <cellStyle name="Total 2 3 3 2 2" xfId="8669" xr:uid="{00000000-0005-0000-0000-00008C650000}"/>
    <cellStyle name="Total 2 3 3 2 2 2" xfId="19566" xr:uid="{00000000-0005-0000-0000-00008D650000}"/>
    <cellStyle name="Total 2 3 3 2 2 3" xfId="24563" xr:uid="{00000000-0005-0000-0000-00008E650000}"/>
    <cellStyle name="Total 2 3 3 2 2 4" xfId="26281" xr:uid="{00000000-0005-0000-0000-00008F650000}"/>
    <cellStyle name="Total 2 3 3 2 3" xfId="10732" xr:uid="{00000000-0005-0000-0000-000090650000}"/>
    <cellStyle name="Total 2 3 3 2 3 2" xfId="21629" xr:uid="{00000000-0005-0000-0000-000091650000}"/>
    <cellStyle name="Total 2 3 3 2 3 3" xfId="25759" xr:uid="{00000000-0005-0000-0000-000092650000}"/>
    <cellStyle name="Total 2 3 3 2 3 4" xfId="27276" xr:uid="{00000000-0005-0000-0000-000093650000}"/>
    <cellStyle name="Total 2 3 3 2 4" xfId="14615" xr:uid="{00000000-0005-0000-0000-000094650000}"/>
    <cellStyle name="Total 2 3 3 2 5" xfId="22875" xr:uid="{00000000-0005-0000-0000-000095650000}"/>
    <cellStyle name="Total 2 3 3 2 6" xfId="23074" xr:uid="{00000000-0005-0000-0000-000096650000}"/>
    <cellStyle name="Total 2 3 3 3" xfId="5113" xr:uid="{00000000-0005-0000-0000-000097650000}"/>
    <cellStyle name="Total 2 3 3 3 2" xfId="10064" xr:uid="{00000000-0005-0000-0000-000098650000}"/>
    <cellStyle name="Total 2 3 3 3 2 2" xfId="20961" xr:uid="{00000000-0005-0000-0000-000099650000}"/>
    <cellStyle name="Total 2 3 3 3 2 3" xfId="25091" xr:uid="{00000000-0005-0000-0000-00009A650000}"/>
    <cellStyle name="Total 2 3 3 3 2 4" xfId="26608" xr:uid="{00000000-0005-0000-0000-00009B650000}"/>
    <cellStyle name="Total 2 3 3 3 3" xfId="11059" xr:uid="{00000000-0005-0000-0000-00009C650000}"/>
    <cellStyle name="Total 2 3 3 3 3 2" xfId="21956" xr:uid="{00000000-0005-0000-0000-00009D650000}"/>
    <cellStyle name="Total 2 3 3 3 3 3" xfId="26086" xr:uid="{00000000-0005-0000-0000-00009E650000}"/>
    <cellStyle name="Total 2 3 3 3 3 4" xfId="27603" xr:uid="{00000000-0005-0000-0000-00009F650000}"/>
    <cellStyle name="Total 2 3 3 3 4" xfId="16010" xr:uid="{00000000-0005-0000-0000-0000A0650000}"/>
    <cellStyle name="Total 2 3 3 3 5" xfId="23402" xr:uid="{00000000-0005-0000-0000-0000A1650000}"/>
    <cellStyle name="Total 2 3 3 3 6" xfId="24372" xr:uid="{00000000-0005-0000-0000-0000A2650000}"/>
    <cellStyle name="Total 2 3 3 4" xfId="6357" xr:uid="{00000000-0005-0000-0000-0000A3650000}"/>
    <cellStyle name="Total 2 3 3 4 2" xfId="17254" xr:uid="{00000000-0005-0000-0000-0000A4650000}"/>
    <cellStyle name="Total 2 3 3 4 3" xfId="23888" xr:uid="{00000000-0005-0000-0000-0000A5650000}"/>
    <cellStyle name="Total 2 3 3 4 4" xfId="22900" xr:uid="{00000000-0005-0000-0000-0000A6650000}"/>
    <cellStyle name="Total 2 3 3 5" xfId="10391" xr:uid="{00000000-0005-0000-0000-0000A7650000}"/>
    <cellStyle name="Total 2 3 3 5 2" xfId="21288" xr:uid="{00000000-0005-0000-0000-0000A8650000}"/>
    <cellStyle name="Total 2 3 3 5 3" xfId="25418" xr:uid="{00000000-0005-0000-0000-0000A9650000}"/>
    <cellStyle name="Total 2 3 3 5 4" xfId="26935" xr:uid="{00000000-0005-0000-0000-0000AA650000}"/>
    <cellStyle name="Total 2 3 3 6" xfId="12336" xr:uid="{00000000-0005-0000-0000-0000AB650000}"/>
    <cellStyle name="Total 2 3 3 7" xfId="23017" xr:uid="{00000000-0005-0000-0000-0000AC650000}"/>
    <cellStyle name="Total 2 3 4" xfId="2952" xr:uid="{00000000-0005-0000-0000-0000AD650000}"/>
    <cellStyle name="Total 2 3 4 2" xfId="7903" xr:uid="{00000000-0005-0000-0000-0000AE650000}"/>
    <cellStyle name="Total 2 3 4 2 2" xfId="18800" xr:uid="{00000000-0005-0000-0000-0000AF650000}"/>
    <cellStyle name="Total 2 3 4 2 3" xfId="24328" xr:uid="{00000000-0005-0000-0000-0000B0650000}"/>
    <cellStyle name="Total 2 3 4 2 4" xfId="22405" xr:uid="{00000000-0005-0000-0000-0000B1650000}"/>
    <cellStyle name="Total 2 3 4 3" xfId="10592" xr:uid="{00000000-0005-0000-0000-0000B2650000}"/>
    <cellStyle name="Total 2 3 4 3 2" xfId="21489" xr:uid="{00000000-0005-0000-0000-0000B3650000}"/>
    <cellStyle name="Total 2 3 4 3 3" xfId="25619" xr:uid="{00000000-0005-0000-0000-0000B4650000}"/>
    <cellStyle name="Total 2 3 4 3 4" xfId="27136" xr:uid="{00000000-0005-0000-0000-0000B5650000}"/>
    <cellStyle name="Total 2 3 4 4" xfId="13849" xr:uid="{00000000-0005-0000-0000-0000B6650000}"/>
    <cellStyle name="Total 2 3 4 5" xfId="22632" xr:uid="{00000000-0005-0000-0000-0000B7650000}"/>
    <cellStyle name="Total 2 3 4 6" xfId="22196" xr:uid="{00000000-0005-0000-0000-0000B8650000}"/>
    <cellStyle name="Total 2 3 5" xfId="4973" xr:uid="{00000000-0005-0000-0000-0000B9650000}"/>
    <cellStyle name="Total 2 3 5 2" xfId="9924" xr:uid="{00000000-0005-0000-0000-0000BA650000}"/>
    <cellStyle name="Total 2 3 5 2 2" xfId="20821" xr:uid="{00000000-0005-0000-0000-0000BB650000}"/>
    <cellStyle name="Total 2 3 5 2 3" xfId="24951" xr:uid="{00000000-0005-0000-0000-0000BC650000}"/>
    <cellStyle name="Total 2 3 5 2 4" xfId="26468" xr:uid="{00000000-0005-0000-0000-0000BD650000}"/>
    <cellStyle name="Total 2 3 5 3" xfId="10919" xr:uid="{00000000-0005-0000-0000-0000BE650000}"/>
    <cellStyle name="Total 2 3 5 3 2" xfId="21816" xr:uid="{00000000-0005-0000-0000-0000BF650000}"/>
    <cellStyle name="Total 2 3 5 3 3" xfId="25946" xr:uid="{00000000-0005-0000-0000-0000C0650000}"/>
    <cellStyle name="Total 2 3 5 3 4" xfId="27463" xr:uid="{00000000-0005-0000-0000-0000C1650000}"/>
    <cellStyle name="Total 2 3 5 4" xfId="15870" xr:uid="{00000000-0005-0000-0000-0000C2650000}"/>
    <cellStyle name="Total 2 3 5 5" xfId="23262" xr:uid="{00000000-0005-0000-0000-0000C3650000}"/>
    <cellStyle name="Total 2 3 5 6" xfId="23752" xr:uid="{00000000-0005-0000-0000-0000C4650000}"/>
    <cellStyle name="Total 2 3 6" xfId="5591" xr:uid="{00000000-0005-0000-0000-0000C5650000}"/>
    <cellStyle name="Total 2 3 6 2" xfId="16488" xr:uid="{00000000-0005-0000-0000-0000C6650000}"/>
    <cellStyle name="Total 2 3 6 3" xfId="23649" xr:uid="{00000000-0005-0000-0000-0000C7650000}"/>
    <cellStyle name="Total 2 3 6 4" xfId="22236" xr:uid="{00000000-0005-0000-0000-0000C8650000}"/>
    <cellStyle name="Total 2 3 7" xfId="10251" xr:uid="{00000000-0005-0000-0000-0000C9650000}"/>
    <cellStyle name="Total 2 3 7 2" xfId="21148" xr:uid="{00000000-0005-0000-0000-0000CA650000}"/>
    <cellStyle name="Total 2 3 7 3" xfId="25278" xr:uid="{00000000-0005-0000-0000-0000CB650000}"/>
    <cellStyle name="Total 2 3 7 4" xfId="26795" xr:uid="{00000000-0005-0000-0000-0000CC650000}"/>
    <cellStyle name="Total 2 3 8" xfId="11590" xr:uid="{00000000-0005-0000-0000-0000CD650000}"/>
    <cellStyle name="Total 2 3 9" xfId="24179" xr:uid="{00000000-0005-0000-0000-0000CE650000}"/>
    <cellStyle name="Total 2 4" xfId="895" xr:uid="{00000000-0005-0000-0000-0000CF650000}"/>
    <cellStyle name="Total 2 4 2" xfId="2052" xr:uid="{00000000-0005-0000-0000-0000D0650000}"/>
    <cellStyle name="Total 2 4 2 2" xfId="4364" xr:uid="{00000000-0005-0000-0000-0000D1650000}"/>
    <cellStyle name="Total 2 4 2 2 2" xfId="9315" xr:uid="{00000000-0005-0000-0000-0000D2650000}"/>
    <cellStyle name="Total 2 4 2 2 2 2" xfId="20212" xr:uid="{00000000-0005-0000-0000-0000D3650000}"/>
    <cellStyle name="Total 2 4 2 2 2 3" xfId="24734" xr:uid="{00000000-0005-0000-0000-0000D4650000}"/>
    <cellStyle name="Total 2 4 2 2 2 4" xfId="26341" xr:uid="{00000000-0005-0000-0000-0000D5650000}"/>
    <cellStyle name="Total 2 4 2 2 3" xfId="10792" xr:uid="{00000000-0005-0000-0000-0000D6650000}"/>
    <cellStyle name="Total 2 4 2 2 3 2" xfId="21689" xr:uid="{00000000-0005-0000-0000-0000D7650000}"/>
    <cellStyle name="Total 2 4 2 2 3 3" xfId="25819" xr:uid="{00000000-0005-0000-0000-0000D8650000}"/>
    <cellStyle name="Total 2 4 2 2 3 4" xfId="27336" xr:uid="{00000000-0005-0000-0000-0000D9650000}"/>
    <cellStyle name="Total 2 4 2 2 4" xfId="15261" xr:uid="{00000000-0005-0000-0000-0000DA650000}"/>
    <cellStyle name="Total 2 4 2 2 5" xfId="23044" xr:uid="{00000000-0005-0000-0000-0000DB650000}"/>
    <cellStyle name="Total 2 4 2 2 6" xfId="24268" xr:uid="{00000000-0005-0000-0000-0000DC650000}"/>
    <cellStyle name="Total 2 4 2 3" xfId="5172" xr:uid="{00000000-0005-0000-0000-0000DD650000}"/>
    <cellStyle name="Total 2 4 2 3 2" xfId="10123" xr:uid="{00000000-0005-0000-0000-0000DE650000}"/>
    <cellStyle name="Total 2 4 2 3 2 2" xfId="21020" xr:uid="{00000000-0005-0000-0000-0000DF650000}"/>
    <cellStyle name="Total 2 4 2 3 2 3" xfId="25150" xr:uid="{00000000-0005-0000-0000-0000E0650000}"/>
    <cellStyle name="Total 2 4 2 3 2 4" xfId="26667" xr:uid="{00000000-0005-0000-0000-0000E1650000}"/>
    <cellStyle name="Total 2 4 2 3 3" xfId="11118" xr:uid="{00000000-0005-0000-0000-0000E2650000}"/>
    <cellStyle name="Total 2 4 2 3 3 2" xfId="22015" xr:uid="{00000000-0005-0000-0000-0000E3650000}"/>
    <cellStyle name="Total 2 4 2 3 3 3" xfId="26145" xr:uid="{00000000-0005-0000-0000-0000E4650000}"/>
    <cellStyle name="Total 2 4 2 3 3 4" xfId="27662" xr:uid="{00000000-0005-0000-0000-0000E5650000}"/>
    <cellStyle name="Total 2 4 2 3 4" xfId="16069" xr:uid="{00000000-0005-0000-0000-0000E6650000}"/>
    <cellStyle name="Total 2 4 2 3 5" xfId="23461" xr:uid="{00000000-0005-0000-0000-0000E7650000}"/>
    <cellStyle name="Total 2 4 2 3 6" xfId="24141" xr:uid="{00000000-0005-0000-0000-0000E8650000}"/>
    <cellStyle name="Total 2 4 2 4" xfId="7003" xr:uid="{00000000-0005-0000-0000-0000E9650000}"/>
    <cellStyle name="Total 2 4 2 4 2" xfId="17900" xr:uid="{00000000-0005-0000-0000-0000EA650000}"/>
    <cellStyle name="Total 2 4 2 4 3" xfId="24056" xr:uid="{00000000-0005-0000-0000-0000EB650000}"/>
    <cellStyle name="Total 2 4 2 4 4" xfId="24824" xr:uid="{00000000-0005-0000-0000-0000EC650000}"/>
    <cellStyle name="Total 2 4 2 5" xfId="10450" xr:uid="{00000000-0005-0000-0000-0000ED650000}"/>
    <cellStyle name="Total 2 4 2 5 2" xfId="21347" xr:uid="{00000000-0005-0000-0000-0000EE650000}"/>
    <cellStyle name="Total 2 4 2 5 3" xfId="25477" xr:uid="{00000000-0005-0000-0000-0000EF650000}"/>
    <cellStyle name="Total 2 4 2 5 4" xfId="26994" xr:uid="{00000000-0005-0000-0000-0000F0650000}"/>
    <cellStyle name="Total 2 4 2 6" xfId="12970" xr:uid="{00000000-0005-0000-0000-0000F1650000}"/>
    <cellStyle name="Total 2 4 2 7" xfId="24362" xr:uid="{00000000-0005-0000-0000-0000F2650000}"/>
    <cellStyle name="Total 2 4 3" xfId="3219" xr:uid="{00000000-0005-0000-0000-0000F3650000}"/>
    <cellStyle name="Total 2 4 3 2" xfId="8170" xr:uid="{00000000-0005-0000-0000-0000F4650000}"/>
    <cellStyle name="Total 2 4 3 2 2" xfId="19067" xr:uid="{00000000-0005-0000-0000-0000F5650000}"/>
    <cellStyle name="Total 2 4 3 2 3" xfId="24404" xr:uid="{00000000-0005-0000-0000-0000F6650000}"/>
    <cellStyle name="Total 2 4 3 2 4" xfId="22365" xr:uid="{00000000-0005-0000-0000-0000F7650000}"/>
    <cellStyle name="Total 2 4 3 3" xfId="10632" xr:uid="{00000000-0005-0000-0000-0000F8650000}"/>
    <cellStyle name="Total 2 4 3 3 2" xfId="21529" xr:uid="{00000000-0005-0000-0000-0000F9650000}"/>
    <cellStyle name="Total 2 4 3 3 3" xfId="25659" xr:uid="{00000000-0005-0000-0000-0000FA650000}"/>
    <cellStyle name="Total 2 4 3 3 4" xfId="27176" xr:uid="{00000000-0005-0000-0000-0000FB650000}"/>
    <cellStyle name="Total 2 4 3 4" xfId="14116" xr:uid="{00000000-0005-0000-0000-0000FC650000}"/>
    <cellStyle name="Total 2 4 3 5" xfId="22713" xr:uid="{00000000-0005-0000-0000-0000FD650000}"/>
    <cellStyle name="Total 2 4 3 6" xfId="24164" xr:uid="{00000000-0005-0000-0000-0000FE650000}"/>
    <cellStyle name="Total 2 4 4" xfId="5013" xr:uid="{00000000-0005-0000-0000-0000FF650000}"/>
    <cellStyle name="Total 2 4 4 2" xfId="9964" xr:uid="{00000000-0005-0000-0000-000000660000}"/>
    <cellStyle name="Total 2 4 4 2 2" xfId="20861" xr:uid="{00000000-0005-0000-0000-000001660000}"/>
    <cellStyle name="Total 2 4 4 2 3" xfId="24991" xr:uid="{00000000-0005-0000-0000-000002660000}"/>
    <cellStyle name="Total 2 4 4 2 4" xfId="26508" xr:uid="{00000000-0005-0000-0000-000003660000}"/>
    <cellStyle name="Total 2 4 4 3" xfId="10959" xr:uid="{00000000-0005-0000-0000-000004660000}"/>
    <cellStyle name="Total 2 4 4 3 2" xfId="21856" xr:uid="{00000000-0005-0000-0000-000005660000}"/>
    <cellStyle name="Total 2 4 4 3 3" xfId="25986" xr:uid="{00000000-0005-0000-0000-000006660000}"/>
    <cellStyle name="Total 2 4 4 3 4" xfId="27503" xr:uid="{00000000-0005-0000-0000-000007660000}"/>
    <cellStyle name="Total 2 4 4 4" xfId="15910" xr:uid="{00000000-0005-0000-0000-000008660000}"/>
    <cellStyle name="Total 2 4 4 5" xfId="23302" xr:uid="{00000000-0005-0000-0000-000009660000}"/>
    <cellStyle name="Total 2 4 4 6" xfId="23653" xr:uid="{00000000-0005-0000-0000-00000A660000}"/>
    <cellStyle name="Total 2 4 5" xfId="5858" xr:uid="{00000000-0005-0000-0000-00000B660000}"/>
    <cellStyle name="Total 2 4 5 2" xfId="16755" xr:uid="{00000000-0005-0000-0000-00000C660000}"/>
    <cellStyle name="Total 2 4 5 3" xfId="23726" xr:uid="{00000000-0005-0000-0000-00000D660000}"/>
    <cellStyle name="Total 2 4 5 4" xfId="24598" xr:uid="{00000000-0005-0000-0000-00000E660000}"/>
    <cellStyle name="Total 2 4 6" xfId="10291" xr:uid="{00000000-0005-0000-0000-00000F660000}"/>
    <cellStyle name="Total 2 4 6 2" xfId="21188" xr:uid="{00000000-0005-0000-0000-000010660000}"/>
    <cellStyle name="Total 2 4 6 3" xfId="25318" xr:uid="{00000000-0005-0000-0000-000011660000}"/>
    <cellStyle name="Total 2 4 6 4" xfId="26835" xr:uid="{00000000-0005-0000-0000-000012660000}"/>
    <cellStyle name="Total 2 4 7" xfId="11852" xr:uid="{00000000-0005-0000-0000-000013660000}"/>
    <cellStyle name="Total 2 4 8" xfId="22945" xr:uid="{00000000-0005-0000-0000-000014660000}"/>
    <cellStyle name="Total 2 5" xfId="2687" xr:uid="{00000000-0005-0000-0000-000015660000}"/>
    <cellStyle name="Total 2 5 2" xfId="7638" xr:uid="{00000000-0005-0000-0000-000016660000}"/>
    <cellStyle name="Total 2 5 2 2" xfId="18535" xr:uid="{00000000-0005-0000-0000-000017660000}"/>
    <cellStyle name="Total 2 5 2 3" xfId="24256" xr:uid="{00000000-0005-0000-0000-000018660000}"/>
    <cellStyle name="Total 2 5 2 4" xfId="24640" xr:uid="{00000000-0005-0000-0000-000019660000}"/>
    <cellStyle name="Total 2 5 3" xfId="10552" xr:uid="{00000000-0005-0000-0000-00001A660000}"/>
    <cellStyle name="Total 2 5 3 2" xfId="21449" xr:uid="{00000000-0005-0000-0000-00001B660000}"/>
    <cellStyle name="Total 2 5 3 3" xfId="25579" xr:uid="{00000000-0005-0000-0000-00001C660000}"/>
    <cellStyle name="Total 2 5 3 4" xfId="27096" xr:uid="{00000000-0005-0000-0000-00001D660000}"/>
    <cellStyle name="Total 2 5 4" xfId="13584" xr:uid="{00000000-0005-0000-0000-00001E660000}"/>
    <cellStyle name="Total 2 5 5" xfId="22556" xr:uid="{00000000-0005-0000-0000-00001F660000}"/>
    <cellStyle name="Total 2 5 6" xfId="22959" xr:uid="{00000000-0005-0000-0000-000020660000}"/>
    <cellStyle name="Total 2 6" xfId="4933" xr:uid="{00000000-0005-0000-0000-000021660000}"/>
    <cellStyle name="Total 2 6 2" xfId="9884" xr:uid="{00000000-0005-0000-0000-000022660000}"/>
    <cellStyle name="Total 2 6 2 2" xfId="20781" xr:uid="{00000000-0005-0000-0000-000023660000}"/>
    <cellStyle name="Total 2 6 2 3" xfId="24911" xr:uid="{00000000-0005-0000-0000-000024660000}"/>
    <cellStyle name="Total 2 6 2 4" xfId="26428" xr:uid="{00000000-0005-0000-0000-000025660000}"/>
    <cellStyle name="Total 2 6 3" xfId="10879" xr:uid="{00000000-0005-0000-0000-000026660000}"/>
    <cellStyle name="Total 2 6 3 2" xfId="21776" xr:uid="{00000000-0005-0000-0000-000027660000}"/>
    <cellStyle name="Total 2 6 3 3" xfId="25906" xr:uid="{00000000-0005-0000-0000-000028660000}"/>
    <cellStyle name="Total 2 6 3 4" xfId="27423" xr:uid="{00000000-0005-0000-0000-000029660000}"/>
    <cellStyle name="Total 2 6 4" xfId="15830" xr:uid="{00000000-0005-0000-0000-00002A660000}"/>
    <cellStyle name="Total 2 6 5" xfId="23222" xr:uid="{00000000-0005-0000-0000-00002B660000}"/>
    <cellStyle name="Total 2 6 6" xfId="22115" xr:uid="{00000000-0005-0000-0000-00002C660000}"/>
    <cellStyle name="Total 2 7" xfId="5326" xr:uid="{00000000-0005-0000-0000-00002D660000}"/>
    <cellStyle name="Total 2 7 2" xfId="16223" xr:uid="{00000000-0005-0000-0000-00002E660000}"/>
    <cellStyle name="Total 2 7 3" xfId="23576" xr:uid="{00000000-0005-0000-0000-00002F660000}"/>
    <cellStyle name="Total 2 7 4" xfId="22148" xr:uid="{00000000-0005-0000-0000-000030660000}"/>
    <cellStyle name="Total 2 8" xfId="10211" xr:uid="{00000000-0005-0000-0000-000031660000}"/>
    <cellStyle name="Total 2 8 2" xfId="21108" xr:uid="{00000000-0005-0000-0000-000032660000}"/>
    <cellStyle name="Total 2 8 3" xfId="25238" xr:uid="{00000000-0005-0000-0000-000033660000}"/>
    <cellStyle name="Total 2 8 4" xfId="26755" xr:uid="{00000000-0005-0000-0000-000034660000}"/>
    <cellStyle name="Total 2 9" xfId="11329" xr:uid="{00000000-0005-0000-0000-000035660000}"/>
    <cellStyle name="Total 3" xfId="359" xr:uid="{00000000-0005-0000-0000-000036660000}"/>
    <cellStyle name="Total 3 10" xfId="22594" xr:uid="{00000000-0005-0000-0000-000037660000}"/>
    <cellStyle name="Total 3 2" xfId="463" xr:uid="{00000000-0005-0000-0000-000038660000}"/>
    <cellStyle name="Total 3 2 10" xfId="24894" xr:uid="{00000000-0005-0000-0000-000039660000}"/>
    <cellStyle name="Total 3 2 2" xfId="728" xr:uid="{00000000-0005-0000-0000-00003A660000}"/>
    <cellStyle name="Total 3 2 2 2" xfId="1260" xr:uid="{00000000-0005-0000-0000-00003B660000}"/>
    <cellStyle name="Total 3 2 2 2 2" xfId="2417" xr:uid="{00000000-0005-0000-0000-00003C660000}"/>
    <cellStyle name="Total 3 2 2 2 2 2" xfId="4729" xr:uid="{00000000-0005-0000-0000-00003D660000}"/>
    <cellStyle name="Total 3 2 2 2 2 2 2" xfId="9680" xr:uid="{00000000-0005-0000-0000-00003E660000}"/>
    <cellStyle name="Total 3 2 2 2 2 2 2 2" xfId="20577" xr:uid="{00000000-0005-0000-0000-00003F660000}"/>
    <cellStyle name="Total 3 2 2 2 2 2 2 3" xfId="24833" xr:uid="{00000000-0005-0000-0000-000040660000}"/>
    <cellStyle name="Total 3 2 2 2 2 2 2 4" xfId="26397" xr:uid="{00000000-0005-0000-0000-000041660000}"/>
    <cellStyle name="Total 3 2 2 2 2 2 3" xfId="10848" xr:uid="{00000000-0005-0000-0000-000042660000}"/>
    <cellStyle name="Total 3 2 2 2 2 2 3 2" xfId="21745" xr:uid="{00000000-0005-0000-0000-000043660000}"/>
    <cellStyle name="Total 3 2 2 2 2 2 3 3" xfId="25875" xr:uid="{00000000-0005-0000-0000-000044660000}"/>
    <cellStyle name="Total 3 2 2 2 2 2 3 4" xfId="27392" xr:uid="{00000000-0005-0000-0000-000045660000}"/>
    <cellStyle name="Total 3 2 2 2 2 2 4" xfId="15626" xr:uid="{00000000-0005-0000-0000-000046660000}"/>
    <cellStyle name="Total 3 2 2 2 2 2 5" xfId="23146" xr:uid="{00000000-0005-0000-0000-000047660000}"/>
    <cellStyle name="Total 3 2 2 2 2 2 6" xfId="22561" xr:uid="{00000000-0005-0000-0000-000048660000}"/>
    <cellStyle name="Total 3 2 2 2 2 3" xfId="5228" xr:uid="{00000000-0005-0000-0000-000049660000}"/>
    <cellStyle name="Total 3 2 2 2 2 3 2" xfId="10179" xr:uid="{00000000-0005-0000-0000-00004A660000}"/>
    <cellStyle name="Total 3 2 2 2 2 3 2 2" xfId="21076" xr:uid="{00000000-0005-0000-0000-00004B660000}"/>
    <cellStyle name="Total 3 2 2 2 2 3 2 3" xfId="25206" xr:uid="{00000000-0005-0000-0000-00004C660000}"/>
    <cellStyle name="Total 3 2 2 2 2 3 2 4" xfId="26723" xr:uid="{00000000-0005-0000-0000-00004D660000}"/>
    <cellStyle name="Total 3 2 2 2 2 3 3" xfId="11174" xr:uid="{00000000-0005-0000-0000-00004E660000}"/>
    <cellStyle name="Total 3 2 2 2 2 3 3 2" xfId="22071" xr:uid="{00000000-0005-0000-0000-00004F660000}"/>
    <cellStyle name="Total 3 2 2 2 2 3 3 3" xfId="26201" xr:uid="{00000000-0005-0000-0000-000050660000}"/>
    <cellStyle name="Total 3 2 2 2 2 3 3 4" xfId="27718" xr:uid="{00000000-0005-0000-0000-000051660000}"/>
    <cellStyle name="Total 3 2 2 2 2 3 4" xfId="16125" xr:uid="{00000000-0005-0000-0000-000052660000}"/>
    <cellStyle name="Total 3 2 2 2 2 3 5" xfId="23517" xr:uid="{00000000-0005-0000-0000-000053660000}"/>
    <cellStyle name="Total 3 2 2 2 2 3 6" xfId="23585" xr:uid="{00000000-0005-0000-0000-000054660000}"/>
    <cellStyle name="Total 3 2 2 2 2 4" xfId="7368" xr:uid="{00000000-0005-0000-0000-000055660000}"/>
    <cellStyle name="Total 3 2 2 2 2 4 2" xfId="18265" xr:uid="{00000000-0005-0000-0000-000056660000}"/>
    <cellStyle name="Total 3 2 2 2 2 4 3" xfId="24157" xr:uid="{00000000-0005-0000-0000-000057660000}"/>
    <cellStyle name="Total 3 2 2 2 2 4 4" xfId="23747" xr:uid="{00000000-0005-0000-0000-000058660000}"/>
    <cellStyle name="Total 3 2 2 2 2 5" xfId="10506" xr:uid="{00000000-0005-0000-0000-000059660000}"/>
    <cellStyle name="Total 3 2 2 2 2 5 2" xfId="21403" xr:uid="{00000000-0005-0000-0000-00005A660000}"/>
    <cellStyle name="Total 3 2 2 2 2 5 3" xfId="25533" xr:uid="{00000000-0005-0000-0000-00005B660000}"/>
    <cellStyle name="Total 3 2 2 2 2 5 4" xfId="27050" xr:uid="{00000000-0005-0000-0000-00005C660000}"/>
    <cellStyle name="Total 3 2 2 2 2 6" xfId="13328" xr:uid="{00000000-0005-0000-0000-00005D660000}"/>
    <cellStyle name="Total 3 2 2 2 2 7" xfId="24795" xr:uid="{00000000-0005-0000-0000-00005E660000}"/>
    <cellStyle name="Total 3 2 2 2 3" xfId="3584" xr:uid="{00000000-0005-0000-0000-00005F660000}"/>
    <cellStyle name="Total 3 2 2 2 3 2" xfId="8535" xr:uid="{00000000-0005-0000-0000-000060660000}"/>
    <cellStyle name="Total 3 2 2 2 3 2 2" xfId="19432" xr:uid="{00000000-0005-0000-0000-000061660000}"/>
    <cellStyle name="Total 3 2 2 2 3 2 3" xfId="24508" xr:uid="{00000000-0005-0000-0000-000062660000}"/>
    <cellStyle name="Total 3 2 2 2 3 2 4" xfId="26237" xr:uid="{00000000-0005-0000-0000-000063660000}"/>
    <cellStyle name="Total 3 2 2 2 3 3" xfId="10688" xr:uid="{00000000-0005-0000-0000-000064660000}"/>
    <cellStyle name="Total 3 2 2 2 3 3 2" xfId="21585" xr:uid="{00000000-0005-0000-0000-000065660000}"/>
    <cellStyle name="Total 3 2 2 2 3 3 3" xfId="25715" xr:uid="{00000000-0005-0000-0000-000066660000}"/>
    <cellStyle name="Total 3 2 2 2 3 3 4" xfId="27232" xr:uid="{00000000-0005-0000-0000-000067660000}"/>
    <cellStyle name="Total 3 2 2 2 3 4" xfId="14481" xr:uid="{00000000-0005-0000-0000-000068660000}"/>
    <cellStyle name="Total 3 2 2 2 3 5" xfId="22818" xr:uid="{00000000-0005-0000-0000-000069660000}"/>
    <cellStyle name="Total 3 2 2 2 3 6" xfId="22327" xr:uid="{00000000-0005-0000-0000-00006A660000}"/>
    <cellStyle name="Total 3 2 2 2 4" xfId="5069" xr:uid="{00000000-0005-0000-0000-00006B660000}"/>
    <cellStyle name="Total 3 2 2 2 4 2" xfId="10020" xr:uid="{00000000-0005-0000-0000-00006C660000}"/>
    <cellStyle name="Total 3 2 2 2 4 2 2" xfId="20917" xr:uid="{00000000-0005-0000-0000-00006D660000}"/>
    <cellStyle name="Total 3 2 2 2 4 2 3" xfId="25047" xr:uid="{00000000-0005-0000-0000-00006E660000}"/>
    <cellStyle name="Total 3 2 2 2 4 2 4" xfId="26564" xr:uid="{00000000-0005-0000-0000-00006F660000}"/>
    <cellStyle name="Total 3 2 2 2 4 3" xfId="11015" xr:uid="{00000000-0005-0000-0000-000070660000}"/>
    <cellStyle name="Total 3 2 2 2 4 3 2" xfId="21912" xr:uid="{00000000-0005-0000-0000-000071660000}"/>
    <cellStyle name="Total 3 2 2 2 4 3 3" xfId="26042" xr:uid="{00000000-0005-0000-0000-000072660000}"/>
    <cellStyle name="Total 3 2 2 2 4 3 4" xfId="27559" xr:uid="{00000000-0005-0000-0000-000073660000}"/>
    <cellStyle name="Total 3 2 2 2 4 4" xfId="15966" xr:uid="{00000000-0005-0000-0000-000074660000}"/>
    <cellStyle name="Total 3 2 2 2 4 5" xfId="23358" xr:uid="{00000000-0005-0000-0000-000075660000}"/>
    <cellStyle name="Total 3 2 2 2 4 6" xfId="23963" xr:uid="{00000000-0005-0000-0000-000076660000}"/>
    <cellStyle name="Total 3 2 2 2 5" xfId="6223" xr:uid="{00000000-0005-0000-0000-000077660000}"/>
    <cellStyle name="Total 3 2 2 2 5 2" xfId="17120" xr:uid="{00000000-0005-0000-0000-000078660000}"/>
    <cellStyle name="Total 3 2 2 2 5 3" xfId="23833" xr:uid="{00000000-0005-0000-0000-000079660000}"/>
    <cellStyle name="Total 3 2 2 2 5 4" xfId="11211" xr:uid="{00000000-0005-0000-0000-00007A660000}"/>
    <cellStyle name="Total 3 2 2 2 6" xfId="10347" xr:uid="{00000000-0005-0000-0000-00007B660000}"/>
    <cellStyle name="Total 3 2 2 2 6 2" xfId="21244" xr:uid="{00000000-0005-0000-0000-00007C660000}"/>
    <cellStyle name="Total 3 2 2 2 6 3" xfId="25374" xr:uid="{00000000-0005-0000-0000-00007D660000}"/>
    <cellStyle name="Total 3 2 2 2 6 4" xfId="26891" xr:uid="{00000000-0005-0000-0000-00007E660000}"/>
    <cellStyle name="Total 3 2 2 2 7" xfId="12210" xr:uid="{00000000-0005-0000-0000-00007F660000}"/>
    <cellStyle name="Total 3 2 2 2 8" xfId="24138" xr:uid="{00000000-0005-0000-0000-000080660000}"/>
    <cellStyle name="Total 3 2 2 3" xfId="1410" xr:uid="{00000000-0005-0000-0000-000081660000}"/>
    <cellStyle name="Total 3 2 2 3 2" xfId="3734" xr:uid="{00000000-0005-0000-0000-000082660000}"/>
    <cellStyle name="Total 3 2 2 3 2 2" xfId="8685" xr:uid="{00000000-0005-0000-0000-000083660000}"/>
    <cellStyle name="Total 3 2 2 3 2 2 2" xfId="19582" xr:uid="{00000000-0005-0000-0000-000084660000}"/>
    <cellStyle name="Total 3 2 2 3 2 2 3" xfId="24579" xr:uid="{00000000-0005-0000-0000-000085660000}"/>
    <cellStyle name="Total 3 2 2 3 2 2 4" xfId="26297" xr:uid="{00000000-0005-0000-0000-000086660000}"/>
    <cellStyle name="Total 3 2 2 3 2 3" xfId="10748" xr:uid="{00000000-0005-0000-0000-000087660000}"/>
    <cellStyle name="Total 3 2 2 3 2 3 2" xfId="21645" xr:uid="{00000000-0005-0000-0000-000088660000}"/>
    <cellStyle name="Total 3 2 2 3 2 3 3" xfId="25775" xr:uid="{00000000-0005-0000-0000-000089660000}"/>
    <cellStyle name="Total 3 2 2 3 2 3 4" xfId="27292" xr:uid="{00000000-0005-0000-0000-00008A660000}"/>
    <cellStyle name="Total 3 2 2 3 2 4" xfId="14631" xr:uid="{00000000-0005-0000-0000-00008B660000}"/>
    <cellStyle name="Total 3 2 2 3 2 5" xfId="22891" xr:uid="{00000000-0005-0000-0000-00008C660000}"/>
    <cellStyle name="Total 3 2 2 3 2 6" xfId="22455" xr:uid="{00000000-0005-0000-0000-00008D660000}"/>
    <cellStyle name="Total 3 2 2 3 3" xfId="5129" xr:uid="{00000000-0005-0000-0000-00008E660000}"/>
    <cellStyle name="Total 3 2 2 3 3 2" xfId="10080" xr:uid="{00000000-0005-0000-0000-00008F660000}"/>
    <cellStyle name="Total 3 2 2 3 3 2 2" xfId="20977" xr:uid="{00000000-0005-0000-0000-000090660000}"/>
    <cellStyle name="Total 3 2 2 3 3 2 3" xfId="25107" xr:uid="{00000000-0005-0000-0000-000091660000}"/>
    <cellStyle name="Total 3 2 2 3 3 2 4" xfId="26624" xr:uid="{00000000-0005-0000-0000-000092660000}"/>
    <cellStyle name="Total 3 2 2 3 3 3" xfId="11075" xr:uid="{00000000-0005-0000-0000-000093660000}"/>
    <cellStyle name="Total 3 2 2 3 3 3 2" xfId="21972" xr:uid="{00000000-0005-0000-0000-000094660000}"/>
    <cellStyle name="Total 3 2 2 3 3 3 3" xfId="26102" xr:uid="{00000000-0005-0000-0000-000095660000}"/>
    <cellStyle name="Total 3 2 2 3 3 3 4" xfId="27619" xr:uid="{00000000-0005-0000-0000-000096660000}"/>
    <cellStyle name="Total 3 2 2 3 3 4" xfId="16026" xr:uid="{00000000-0005-0000-0000-000097660000}"/>
    <cellStyle name="Total 3 2 2 3 3 5" xfId="23418" xr:uid="{00000000-0005-0000-0000-000098660000}"/>
    <cellStyle name="Total 3 2 2 3 3 6" xfId="22099" xr:uid="{00000000-0005-0000-0000-000099660000}"/>
    <cellStyle name="Total 3 2 2 3 4" xfId="6373" xr:uid="{00000000-0005-0000-0000-00009A660000}"/>
    <cellStyle name="Total 3 2 2 3 4 2" xfId="17270" xr:uid="{00000000-0005-0000-0000-00009B660000}"/>
    <cellStyle name="Total 3 2 2 3 4 3" xfId="23904" xr:uid="{00000000-0005-0000-0000-00009C660000}"/>
    <cellStyle name="Total 3 2 2 3 4 4" xfId="24061" xr:uid="{00000000-0005-0000-0000-00009D660000}"/>
    <cellStyle name="Total 3 2 2 3 5" xfId="10407" xr:uid="{00000000-0005-0000-0000-00009E660000}"/>
    <cellStyle name="Total 3 2 2 3 5 2" xfId="21304" xr:uid="{00000000-0005-0000-0000-00009F660000}"/>
    <cellStyle name="Total 3 2 2 3 5 3" xfId="25434" xr:uid="{00000000-0005-0000-0000-0000A0660000}"/>
    <cellStyle name="Total 3 2 2 3 5 4" xfId="26951" xr:uid="{00000000-0005-0000-0000-0000A1660000}"/>
    <cellStyle name="Total 3 2 2 3 6" xfId="12350" xr:uid="{00000000-0005-0000-0000-0000A2660000}"/>
    <cellStyle name="Total 3 2 2 3 7" xfId="22421" xr:uid="{00000000-0005-0000-0000-0000A3660000}"/>
    <cellStyle name="Total 3 2 2 4" xfId="3052" xr:uid="{00000000-0005-0000-0000-0000A4660000}"/>
    <cellStyle name="Total 3 2 2 4 2" xfId="8003" xr:uid="{00000000-0005-0000-0000-0000A5660000}"/>
    <cellStyle name="Total 3 2 2 4 2 2" xfId="18900" xr:uid="{00000000-0005-0000-0000-0000A6660000}"/>
    <cellStyle name="Total 3 2 2 4 2 3" xfId="24352" xr:uid="{00000000-0005-0000-0000-0000A7660000}"/>
    <cellStyle name="Total 3 2 2 4 2 4" xfId="24308" xr:uid="{00000000-0005-0000-0000-0000A8660000}"/>
    <cellStyle name="Total 3 2 2 4 3" xfId="10608" xr:uid="{00000000-0005-0000-0000-0000A9660000}"/>
    <cellStyle name="Total 3 2 2 4 3 2" xfId="21505" xr:uid="{00000000-0005-0000-0000-0000AA660000}"/>
    <cellStyle name="Total 3 2 2 4 3 3" xfId="25635" xr:uid="{00000000-0005-0000-0000-0000AB660000}"/>
    <cellStyle name="Total 3 2 2 4 3 4" xfId="27152" xr:uid="{00000000-0005-0000-0000-0000AC660000}"/>
    <cellStyle name="Total 3 2 2 4 4" xfId="13949" xr:uid="{00000000-0005-0000-0000-0000AD660000}"/>
    <cellStyle name="Total 3 2 2 4 5" xfId="22656" xr:uid="{00000000-0005-0000-0000-0000AE660000}"/>
    <cellStyle name="Total 3 2 2 4 6" xfId="22622" xr:uid="{00000000-0005-0000-0000-0000AF660000}"/>
    <cellStyle name="Total 3 2 2 5" xfId="4989" xr:uid="{00000000-0005-0000-0000-0000B0660000}"/>
    <cellStyle name="Total 3 2 2 5 2" xfId="9940" xr:uid="{00000000-0005-0000-0000-0000B1660000}"/>
    <cellStyle name="Total 3 2 2 5 2 2" xfId="20837" xr:uid="{00000000-0005-0000-0000-0000B2660000}"/>
    <cellStyle name="Total 3 2 2 5 2 3" xfId="24967" xr:uid="{00000000-0005-0000-0000-0000B3660000}"/>
    <cellStyle name="Total 3 2 2 5 2 4" xfId="26484" xr:uid="{00000000-0005-0000-0000-0000B4660000}"/>
    <cellStyle name="Total 3 2 2 5 3" xfId="10935" xr:uid="{00000000-0005-0000-0000-0000B5660000}"/>
    <cellStyle name="Total 3 2 2 5 3 2" xfId="21832" xr:uid="{00000000-0005-0000-0000-0000B6660000}"/>
    <cellStyle name="Total 3 2 2 5 3 3" xfId="25962" xr:uid="{00000000-0005-0000-0000-0000B7660000}"/>
    <cellStyle name="Total 3 2 2 5 3 4" xfId="27479" xr:uid="{00000000-0005-0000-0000-0000B8660000}"/>
    <cellStyle name="Total 3 2 2 5 4" xfId="15886" xr:uid="{00000000-0005-0000-0000-0000B9660000}"/>
    <cellStyle name="Total 3 2 2 5 5" xfId="23278" xr:uid="{00000000-0005-0000-0000-0000BA660000}"/>
    <cellStyle name="Total 3 2 2 5 6" xfId="24506" xr:uid="{00000000-0005-0000-0000-0000BB660000}"/>
    <cellStyle name="Total 3 2 2 6" xfId="5691" xr:uid="{00000000-0005-0000-0000-0000BC660000}"/>
    <cellStyle name="Total 3 2 2 6 2" xfId="16588" xr:uid="{00000000-0005-0000-0000-0000BD660000}"/>
    <cellStyle name="Total 3 2 2 6 3" xfId="23676" xr:uid="{00000000-0005-0000-0000-0000BE660000}"/>
    <cellStyle name="Total 3 2 2 6 4" xfId="22281" xr:uid="{00000000-0005-0000-0000-0000BF660000}"/>
    <cellStyle name="Total 3 2 2 7" xfId="10267" xr:uid="{00000000-0005-0000-0000-0000C0660000}"/>
    <cellStyle name="Total 3 2 2 7 2" xfId="21164" xr:uid="{00000000-0005-0000-0000-0000C1660000}"/>
    <cellStyle name="Total 3 2 2 7 3" xfId="25294" xr:uid="{00000000-0005-0000-0000-0000C2660000}"/>
    <cellStyle name="Total 3 2 2 7 4" xfId="26811" xr:uid="{00000000-0005-0000-0000-0000C3660000}"/>
    <cellStyle name="Total 3 2 2 8" xfId="11689" xr:uid="{00000000-0005-0000-0000-0000C4660000}"/>
    <cellStyle name="Total 3 2 2 9" xfId="23125" xr:uid="{00000000-0005-0000-0000-0000C5660000}"/>
    <cellStyle name="Total 3 2 3" xfId="995" xr:uid="{00000000-0005-0000-0000-0000C6660000}"/>
    <cellStyle name="Total 3 2 3 2" xfId="2152" xr:uid="{00000000-0005-0000-0000-0000C7660000}"/>
    <cellStyle name="Total 3 2 3 2 2" xfId="4464" xr:uid="{00000000-0005-0000-0000-0000C8660000}"/>
    <cellStyle name="Total 3 2 3 2 2 2" xfId="9415" xr:uid="{00000000-0005-0000-0000-0000C9660000}"/>
    <cellStyle name="Total 3 2 3 2 2 2 2" xfId="20312" xr:uid="{00000000-0005-0000-0000-0000CA660000}"/>
    <cellStyle name="Total 3 2 3 2 2 2 3" xfId="24758" xr:uid="{00000000-0005-0000-0000-0000CB660000}"/>
    <cellStyle name="Total 3 2 3 2 2 2 4" xfId="26357" xr:uid="{00000000-0005-0000-0000-0000CC660000}"/>
    <cellStyle name="Total 3 2 3 2 2 3" xfId="10808" xr:uid="{00000000-0005-0000-0000-0000CD660000}"/>
    <cellStyle name="Total 3 2 3 2 2 3 2" xfId="21705" xr:uid="{00000000-0005-0000-0000-0000CE660000}"/>
    <cellStyle name="Total 3 2 3 2 2 3 3" xfId="25835" xr:uid="{00000000-0005-0000-0000-0000CF660000}"/>
    <cellStyle name="Total 3 2 3 2 2 3 4" xfId="27352" xr:uid="{00000000-0005-0000-0000-0000D0660000}"/>
    <cellStyle name="Total 3 2 3 2 2 4" xfId="15361" xr:uid="{00000000-0005-0000-0000-0000D1660000}"/>
    <cellStyle name="Total 3 2 3 2 2 5" xfId="23069" xr:uid="{00000000-0005-0000-0000-0000D2660000}"/>
    <cellStyle name="Total 3 2 3 2 2 6" xfId="11236" xr:uid="{00000000-0005-0000-0000-0000D3660000}"/>
    <cellStyle name="Total 3 2 3 2 3" xfId="5188" xr:uid="{00000000-0005-0000-0000-0000D4660000}"/>
    <cellStyle name="Total 3 2 3 2 3 2" xfId="10139" xr:uid="{00000000-0005-0000-0000-0000D5660000}"/>
    <cellStyle name="Total 3 2 3 2 3 2 2" xfId="21036" xr:uid="{00000000-0005-0000-0000-0000D6660000}"/>
    <cellStyle name="Total 3 2 3 2 3 2 3" xfId="25166" xr:uid="{00000000-0005-0000-0000-0000D7660000}"/>
    <cellStyle name="Total 3 2 3 2 3 2 4" xfId="26683" xr:uid="{00000000-0005-0000-0000-0000D8660000}"/>
    <cellStyle name="Total 3 2 3 2 3 3" xfId="11134" xr:uid="{00000000-0005-0000-0000-0000D9660000}"/>
    <cellStyle name="Total 3 2 3 2 3 3 2" xfId="22031" xr:uid="{00000000-0005-0000-0000-0000DA660000}"/>
    <cellStyle name="Total 3 2 3 2 3 3 3" xfId="26161" xr:uid="{00000000-0005-0000-0000-0000DB660000}"/>
    <cellStyle name="Total 3 2 3 2 3 3 4" xfId="27678" xr:uid="{00000000-0005-0000-0000-0000DC660000}"/>
    <cellStyle name="Total 3 2 3 2 3 4" xfId="16085" xr:uid="{00000000-0005-0000-0000-0000DD660000}"/>
    <cellStyle name="Total 3 2 3 2 3 5" xfId="23477" xr:uid="{00000000-0005-0000-0000-0000DE660000}"/>
    <cellStyle name="Total 3 2 3 2 3 6" xfId="24099" xr:uid="{00000000-0005-0000-0000-0000DF660000}"/>
    <cellStyle name="Total 3 2 3 2 4" xfId="7103" xr:uid="{00000000-0005-0000-0000-0000E0660000}"/>
    <cellStyle name="Total 3 2 3 2 4 2" xfId="18000" xr:uid="{00000000-0005-0000-0000-0000E1660000}"/>
    <cellStyle name="Total 3 2 3 2 4 3" xfId="24081" xr:uid="{00000000-0005-0000-0000-0000E2660000}"/>
    <cellStyle name="Total 3 2 3 2 4 4" xfId="22210" xr:uid="{00000000-0005-0000-0000-0000E3660000}"/>
    <cellStyle name="Total 3 2 3 2 5" xfId="10466" xr:uid="{00000000-0005-0000-0000-0000E4660000}"/>
    <cellStyle name="Total 3 2 3 2 5 2" xfId="21363" xr:uid="{00000000-0005-0000-0000-0000E5660000}"/>
    <cellStyle name="Total 3 2 3 2 5 3" xfId="25493" xr:uid="{00000000-0005-0000-0000-0000E6660000}"/>
    <cellStyle name="Total 3 2 3 2 5 4" xfId="27010" xr:uid="{00000000-0005-0000-0000-0000E7660000}"/>
    <cellStyle name="Total 3 2 3 2 6" xfId="13069" xr:uid="{00000000-0005-0000-0000-0000E8660000}"/>
    <cellStyle name="Total 3 2 3 2 7" xfId="23992" xr:uid="{00000000-0005-0000-0000-0000E9660000}"/>
    <cellStyle name="Total 3 2 3 3" xfId="3319" xr:uid="{00000000-0005-0000-0000-0000EA660000}"/>
    <cellStyle name="Total 3 2 3 3 2" xfId="8270" xr:uid="{00000000-0005-0000-0000-0000EB660000}"/>
    <cellStyle name="Total 3 2 3 3 2 2" xfId="19167" xr:uid="{00000000-0005-0000-0000-0000EC660000}"/>
    <cellStyle name="Total 3 2 3 3 2 3" xfId="24432" xr:uid="{00000000-0005-0000-0000-0000ED660000}"/>
    <cellStyle name="Total 3 2 3 3 2 4" xfId="22189" xr:uid="{00000000-0005-0000-0000-0000EE660000}"/>
    <cellStyle name="Total 3 2 3 3 3" xfId="10648" xr:uid="{00000000-0005-0000-0000-0000EF660000}"/>
    <cellStyle name="Total 3 2 3 3 3 2" xfId="21545" xr:uid="{00000000-0005-0000-0000-0000F0660000}"/>
    <cellStyle name="Total 3 2 3 3 3 3" xfId="25675" xr:uid="{00000000-0005-0000-0000-0000F1660000}"/>
    <cellStyle name="Total 3 2 3 3 3 4" xfId="27192" xr:uid="{00000000-0005-0000-0000-0000F2660000}"/>
    <cellStyle name="Total 3 2 3 3 4" xfId="14216" xr:uid="{00000000-0005-0000-0000-0000F3660000}"/>
    <cellStyle name="Total 3 2 3 3 5" xfId="22739" xr:uid="{00000000-0005-0000-0000-0000F4660000}"/>
    <cellStyle name="Total 3 2 3 3 6" xfId="22432" xr:uid="{00000000-0005-0000-0000-0000F5660000}"/>
    <cellStyle name="Total 3 2 3 4" xfId="5029" xr:uid="{00000000-0005-0000-0000-0000F6660000}"/>
    <cellStyle name="Total 3 2 3 4 2" xfId="9980" xr:uid="{00000000-0005-0000-0000-0000F7660000}"/>
    <cellStyle name="Total 3 2 3 4 2 2" xfId="20877" xr:uid="{00000000-0005-0000-0000-0000F8660000}"/>
    <cellStyle name="Total 3 2 3 4 2 3" xfId="25007" xr:uid="{00000000-0005-0000-0000-0000F9660000}"/>
    <cellStyle name="Total 3 2 3 4 2 4" xfId="26524" xr:uid="{00000000-0005-0000-0000-0000FA660000}"/>
    <cellStyle name="Total 3 2 3 4 3" xfId="10975" xr:uid="{00000000-0005-0000-0000-0000FB660000}"/>
    <cellStyle name="Total 3 2 3 4 3 2" xfId="21872" xr:uid="{00000000-0005-0000-0000-0000FC660000}"/>
    <cellStyle name="Total 3 2 3 4 3 3" xfId="26002" xr:uid="{00000000-0005-0000-0000-0000FD660000}"/>
    <cellStyle name="Total 3 2 3 4 3 4" xfId="27519" xr:uid="{00000000-0005-0000-0000-0000FE660000}"/>
    <cellStyle name="Total 3 2 3 4 4" xfId="15926" xr:uid="{00000000-0005-0000-0000-0000FF660000}"/>
    <cellStyle name="Total 3 2 3 4 5" xfId="23318" xr:uid="{00000000-0005-0000-0000-000000670000}"/>
    <cellStyle name="Total 3 2 3 4 6" xfId="23615" xr:uid="{00000000-0005-0000-0000-000001670000}"/>
    <cellStyle name="Total 3 2 3 5" xfId="5958" xr:uid="{00000000-0005-0000-0000-000002670000}"/>
    <cellStyle name="Total 3 2 3 5 2" xfId="16855" xr:uid="{00000000-0005-0000-0000-000003670000}"/>
    <cellStyle name="Total 3 2 3 5 3" xfId="23755" xr:uid="{00000000-0005-0000-0000-000004670000}"/>
    <cellStyle name="Total 3 2 3 5 4" xfId="22929" xr:uid="{00000000-0005-0000-0000-000005670000}"/>
    <cellStyle name="Total 3 2 3 6" xfId="10307" xr:uid="{00000000-0005-0000-0000-000006670000}"/>
    <cellStyle name="Total 3 2 3 6 2" xfId="21204" xr:uid="{00000000-0005-0000-0000-000007670000}"/>
    <cellStyle name="Total 3 2 3 6 3" xfId="25334" xr:uid="{00000000-0005-0000-0000-000008670000}"/>
    <cellStyle name="Total 3 2 3 6 4" xfId="26851" xr:uid="{00000000-0005-0000-0000-000009670000}"/>
    <cellStyle name="Total 3 2 3 7" xfId="11951" xr:uid="{00000000-0005-0000-0000-00000A670000}"/>
    <cellStyle name="Total 3 2 3 8" xfId="22232" xr:uid="{00000000-0005-0000-0000-00000B670000}"/>
    <cellStyle name="Total 3 2 4" xfId="1370" xr:uid="{00000000-0005-0000-0000-00000C670000}"/>
    <cellStyle name="Total 3 2 4 2" xfId="3694" xr:uid="{00000000-0005-0000-0000-00000D670000}"/>
    <cellStyle name="Total 3 2 4 2 2" xfId="8645" xr:uid="{00000000-0005-0000-0000-00000E670000}"/>
    <cellStyle name="Total 3 2 4 2 2 2" xfId="19542" xr:uid="{00000000-0005-0000-0000-00000F670000}"/>
    <cellStyle name="Total 3 2 4 2 2 3" xfId="24539" xr:uid="{00000000-0005-0000-0000-000010670000}"/>
    <cellStyle name="Total 3 2 4 2 2 4" xfId="26257" xr:uid="{00000000-0005-0000-0000-000011670000}"/>
    <cellStyle name="Total 3 2 4 2 3" xfId="10708" xr:uid="{00000000-0005-0000-0000-000012670000}"/>
    <cellStyle name="Total 3 2 4 2 3 2" xfId="21605" xr:uid="{00000000-0005-0000-0000-000013670000}"/>
    <cellStyle name="Total 3 2 4 2 3 3" xfId="25735" xr:uid="{00000000-0005-0000-0000-000014670000}"/>
    <cellStyle name="Total 3 2 4 2 3 4" xfId="27252" xr:uid="{00000000-0005-0000-0000-000015670000}"/>
    <cellStyle name="Total 3 2 4 2 4" xfId="14591" xr:uid="{00000000-0005-0000-0000-000016670000}"/>
    <cellStyle name="Total 3 2 4 2 5" xfId="22851" xr:uid="{00000000-0005-0000-0000-000017670000}"/>
    <cellStyle name="Total 3 2 4 2 6" xfId="24667" xr:uid="{00000000-0005-0000-0000-000018670000}"/>
    <cellStyle name="Total 3 2 4 3" xfId="5089" xr:uid="{00000000-0005-0000-0000-000019670000}"/>
    <cellStyle name="Total 3 2 4 3 2" xfId="10040" xr:uid="{00000000-0005-0000-0000-00001A670000}"/>
    <cellStyle name="Total 3 2 4 3 2 2" xfId="20937" xr:uid="{00000000-0005-0000-0000-00001B670000}"/>
    <cellStyle name="Total 3 2 4 3 2 3" xfId="25067" xr:uid="{00000000-0005-0000-0000-00001C670000}"/>
    <cellStyle name="Total 3 2 4 3 2 4" xfId="26584" xr:uid="{00000000-0005-0000-0000-00001D670000}"/>
    <cellStyle name="Total 3 2 4 3 3" xfId="11035" xr:uid="{00000000-0005-0000-0000-00001E670000}"/>
    <cellStyle name="Total 3 2 4 3 3 2" xfId="21932" xr:uid="{00000000-0005-0000-0000-00001F670000}"/>
    <cellStyle name="Total 3 2 4 3 3 3" xfId="26062" xr:uid="{00000000-0005-0000-0000-000020670000}"/>
    <cellStyle name="Total 3 2 4 3 3 4" xfId="27579" xr:uid="{00000000-0005-0000-0000-000021670000}"/>
    <cellStyle name="Total 3 2 4 3 4" xfId="15986" xr:uid="{00000000-0005-0000-0000-000022670000}"/>
    <cellStyle name="Total 3 2 4 3 5" xfId="23378" xr:uid="{00000000-0005-0000-0000-000023670000}"/>
    <cellStyle name="Total 3 2 4 3 6" xfId="24491" xr:uid="{00000000-0005-0000-0000-000024670000}"/>
    <cellStyle name="Total 3 2 4 4" xfId="6333" xr:uid="{00000000-0005-0000-0000-000025670000}"/>
    <cellStyle name="Total 3 2 4 4 2" xfId="17230" xr:uid="{00000000-0005-0000-0000-000026670000}"/>
    <cellStyle name="Total 3 2 4 4 3" xfId="23864" xr:uid="{00000000-0005-0000-0000-000027670000}"/>
    <cellStyle name="Total 3 2 4 4 4" xfId="22908" xr:uid="{00000000-0005-0000-0000-000028670000}"/>
    <cellStyle name="Total 3 2 4 5" xfId="10367" xr:uid="{00000000-0005-0000-0000-000029670000}"/>
    <cellStyle name="Total 3 2 4 5 2" xfId="21264" xr:uid="{00000000-0005-0000-0000-00002A670000}"/>
    <cellStyle name="Total 3 2 4 5 3" xfId="25394" xr:uid="{00000000-0005-0000-0000-00002B670000}"/>
    <cellStyle name="Total 3 2 4 5 4" xfId="26911" xr:uid="{00000000-0005-0000-0000-00002C670000}"/>
    <cellStyle name="Total 3 2 4 6" xfId="12318" xr:uid="{00000000-0005-0000-0000-00002D670000}"/>
    <cellStyle name="Total 3 2 4 7" xfId="22271" xr:uid="{00000000-0005-0000-0000-00002E670000}"/>
    <cellStyle name="Total 3 2 5" xfId="2787" xr:uid="{00000000-0005-0000-0000-00002F670000}"/>
    <cellStyle name="Total 3 2 5 2" xfId="7738" xr:uid="{00000000-0005-0000-0000-000030670000}"/>
    <cellStyle name="Total 3 2 5 2 2" xfId="18635" xr:uid="{00000000-0005-0000-0000-000031670000}"/>
    <cellStyle name="Total 3 2 5 2 3" xfId="24285" xr:uid="{00000000-0005-0000-0000-000032670000}"/>
    <cellStyle name="Total 3 2 5 2 4" xfId="23704" xr:uid="{00000000-0005-0000-0000-000033670000}"/>
    <cellStyle name="Total 3 2 5 3" xfId="10568" xr:uid="{00000000-0005-0000-0000-000034670000}"/>
    <cellStyle name="Total 3 2 5 3 2" xfId="21465" xr:uid="{00000000-0005-0000-0000-000035670000}"/>
    <cellStyle name="Total 3 2 5 3 3" xfId="25595" xr:uid="{00000000-0005-0000-0000-000036670000}"/>
    <cellStyle name="Total 3 2 5 3 4" xfId="27112" xr:uid="{00000000-0005-0000-0000-000037670000}"/>
    <cellStyle name="Total 3 2 5 4" xfId="13684" xr:uid="{00000000-0005-0000-0000-000038670000}"/>
    <cellStyle name="Total 3 2 5 5" xfId="22586" xr:uid="{00000000-0005-0000-0000-000039670000}"/>
    <cellStyle name="Total 3 2 5 6" xfId="24394" xr:uid="{00000000-0005-0000-0000-00003A670000}"/>
    <cellStyle name="Total 3 2 6" xfId="4949" xr:uid="{00000000-0005-0000-0000-00003B670000}"/>
    <cellStyle name="Total 3 2 6 2" xfId="9900" xr:uid="{00000000-0005-0000-0000-00003C670000}"/>
    <cellStyle name="Total 3 2 6 2 2" xfId="20797" xr:uid="{00000000-0005-0000-0000-00003D670000}"/>
    <cellStyle name="Total 3 2 6 2 3" xfId="24927" xr:uid="{00000000-0005-0000-0000-00003E670000}"/>
    <cellStyle name="Total 3 2 6 2 4" xfId="26444" xr:uid="{00000000-0005-0000-0000-00003F670000}"/>
    <cellStyle name="Total 3 2 6 3" xfId="10895" xr:uid="{00000000-0005-0000-0000-000040670000}"/>
    <cellStyle name="Total 3 2 6 3 2" xfId="21792" xr:uid="{00000000-0005-0000-0000-000041670000}"/>
    <cellStyle name="Total 3 2 6 3 3" xfId="25922" xr:uid="{00000000-0005-0000-0000-000042670000}"/>
    <cellStyle name="Total 3 2 6 3 4" xfId="27439" xr:uid="{00000000-0005-0000-0000-000043670000}"/>
    <cellStyle name="Total 3 2 6 4" xfId="15846" xr:uid="{00000000-0005-0000-0000-000044670000}"/>
    <cellStyle name="Total 3 2 6 5" xfId="23238" xr:uid="{00000000-0005-0000-0000-000045670000}"/>
    <cellStyle name="Total 3 2 6 6" xfId="22176" xr:uid="{00000000-0005-0000-0000-000046670000}"/>
    <cellStyle name="Total 3 2 7" xfId="5426" xr:uid="{00000000-0005-0000-0000-000047670000}"/>
    <cellStyle name="Total 3 2 7 2" xfId="16323" xr:uid="{00000000-0005-0000-0000-000048670000}"/>
    <cellStyle name="Total 3 2 7 3" xfId="23604" xr:uid="{00000000-0005-0000-0000-000049670000}"/>
    <cellStyle name="Total 3 2 7 4" xfId="24111" xr:uid="{00000000-0005-0000-0000-00004A670000}"/>
    <cellStyle name="Total 3 2 8" xfId="10227" xr:uid="{00000000-0005-0000-0000-00004B670000}"/>
    <cellStyle name="Total 3 2 8 2" xfId="21124" xr:uid="{00000000-0005-0000-0000-00004C670000}"/>
    <cellStyle name="Total 3 2 8 3" xfId="25254" xr:uid="{00000000-0005-0000-0000-00004D670000}"/>
    <cellStyle name="Total 3 2 8 4" xfId="26771" xr:uid="{00000000-0005-0000-0000-00004E670000}"/>
    <cellStyle name="Total 3 2 9" xfId="11428" xr:uid="{00000000-0005-0000-0000-00004F670000}"/>
    <cellStyle name="Total 3 3" xfId="629" xr:uid="{00000000-0005-0000-0000-000050670000}"/>
    <cellStyle name="Total 3 3 2" xfId="1161" xr:uid="{00000000-0005-0000-0000-000051670000}"/>
    <cellStyle name="Total 3 3 2 2" xfId="2318" xr:uid="{00000000-0005-0000-0000-000052670000}"/>
    <cellStyle name="Total 3 3 2 2 2" xfId="4630" xr:uid="{00000000-0005-0000-0000-000053670000}"/>
    <cellStyle name="Total 3 3 2 2 2 2" xfId="9581" xr:uid="{00000000-0005-0000-0000-000054670000}"/>
    <cellStyle name="Total 3 3 2 2 2 2 2" xfId="20478" xr:uid="{00000000-0005-0000-0000-000055670000}"/>
    <cellStyle name="Total 3 3 2 2 2 2 3" xfId="24806" xr:uid="{00000000-0005-0000-0000-000056670000}"/>
    <cellStyle name="Total 3 3 2 2 2 2 4" xfId="26382" xr:uid="{00000000-0005-0000-0000-000057670000}"/>
    <cellStyle name="Total 3 3 2 2 2 3" xfId="10833" xr:uid="{00000000-0005-0000-0000-000058670000}"/>
    <cellStyle name="Total 3 3 2 2 2 3 2" xfId="21730" xr:uid="{00000000-0005-0000-0000-000059670000}"/>
    <cellStyle name="Total 3 3 2 2 2 3 3" xfId="25860" xr:uid="{00000000-0005-0000-0000-00005A670000}"/>
    <cellStyle name="Total 3 3 2 2 2 3 4" xfId="27377" xr:uid="{00000000-0005-0000-0000-00005B670000}"/>
    <cellStyle name="Total 3 3 2 2 2 4" xfId="15527" xr:uid="{00000000-0005-0000-0000-00005C670000}"/>
    <cellStyle name="Total 3 3 2 2 2 5" xfId="23119" xr:uid="{00000000-0005-0000-0000-00005D670000}"/>
    <cellStyle name="Total 3 3 2 2 2 6" xfId="23929" xr:uid="{00000000-0005-0000-0000-00005E670000}"/>
    <cellStyle name="Total 3 3 2 2 3" xfId="5213" xr:uid="{00000000-0005-0000-0000-00005F670000}"/>
    <cellStyle name="Total 3 3 2 2 3 2" xfId="10164" xr:uid="{00000000-0005-0000-0000-000060670000}"/>
    <cellStyle name="Total 3 3 2 2 3 2 2" xfId="21061" xr:uid="{00000000-0005-0000-0000-000061670000}"/>
    <cellStyle name="Total 3 3 2 2 3 2 3" xfId="25191" xr:uid="{00000000-0005-0000-0000-000062670000}"/>
    <cellStyle name="Total 3 3 2 2 3 2 4" xfId="26708" xr:uid="{00000000-0005-0000-0000-000063670000}"/>
    <cellStyle name="Total 3 3 2 2 3 3" xfId="11159" xr:uid="{00000000-0005-0000-0000-000064670000}"/>
    <cellStyle name="Total 3 3 2 2 3 3 2" xfId="22056" xr:uid="{00000000-0005-0000-0000-000065670000}"/>
    <cellStyle name="Total 3 3 2 2 3 3 3" xfId="26186" xr:uid="{00000000-0005-0000-0000-000066670000}"/>
    <cellStyle name="Total 3 3 2 2 3 3 4" xfId="27703" xr:uid="{00000000-0005-0000-0000-000067670000}"/>
    <cellStyle name="Total 3 3 2 2 3 4" xfId="16110" xr:uid="{00000000-0005-0000-0000-000068670000}"/>
    <cellStyle name="Total 3 3 2 2 3 5" xfId="23502" xr:uid="{00000000-0005-0000-0000-000069670000}"/>
    <cellStyle name="Total 3 3 2 2 3 6" xfId="24608" xr:uid="{00000000-0005-0000-0000-00006A670000}"/>
    <cellStyle name="Total 3 3 2 2 4" xfId="7269" xr:uid="{00000000-0005-0000-0000-00006B670000}"/>
    <cellStyle name="Total 3 3 2 2 4 2" xfId="18166" xr:uid="{00000000-0005-0000-0000-00006C670000}"/>
    <cellStyle name="Total 3 3 2 2 4 3" xfId="24132" xr:uid="{00000000-0005-0000-0000-00006D670000}"/>
    <cellStyle name="Total 3 3 2 2 4 4" xfId="24628" xr:uid="{00000000-0005-0000-0000-00006E670000}"/>
    <cellStyle name="Total 3 3 2 2 5" xfId="10491" xr:uid="{00000000-0005-0000-0000-00006F670000}"/>
    <cellStyle name="Total 3 3 2 2 5 2" xfId="21388" xr:uid="{00000000-0005-0000-0000-000070670000}"/>
    <cellStyle name="Total 3 3 2 2 5 3" xfId="25518" xr:uid="{00000000-0005-0000-0000-000071670000}"/>
    <cellStyle name="Total 3 3 2 2 5 4" xfId="27035" xr:uid="{00000000-0005-0000-0000-000072670000}"/>
    <cellStyle name="Total 3 3 2 2 6" xfId="13230" xr:uid="{00000000-0005-0000-0000-000073670000}"/>
    <cellStyle name="Total 3 3 2 2 7" xfId="22824" xr:uid="{00000000-0005-0000-0000-000074670000}"/>
    <cellStyle name="Total 3 3 2 3" xfId="3485" xr:uid="{00000000-0005-0000-0000-000075670000}"/>
    <cellStyle name="Total 3 3 2 3 2" xfId="8436" xr:uid="{00000000-0005-0000-0000-000076670000}"/>
    <cellStyle name="Total 3 3 2 3 2 2" xfId="19333" xr:uid="{00000000-0005-0000-0000-000077670000}"/>
    <cellStyle name="Total 3 3 2 3 2 3" xfId="24483" xr:uid="{00000000-0005-0000-0000-000078670000}"/>
    <cellStyle name="Total 3 3 2 3 2 4" xfId="11318" xr:uid="{00000000-0005-0000-0000-000079670000}"/>
    <cellStyle name="Total 3 3 2 3 3" xfId="10673" xr:uid="{00000000-0005-0000-0000-00007A670000}"/>
    <cellStyle name="Total 3 3 2 3 3 2" xfId="21570" xr:uid="{00000000-0005-0000-0000-00007B670000}"/>
    <cellStyle name="Total 3 3 2 3 3 3" xfId="25700" xr:uid="{00000000-0005-0000-0000-00007C670000}"/>
    <cellStyle name="Total 3 3 2 3 3 4" xfId="27217" xr:uid="{00000000-0005-0000-0000-00007D670000}"/>
    <cellStyle name="Total 3 3 2 3 4" xfId="14382" xr:uid="{00000000-0005-0000-0000-00007E670000}"/>
    <cellStyle name="Total 3 3 2 3 5" xfId="22791" xr:uid="{00000000-0005-0000-0000-00007F670000}"/>
    <cellStyle name="Total 3 3 2 3 6" xfId="23959" xr:uid="{00000000-0005-0000-0000-000080670000}"/>
    <cellStyle name="Total 3 3 2 4" xfId="5054" xr:uid="{00000000-0005-0000-0000-000081670000}"/>
    <cellStyle name="Total 3 3 2 4 2" xfId="10005" xr:uid="{00000000-0005-0000-0000-000082670000}"/>
    <cellStyle name="Total 3 3 2 4 2 2" xfId="20902" xr:uid="{00000000-0005-0000-0000-000083670000}"/>
    <cellStyle name="Total 3 3 2 4 2 3" xfId="25032" xr:uid="{00000000-0005-0000-0000-000084670000}"/>
    <cellStyle name="Total 3 3 2 4 2 4" xfId="26549" xr:uid="{00000000-0005-0000-0000-000085670000}"/>
    <cellStyle name="Total 3 3 2 4 3" xfId="11000" xr:uid="{00000000-0005-0000-0000-000086670000}"/>
    <cellStyle name="Total 3 3 2 4 3 2" xfId="21897" xr:uid="{00000000-0005-0000-0000-000087670000}"/>
    <cellStyle name="Total 3 3 2 4 3 3" xfId="26027" xr:uid="{00000000-0005-0000-0000-000088670000}"/>
    <cellStyle name="Total 3 3 2 4 3 4" xfId="27544" xr:uid="{00000000-0005-0000-0000-000089670000}"/>
    <cellStyle name="Total 3 3 2 4 4" xfId="15951" xr:uid="{00000000-0005-0000-0000-00008A670000}"/>
    <cellStyle name="Total 3 3 2 4 5" xfId="23343" xr:uid="{00000000-0005-0000-0000-00008B670000}"/>
    <cellStyle name="Total 3 3 2 4 6" xfId="24174" xr:uid="{00000000-0005-0000-0000-00008C670000}"/>
    <cellStyle name="Total 3 3 2 5" xfId="6124" xr:uid="{00000000-0005-0000-0000-00008D670000}"/>
    <cellStyle name="Total 3 3 2 5 2" xfId="17021" xr:uid="{00000000-0005-0000-0000-00008E670000}"/>
    <cellStyle name="Total 3 3 2 5 3" xfId="23806" xr:uid="{00000000-0005-0000-0000-00008F670000}"/>
    <cellStyle name="Total 3 3 2 5 4" xfId="23097" xr:uid="{00000000-0005-0000-0000-000090670000}"/>
    <cellStyle name="Total 3 3 2 6" xfId="10332" xr:uid="{00000000-0005-0000-0000-000091670000}"/>
    <cellStyle name="Total 3 3 2 6 2" xfId="21229" xr:uid="{00000000-0005-0000-0000-000092670000}"/>
    <cellStyle name="Total 3 3 2 6 3" xfId="25359" xr:uid="{00000000-0005-0000-0000-000093670000}"/>
    <cellStyle name="Total 3 3 2 6 4" xfId="26876" xr:uid="{00000000-0005-0000-0000-000094670000}"/>
    <cellStyle name="Total 3 3 2 7" xfId="12112" xr:uid="{00000000-0005-0000-0000-000095670000}"/>
    <cellStyle name="Total 3 3 2 8" xfId="23202" xr:uid="{00000000-0005-0000-0000-000096670000}"/>
    <cellStyle name="Total 3 3 3" xfId="1395" xr:uid="{00000000-0005-0000-0000-000097670000}"/>
    <cellStyle name="Total 3 3 3 2" xfId="3719" xr:uid="{00000000-0005-0000-0000-000098670000}"/>
    <cellStyle name="Total 3 3 3 2 2" xfId="8670" xr:uid="{00000000-0005-0000-0000-000099670000}"/>
    <cellStyle name="Total 3 3 3 2 2 2" xfId="19567" xr:uid="{00000000-0005-0000-0000-00009A670000}"/>
    <cellStyle name="Total 3 3 3 2 2 3" xfId="24564" xr:uid="{00000000-0005-0000-0000-00009B670000}"/>
    <cellStyle name="Total 3 3 3 2 2 4" xfId="26282" xr:uid="{00000000-0005-0000-0000-00009C670000}"/>
    <cellStyle name="Total 3 3 3 2 3" xfId="10733" xr:uid="{00000000-0005-0000-0000-00009D670000}"/>
    <cellStyle name="Total 3 3 3 2 3 2" xfId="21630" xr:uid="{00000000-0005-0000-0000-00009E670000}"/>
    <cellStyle name="Total 3 3 3 2 3 3" xfId="25760" xr:uid="{00000000-0005-0000-0000-00009F670000}"/>
    <cellStyle name="Total 3 3 3 2 3 4" xfId="27277" xr:uid="{00000000-0005-0000-0000-0000A0670000}"/>
    <cellStyle name="Total 3 3 3 2 4" xfId="14616" xr:uid="{00000000-0005-0000-0000-0000A1670000}"/>
    <cellStyle name="Total 3 3 3 2 5" xfId="22876" xr:uid="{00000000-0005-0000-0000-0000A2670000}"/>
    <cellStyle name="Total 3 3 3 2 6" xfId="22408" xr:uid="{00000000-0005-0000-0000-0000A3670000}"/>
    <cellStyle name="Total 3 3 3 3" xfId="5114" xr:uid="{00000000-0005-0000-0000-0000A4670000}"/>
    <cellStyle name="Total 3 3 3 3 2" xfId="10065" xr:uid="{00000000-0005-0000-0000-0000A5670000}"/>
    <cellStyle name="Total 3 3 3 3 2 2" xfId="20962" xr:uid="{00000000-0005-0000-0000-0000A6670000}"/>
    <cellStyle name="Total 3 3 3 3 2 3" xfId="25092" xr:uid="{00000000-0005-0000-0000-0000A7670000}"/>
    <cellStyle name="Total 3 3 3 3 2 4" xfId="26609" xr:uid="{00000000-0005-0000-0000-0000A8670000}"/>
    <cellStyle name="Total 3 3 3 3 3" xfId="11060" xr:uid="{00000000-0005-0000-0000-0000A9670000}"/>
    <cellStyle name="Total 3 3 3 3 3 2" xfId="21957" xr:uid="{00000000-0005-0000-0000-0000AA670000}"/>
    <cellStyle name="Total 3 3 3 3 3 3" xfId="26087" xr:uid="{00000000-0005-0000-0000-0000AB670000}"/>
    <cellStyle name="Total 3 3 3 3 3 4" xfId="27604" xr:uid="{00000000-0005-0000-0000-0000AC670000}"/>
    <cellStyle name="Total 3 3 3 3 4" xfId="16011" xr:uid="{00000000-0005-0000-0000-0000AD670000}"/>
    <cellStyle name="Total 3 3 3 3 5" xfId="23403" xr:uid="{00000000-0005-0000-0000-0000AE670000}"/>
    <cellStyle name="Total 3 3 3 3 6" xfId="22679" xr:uid="{00000000-0005-0000-0000-0000AF670000}"/>
    <cellStyle name="Total 3 3 3 4" xfId="6358" xr:uid="{00000000-0005-0000-0000-0000B0670000}"/>
    <cellStyle name="Total 3 3 3 4 2" xfId="17255" xr:uid="{00000000-0005-0000-0000-0000B1670000}"/>
    <cellStyle name="Total 3 3 3 4 3" xfId="23889" xr:uid="{00000000-0005-0000-0000-0000B2670000}"/>
    <cellStyle name="Total 3 3 3 4 4" xfId="24198" xr:uid="{00000000-0005-0000-0000-0000B3670000}"/>
    <cellStyle name="Total 3 3 3 5" xfId="10392" xr:uid="{00000000-0005-0000-0000-0000B4670000}"/>
    <cellStyle name="Total 3 3 3 5 2" xfId="21289" xr:uid="{00000000-0005-0000-0000-0000B5670000}"/>
    <cellStyle name="Total 3 3 3 5 3" xfId="25419" xr:uid="{00000000-0005-0000-0000-0000B6670000}"/>
    <cellStyle name="Total 3 3 3 5 4" xfId="26936" xr:uid="{00000000-0005-0000-0000-0000B7670000}"/>
    <cellStyle name="Total 3 3 3 6" xfId="12337" xr:uid="{00000000-0005-0000-0000-0000B8670000}"/>
    <cellStyle name="Total 3 3 3 7" xfId="22380" xr:uid="{00000000-0005-0000-0000-0000B9670000}"/>
    <cellStyle name="Total 3 3 4" xfId="2953" xr:uid="{00000000-0005-0000-0000-0000BA670000}"/>
    <cellStyle name="Total 3 3 4 2" xfId="7904" xr:uid="{00000000-0005-0000-0000-0000BB670000}"/>
    <cellStyle name="Total 3 3 4 2 2" xfId="18801" xr:uid="{00000000-0005-0000-0000-0000BC670000}"/>
    <cellStyle name="Total 3 3 4 2 3" xfId="24329" xr:uid="{00000000-0005-0000-0000-0000BD670000}"/>
    <cellStyle name="Total 3 3 4 2 4" xfId="22191" xr:uid="{00000000-0005-0000-0000-0000BE670000}"/>
    <cellStyle name="Total 3 3 4 3" xfId="10593" xr:uid="{00000000-0005-0000-0000-0000BF670000}"/>
    <cellStyle name="Total 3 3 4 3 2" xfId="21490" xr:uid="{00000000-0005-0000-0000-0000C0670000}"/>
    <cellStyle name="Total 3 3 4 3 3" xfId="25620" xr:uid="{00000000-0005-0000-0000-0000C1670000}"/>
    <cellStyle name="Total 3 3 4 3 4" xfId="27137" xr:uid="{00000000-0005-0000-0000-0000C2670000}"/>
    <cellStyle name="Total 3 3 4 4" xfId="13850" xr:uid="{00000000-0005-0000-0000-0000C3670000}"/>
    <cellStyle name="Total 3 3 4 5" xfId="22633" xr:uid="{00000000-0005-0000-0000-0000C4670000}"/>
    <cellStyle name="Total 3 3 4 6" xfId="23683" xr:uid="{00000000-0005-0000-0000-0000C5670000}"/>
    <cellStyle name="Total 3 3 5" xfId="4974" xr:uid="{00000000-0005-0000-0000-0000C6670000}"/>
    <cellStyle name="Total 3 3 5 2" xfId="9925" xr:uid="{00000000-0005-0000-0000-0000C7670000}"/>
    <cellStyle name="Total 3 3 5 2 2" xfId="20822" xr:uid="{00000000-0005-0000-0000-0000C8670000}"/>
    <cellStyle name="Total 3 3 5 2 3" xfId="24952" xr:uid="{00000000-0005-0000-0000-0000C9670000}"/>
    <cellStyle name="Total 3 3 5 2 4" xfId="26469" xr:uid="{00000000-0005-0000-0000-0000CA670000}"/>
    <cellStyle name="Total 3 3 5 3" xfId="10920" xr:uid="{00000000-0005-0000-0000-0000CB670000}"/>
    <cellStyle name="Total 3 3 5 3 2" xfId="21817" xr:uid="{00000000-0005-0000-0000-0000CC670000}"/>
    <cellStyle name="Total 3 3 5 3 3" xfId="25947" xr:uid="{00000000-0005-0000-0000-0000CD670000}"/>
    <cellStyle name="Total 3 3 5 3 4" xfId="27464" xr:uid="{00000000-0005-0000-0000-0000CE670000}"/>
    <cellStyle name="Total 3 3 5 4" xfId="15871" xr:uid="{00000000-0005-0000-0000-0000CF670000}"/>
    <cellStyle name="Total 3 3 5 5" xfId="23263" xr:uid="{00000000-0005-0000-0000-0000D0670000}"/>
    <cellStyle name="Total 3 3 5 6" xfId="24429" xr:uid="{00000000-0005-0000-0000-0000D1670000}"/>
    <cellStyle name="Total 3 3 6" xfId="5592" xr:uid="{00000000-0005-0000-0000-0000D2670000}"/>
    <cellStyle name="Total 3 3 6 2" xfId="16489" xr:uid="{00000000-0005-0000-0000-0000D3670000}"/>
    <cellStyle name="Total 3 3 6 3" xfId="23650" xr:uid="{00000000-0005-0000-0000-0000D4670000}"/>
    <cellStyle name="Total 3 3 6 4" xfId="22145" xr:uid="{00000000-0005-0000-0000-0000D5670000}"/>
    <cellStyle name="Total 3 3 7" xfId="10252" xr:uid="{00000000-0005-0000-0000-0000D6670000}"/>
    <cellStyle name="Total 3 3 7 2" xfId="21149" xr:uid="{00000000-0005-0000-0000-0000D7670000}"/>
    <cellStyle name="Total 3 3 7 3" xfId="25279" xr:uid="{00000000-0005-0000-0000-0000D8670000}"/>
    <cellStyle name="Total 3 3 7 4" xfId="26796" xr:uid="{00000000-0005-0000-0000-0000D9670000}"/>
    <cellStyle name="Total 3 3 8" xfId="11591" xr:uid="{00000000-0005-0000-0000-0000DA670000}"/>
    <cellStyle name="Total 3 3 9" xfId="24857" xr:uid="{00000000-0005-0000-0000-0000DB670000}"/>
    <cellStyle name="Total 3 4" xfId="896" xr:uid="{00000000-0005-0000-0000-0000DC670000}"/>
    <cellStyle name="Total 3 4 2" xfId="2053" xr:uid="{00000000-0005-0000-0000-0000DD670000}"/>
    <cellStyle name="Total 3 4 2 2" xfId="4365" xr:uid="{00000000-0005-0000-0000-0000DE670000}"/>
    <cellStyle name="Total 3 4 2 2 2" xfId="9316" xr:uid="{00000000-0005-0000-0000-0000DF670000}"/>
    <cellStyle name="Total 3 4 2 2 2 2" xfId="20213" xr:uid="{00000000-0005-0000-0000-0000E0670000}"/>
    <cellStyle name="Total 3 4 2 2 2 3" xfId="24735" xr:uid="{00000000-0005-0000-0000-0000E1670000}"/>
    <cellStyle name="Total 3 4 2 2 2 4" xfId="26342" xr:uid="{00000000-0005-0000-0000-0000E2670000}"/>
    <cellStyle name="Total 3 4 2 2 3" xfId="10793" xr:uid="{00000000-0005-0000-0000-0000E3670000}"/>
    <cellStyle name="Total 3 4 2 2 3 2" xfId="21690" xr:uid="{00000000-0005-0000-0000-0000E4670000}"/>
    <cellStyle name="Total 3 4 2 2 3 3" xfId="25820" xr:uid="{00000000-0005-0000-0000-0000E5670000}"/>
    <cellStyle name="Total 3 4 2 2 3 4" xfId="27337" xr:uid="{00000000-0005-0000-0000-0000E6670000}"/>
    <cellStyle name="Total 3 4 2 2 4" xfId="15262" xr:uid="{00000000-0005-0000-0000-0000E7670000}"/>
    <cellStyle name="Total 3 4 2 2 5" xfId="23045" xr:uid="{00000000-0005-0000-0000-0000E8670000}"/>
    <cellStyle name="Total 3 4 2 2 6" xfId="22568" xr:uid="{00000000-0005-0000-0000-0000E9670000}"/>
    <cellStyle name="Total 3 4 2 3" xfId="5173" xr:uid="{00000000-0005-0000-0000-0000EA670000}"/>
    <cellStyle name="Total 3 4 2 3 2" xfId="10124" xr:uid="{00000000-0005-0000-0000-0000EB670000}"/>
    <cellStyle name="Total 3 4 2 3 2 2" xfId="21021" xr:uid="{00000000-0005-0000-0000-0000EC670000}"/>
    <cellStyle name="Total 3 4 2 3 2 3" xfId="25151" xr:uid="{00000000-0005-0000-0000-0000ED670000}"/>
    <cellStyle name="Total 3 4 2 3 2 4" xfId="26668" xr:uid="{00000000-0005-0000-0000-0000EE670000}"/>
    <cellStyle name="Total 3 4 2 3 3" xfId="11119" xr:uid="{00000000-0005-0000-0000-0000EF670000}"/>
    <cellStyle name="Total 3 4 2 3 3 2" xfId="22016" xr:uid="{00000000-0005-0000-0000-0000F0670000}"/>
    <cellStyle name="Total 3 4 2 3 3 3" xfId="26146" xr:uid="{00000000-0005-0000-0000-0000F1670000}"/>
    <cellStyle name="Total 3 4 2 3 3 4" xfId="27663" xr:uid="{00000000-0005-0000-0000-0000F2670000}"/>
    <cellStyle name="Total 3 4 2 3 4" xfId="16070" xr:uid="{00000000-0005-0000-0000-0000F3670000}"/>
    <cellStyle name="Total 3 4 2 3 5" xfId="23462" xr:uid="{00000000-0005-0000-0000-0000F4670000}"/>
    <cellStyle name="Total 3 4 2 3 6" xfId="24814" xr:uid="{00000000-0005-0000-0000-0000F5670000}"/>
    <cellStyle name="Total 3 4 2 4" xfId="7004" xr:uid="{00000000-0005-0000-0000-0000F6670000}"/>
    <cellStyle name="Total 3 4 2 4 2" xfId="17901" xr:uid="{00000000-0005-0000-0000-0000F7670000}"/>
    <cellStyle name="Total 3 4 2 4 3" xfId="24057" xr:uid="{00000000-0005-0000-0000-0000F8670000}"/>
    <cellStyle name="Total 3 4 2 4 4" xfId="23137" xr:uid="{00000000-0005-0000-0000-0000F9670000}"/>
    <cellStyle name="Total 3 4 2 5" xfId="10451" xr:uid="{00000000-0005-0000-0000-0000FA670000}"/>
    <cellStyle name="Total 3 4 2 5 2" xfId="21348" xr:uid="{00000000-0005-0000-0000-0000FB670000}"/>
    <cellStyle name="Total 3 4 2 5 3" xfId="25478" xr:uid="{00000000-0005-0000-0000-0000FC670000}"/>
    <cellStyle name="Total 3 4 2 5 4" xfId="26995" xr:uid="{00000000-0005-0000-0000-0000FD670000}"/>
    <cellStyle name="Total 3 4 2 6" xfId="12971" xr:uid="{00000000-0005-0000-0000-0000FE670000}"/>
    <cellStyle name="Total 3 4 2 7" xfId="22666" xr:uid="{00000000-0005-0000-0000-0000FF670000}"/>
    <cellStyle name="Total 3 4 3" xfId="3220" xr:uid="{00000000-0005-0000-0000-000000680000}"/>
    <cellStyle name="Total 3 4 3 2" xfId="8171" xr:uid="{00000000-0005-0000-0000-000001680000}"/>
    <cellStyle name="Total 3 4 3 2 2" xfId="19068" xr:uid="{00000000-0005-0000-0000-000002680000}"/>
    <cellStyle name="Total 3 4 3 2 3" xfId="24405" xr:uid="{00000000-0005-0000-0000-000003680000}"/>
    <cellStyle name="Total 3 4 3 2 4" xfId="23824" xr:uid="{00000000-0005-0000-0000-000004680000}"/>
    <cellStyle name="Total 3 4 3 3" xfId="10633" xr:uid="{00000000-0005-0000-0000-000005680000}"/>
    <cellStyle name="Total 3 4 3 3 2" xfId="21530" xr:uid="{00000000-0005-0000-0000-000006680000}"/>
    <cellStyle name="Total 3 4 3 3 3" xfId="25660" xr:uid="{00000000-0005-0000-0000-000007680000}"/>
    <cellStyle name="Total 3 4 3 3 4" xfId="27177" xr:uid="{00000000-0005-0000-0000-000008680000}"/>
    <cellStyle name="Total 3 4 3 4" xfId="14117" xr:uid="{00000000-0005-0000-0000-000009680000}"/>
    <cellStyle name="Total 3 4 3 5" xfId="22714" xr:uid="{00000000-0005-0000-0000-00000A680000}"/>
    <cellStyle name="Total 3 4 3 6" xfId="24840" xr:uid="{00000000-0005-0000-0000-00000B680000}"/>
    <cellStyle name="Total 3 4 4" xfId="5014" xr:uid="{00000000-0005-0000-0000-00000C680000}"/>
    <cellStyle name="Total 3 4 4 2" xfId="9965" xr:uid="{00000000-0005-0000-0000-00000D680000}"/>
    <cellStyle name="Total 3 4 4 2 2" xfId="20862" xr:uid="{00000000-0005-0000-0000-00000E680000}"/>
    <cellStyle name="Total 3 4 4 2 3" xfId="24992" xr:uid="{00000000-0005-0000-0000-00000F680000}"/>
    <cellStyle name="Total 3 4 4 2 4" xfId="26509" xr:uid="{00000000-0005-0000-0000-000010680000}"/>
    <cellStyle name="Total 3 4 4 3" xfId="10960" xr:uid="{00000000-0005-0000-0000-000011680000}"/>
    <cellStyle name="Total 3 4 4 3 2" xfId="21857" xr:uid="{00000000-0005-0000-0000-000012680000}"/>
    <cellStyle name="Total 3 4 4 3 3" xfId="25987" xr:uid="{00000000-0005-0000-0000-000013680000}"/>
    <cellStyle name="Total 3 4 4 3 4" xfId="27504" xr:uid="{00000000-0005-0000-0000-000014680000}"/>
    <cellStyle name="Total 3 4 4 4" xfId="15911" xr:uid="{00000000-0005-0000-0000-000015680000}"/>
    <cellStyle name="Total 3 4 4 5" xfId="23303" xr:uid="{00000000-0005-0000-0000-000016680000}"/>
    <cellStyle name="Total 3 4 4 6" xfId="24332" xr:uid="{00000000-0005-0000-0000-000017680000}"/>
    <cellStyle name="Total 3 4 5" xfId="5859" xr:uid="{00000000-0005-0000-0000-000018680000}"/>
    <cellStyle name="Total 3 4 5 2" xfId="16756" xr:uid="{00000000-0005-0000-0000-000019680000}"/>
    <cellStyle name="Total 3 4 5 3" xfId="23727" xr:uid="{00000000-0005-0000-0000-00001A680000}"/>
    <cellStyle name="Total 3 4 5 4" xfId="22912" xr:uid="{00000000-0005-0000-0000-00001B680000}"/>
    <cellStyle name="Total 3 4 6" xfId="10292" xr:uid="{00000000-0005-0000-0000-00001C680000}"/>
    <cellStyle name="Total 3 4 6 2" xfId="21189" xr:uid="{00000000-0005-0000-0000-00001D680000}"/>
    <cellStyle name="Total 3 4 6 3" xfId="25319" xr:uid="{00000000-0005-0000-0000-00001E680000}"/>
    <cellStyle name="Total 3 4 6 4" xfId="26836" xr:uid="{00000000-0005-0000-0000-00001F680000}"/>
    <cellStyle name="Total 3 4 7" xfId="11853" xr:uid="{00000000-0005-0000-0000-000020680000}"/>
    <cellStyle name="Total 3 4 8" xfId="22313" xr:uid="{00000000-0005-0000-0000-000021680000}"/>
    <cellStyle name="Total 3 5" xfId="2688" xr:uid="{00000000-0005-0000-0000-000022680000}"/>
    <cellStyle name="Total 3 5 2" xfId="7639" xr:uid="{00000000-0005-0000-0000-000023680000}"/>
    <cellStyle name="Total 3 5 2 2" xfId="18536" xr:uid="{00000000-0005-0000-0000-000024680000}"/>
    <cellStyle name="Total 3 5 2 3" xfId="24257" xr:uid="{00000000-0005-0000-0000-000025680000}"/>
    <cellStyle name="Total 3 5 2 4" xfId="22953" xr:uid="{00000000-0005-0000-0000-000026680000}"/>
    <cellStyle name="Total 3 5 3" xfId="10553" xr:uid="{00000000-0005-0000-0000-000027680000}"/>
    <cellStyle name="Total 3 5 3 2" xfId="21450" xr:uid="{00000000-0005-0000-0000-000028680000}"/>
    <cellStyle name="Total 3 5 3 3" xfId="25580" xr:uid="{00000000-0005-0000-0000-000029680000}"/>
    <cellStyle name="Total 3 5 3 4" xfId="27097" xr:uid="{00000000-0005-0000-0000-00002A680000}"/>
    <cellStyle name="Total 3 5 4" xfId="13585" xr:uid="{00000000-0005-0000-0000-00002B680000}"/>
    <cellStyle name="Total 3 5 5" xfId="22557" xr:uid="{00000000-0005-0000-0000-00002C680000}"/>
    <cellStyle name="Total 3 5 6" xfId="22329" xr:uid="{00000000-0005-0000-0000-00002D680000}"/>
    <cellStyle name="Total 3 6" xfId="4934" xr:uid="{00000000-0005-0000-0000-00002E680000}"/>
    <cellStyle name="Total 3 6 2" xfId="9885" xr:uid="{00000000-0005-0000-0000-00002F680000}"/>
    <cellStyle name="Total 3 6 2 2" xfId="20782" xr:uid="{00000000-0005-0000-0000-000030680000}"/>
    <cellStyle name="Total 3 6 2 3" xfId="24912" xr:uid="{00000000-0005-0000-0000-000031680000}"/>
    <cellStyle name="Total 3 6 2 4" xfId="26429" xr:uid="{00000000-0005-0000-0000-000032680000}"/>
    <cellStyle name="Total 3 6 3" xfId="10880" xr:uid="{00000000-0005-0000-0000-000033680000}"/>
    <cellStyle name="Total 3 6 3 2" xfId="21777" xr:uid="{00000000-0005-0000-0000-000034680000}"/>
    <cellStyle name="Total 3 6 3 3" xfId="25907" xr:uid="{00000000-0005-0000-0000-000035680000}"/>
    <cellStyle name="Total 3 6 3 4" xfId="27424" xr:uid="{00000000-0005-0000-0000-000036680000}"/>
    <cellStyle name="Total 3 6 4" xfId="15831" xr:uid="{00000000-0005-0000-0000-000037680000}"/>
    <cellStyle name="Total 3 6 5" xfId="23223" xr:uid="{00000000-0005-0000-0000-000038680000}"/>
    <cellStyle name="Total 3 6 6" xfId="11209" xr:uid="{00000000-0005-0000-0000-000039680000}"/>
    <cellStyle name="Total 3 7" xfId="5327" xr:uid="{00000000-0005-0000-0000-00003A680000}"/>
    <cellStyle name="Total 3 7 2" xfId="16224" xr:uid="{00000000-0005-0000-0000-00003B680000}"/>
    <cellStyle name="Total 3 7 3" xfId="23577" xr:uid="{00000000-0005-0000-0000-00003C680000}"/>
    <cellStyle name="Total 3 7 4" xfId="22103" xr:uid="{00000000-0005-0000-0000-00003D680000}"/>
    <cellStyle name="Total 3 8" xfId="10212" xr:uid="{00000000-0005-0000-0000-00003E680000}"/>
    <cellStyle name="Total 3 8 2" xfId="21109" xr:uid="{00000000-0005-0000-0000-00003F680000}"/>
    <cellStyle name="Total 3 8 3" xfId="25239" xr:uid="{00000000-0005-0000-0000-000040680000}"/>
    <cellStyle name="Total 3 8 4" xfId="26756" xr:uid="{00000000-0005-0000-0000-000041680000}"/>
    <cellStyle name="Total 3 9" xfId="11330" xr:uid="{00000000-0005-0000-0000-000042680000}"/>
    <cellStyle name="Total 4" xfId="360" xr:uid="{00000000-0005-0000-0000-000043680000}"/>
    <cellStyle name="Total 4 10" xfId="23972" xr:uid="{00000000-0005-0000-0000-000044680000}"/>
    <cellStyle name="Total 4 2" xfId="464" xr:uid="{00000000-0005-0000-0000-000045680000}"/>
    <cellStyle name="Total 4 2 10" xfId="23205" xr:uid="{00000000-0005-0000-0000-000046680000}"/>
    <cellStyle name="Total 4 2 2" xfId="729" xr:uid="{00000000-0005-0000-0000-000047680000}"/>
    <cellStyle name="Total 4 2 2 2" xfId="1261" xr:uid="{00000000-0005-0000-0000-000048680000}"/>
    <cellStyle name="Total 4 2 2 2 2" xfId="2418" xr:uid="{00000000-0005-0000-0000-000049680000}"/>
    <cellStyle name="Total 4 2 2 2 2 2" xfId="4730" xr:uid="{00000000-0005-0000-0000-00004A680000}"/>
    <cellStyle name="Total 4 2 2 2 2 2 2" xfId="9681" xr:uid="{00000000-0005-0000-0000-00004B680000}"/>
    <cellStyle name="Total 4 2 2 2 2 2 2 2" xfId="20578" xr:uid="{00000000-0005-0000-0000-00004C680000}"/>
    <cellStyle name="Total 4 2 2 2 2 2 2 3" xfId="24834" xr:uid="{00000000-0005-0000-0000-00004D680000}"/>
    <cellStyle name="Total 4 2 2 2 2 2 2 4" xfId="26398" xr:uid="{00000000-0005-0000-0000-00004E680000}"/>
    <cellStyle name="Total 4 2 2 2 2 2 3" xfId="10849" xr:uid="{00000000-0005-0000-0000-00004F680000}"/>
    <cellStyle name="Total 4 2 2 2 2 2 3 2" xfId="21746" xr:uid="{00000000-0005-0000-0000-000050680000}"/>
    <cellStyle name="Total 4 2 2 2 2 2 3 3" xfId="25876" xr:uid="{00000000-0005-0000-0000-000051680000}"/>
    <cellStyle name="Total 4 2 2 2 2 2 3 4" xfId="27393" xr:uid="{00000000-0005-0000-0000-000052680000}"/>
    <cellStyle name="Total 4 2 2 2 2 2 4" xfId="15627" xr:uid="{00000000-0005-0000-0000-000053680000}"/>
    <cellStyle name="Total 4 2 2 2 2 2 5" xfId="23147" xr:uid="{00000000-0005-0000-0000-000054680000}"/>
    <cellStyle name="Total 4 2 2 2 2 2 6" xfId="23957" xr:uid="{00000000-0005-0000-0000-000055680000}"/>
    <cellStyle name="Total 4 2 2 2 2 3" xfId="5229" xr:uid="{00000000-0005-0000-0000-000056680000}"/>
    <cellStyle name="Total 4 2 2 2 2 3 2" xfId="10180" xr:uid="{00000000-0005-0000-0000-000057680000}"/>
    <cellStyle name="Total 4 2 2 2 2 3 2 2" xfId="21077" xr:uid="{00000000-0005-0000-0000-000058680000}"/>
    <cellStyle name="Total 4 2 2 2 2 3 2 3" xfId="25207" xr:uid="{00000000-0005-0000-0000-000059680000}"/>
    <cellStyle name="Total 4 2 2 2 2 3 2 4" xfId="26724" xr:uid="{00000000-0005-0000-0000-00005A680000}"/>
    <cellStyle name="Total 4 2 2 2 2 3 3" xfId="11175" xr:uid="{00000000-0005-0000-0000-00005B680000}"/>
    <cellStyle name="Total 4 2 2 2 2 3 3 2" xfId="22072" xr:uid="{00000000-0005-0000-0000-00005C680000}"/>
    <cellStyle name="Total 4 2 2 2 2 3 3 3" xfId="26202" xr:uid="{00000000-0005-0000-0000-00005D680000}"/>
    <cellStyle name="Total 4 2 2 2 2 3 3 4" xfId="27719" xr:uid="{00000000-0005-0000-0000-00005E680000}"/>
    <cellStyle name="Total 4 2 2 2 2 3 4" xfId="16126" xr:uid="{00000000-0005-0000-0000-00005F680000}"/>
    <cellStyle name="Total 4 2 2 2 2 3 5" xfId="23518" xr:uid="{00000000-0005-0000-0000-000060680000}"/>
    <cellStyle name="Total 4 2 2 2 2 3 6" xfId="24265" xr:uid="{00000000-0005-0000-0000-000061680000}"/>
    <cellStyle name="Total 4 2 2 2 2 4" xfId="7369" xr:uid="{00000000-0005-0000-0000-000062680000}"/>
    <cellStyle name="Total 4 2 2 2 2 4 2" xfId="18266" xr:uid="{00000000-0005-0000-0000-000063680000}"/>
    <cellStyle name="Total 4 2 2 2 2 4 3" xfId="24158" xr:uid="{00000000-0005-0000-0000-000064680000}"/>
    <cellStyle name="Total 4 2 2 2 2 4 4" xfId="24423" xr:uid="{00000000-0005-0000-0000-000065680000}"/>
    <cellStyle name="Total 4 2 2 2 2 5" xfId="10507" xr:uid="{00000000-0005-0000-0000-000066680000}"/>
    <cellStyle name="Total 4 2 2 2 2 5 2" xfId="21404" xr:uid="{00000000-0005-0000-0000-000067680000}"/>
    <cellStyle name="Total 4 2 2 2 2 5 3" xfId="25534" xr:uid="{00000000-0005-0000-0000-000068680000}"/>
    <cellStyle name="Total 4 2 2 2 2 5 4" xfId="27051" xr:uid="{00000000-0005-0000-0000-000069680000}"/>
    <cellStyle name="Total 4 2 2 2 2 6" xfId="13329" xr:uid="{00000000-0005-0000-0000-00006A680000}"/>
    <cellStyle name="Total 4 2 2 2 2 7" xfId="23108" xr:uid="{00000000-0005-0000-0000-00006B680000}"/>
    <cellStyle name="Total 4 2 2 2 3" xfId="3585" xr:uid="{00000000-0005-0000-0000-00006C680000}"/>
    <cellStyle name="Total 4 2 2 2 3 2" xfId="8536" xr:uid="{00000000-0005-0000-0000-00006D680000}"/>
    <cellStyle name="Total 4 2 2 2 3 2 2" xfId="19433" xr:uid="{00000000-0005-0000-0000-00006E680000}"/>
    <cellStyle name="Total 4 2 2 2 3 2 3" xfId="24509" xr:uid="{00000000-0005-0000-0000-00006F680000}"/>
    <cellStyle name="Total 4 2 2 2 3 2 4" xfId="26238" xr:uid="{00000000-0005-0000-0000-000070680000}"/>
    <cellStyle name="Total 4 2 2 2 3 3" xfId="10689" xr:uid="{00000000-0005-0000-0000-000071680000}"/>
    <cellStyle name="Total 4 2 2 2 3 3 2" xfId="21586" xr:uid="{00000000-0005-0000-0000-000072680000}"/>
    <cellStyle name="Total 4 2 2 2 3 3 3" xfId="25716" xr:uid="{00000000-0005-0000-0000-000073680000}"/>
    <cellStyle name="Total 4 2 2 2 3 3 4" xfId="27233" xr:uid="{00000000-0005-0000-0000-000074680000}"/>
    <cellStyle name="Total 4 2 2 2 3 4" xfId="14482" xr:uid="{00000000-0005-0000-0000-000075680000}"/>
    <cellStyle name="Total 4 2 2 2 3 5" xfId="22819" xr:uid="{00000000-0005-0000-0000-000076680000}"/>
    <cellStyle name="Total 4 2 2 2 3 6" xfId="23761" xr:uid="{00000000-0005-0000-0000-000077680000}"/>
    <cellStyle name="Total 4 2 2 2 4" xfId="5070" xr:uid="{00000000-0005-0000-0000-000078680000}"/>
    <cellStyle name="Total 4 2 2 2 4 2" xfId="10021" xr:uid="{00000000-0005-0000-0000-000079680000}"/>
    <cellStyle name="Total 4 2 2 2 4 2 2" xfId="20918" xr:uid="{00000000-0005-0000-0000-00007A680000}"/>
    <cellStyle name="Total 4 2 2 2 4 2 3" xfId="25048" xr:uid="{00000000-0005-0000-0000-00007B680000}"/>
    <cellStyle name="Total 4 2 2 2 4 2 4" xfId="26565" xr:uid="{00000000-0005-0000-0000-00007C680000}"/>
    <cellStyle name="Total 4 2 2 2 4 3" xfId="11016" xr:uid="{00000000-0005-0000-0000-00007D680000}"/>
    <cellStyle name="Total 4 2 2 2 4 3 2" xfId="21913" xr:uid="{00000000-0005-0000-0000-00007E680000}"/>
    <cellStyle name="Total 4 2 2 2 4 3 3" xfId="26043" xr:uid="{00000000-0005-0000-0000-00007F680000}"/>
    <cellStyle name="Total 4 2 2 2 4 3 4" xfId="27560" xr:uid="{00000000-0005-0000-0000-000080680000}"/>
    <cellStyle name="Total 4 2 2 2 4 4" xfId="15967" xr:uid="{00000000-0005-0000-0000-000081680000}"/>
    <cellStyle name="Total 4 2 2 2 4 5" xfId="23359" xr:uid="{00000000-0005-0000-0000-000082680000}"/>
    <cellStyle name="Total 4 2 2 2 4 6" xfId="24635" xr:uid="{00000000-0005-0000-0000-000083680000}"/>
    <cellStyle name="Total 4 2 2 2 5" xfId="6224" xr:uid="{00000000-0005-0000-0000-000084680000}"/>
    <cellStyle name="Total 4 2 2 2 5 2" xfId="17121" xr:uid="{00000000-0005-0000-0000-000085680000}"/>
    <cellStyle name="Total 4 2 2 2 5 3" xfId="23834" xr:uid="{00000000-0005-0000-0000-000086680000}"/>
    <cellStyle name="Total 4 2 2 2 5 4" xfId="11289" xr:uid="{00000000-0005-0000-0000-000087680000}"/>
    <cellStyle name="Total 4 2 2 2 6" xfId="10348" xr:uid="{00000000-0005-0000-0000-000088680000}"/>
    <cellStyle name="Total 4 2 2 2 6 2" xfId="21245" xr:uid="{00000000-0005-0000-0000-000089680000}"/>
    <cellStyle name="Total 4 2 2 2 6 3" xfId="25375" xr:uid="{00000000-0005-0000-0000-00008A680000}"/>
    <cellStyle name="Total 4 2 2 2 6 4" xfId="26892" xr:uid="{00000000-0005-0000-0000-00008B680000}"/>
    <cellStyle name="Total 4 2 2 2 7" xfId="12211" xr:uid="{00000000-0005-0000-0000-00008C680000}"/>
    <cellStyle name="Total 4 2 2 2 8" xfId="24811" xr:uid="{00000000-0005-0000-0000-00008D680000}"/>
    <cellStyle name="Total 4 2 2 3" xfId="1411" xr:uid="{00000000-0005-0000-0000-00008E680000}"/>
    <cellStyle name="Total 4 2 2 3 2" xfId="3735" xr:uid="{00000000-0005-0000-0000-00008F680000}"/>
    <cellStyle name="Total 4 2 2 3 2 2" xfId="8686" xr:uid="{00000000-0005-0000-0000-000090680000}"/>
    <cellStyle name="Total 4 2 2 3 2 2 2" xfId="19583" xr:uid="{00000000-0005-0000-0000-000091680000}"/>
    <cellStyle name="Total 4 2 2 3 2 2 3" xfId="24580" xr:uid="{00000000-0005-0000-0000-000092680000}"/>
    <cellStyle name="Total 4 2 2 3 2 2 4" xfId="26298" xr:uid="{00000000-0005-0000-0000-000093680000}"/>
    <cellStyle name="Total 4 2 2 3 2 3" xfId="10749" xr:uid="{00000000-0005-0000-0000-000094680000}"/>
    <cellStyle name="Total 4 2 2 3 2 3 2" xfId="21646" xr:uid="{00000000-0005-0000-0000-000095680000}"/>
    <cellStyle name="Total 4 2 2 3 2 3 3" xfId="25776" xr:uid="{00000000-0005-0000-0000-000096680000}"/>
    <cellStyle name="Total 4 2 2 3 2 3 4" xfId="27293" xr:uid="{00000000-0005-0000-0000-000097680000}"/>
    <cellStyle name="Total 4 2 2 3 2 4" xfId="14632" xr:uid="{00000000-0005-0000-0000-000098680000}"/>
    <cellStyle name="Total 4 2 2 3 2 5" xfId="22892" xr:uid="{00000000-0005-0000-0000-000099680000}"/>
    <cellStyle name="Total 4 2 2 3 2 6" xfId="22240" xr:uid="{00000000-0005-0000-0000-00009A680000}"/>
    <cellStyle name="Total 4 2 2 3 3" xfId="5130" xr:uid="{00000000-0005-0000-0000-00009B680000}"/>
    <cellStyle name="Total 4 2 2 3 3 2" xfId="10081" xr:uid="{00000000-0005-0000-0000-00009C680000}"/>
    <cellStyle name="Total 4 2 2 3 3 2 2" xfId="20978" xr:uid="{00000000-0005-0000-0000-00009D680000}"/>
    <cellStyle name="Total 4 2 2 3 3 2 3" xfId="25108" xr:uid="{00000000-0005-0000-0000-00009E680000}"/>
    <cellStyle name="Total 4 2 2 3 3 2 4" xfId="26625" xr:uid="{00000000-0005-0000-0000-00009F680000}"/>
    <cellStyle name="Total 4 2 2 3 3 3" xfId="11076" xr:uid="{00000000-0005-0000-0000-0000A0680000}"/>
    <cellStyle name="Total 4 2 2 3 3 3 2" xfId="21973" xr:uid="{00000000-0005-0000-0000-0000A1680000}"/>
    <cellStyle name="Total 4 2 2 3 3 3 3" xfId="26103" xr:uid="{00000000-0005-0000-0000-0000A2680000}"/>
    <cellStyle name="Total 4 2 2 3 3 3 4" xfId="27620" xr:uid="{00000000-0005-0000-0000-0000A3680000}"/>
    <cellStyle name="Total 4 2 2 3 3 4" xfId="16027" xr:uid="{00000000-0005-0000-0000-0000A4680000}"/>
    <cellStyle name="Total 4 2 2 3 3 5" xfId="23419" xr:uid="{00000000-0005-0000-0000-0000A5680000}"/>
    <cellStyle name="Total 4 2 2 3 3 6" xfId="11247" xr:uid="{00000000-0005-0000-0000-0000A6680000}"/>
    <cellStyle name="Total 4 2 2 3 4" xfId="6374" xr:uid="{00000000-0005-0000-0000-0000A7680000}"/>
    <cellStyle name="Total 4 2 2 3 4 2" xfId="17271" xr:uid="{00000000-0005-0000-0000-0000A8680000}"/>
    <cellStyle name="Total 4 2 2 3 4 3" xfId="23905" xr:uid="{00000000-0005-0000-0000-0000A9680000}"/>
    <cellStyle name="Total 4 2 2 3 4 4" xfId="24739" xr:uid="{00000000-0005-0000-0000-0000AA680000}"/>
    <cellStyle name="Total 4 2 2 3 5" xfId="10408" xr:uid="{00000000-0005-0000-0000-0000AB680000}"/>
    <cellStyle name="Total 4 2 2 3 5 2" xfId="21305" xr:uid="{00000000-0005-0000-0000-0000AC680000}"/>
    <cellStyle name="Total 4 2 2 3 5 3" xfId="25435" xr:uid="{00000000-0005-0000-0000-0000AD680000}"/>
    <cellStyle name="Total 4 2 2 3 5 4" xfId="26952" xr:uid="{00000000-0005-0000-0000-0000AE680000}"/>
    <cellStyle name="Total 4 2 2 3 6" xfId="12351" xr:uid="{00000000-0005-0000-0000-0000AF680000}"/>
    <cellStyle name="Total 4 2 2 3 7" xfId="22208" xr:uid="{00000000-0005-0000-0000-0000B0680000}"/>
    <cellStyle name="Total 4 2 2 4" xfId="3053" xr:uid="{00000000-0005-0000-0000-0000B1680000}"/>
    <cellStyle name="Total 4 2 2 4 2" xfId="8004" xr:uid="{00000000-0005-0000-0000-0000B2680000}"/>
    <cellStyle name="Total 4 2 2 4 2 2" xfId="18901" xr:uid="{00000000-0005-0000-0000-0000B3680000}"/>
    <cellStyle name="Total 4 2 2 4 2 3" xfId="24353" xr:uid="{00000000-0005-0000-0000-0000B4680000}"/>
    <cellStyle name="Total 4 2 2 4 2 4" xfId="22610" xr:uid="{00000000-0005-0000-0000-0000B5680000}"/>
    <cellStyle name="Total 4 2 2 4 3" xfId="10609" xr:uid="{00000000-0005-0000-0000-0000B6680000}"/>
    <cellStyle name="Total 4 2 2 4 3 2" xfId="21506" xr:uid="{00000000-0005-0000-0000-0000B7680000}"/>
    <cellStyle name="Total 4 2 2 4 3 3" xfId="25636" xr:uid="{00000000-0005-0000-0000-0000B8680000}"/>
    <cellStyle name="Total 4 2 2 4 3 4" xfId="27153" xr:uid="{00000000-0005-0000-0000-0000B9680000}"/>
    <cellStyle name="Total 4 2 2 4 4" xfId="13950" xr:uid="{00000000-0005-0000-0000-0000BA680000}"/>
    <cellStyle name="Total 4 2 2 4 5" xfId="22657" xr:uid="{00000000-0005-0000-0000-0000BB680000}"/>
    <cellStyle name="Total 4 2 2 4 6" xfId="23990" xr:uid="{00000000-0005-0000-0000-0000BC680000}"/>
    <cellStyle name="Total 4 2 2 5" xfId="4990" xr:uid="{00000000-0005-0000-0000-0000BD680000}"/>
    <cellStyle name="Total 4 2 2 5 2" xfId="9941" xr:uid="{00000000-0005-0000-0000-0000BE680000}"/>
    <cellStyle name="Total 4 2 2 5 2 2" xfId="20838" xr:uid="{00000000-0005-0000-0000-0000BF680000}"/>
    <cellStyle name="Total 4 2 2 5 2 3" xfId="24968" xr:uid="{00000000-0005-0000-0000-0000C0680000}"/>
    <cellStyle name="Total 4 2 2 5 2 4" xfId="26485" xr:uid="{00000000-0005-0000-0000-0000C1680000}"/>
    <cellStyle name="Total 4 2 2 5 3" xfId="10936" xr:uid="{00000000-0005-0000-0000-0000C2680000}"/>
    <cellStyle name="Total 4 2 2 5 3 2" xfId="21833" xr:uid="{00000000-0005-0000-0000-0000C3680000}"/>
    <cellStyle name="Total 4 2 2 5 3 3" xfId="25963" xr:uid="{00000000-0005-0000-0000-0000C4680000}"/>
    <cellStyle name="Total 4 2 2 5 3 4" xfId="27480" xr:uid="{00000000-0005-0000-0000-0000C5680000}"/>
    <cellStyle name="Total 4 2 2 5 4" xfId="15887" xr:uid="{00000000-0005-0000-0000-0000C6680000}"/>
    <cellStyle name="Total 4 2 2 5 5" xfId="23279" xr:uid="{00000000-0005-0000-0000-0000C7680000}"/>
    <cellStyle name="Total 4 2 2 5 6" xfId="22816" xr:uid="{00000000-0005-0000-0000-0000C8680000}"/>
    <cellStyle name="Total 4 2 2 6" xfId="5692" xr:uid="{00000000-0005-0000-0000-0000C9680000}"/>
    <cellStyle name="Total 4 2 2 6 2" xfId="16589" xr:uid="{00000000-0005-0000-0000-0000CA680000}"/>
    <cellStyle name="Total 4 2 2 6 3" xfId="23677" xr:uid="{00000000-0005-0000-0000-0000CB680000}"/>
    <cellStyle name="Total 4 2 2 6 4" xfId="23915" xr:uid="{00000000-0005-0000-0000-0000CC680000}"/>
    <cellStyle name="Total 4 2 2 7" xfId="10268" xr:uid="{00000000-0005-0000-0000-0000CD680000}"/>
    <cellStyle name="Total 4 2 2 7 2" xfId="21165" xr:uid="{00000000-0005-0000-0000-0000CE680000}"/>
    <cellStyle name="Total 4 2 2 7 3" xfId="25295" xr:uid="{00000000-0005-0000-0000-0000CF680000}"/>
    <cellStyle name="Total 4 2 2 7 4" xfId="26812" xr:uid="{00000000-0005-0000-0000-0000D0680000}"/>
    <cellStyle name="Total 4 2 2 8" xfId="11690" xr:uid="{00000000-0005-0000-0000-0000D1680000}"/>
    <cellStyle name="Total 4 2 2 9" xfId="22443" xr:uid="{00000000-0005-0000-0000-0000D2680000}"/>
    <cellStyle name="Total 4 2 3" xfId="996" xr:uid="{00000000-0005-0000-0000-0000D3680000}"/>
    <cellStyle name="Total 4 2 3 2" xfId="2153" xr:uid="{00000000-0005-0000-0000-0000D4680000}"/>
    <cellStyle name="Total 4 2 3 2 2" xfId="4465" xr:uid="{00000000-0005-0000-0000-0000D5680000}"/>
    <cellStyle name="Total 4 2 3 2 2 2" xfId="9416" xr:uid="{00000000-0005-0000-0000-0000D6680000}"/>
    <cellStyle name="Total 4 2 3 2 2 2 2" xfId="20313" xr:uid="{00000000-0005-0000-0000-0000D7680000}"/>
    <cellStyle name="Total 4 2 3 2 2 2 3" xfId="24759" xr:uid="{00000000-0005-0000-0000-0000D8680000}"/>
    <cellStyle name="Total 4 2 3 2 2 2 4" xfId="26358" xr:uid="{00000000-0005-0000-0000-0000D9680000}"/>
    <cellStyle name="Total 4 2 3 2 2 3" xfId="10809" xr:uid="{00000000-0005-0000-0000-0000DA680000}"/>
    <cellStyle name="Total 4 2 3 2 2 3 2" xfId="21706" xr:uid="{00000000-0005-0000-0000-0000DB680000}"/>
    <cellStyle name="Total 4 2 3 2 2 3 3" xfId="25836" xr:uid="{00000000-0005-0000-0000-0000DC680000}"/>
    <cellStyle name="Total 4 2 3 2 2 3 4" xfId="27353" xr:uid="{00000000-0005-0000-0000-0000DD680000}"/>
    <cellStyle name="Total 4 2 3 2 2 4" xfId="15362" xr:uid="{00000000-0005-0000-0000-0000DE680000}"/>
    <cellStyle name="Total 4 2 3 2 2 5" xfId="23070" xr:uid="{00000000-0005-0000-0000-0000DF680000}"/>
    <cellStyle name="Total 4 2 3 2 2 6" xfId="11237" xr:uid="{00000000-0005-0000-0000-0000E0680000}"/>
    <cellStyle name="Total 4 2 3 2 3" xfId="5189" xr:uid="{00000000-0005-0000-0000-0000E1680000}"/>
    <cellStyle name="Total 4 2 3 2 3 2" xfId="10140" xr:uid="{00000000-0005-0000-0000-0000E2680000}"/>
    <cellStyle name="Total 4 2 3 2 3 2 2" xfId="21037" xr:uid="{00000000-0005-0000-0000-0000E3680000}"/>
    <cellStyle name="Total 4 2 3 2 3 2 3" xfId="25167" xr:uid="{00000000-0005-0000-0000-0000E4680000}"/>
    <cellStyle name="Total 4 2 3 2 3 2 4" xfId="26684" xr:uid="{00000000-0005-0000-0000-0000E5680000}"/>
    <cellStyle name="Total 4 2 3 2 3 3" xfId="11135" xr:uid="{00000000-0005-0000-0000-0000E6680000}"/>
    <cellStyle name="Total 4 2 3 2 3 3 2" xfId="22032" xr:uid="{00000000-0005-0000-0000-0000E7680000}"/>
    <cellStyle name="Total 4 2 3 2 3 3 3" xfId="26162" xr:uid="{00000000-0005-0000-0000-0000E8680000}"/>
    <cellStyle name="Total 4 2 3 2 3 3 4" xfId="27679" xr:uid="{00000000-0005-0000-0000-0000E9680000}"/>
    <cellStyle name="Total 4 2 3 2 3 4" xfId="16086" xr:uid="{00000000-0005-0000-0000-0000EA680000}"/>
    <cellStyle name="Total 4 2 3 2 3 5" xfId="23478" xr:uid="{00000000-0005-0000-0000-0000EB680000}"/>
    <cellStyle name="Total 4 2 3 2 3 6" xfId="24773" xr:uid="{00000000-0005-0000-0000-0000EC680000}"/>
    <cellStyle name="Total 4 2 3 2 4" xfId="7104" xr:uid="{00000000-0005-0000-0000-0000ED680000}"/>
    <cellStyle name="Total 4 2 3 2 4 2" xfId="18001" xr:uid="{00000000-0005-0000-0000-0000EE680000}"/>
    <cellStyle name="Total 4 2 3 2 4 3" xfId="24082" xr:uid="{00000000-0005-0000-0000-0000EF680000}"/>
    <cellStyle name="Total 4 2 3 2 4 4" xfId="22126" xr:uid="{00000000-0005-0000-0000-0000F0680000}"/>
    <cellStyle name="Total 4 2 3 2 5" xfId="10467" xr:uid="{00000000-0005-0000-0000-0000F1680000}"/>
    <cellStyle name="Total 4 2 3 2 5 2" xfId="21364" xr:uid="{00000000-0005-0000-0000-0000F2680000}"/>
    <cellStyle name="Total 4 2 3 2 5 3" xfId="25494" xr:uid="{00000000-0005-0000-0000-0000F3680000}"/>
    <cellStyle name="Total 4 2 3 2 5 4" xfId="27011" xr:uid="{00000000-0005-0000-0000-0000F4680000}"/>
    <cellStyle name="Total 4 2 3 2 6" xfId="13070" xr:uid="{00000000-0005-0000-0000-0000F5680000}"/>
    <cellStyle name="Total 4 2 3 2 7" xfId="24670" xr:uid="{00000000-0005-0000-0000-0000F6680000}"/>
    <cellStyle name="Total 4 2 3 3" xfId="3320" xr:uid="{00000000-0005-0000-0000-0000F7680000}"/>
    <cellStyle name="Total 4 2 3 3 2" xfId="8271" xr:uid="{00000000-0005-0000-0000-0000F8680000}"/>
    <cellStyle name="Total 4 2 3 3 2 2" xfId="19168" xr:uid="{00000000-0005-0000-0000-0000F9680000}"/>
    <cellStyle name="Total 4 2 3 3 2 3" xfId="24433" xr:uid="{00000000-0005-0000-0000-0000FA680000}"/>
    <cellStyle name="Total 4 2 3 3 2 4" xfId="22262" xr:uid="{00000000-0005-0000-0000-0000FB680000}"/>
    <cellStyle name="Total 4 2 3 3 3" xfId="10649" xr:uid="{00000000-0005-0000-0000-0000FC680000}"/>
    <cellStyle name="Total 4 2 3 3 3 2" xfId="21546" xr:uid="{00000000-0005-0000-0000-0000FD680000}"/>
    <cellStyle name="Total 4 2 3 3 3 3" xfId="25676" xr:uid="{00000000-0005-0000-0000-0000FE680000}"/>
    <cellStyle name="Total 4 2 3 3 3 4" xfId="27193" xr:uid="{00000000-0005-0000-0000-0000FF680000}"/>
    <cellStyle name="Total 4 2 3 3 4" xfId="14217" xr:uid="{00000000-0005-0000-0000-000000690000}"/>
    <cellStyle name="Total 4 2 3 3 5" xfId="22740" xr:uid="{00000000-0005-0000-0000-000001690000}"/>
    <cellStyle name="Total 4 2 3 3 6" xfId="22219" xr:uid="{00000000-0005-0000-0000-000002690000}"/>
    <cellStyle name="Total 4 2 3 4" xfId="5030" xr:uid="{00000000-0005-0000-0000-000003690000}"/>
    <cellStyle name="Total 4 2 3 4 2" xfId="9981" xr:uid="{00000000-0005-0000-0000-000004690000}"/>
    <cellStyle name="Total 4 2 3 4 2 2" xfId="20878" xr:uid="{00000000-0005-0000-0000-000005690000}"/>
    <cellStyle name="Total 4 2 3 4 2 3" xfId="25008" xr:uid="{00000000-0005-0000-0000-000006690000}"/>
    <cellStyle name="Total 4 2 3 4 2 4" xfId="26525" xr:uid="{00000000-0005-0000-0000-000007690000}"/>
    <cellStyle name="Total 4 2 3 4 3" xfId="10976" xr:uid="{00000000-0005-0000-0000-000008690000}"/>
    <cellStyle name="Total 4 2 3 4 3 2" xfId="21873" xr:uid="{00000000-0005-0000-0000-000009690000}"/>
    <cellStyle name="Total 4 2 3 4 3 3" xfId="26003" xr:uid="{00000000-0005-0000-0000-00000A690000}"/>
    <cellStyle name="Total 4 2 3 4 3 4" xfId="27520" xr:uid="{00000000-0005-0000-0000-00000B690000}"/>
    <cellStyle name="Total 4 2 3 4 4" xfId="15927" xr:uid="{00000000-0005-0000-0000-00000C690000}"/>
    <cellStyle name="Total 4 2 3 4 5" xfId="23319" xr:uid="{00000000-0005-0000-0000-00000D690000}"/>
    <cellStyle name="Total 4 2 3 4 6" xfId="24296" xr:uid="{00000000-0005-0000-0000-00000E690000}"/>
    <cellStyle name="Total 4 2 3 5" xfId="5959" xr:uid="{00000000-0005-0000-0000-00000F690000}"/>
    <cellStyle name="Total 4 2 3 5 2" xfId="16856" xr:uid="{00000000-0005-0000-0000-000010690000}"/>
    <cellStyle name="Total 4 2 3 5 3" xfId="23756" xr:uid="{00000000-0005-0000-0000-000011690000}"/>
    <cellStyle name="Total 4 2 3 5 4" xfId="22299" xr:uid="{00000000-0005-0000-0000-000012690000}"/>
    <cellStyle name="Total 4 2 3 6" xfId="10308" xr:uid="{00000000-0005-0000-0000-000013690000}"/>
    <cellStyle name="Total 4 2 3 6 2" xfId="21205" xr:uid="{00000000-0005-0000-0000-000014690000}"/>
    <cellStyle name="Total 4 2 3 6 3" xfId="25335" xr:uid="{00000000-0005-0000-0000-000015690000}"/>
    <cellStyle name="Total 4 2 3 6 4" xfId="26852" xr:uid="{00000000-0005-0000-0000-000016690000}"/>
    <cellStyle name="Total 4 2 3 7" xfId="11952" xr:uid="{00000000-0005-0000-0000-000017690000}"/>
    <cellStyle name="Total 4 2 3 8" xfId="22143" xr:uid="{00000000-0005-0000-0000-000018690000}"/>
    <cellStyle name="Total 4 2 4" xfId="1371" xr:uid="{00000000-0005-0000-0000-000019690000}"/>
    <cellStyle name="Total 4 2 4 2" xfId="3695" xr:uid="{00000000-0005-0000-0000-00001A690000}"/>
    <cellStyle name="Total 4 2 4 2 2" xfId="8646" xr:uid="{00000000-0005-0000-0000-00001B690000}"/>
    <cellStyle name="Total 4 2 4 2 2 2" xfId="19543" xr:uid="{00000000-0005-0000-0000-00001C690000}"/>
    <cellStyle name="Total 4 2 4 2 2 3" xfId="24540" xr:uid="{00000000-0005-0000-0000-00001D690000}"/>
    <cellStyle name="Total 4 2 4 2 2 4" xfId="26258" xr:uid="{00000000-0005-0000-0000-00001E690000}"/>
    <cellStyle name="Total 4 2 4 2 3" xfId="10709" xr:uid="{00000000-0005-0000-0000-00001F690000}"/>
    <cellStyle name="Total 4 2 4 2 3 2" xfId="21606" xr:uid="{00000000-0005-0000-0000-000020690000}"/>
    <cellStyle name="Total 4 2 4 2 3 3" xfId="25736" xr:uid="{00000000-0005-0000-0000-000021690000}"/>
    <cellStyle name="Total 4 2 4 2 3 4" xfId="27253" xr:uid="{00000000-0005-0000-0000-000022690000}"/>
    <cellStyle name="Total 4 2 4 2 4" xfId="14592" xr:uid="{00000000-0005-0000-0000-000023690000}"/>
    <cellStyle name="Total 4 2 4 2 5" xfId="22852" xr:uid="{00000000-0005-0000-0000-000024690000}"/>
    <cellStyle name="Total 4 2 4 2 6" xfId="22981" xr:uid="{00000000-0005-0000-0000-000025690000}"/>
    <cellStyle name="Total 4 2 4 3" xfId="5090" xr:uid="{00000000-0005-0000-0000-000026690000}"/>
    <cellStyle name="Total 4 2 4 3 2" xfId="10041" xr:uid="{00000000-0005-0000-0000-000027690000}"/>
    <cellStyle name="Total 4 2 4 3 2 2" xfId="20938" xr:uid="{00000000-0005-0000-0000-000028690000}"/>
    <cellStyle name="Total 4 2 4 3 2 3" xfId="25068" xr:uid="{00000000-0005-0000-0000-000029690000}"/>
    <cellStyle name="Total 4 2 4 3 2 4" xfId="26585" xr:uid="{00000000-0005-0000-0000-00002A690000}"/>
    <cellStyle name="Total 4 2 4 3 3" xfId="11036" xr:uid="{00000000-0005-0000-0000-00002B690000}"/>
    <cellStyle name="Total 4 2 4 3 3 2" xfId="21933" xr:uid="{00000000-0005-0000-0000-00002C690000}"/>
    <cellStyle name="Total 4 2 4 3 3 3" xfId="26063" xr:uid="{00000000-0005-0000-0000-00002D690000}"/>
    <cellStyle name="Total 4 2 4 3 3 4" xfId="27580" xr:uid="{00000000-0005-0000-0000-00002E690000}"/>
    <cellStyle name="Total 4 2 4 3 4" xfId="15987" xr:uid="{00000000-0005-0000-0000-00002F690000}"/>
    <cellStyle name="Total 4 2 4 3 5" xfId="23379" xr:uid="{00000000-0005-0000-0000-000030690000}"/>
    <cellStyle name="Total 4 2 4 3 6" xfId="22802" xr:uid="{00000000-0005-0000-0000-000031690000}"/>
    <cellStyle name="Total 4 2 4 4" xfId="6334" xr:uid="{00000000-0005-0000-0000-000032690000}"/>
    <cellStyle name="Total 4 2 4 4 2" xfId="17231" xr:uid="{00000000-0005-0000-0000-000033690000}"/>
    <cellStyle name="Total 4 2 4 4 3" xfId="23865" xr:uid="{00000000-0005-0000-0000-000034690000}"/>
    <cellStyle name="Total 4 2 4 4 4" xfId="24206" xr:uid="{00000000-0005-0000-0000-000035690000}"/>
    <cellStyle name="Total 4 2 4 5" xfId="10368" xr:uid="{00000000-0005-0000-0000-000036690000}"/>
    <cellStyle name="Total 4 2 4 5 2" xfId="21265" xr:uid="{00000000-0005-0000-0000-000037690000}"/>
    <cellStyle name="Total 4 2 4 5 3" xfId="25395" xr:uid="{00000000-0005-0000-0000-000038690000}"/>
    <cellStyle name="Total 4 2 4 5 4" xfId="26912" xr:uid="{00000000-0005-0000-0000-000039690000}"/>
    <cellStyle name="Total 4 2 4 6" xfId="12319" xr:uid="{00000000-0005-0000-0000-00003A690000}"/>
    <cellStyle name="Total 4 2 4 7" xfId="22268" xr:uid="{00000000-0005-0000-0000-00003B690000}"/>
    <cellStyle name="Total 4 2 5" xfId="2788" xr:uid="{00000000-0005-0000-0000-00003C690000}"/>
    <cellStyle name="Total 4 2 5 2" xfId="7739" xr:uid="{00000000-0005-0000-0000-00003D690000}"/>
    <cellStyle name="Total 4 2 5 2 2" xfId="18636" xr:uid="{00000000-0005-0000-0000-00003E690000}"/>
    <cellStyle name="Total 4 2 5 2 3" xfId="24286" xr:uid="{00000000-0005-0000-0000-00003F690000}"/>
    <cellStyle name="Total 4 2 5 2 4" xfId="24383" xr:uid="{00000000-0005-0000-0000-000040690000}"/>
    <cellStyle name="Total 4 2 5 3" xfId="10569" xr:uid="{00000000-0005-0000-0000-000041690000}"/>
    <cellStyle name="Total 4 2 5 3 2" xfId="21466" xr:uid="{00000000-0005-0000-0000-000042690000}"/>
    <cellStyle name="Total 4 2 5 3 3" xfId="25596" xr:uid="{00000000-0005-0000-0000-000043690000}"/>
    <cellStyle name="Total 4 2 5 3 4" xfId="27113" xr:uid="{00000000-0005-0000-0000-000044690000}"/>
    <cellStyle name="Total 4 2 5 4" xfId="13685" xr:uid="{00000000-0005-0000-0000-000045690000}"/>
    <cellStyle name="Total 4 2 5 5" xfId="22587" xr:uid="{00000000-0005-0000-0000-000046690000}"/>
    <cellStyle name="Total 4 2 5 6" xfId="22703" xr:uid="{00000000-0005-0000-0000-000047690000}"/>
    <cellStyle name="Total 4 2 6" xfId="4950" xr:uid="{00000000-0005-0000-0000-000048690000}"/>
    <cellStyle name="Total 4 2 6 2" xfId="9901" xr:uid="{00000000-0005-0000-0000-000049690000}"/>
    <cellStyle name="Total 4 2 6 2 2" xfId="20798" xr:uid="{00000000-0005-0000-0000-00004A690000}"/>
    <cellStyle name="Total 4 2 6 2 3" xfId="24928" xr:uid="{00000000-0005-0000-0000-00004B690000}"/>
    <cellStyle name="Total 4 2 6 2 4" xfId="26445" xr:uid="{00000000-0005-0000-0000-00004C690000}"/>
    <cellStyle name="Total 4 2 6 3" xfId="10896" xr:uid="{00000000-0005-0000-0000-00004D690000}"/>
    <cellStyle name="Total 4 2 6 3 2" xfId="21793" xr:uid="{00000000-0005-0000-0000-00004E690000}"/>
    <cellStyle name="Total 4 2 6 3 3" xfId="25923" xr:uid="{00000000-0005-0000-0000-00004F690000}"/>
    <cellStyle name="Total 4 2 6 3 4" xfId="27440" xr:uid="{00000000-0005-0000-0000-000050690000}"/>
    <cellStyle name="Total 4 2 6 4" xfId="15847" xr:uid="{00000000-0005-0000-0000-000051690000}"/>
    <cellStyle name="Total 4 2 6 5" xfId="23239" xr:uid="{00000000-0005-0000-0000-000052690000}"/>
    <cellStyle name="Total 4 2 6 6" xfId="23636" xr:uid="{00000000-0005-0000-0000-000053690000}"/>
    <cellStyle name="Total 4 2 7" xfId="5427" xr:uid="{00000000-0005-0000-0000-000054690000}"/>
    <cellStyle name="Total 4 2 7 2" xfId="16324" xr:uid="{00000000-0005-0000-0000-000055690000}"/>
    <cellStyle name="Total 4 2 7 3" xfId="23605" xr:uid="{00000000-0005-0000-0000-000056690000}"/>
    <cellStyle name="Total 4 2 7 4" xfId="24787" xr:uid="{00000000-0005-0000-0000-000057690000}"/>
    <cellStyle name="Total 4 2 8" xfId="10228" xr:uid="{00000000-0005-0000-0000-000058690000}"/>
    <cellStyle name="Total 4 2 8 2" xfId="21125" xr:uid="{00000000-0005-0000-0000-000059690000}"/>
    <cellStyle name="Total 4 2 8 3" xfId="25255" xr:uid="{00000000-0005-0000-0000-00005A690000}"/>
    <cellStyle name="Total 4 2 8 4" xfId="26772" xr:uid="{00000000-0005-0000-0000-00005B690000}"/>
    <cellStyle name="Total 4 2 9" xfId="11429" xr:uid="{00000000-0005-0000-0000-00005C690000}"/>
    <cellStyle name="Total 4 3" xfId="630" xr:uid="{00000000-0005-0000-0000-00005D690000}"/>
    <cellStyle name="Total 4 3 2" xfId="1162" xr:uid="{00000000-0005-0000-0000-00005E690000}"/>
    <cellStyle name="Total 4 3 2 2" xfId="2319" xr:uid="{00000000-0005-0000-0000-00005F690000}"/>
    <cellStyle name="Total 4 3 2 2 2" xfId="4631" xr:uid="{00000000-0005-0000-0000-000060690000}"/>
    <cellStyle name="Total 4 3 2 2 2 2" xfId="9582" xr:uid="{00000000-0005-0000-0000-000061690000}"/>
    <cellStyle name="Total 4 3 2 2 2 2 2" xfId="20479" xr:uid="{00000000-0005-0000-0000-000062690000}"/>
    <cellStyle name="Total 4 3 2 2 2 2 3" xfId="24807" xr:uid="{00000000-0005-0000-0000-000063690000}"/>
    <cellStyle name="Total 4 3 2 2 2 2 4" xfId="26383" xr:uid="{00000000-0005-0000-0000-000064690000}"/>
    <cellStyle name="Total 4 3 2 2 2 3" xfId="10834" xr:uid="{00000000-0005-0000-0000-000065690000}"/>
    <cellStyle name="Total 4 3 2 2 2 3 2" xfId="21731" xr:uid="{00000000-0005-0000-0000-000066690000}"/>
    <cellStyle name="Total 4 3 2 2 2 3 3" xfId="25861" xr:uid="{00000000-0005-0000-0000-000067690000}"/>
    <cellStyle name="Total 4 3 2 2 2 3 4" xfId="27378" xr:uid="{00000000-0005-0000-0000-000068690000}"/>
    <cellStyle name="Total 4 3 2 2 2 4" xfId="15528" xr:uid="{00000000-0005-0000-0000-000069690000}"/>
    <cellStyle name="Total 4 3 2 2 2 5" xfId="23120" xr:uid="{00000000-0005-0000-0000-00006A690000}"/>
    <cellStyle name="Total 4 3 2 2 2 6" xfId="24604" xr:uid="{00000000-0005-0000-0000-00006B690000}"/>
    <cellStyle name="Total 4 3 2 2 3" xfId="5214" xr:uid="{00000000-0005-0000-0000-00006C690000}"/>
    <cellStyle name="Total 4 3 2 2 3 2" xfId="10165" xr:uid="{00000000-0005-0000-0000-00006D690000}"/>
    <cellStyle name="Total 4 3 2 2 3 2 2" xfId="21062" xr:uid="{00000000-0005-0000-0000-00006E690000}"/>
    <cellStyle name="Total 4 3 2 2 3 2 3" xfId="25192" xr:uid="{00000000-0005-0000-0000-00006F690000}"/>
    <cellStyle name="Total 4 3 2 2 3 2 4" xfId="26709" xr:uid="{00000000-0005-0000-0000-000070690000}"/>
    <cellStyle name="Total 4 3 2 2 3 3" xfId="11160" xr:uid="{00000000-0005-0000-0000-000071690000}"/>
    <cellStyle name="Total 4 3 2 2 3 3 2" xfId="22057" xr:uid="{00000000-0005-0000-0000-000072690000}"/>
    <cellStyle name="Total 4 3 2 2 3 3 3" xfId="26187" xr:uid="{00000000-0005-0000-0000-000073690000}"/>
    <cellStyle name="Total 4 3 2 2 3 3 4" xfId="27704" xr:uid="{00000000-0005-0000-0000-000074690000}"/>
    <cellStyle name="Total 4 3 2 2 3 4" xfId="16111" xr:uid="{00000000-0005-0000-0000-000075690000}"/>
    <cellStyle name="Total 4 3 2 2 3 5" xfId="23503" xr:uid="{00000000-0005-0000-0000-000076690000}"/>
    <cellStyle name="Total 4 3 2 2 3 6" xfId="22921" xr:uid="{00000000-0005-0000-0000-000077690000}"/>
    <cellStyle name="Total 4 3 2 2 4" xfId="7270" xr:uid="{00000000-0005-0000-0000-000078690000}"/>
    <cellStyle name="Total 4 3 2 2 4 2" xfId="18167" xr:uid="{00000000-0005-0000-0000-000079690000}"/>
    <cellStyle name="Total 4 3 2 2 4 3" xfId="24133" xr:uid="{00000000-0005-0000-0000-00007A690000}"/>
    <cellStyle name="Total 4 3 2 2 4 4" xfId="22941" xr:uid="{00000000-0005-0000-0000-00007B690000}"/>
    <cellStyle name="Total 4 3 2 2 5" xfId="10492" xr:uid="{00000000-0005-0000-0000-00007C690000}"/>
    <cellStyle name="Total 4 3 2 2 5 2" xfId="21389" xr:uid="{00000000-0005-0000-0000-00007D690000}"/>
    <cellStyle name="Total 4 3 2 2 5 3" xfId="25519" xr:uid="{00000000-0005-0000-0000-00007E690000}"/>
    <cellStyle name="Total 4 3 2 2 5 4" xfId="27036" xr:uid="{00000000-0005-0000-0000-00007F690000}"/>
    <cellStyle name="Total 4 3 2 2 6" xfId="13231" xr:uid="{00000000-0005-0000-0000-000080690000}"/>
    <cellStyle name="Total 4 3 2 2 7" xfId="24165" xr:uid="{00000000-0005-0000-0000-000081690000}"/>
    <cellStyle name="Total 4 3 2 3" xfId="3486" xr:uid="{00000000-0005-0000-0000-000082690000}"/>
    <cellStyle name="Total 4 3 2 3 2" xfId="8437" xr:uid="{00000000-0005-0000-0000-000083690000}"/>
    <cellStyle name="Total 4 3 2 3 2 2" xfId="19334" xr:uid="{00000000-0005-0000-0000-000084690000}"/>
    <cellStyle name="Total 4 3 2 3 2 3" xfId="24484" xr:uid="{00000000-0005-0000-0000-000085690000}"/>
    <cellStyle name="Total 4 3 2 3 2 4" xfId="11524" xr:uid="{00000000-0005-0000-0000-000086690000}"/>
    <cellStyle name="Total 4 3 2 3 3" xfId="10674" xr:uid="{00000000-0005-0000-0000-000087690000}"/>
    <cellStyle name="Total 4 3 2 3 3 2" xfId="21571" xr:uid="{00000000-0005-0000-0000-000088690000}"/>
    <cellStyle name="Total 4 3 2 3 3 3" xfId="25701" xr:uid="{00000000-0005-0000-0000-000089690000}"/>
    <cellStyle name="Total 4 3 2 3 3 4" xfId="27218" xr:uid="{00000000-0005-0000-0000-00008A690000}"/>
    <cellStyle name="Total 4 3 2 3 4" xfId="14383" xr:uid="{00000000-0005-0000-0000-00008B690000}"/>
    <cellStyle name="Total 4 3 2 3 5" xfId="22792" xr:uid="{00000000-0005-0000-0000-00008C690000}"/>
    <cellStyle name="Total 4 3 2 3 6" xfId="24631" xr:uid="{00000000-0005-0000-0000-00008D690000}"/>
    <cellStyle name="Total 4 3 2 4" xfId="5055" xr:uid="{00000000-0005-0000-0000-00008E690000}"/>
    <cellStyle name="Total 4 3 2 4 2" xfId="10006" xr:uid="{00000000-0005-0000-0000-00008F690000}"/>
    <cellStyle name="Total 4 3 2 4 2 2" xfId="20903" xr:uid="{00000000-0005-0000-0000-000090690000}"/>
    <cellStyle name="Total 4 3 2 4 2 3" xfId="25033" xr:uid="{00000000-0005-0000-0000-000091690000}"/>
    <cellStyle name="Total 4 3 2 4 2 4" xfId="26550" xr:uid="{00000000-0005-0000-0000-000092690000}"/>
    <cellStyle name="Total 4 3 2 4 3" xfId="11001" xr:uid="{00000000-0005-0000-0000-000093690000}"/>
    <cellStyle name="Total 4 3 2 4 3 2" xfId="21898" xr:uid="{00000000-0005-0000-0000-000094690000}"/>
    <cellStyle name="Total 4 3 2 4 3 3" xfId="26028" xr:uid="{00000000-0005-0000-0000-000095690000}"/>
    <cellStyle name="Total 4 3 2 4 3 4" xfId="27545" xr:uid="{00000000-0005-0000-0000-000096690000}"/>
    <cellStyle name="Total 4 3 2 4 4" xfId="15952" xr:uid="{00000000-0005-0000-0000-000097690000}"/>
    <cellStyle name="Total 4 3 2 4 5" xfId="23344" xr:uid="{00000000-0005-0000-0000-000098690000}"/>
    <cellStyle name="Total 4 3 2 4 6" xfId="24850" xr:uid="{00000000-0005-0000-0000-000099690000}"/>
    <cellStyle name="Total 4 3 2 5" xfId="6125" xr:uid="{00000000-0005-0000-0000-00009A690000}"/>
    <cellStyle name="Total 4 3 2 5 2" xfId="17022" xr:uid="{00000000-0005-0000-0000-00009B690000}"/>
    <cellStyle name="Total 4 3 2 5 3" xfId="23807" xr:uid="{00000000-0005-0000-0000-00009C690000}"/>
    <cellStyle name="Total 4 3 2 5 4" xfId="22426" xr:uid="{00000000-0005-0000-0000-00009D690000}"/>
    <cellStyle name="Total 4 3 2 6" xfId="10333" xr:uid="{00000000-0005-0000-0000-00009E690000}"/>
    <cellStyle name="Total 4 3 2 6 2" xfId="21230" xr:uid="{00000000-0005-0000-0000-00009F690000}"/>
    <cellStyle name="Total 4 3 2 6 3" xfId="25360" xr:uid="{00000000-0005-0000-0000-0000A0690000}"/>
    <cellStyle name="Total 4 3 2 6 4" xfId="26877" xr:uid="{00000000-0005-0000-0000-0000A1690000}"/>
    <cellStyle name="Total 4 3 2 7" xfId="12113" xr:uid="{00000000-0005-0000-0000-0000A2690000}"/>
    <cellStyle name="Total 4 3 2 8" xfId="22507" xr:uid="{00000000-0005-0000-0000-0000A3690000}"/>
    <cellStyle name="Total 4 3 3" xfId="1396" xr:uid="{00000000-0005-0000-0000-0000A4690000}"/>
    <cellStyle name="Total 4 3 3 2" xfId="3720" xr:uid="{00000000-0005-0000-0000-0000A5690000}"/>
    <cellStyle name="Total 4 3 3 2 2" xfId="8671" xr:uid="{00000000-0005-0000-0000-0000A6690000}"/>
    <cellStyle name="Total 4 3 3 2 2 2" xfId="19568" xr:uid="{00000000-0005-0000-0000-0000A7690000}"/>
    <cellStyle name="Total 4 3 3 2 2 3" xfId="24565" xr:uid="{00000000-0005-0000-0000-0000A8690000}"/>
    <cellStyle name="Total 4 3 3 2 2 4" xfId="26283" xr:uid="{00000000-0005-0000-0000-0000A9690000}"/>
    <cellStyle name="Total 4 3 3 2 3" xfId="10734" xr:uid="{00000000-0005-0000-0000-0000AA690000}"/>
    <cellStyle name="Total 4 3 3 2 3 2" xfId="21631" xr:uid="{00000000-0005-0000-0000-0000AB690000}"/>
    <cellStyle name="Total 4 3 3 2 3 3" xfId="25761" xr:uid="{00000000-0005-0000-0000-0000AC690000}"/>
    <cellStyle name="Total 4 3 3 2 3 4" xfId="27278" xr:uid="{00000000-0005-0000-0000-0000AD690000}"/>
    <cellStyle name="Total 4 3 3 2 4" xfId="14617" xr:uid="{00000000-0005-0000-0000-0000AE690000}"/>
    <cellStyle name="Total 4 3 3 2 5" xfId="22877" xr:uid="{00000000-0005-0000-0000-0000AF690000}"/>
    <cellStyle name="Total 4 3 3 2 6" xfId="22194" xr:uid="{00000000-0005-0000-0000-0000B0690000}"/>
    <cellStyle name="Total 4 3 3 3" xfId="5115" xr:uid="{00000000-0005-0000-0000-0000B1690000}"/>
    <cellStyle name="Total 4 3 3 3 2" xfId="10066" xr:uid="{00000000-0005-0000-0000-0000B2690000}"/>
    <cellStyle name="Total 4 3 3 3 2 2" xfId="20963" xr:uid="{00000000-0005-0000-0000-0000B3690000}"/>
    <cellStyle name="Total 4 3 3 3 2 3" xfId="25093" xr:uid="{00000000-0005-0000-0000-0000B4690000}"/>
    <cellStyle name="Total 4 3 3 3 2 4" xfId="26610" xr:uid="{00000000-0005-0000-0000-0000B5690000}"/>
    <cellStyle name="Total 4 3 3 3 3" xfId="11061" xr:uid="{00000000-0005-0000-0000-0000B6690000}"/>
    <cellStyle name="Total 4 3 3 3 3 2" xfId="21958" xr:uid="{00000000-0005-0000-0000-0000B7690000}"/>
    <cellStyle name="Total 4 3 3 3 3 3" xfId="26088" xr:uid="{00000000-0005-0000-0000-0000B8690000}"/>
    <cellStyle name="Total 4 3 3 3 3 4" xfId="27605" xr:uid="{00000000-0005-0000-0000-0000B9690000}"/>
    <cellStyle name="Total 4 3 3 3 4" xfId="16012" xr:uid="{00000000-0005-0000-0000-0000BA690000}"/>
    <cellStyle name="Total 4 3 3 3 5" xfId="23404" xr:uid="{00000000-0005-0000-0000-0000BB690000}"/>
    <cellStyle name="Total 4 3 3 3 6" xfId="24024" xr:uid="{00000000-0005-0000-0000-0000BC690000}"/>
    <cellStyle name="Total 4 3 3 4" xfId="6359" xr:uid="{00000000-0005-0000-0000-0000BD690000}"/>
    <cellStyle name="Total 4 3 3 4 2" xfId="17256" xr:uid="{00000000-0005-0000-0000-0000BE690000}"/>
    <cellStyle name="Total 4 3 3 4 3" xfId="23890" xr:uid="{00000000-0005-0000-0000-0000BF690000}"/>
    <cellStyle name="Total 4 3 3 4 4" xfId="24876" xr:uid="{00000000-0005-0000-0000-0000C0690000}"/>
    <cellStyle name="Total 4 3 3 5" xfId="10393" xr:uid="{00000000-0005-0000-0000-0000C1690000}"/>
    <cellStyle name="Total 4 3 3 5 2" xfId="21290" xr:uid="{00000000-0005-0000-0000-0000C2690000}"/>
    <cellStyle name="Total 4 3 3 5 3" xfId="25420" xr:uid="{00000000-0005-0000-0000-0000C3690000}"/>
    <cellStyle name="Total 4 3 3 5 4" xfId="26937" xr:uid="{00000000-0005-0000-0000-0000C4690000}"/>
    <cellStyle name="Total 4 3 3 6" xfId="12338" xr:uid="{00000000-0005-0000-0000-0000C5690000}"/>
    <cellStyle name="Total 4 3 3 7" xfId="22170" xr:uid="{00000000-0005-0000-0000-0000C6690000}"/>
    <cellStyle name="Total 4 3 4" xfId="2954" xr:uid="{00000000-0005-0000-0000-0000C7690000}"/>
    <cellStyle name="Total 4 3 4 2" xfId="7905" xr:uid="{00000000-0005-0000-0000-0000C8690000}"/>
    <cellStyle name="Total 4 3 4 2 2" xfId="18802" xr:uid="{00000000-0005-0000-0000-0000C9690000}"/>
    <cellStyle name="Total 4 3 4 2 3" xfId="24330" xr:uid="{00000000-0005-0000-0000-0000CA690000}"/>
    <cellStyle name="Total 4 3 4 2 4" xfId="23667" xr:uid="{00000000-0005-0000-0000-0000CB690000}"/>
    <cellStyle name="Total 4 3 4 3" xfId="10594" xr:uid="{00000000-0005-0000-0000-0000CC690000}"/>
    <cellStyle name="Total 4 3 4 3 2" xfId="21491" xr:uid="{00000000-0005-0000-0000-0000CD690000}"/>
    <cellStyle name="Total 4 3 4 3 3" xfId="25621" xr:uid="{00000000-0005-0000-0000-0000CE690000}"/>
    <cellStyle name="Total 4 3 4 3 4" xfId="27138" xr:uid="{00000000-0005-0000-0000-0000CF690000}"/>
    <cellStyle name="Total 4 3 4 4" xfId="13851" xr:uid="{00000000-0005-0000-0000-0000D0690000}"/>
    <cellStyle name="Total 4 3 4 5" xfId="22634" xr:uid="{00000000-0005-0000-0000-0000D1690000}"/>
    <cellStyle name="Total 4 3 4 6" xfId="24360" xr:uid="{00000000-0005-0000-0000-0000D2690000}"/>
    <cellStyle name="Total 4 3 5" xfId="4975" xr:uid="{00000000-0005-0000-0000-0000D3690000}"/>
    <cellStyle name="Total 4 3 5 2" xfId="9926" xr:uid="{00000000-0005-0000-0000-0000D4690000}"/>
    <cellStyle name="Total 4 3 5 2 2" xfId="20823" xr:uid="{00000000-0005-0000-0000-0000D5690000}"/>
    <cellStyle name="Total 4 3 5 2 3" xfId="24953" xr:uid="{00000000-0005-0000-0000-0000D6690000}"/>
    <cellStyle name="Total 4 3 5 2 4" xfId="26470" xr:uid="{00000000-0005-0000-0000-0000D7690000}"/>
    <cellStyle name="Total 4 3 5 3" xfId="10921" xr:uid="{00000000-0005-0000-0000-0000D8690000}"/>
    <cellStyle name="Total 4 3 5 3 2" xfId="21818" xr:uid="{00000000-0005-0000-0000-0000D9690000}"/>
    <cellStyle name="Total 4 3 5 3 3" xfId="25948" xr:uid="{00000000-0005-0000-0000-0000DA690000}"/>
    <cellStyle name="Total 4 3 5 3 4" xfId="27465" xr:uid="{00000000-0005-0000-0000-0000DB690000}"/>
    <cellStyle name="Total 4 3 5 4" xfId="15872" xr:uid="{00000000-0005-0000-0000-0000DC690000}"/>
    <cellStyle name="Total 4 3 5 5" xfId="23264" xr:uid="{00000000-0005-0000-0000-0000DD690000}"/>
    <cellStyle name="Total 4 3 5 6" xfId="22737" xr:uid="{00000000-0005-0000-0000-0000DE690000}"/>
    <cellStyle name="Total 4 3 6" xfId="5593" xr:uid="{00000000-0005-0000-0000-0000DF690000}"/>
    <cellStyle name="Total 4 3 6 2" xfId="16490" xr:uid="{00000000-0005-0000-0000-0000E0690000}"/>
    <cellStyle name="Total 4 3 6 3" xfId="23651" xr:uid="{00000000-0005-0000-0000-0000E1690000}"/>
    <cellStyle name="Total 4 3 6 4" xfId="22101" xr:uid="{00000000-0005-0000-0000-0000E2690000}"/>
    <cellStyle name="Total 4 3 7" xfId="10253" xr:uid="{00000000-0005-0000-0000-0000E3690000}"/>
    <cellStyle name="Total 4 3 7 2" xfId="21150" xr:uid="{00000000-0005-0000-0000-0000E4690000}"/>
    <cellStyle name="Total 4 3 7 3" xfId="25280" xr:uid="{00000000-0005-0000-0000-0000E5690000}"/>
    <cellStyle name="Total 4 3 7 4" xfId="26797" xr:uid="{00000000-0005-0000-0000-0000E6690000}"/>
    <cellStyle name="Total 4 3 8" xfId="11592" xr:uid="{00000000-0005-0000-0000-0000E7690000}"/>
    <cellStyle name="Total 4 3 9" xfId="23171" xr:uid="{00000000-0005-0000-0000-0000E8690000}"/>
    <cellStyle name="Total 4 4" xfId="897" xr:uid="{00000000-0005-0000-0000-0000E9690000}"/>
    <cellStyle name="Total 4 4 2" xfId="2054" xr:uid="{00000000-0005-0000-0000-0000EA690000}"/>
    <cellStyle name="Total 4 4 2 2" xfId="4366" xr:uid="{00000000-0005-0000-0000-0000EB690000}"/>
    <cellStyle name="Total 4 4 2 2 2" xfId="9317" xr:uid="{00000000-0005-0000-0000-0000EC690000}"/>
    <cellStyle name="Total 4 4 2 2 2 2" xfId="20214" xr:uid="{00000000-0005-0000-0000-0000ED690000}"/>
    <cellStyle name="Total 4 4 2 2 2 3" xfId="24736" xr:uid="{00000000-0005-0000-0000-0000EE690000}"/>
    <cellStyle name="Total 4 4 2 2 2 4" xfId="26343" xr:uid="{00000000-0005-0000-0000-0000EF690000}"/>
    <cellStyle name="Total 4 4 2 2 3" xfId="10794" xr:uid="{00000000-0005-0000-0000-0000F0690000}"/>
    <cellStyle name="Total 4 4 2 2 3 2" xfId="21691" xr:uid="{00000000-0005-0000-0000-0000F1690000}"/>
    <cellStyle name="Total 4 4 2 2 3 3" xfId="25821" xr:uid="{00000000-0005-0000-0000-0000F2690000}"/>
    <cellStyle name="Total 4 4 2 2 3 4" xfId="27338" xr:uid="{00000000-0005-0000-0000-0000F3690000}"/>
    <cellStyle name="Total 4 4 2 2 4" xfId="15263" xr:uid="{00000000-0005-0000-0000-0000F4690000}"/>
    <cellStyle name="Total 4 4 2 2 5" xfId="23046" xr:uid="{00000000-0005-0000-0000-0000F5690000}"/>
    <cellStyle name="Total 4 4 2 2 6" xfId="23964" xr:uid="{00000000-0005-0000-0000-0000F6690000}"/>
    <cellStyle name="Total 4 4 2 3" xfId="5174" xr:uid="{00000000-0005-0000-0000-0000F7690000}"/>
    <cellStyle name="Total 4 4 2 3 2" xfId="10125" xr:uid="{00000000-0005-0000-0000-0000F8690000}"/>
    <cellStyle name="Total 4 4 2 3 2 2" xfId="21022" xr:uid="{00000000-0005-0000-0000-0000F9690000}"/>
    <cellStyle name="Total 4 4 2 3 2 3" xfId="25152" xr:uid="{00000000-0005-0000-0000-0000FA690000}"/>
    <cellStyle name="Total 4 4 2 3 2 4" xfId="26669" xr:uid="{00000000-0005-0000-0000-0000FB690000}"/>
    <cellStyle name="Total 4 4 2 3 3" xfId="11120" xr:uid="{00000000-0005-0000-0000-0000FC690000}"/>
    <cellStyle name="Total 4 4 2 3 3 2" xfId="22017" xr:uid="{00000000-0005-0000-0000-0000FD690000}"/>
    <cellStyle name="Total 4 4 2 3 3 3" xfId="26147" xr:uid="{00000000-0005-0000-0000-0000FE690000}"/>
    <cellStyle name="Total 4 4 2 3 3 4" xfId="27664" xr:uid="{00000000-0005-0000-0000-0000FF690000}"/>
    <cellStyle name="Total 4 4 2 3 4" xfId="16071" xr:uid="{00000000-0005-0000-0000-0000006A0000}"/>
    <cellStyle name="Total 4 4 2 3 5" xfId="23463" xr:uid="{00000000-0005-0000-0000-0000016A0000}"/>
    <cellStyle name="Total 4 4 2 3 6" xfId="23127" xr:uid="{00000000-0005-0000-0000-0000026A0000}"/>
    <cellStyle name="Total 4 4 2 4" xfId="7005" xr:uid="{00000000-0005-0000-0000-0000036A0000}"/>
    <cellStyle name="Total 4 4 2 4 2" xfId="17902" xr:uid="{00000000-0005-0000-0000-0000046A0000}"/>
    <cellStyle name="Total 4 4 2 4 3" xfId="24058" xr:uid="{00000000-0005-0000-0000-0000056A0000}"/>
    <cellStyle name="Total 4 4 2 4 4" xfId="22450" xr:uid="{00000000-0005-0000-0000-0000066A0000}"/>
    <cellStyle name="Total 4 4 2 5" xfId="10452" xr:uid="{00000000-0005-0000-0000-0000076A0000}"/>
    <cellStyle name="Total 4 4 2 5 2" xfId="21349" xr:uid="{00000000-0005-0000-0000-0000086A0000}"/>
    <cellStyle name="Total 4 4 2 5 3" xfId="25479" xr:uid="{00000000-0005-0000-0000-0000096A0000}"/>
    <cellStyle name="Total 4 4 2 5 4" xfId="26996" xr:uid="{00000000-0005-0000-0000-00000A6A0000}"/>
    <cellStyle name="Total 4 4 2 6" xfId="12972" xr:uid="{00000000-0005-0000-0000-00000B6A0000}"/>
    <cellStyle name="Total 4 4 2 7" xfId="24010" xr:uid="{00000000-0005-0000-0000-00000C6A0000}"/>
    <cellStyle name="Total 4 4 3" xfId="3221" xr:uid="{00000000-0005-0000-0000-00000D6A0000}"/>
    <cellStyle name="Total 4 4 3 2" xfId="8172" xr:uid="{00000000-0005-0000-0000-00000E6A0000}"/>
    <cellStyle name="Total 4 4 3 2 2" xfId="19069" xr:uid="{00000000-0005-0000-0000-00000F6A0000}"/>
    <cellStyle name="Total 4 4 3 2 3" xfId="24406" xr:uid="{00000000-0005-0000-0000-0000106A0000}"/>
    <cellStyle name="Total 4 4 3 2 4" xfId="24499" xr:uid="{00000000-0005-0000-0000-0000116A0000}"/>
    <cellStyle name="Total 4 4 3 3" xfId="10634" xr:uid="{00000000-0005-0000-0000-0000126A0000}"/>
    <cellStyle name="Total 4 4 3 3 2" xfId="21531" xr:uid="{00000000-0005-0000-0000-0000136A0000}"/>
    <cellStyle name="Total 4 4 3 3 3" xfId="25661" xr:uid="{00000000-0005-0000-0000-0000146A0000}"/>
    <cellStyle name="Total 4 4 3 3 4" xfId="27178" xr:uid="{00000000-0005-0000-0000-0000156A0000}"/>
    <cellStyle name="Total 4 4 3 4" xfId="14118" xr:uid="{00000000-0005-0000-0000-0000166A0000}"/>
    <cellStyle name="Total 4 4 3 5" xfId="22715" xr:uid="{00000000-0005-0000-0000-0000176A0000}"/>
    <cellStyle name="Total 4 4 3 6" xfId="23153" xr:uid="{00000000-0005-0000-0000-0000186A0000}"/>
    <cellStyle name="Total 4 4 4" xfId="5015" xr:uid="{00000000-0005-0000-0000-0000196A0000}"/>
    <cellStyle name="Total 4 4 4 2" xfId="9966" xr:uid="{00000000-0005-0000-0000-00001A6A0000}"/>
    <cellStyle name="Total 4 4 4 2 2" xfId="20863" xr:uid="{00000000-0005-0000-0000-00001B6A0000}"/>
    <cellStyle name="Total 4 4 4 2 3" xfId="24993" xr:uid="{00000000-0005-0000-0000-00001C6A0000}"/>
    <cellStyle name="Total 4 4 4 2 4" xfId="26510" xr:uid="{00000000-0005-0000-0000-00001D6A0000}"/>
    <cellStyle name="Total 4 4 4 3" xfId="10961" xr:uid="{00000000-0005-0000-0000-00001E6A0000}"/>
    <cellStyle name="Total 4 4 4 3 2" xfId="21858" xr:uid="{00000000-0005-0000-0000-00001F6A0000}"/>
    <cellStyle name="Total 4 4 4 3 3" xfId="25988" xr:uid="{00000000-0005-0000-0000-0000206A0000}"/>
    <cellStyle name="Total 4 4 4 3 4" xfId="27505" xr:uid="{00000000-0005-0000-0000-0000216A0000}"/>
    <cellStyle name="Total 4 4 4 4" xfId="15912" xr:uid="{00000000-0005-0000-0000-0000226A0000}"/>
    <cellStyle name="Total 4 4 4 5" xfId="23304" xr:uid="{00000000-0005-0000-0000-0000236A0000}"/>
    <cellStyle name="Total 4 4 4 6" xfId="22636" xr:uid="{00000000-0005-0000-0000-0000246A0000}"/>
    <cellStyle name="Total 4 4 5" xfId="5860" xr:uid="{00000000-0005-0000-0000-0000256A0000}"/>
    <cellStyle name="Total 4 4 5 2" xfId="16757" xr:uid="{00000000-0005-0000-0000-0000266A0000}"/>
    <cellStyle name="Total 4 4 5 3" xfId="23728" xr:uid="{00000000-0005-0000-0000-0000276A0000}"/>
    <cellStyle name="Total 4 4 5 4" xfId="24210" xr:uid="{00000000-0005-0000-0000-0000286A0000}"/>
    <cellStyle name="Total 4 4 6" xfId="10293" xr:uid="{00000000-0005-0000-0000-0000296A0000}"/>
    <cellStyle name="Total 4 4 6 2" xfId="21190" xr:uid="{00000000-0005-0000-0000-00002A6A0000}"/>
    <cellStyle name="Total 4 4 6 3" xfId="25320" xr:uid="{00000000-0005-0000-0000-00002B6A0000}"/>
    <cellStyle name="Total 4 4 6 4" xfId="26837" xr:uid="{00000000-0005-0000-0000-00002C6A0000}"/>
    <cellStyle name="Total 4 4 7" xfId="11854" xr:uid="{00000000-0005-0000-0000-00002D6A0000}"/>
    <cellStyle name="Total 4 4 8" xfId="23732" xr:uid="{00000000-0005-0000-0000-00002E6A0000}"/>
    <cellStyle name="Total 4 5" xfId="2689" xr:uid="{00000000-0005-0000-0000-00002F6A0000}"/>
    <cellStyle name="Total 4 5 2" xfId="7640" xr:uid="{00000000-0005-0000-0000-0000306A0000}"/>
    <cellStyle name="Total 4 5 2 2" xfId="18537" xr:uid="{00000000-0005-0000-0000-0000316A0000}"/>
    <cellStyle name="Total 4 5 2 3" xfId="24258" xr:uid="{00000000-0005-0000-0000-0000326A0000}"/>
    <cellStyle name="Total 4 5 2 4" xfId="22321" xr:uid="{00000000-0005-0000-0000-0000336A0000}"/>
    <cellStyle name="Total 4 5 3" xfId="10554" xr:uid="{00000000-0005-0000-0000-0000346A0000}"/>
    <cellStyle name="Total 4 5 3 2" xfId="21451" xr:uid="{00000000-0005-0000-0000-0000356A0000}"/>
    <cellStyle name="Total 4 5 3 3" xfId="25581" xr:uid="{00000000-0005-0000-0000-0000366A0000}"/>
    <cellStyle name="Total 4 5 3 4" xfId="27098" xr:uid="{00000000-0005-0000-0000-0000376A0000}"/>
    <cellStyle name="Total 4 5 4" xfId="13586" xr:uid="{00000000-0005-0000-0000-0000386A0000}"/>
    <cellStyle name="Total 4 5 5" xfId="22558" xr:uid="{00000000-0005-0000-0000-0000396A0000}"/>
    <cellStyle name="Total 4 5 6" xfId="23763" xr:uid="{00000000-0005-0000-0000-00003A6A0000}"/>
    <cellStyle name="Total 4 6" xfId="4935" xr:uid="{00000000-0005-0000-0000-00003B6A0000}"/>
    <cellStyle name="Total 4 6 2" xfId="9886" xr:uid="{00000000-0005-0000-0000-00003C6A0000}"/>
    <cellStyle name="Total 4 6 2 2" xfId="20783" xr:uid="{00000000-0005-0000-0000-00003D6A0000}"/>
    <cellStyle name="Total 4 6 2 3" xfId="24913" xr:uid="{00000000-0005-0000-0000-00003E6A0000}"/>
    <cellStyle name="Total 4 6 2 4" xfId="26430" xr:uid="{00000000-0005-0000-0000-00003F6A0000}"/>
    <cellStyle name="Total 4 6 3" xfId="10881" xr:uid="{00000000-0005-0000-0000-0000406A0000}"/>
    <cellStyle name="Total 4 6 3 2" xfId="21778" xr:uid="{00000000-0005-0000-0000-0000416A0000}"/>
    <cellStyle name="Total 4 6 3 3" xfId="25908" xr:uid="{00000000-0005-0000-0000-0000426A0000}"/>
    <cellStyle name="Total 4 6 3 4" xfId="27425" xr:uid="{00000000-0005-0000-0000-0000436A0000}"/>
    <cellStyle name="Total 4 6 4" xfId="15832" xr:uid="{00000000-0005-0000-0000-0000446A0000}"/>
    <cellStyle name="Total 4 6 5" xfId="23224" xr:uid="{00000000-0005-0000-0000-0000456A0000}"/>
    <cellStyle name="Total 4 6 6" xfId="23560" xr:uid="{00000000-0005-0000-0000-0000466A0000}"/>
    <cellStyle name="Total 4 7" xfId="5328" xr:uid="{00000000-0005-0000-0000-0000476A0000}"/>
    <cellStyle name="Total 4 7 2" xfId="16225" xr:uid="{00000000-0005-0000-0000-0000486A0000}"/>
    <cellStyle name="Total 4 7 3" xfId="23578" xr:uid="{00000000-0005-0000-0000-0000496A0000}"/>
    <cellStyle name="Total 4 7 4" xfId="11263" xr:uid="{00000000-0005-0000-0000-00004A6A0000}"/>
    <cellStyle name="Total 4 8" xfId="10213" xr:uid="{00000000-0005-0000-0000-00004B6A0000}"/>
    <cellStyle name="Total 4 8 2" xfId="21110" xr:uid="{00000000-0005-0000-0000-00004C6A0000}"/>
    <cellStyle name="Total 4 8 3" xfId="25240" xr:uid="{00000000-0005-0000-0000-00004D6A0000}"/>
    <cellStyle name="Total 4 8 4" xfId="26757" xr:uid="{00000000-0005-0000-0000-00004E6A0000}"/>
    <cellStyle name="Total 4 9" xfId="11331" xr:uid="{00000000-0005-0000-0000-00004F6A0000}"/>
    <cellStyle name="Total 5" xfId="361" xr:uid="{00000000-0005-0000-0000-0000506A0000}"/>
    <cellStyle name="Total 5 10" xfId="24646" xr:uid="{00000000-0005-0000-0000-0000516A0000}"/>
    <cellStyle name="Total 5 2" xfId="465" xr:uid="{00000000-0005-0000-0000-0000526A0000}"/>
    <cellStyle name="Total 5 2 10" xfId="22511" xr:uid="{00000000-0005-0000-0000-0000536A0000}"/>
    <cellStyle name="Total 5 2 2" xfId="730" xr:uid="{00000000-0005-0000-0000-0000546A0000}"/>
    <cellStyle name="Total 5 2 2 2" xfId="1262" xr:uid="{00000000-0005-0000-0000-0000556A0000}"/>
    <cellStyle name="Total 5 2 2 2 2" xfId="2419" xr:uid="{00000000-0005-0000-0000-0000566A0000}"/>
    <cellStyle name="Total 5 2 2 2 2 2" xfId="4731" xr:uid="{00000000-0005-0000-0000-0000576A0000}"/>
    <cellStyle name="Total 5 2 2 2 2 2 2" xfId="9682" xr:uid="{00000000-0005-0000-0000-0000586A0000}"/>
    <cellStyle name="Total 5 2 2 2 2 2 2 2" xfId="20579" xr:uid="{00000000-0005-0000-0000-0000596A0000}"/>
    <cellStyle name="Total 5 2 2 2 2 2 2 3" xfId="24835" xr:uid="{00000000-0005-0000-0000-00005A6A0000}"/>
    <cellStyle name="Total 5 2 2 2 2 2 2 4" xfId="26399" xr:uid="{00000000-0005-0000-0000-00005B6A0000}"/>
    <cellStyle name="Total 5 2 2 2 2 2 3" xfId="10850" xr:uid="{00000000-0005-0000-0000-00005C6A0000}"/>
    <cellStyle name="Total 5 2 2 2 2 2 3 2" xfId="21747" xr:uid="{00000000-0005-0000-0000-00005D6A0000}"/>
    <cellStyle name="Total 5 2 2 2 2 2 3 3" xfId="25877" xr:uid="{00000000-0005-0000-0000-00005E6A0000}"/>
    <cellStyle name="Total 5 2 2 2 2 2 3 4" xfId="27394" xr:uid="{00000000-0005-0000-0000-00005F6A0000}"/>
    <cellStyle name="Total 5 2 2 2 2 2 4" xfId="15628" xr:uid="{00000000-0005-0000-0000-0000606A0000}"/>
    <cellStyle name="Total 5 2 2 2 2 2 5" xfId="23148" xr:uid="{00000000-0005-0000-0000-0000616A0000}"/>
    <cellStyle name="Total 5 2 2 2 2 2 6" xfId="24630" xr:uid="{00000000-0005-0000-0000-0000626A0000}"/>
    <cellStyle name="Total 5 2 2 2 2 3" xfId="5230" xr:uid="{00000000-0005-0000-0000-0000636A0000}"/>
    <cellStyle name="Total 5 2 2 2 2 3 2" xfId="10181" xr:uid="{00000000-0005-0000-0000-0000646A0000}"/>
    <cellStyle name="Total 5 2 2 2 2 3 2 2" xfId="21078" xr:uid="{00000000-0005-0000-0000-0000656A0000}"/>
    <cellStyle name="Total 5 2 2 2 2 3 2 3" xfId="25208" xr:uid="{00000000-0005-0000-0000-0000666A0000}"/>
    <cellStyle name="Total 5 2 2 2 2 3 2 4" xfId="26725" xr:uid="{00000000-0005-0000-0000-0000676A0000}"/>
    <cellStyle name="Total 5 2 2 2 2 3 3" xfId="11176" xr:uid="{00000000-0005-0000-0000-0000686A0000}"/>
    <cellStyle name="Total 5 2 2 2 2 3 3 2" xfId="22073" xr:uid="{00000000-0005-0000-0000-0000696A0000}"/>
    <cellStyle name="Total 5 2 2 2 2 3 3 3" xfId="26203" xr:uid="{00000000-0005-0000-0000-00006A6A0000}"/>
    <cellStyle name="Total 5 2 2 2 2 3 3 4" xfId="27720" xr:uid="{00000000-0005-0000-0000-00006B6A0000}"/>
    <cellStyle name="Total 5 2 2 2 2 3 4" xfId="16127" xr:uid="{00000000-0005-0000-0000-00006C6A0000}"/>
    <cellStyle name="Total 5 2 2 2 2 3 5" xfId="23519" xr:uid="{00000000-0005-0000-0000-00006D6A0000}"/>
    <cellStyle name="Total 5 2 2 2 2 3 6" xfId="22565" xr:uid="{00000000-0005-0000-0000-00006E6A0000}"/>
    <cellStyle name="Total 5 2 2 2 2 4" xfId="7370" xr:uid="{00000000-0005-0000-0000-00006F6A0000}"/>
    <cellStyle name="Total 5 2 2 2 2 4 2" xfId="18267" xr:uid="{00000000-0005-0000-0000-0000706A0000}"/>
    <cellStyle name="Total 5 2 2 2 2 4 3" xfId="24159" xr:uid="{00000000-0005-0000-0000-0000716A0000}"/>
    <cellStyle name="Total 5 2 2 2 2 4 4" xfId="22732" xr:uid="{00000000-0005-0000-0000-0000726A0000}"/>
    <cellStyle name="Total 5 2 2 2 2 5" xfId="10508" xr:uid="{00000000-0005-0000-0000-0000736A0000}"/>
    <cellStyle name="Total 5 2 2 2 2 5 2" xfId="21405" xr:uid="{00000000-0005-0000-0000-0000746A0000}"/>
    <cellStyle name="Total 5 2 2 2 2 5 3" xfId="25535" xr:uid="{00000000-0005-0000-0000-0000756A0000}"/>
    <cellStyle name="Total 5 2 2 2 2 5 4" xfId="27052" xr:uid="{00000000-0005-0000-0000-0000766A0000}"/>
    <cellStyle name="Total 5 2 2 2 2 6" xfId="13330" xr:uid="{00000000-0005-0000-0000-0000776A0000}"/>
    <cellStyle name="Total 5 2 2 2 2 7" xfId="22434" xr:uid="{00000000-0005-0000-0000-0000786A0000}"/>
    <cellStyle name="Total 5 2 2 2 3" xfId="3586" xr:uid="{00000000-0005-0000-0000-0000796A0000}"/>
    <cellStyle name="Total 5 2 2 2 3 2" xfId="8537" xr:uid="{00000000-0005-0000-0000-00007A6A0000}"/>
    <cellStyle name="Total 5 2 2 2 3 2 2" xfId="19434" xr:uid="{00000000-0005-0000-0000-00007B6A0000}"/>
    <cellStyle name="Total 5 2 2 2 3 2 3" xfId="24510" xr:uid="{00000000-0005-0000-0000-00007C6A0000}"/>
    <cellStyle name="Total 5 2 2 2 3 2 4" xfId="26239" xr:uid="{00000000-0005-0000-0000-00007D6A0000}"/>
    <cellStyle name="Total 5 2 2 2 3 3" xfId="10690" xr:uid="{00000000-0005-0000-0000-00007E6A0000}"/>
    <cellStyle name="Total 5 2 2 2 3 3 2" xfId="21587" xr:uid="{00000000-0005-0000-0000-00007F6A0000}"/>
    <cellStyle name="Total 5 2 2 2 3 3 3" xfId="25717" xr:uid="{00000000-0005-0000-0000-0000806A0000}"/>
    <cellStyle name="Total 5 2 2 2 3 3 4" xfId="27234" xr:uid="{00000000-0005-0000-0000-0000816A0000}"/>
    <cellStyle name="Total 5 2 2 2 3 4" xfId="14483" xr:uid="{00000000-0005-0000-0000-0000826A0000}"/>
    <cellStyle name="Total 5 2 2 2 3 5" xfId="22820" xr:uid="{00000000-0005-0000-0000-0000836A0000}"/>
    <cellStyle name="Total 5 2 2 2 3 6" xfId="24438" xr:uid="{00000000-0005-0000-0000-0000846A0000}"/>
    <cellStyle name="Total 5 2 2 2 4" xfId="5071" xr:uid="{00000000-0005-0000-0000-0000856A0000}"/>
    <cellStyle name="Total 5 2 2 2 4 2" xfId="10022" xr:uid="{00000000-0005-0000-0000-0000866A0000}"/>
    <cellStyle name="Total 5 2 2 2 4 2 2" xfId="20919" xr:uid="{00000000-0005-0000-0000-0000876A0000}"/>
    <cellStyle name="Total 5 2 2 2 4 2 3" xfId="25049" xr:uid="{00000000-0005-0000-0000-0000886A0000}"/>
    <cellStyle name="Total 5 2 2 2 4 2 4" xfId="26566" xr:uid="{00000000-0005-0000-0000-0000896A0000}"/>
    <cellStyle name="Total 5 2 2 2 4 3" xfId="11017" xr:uid="{00000000-0005-0000-0000-00008A6A0000}"/>
    <cellStyle name="Total 5 2 2 2 4 3 2" xfId="21914" xr:uid="{00000000-0005-0000-0000-00008B6A0000}"/>
    <cellStyle name="Total 5 2 2 2 4 3 3" xfId="26044" xr:uid="{00000000-0005-0000-0000-00008C6A0000}"/>
    <cellStyle name="Total 5 2 2 2 4 3 4" xfId="27561" xr:uid="{00000000-0005-0000-0000-00008D6A0000}"/>
    <cellStyle name="Total 5 2 2 2 4 4" xfId="15968" xr:uid="{00000000-0005-0000-0000-00008E6A0000}"/>
    <cellStyle name="Total 5 2 2 2 4 5" xfId="23360" xr:uid="{00000000-0005-0000-0000-00008F6A0000}"/>
    <cellStyle name="Total 5 2 2 2 4 6" xfId="22949" xr:uid="{00000000-0005-0000-0000-0000906A0000}"/>
    <cellStyle name="Total 5 2 2 2 5" xfId="6225" xr:uid="{00000000-0005-0000-0000-0000916A0000}"/>
    <cellStyle name="Total 5 2 2 2 5 2" xfId="17122" xr:uid="{00000000-0005-0000-0000-0000926A0000}"/>
    <cellStyle name="Total 5 2 2 2 5 3" xfId="23835" xr:uid="{00000000-0005-0000-0000-0000936A0000}"/>
    <cellStyle name="Total 5 2 2 2 5 4" xfId="23934" xr:uid="{00000000-0005-0000-0000-0000946A0000}"/>
    <cellStyle name="Total 5 2 2 2 6" xfId="10349" xr:uid="{00000000-0005-0000-0000-0000956A0000}"/>
    <cellStyle name="Total 5 2 2 2 6 2" xfId="21246" xr:uid="{00000000-0005-0000-0000-0000966A0000}"/>
    <cellStyle name="Total 5 2 2 2 6 3" xfId="25376" xr:uid="{00000000-0005-0000-0000-0000976A0000}"/>
    <cellStyle name="Total 5 2 2 2 6 4" xfId="26893" xr:uid="{00000000-0005-0000-0000-0000986A0000}"/>
    <cellStyle name="Total 5 2 2 2 7" xfId="12212" xr:uid="{00000000-0005-0000-0000-0000996A0000}"/>
    <cellStyle name="Total 5 2 2 2 8" xfId="23124" xr:uid="{00000000-0005-0000-0000-00009A6A0000}"/>
    <cellStyle name="Total 5 2 2 3" xfId="1412" xr:uid="{00000000-0005-0000-0000-00009B6A0000}"/>
    <cellStyle name="Total 5 2 2 3 2" xfId="3736" xr:uid="{00000000-0005-0000-0000-00009C6A0000}"/>
    <cellStyle name="Total 5 2 2 3 2 2" xfId="8687" xr:uid="{00000000-0005-0000-0000-00009D6A0000}"/>
    <cellStyle name="Total 5 2 2 3 2 2 2" xfId="19584" xr:uid="{00000000-0005-0000-0000-00009E6A0000}"/>
    <cellStyle name="Total 5 2 2 3 2 2 3" xfId="24581" xr:uid="{00000000-0005-0000-0000-00009F6A0000}"/>
    <cellStyle name="Total 5 2 2 3 2 2 4" xfId="26299" xr:uid="{00000000-0005-0000-0000-0000A06A0000}"/>
    <cellStyle name="Total 5 2 2 3 2 3" xfId="10750" xr:uid="{00000000-0005-0000-0000-0000A16A0000}"/>
    <cellStyle name="Total 5 2 2 3 2 3 2" xfId="21647" xr:uid="{00000000-0005-0000-0000-0000A26A0000}"/>
    <cellStyle name="Total 5 2 2 3 2 3 3" xfId="25777" xr:uid="{00000000-0005-0000-0000-0000A36A0000}"/>
    <cellStyle name="Total 5 2 2 3 2 3 4" xfId="27294" xr:uid="{00000000-0005-0000-0000-0000A46A0000}"/>
    <cellStyle name="Total 5 2 2 3 2 4" xfId="14633" xr:uid="{00000000-0005-0000-0000-0000A56A0000}"/>
    <cellStyle name="Total 5 2 2 3 2 5" xfId="22893" xr:uid="{00000000-0005-0000-0000-0000A66A0000}"/>
    <cellStyle name="Total 5 2 2 3 2 6" xfId="22149" xr:uid="{00000000-0005-0000-0000-0000A76A0000}"/>
    <cellStyle name="Total 5 2 2 3 3" xfId="5131" xr:uid="{00000000-0005-0000-0000-0000A86A0000}"/>
    <cellStyle name="Total 5 2 2 3 3 2" xfId="10082" xr:uid="{00000000-0005-0000-0000-0000A96A0000}"/>
    <cellStyle name="Total 5 2 2 3 3 2 2" xfId="20979" xr:uid="{00000000-0005-0000-0000-0000AA6A0000}"/>
    <cellStyle name="Total 5 2 2 3 3 2 3" xfId="25109" xr:uid="{00000000-0005-0000-0000-0000AB6A0000}"/>
    <cellStyle name="Total 5 2 2 3 3 2 4" xfId="26626" xr:uid="{00000000-0005-0000-0000-0000AC6A0000}"/>
    <cellStyle name="Total 5 2 2 3 3 3" xfId="11077" xr:uid="{00000000-0005-0000-0000-0000AD6A0000}"/>
    <cellStyle name="Total 5 2 2 3 3 3 2" xfId="21974" xr:uid="{00000000-0005-0000-0000-0000AE6A0000}"/>
    <cellStyle name="Total 5 2 2 3 3 3 3" xfId="26104" xr:uid="{00000000-0005-0000-0000-0000AF6A0000}"/>
    <cellStyle name="Total 5 2 2 3 3 3 4" xfId="27621" xr:uid="{00000000-0005-0000-0000-0000B06A0000}"/>
    <cellStyle name="Total 5 2 2 3 3 4" xfId="16028" xr:uid="{00000000-0005-0000-0000-0000B16A0000}"/>
    <cellStyle name="Total 5 2 2 3 3 5" xfId="23420" xr:uid="{00000000-0005-0000-0000-0000B26A0000}"/>
    <cellStyle name="Total 5 2 2 3 3 6" xfId="23928" xr:uid="{00000000-0005-0000-0000-0000B36A0000}"/>
    <cellStyle name="Total 5 2 2 3 4" xfId="6375" xr:uid="{00000000-0005-0000-0000-0000B46A0000}"/>
    <cellStyle name="Total 5 2 2 3 4 2" xfId="17272" xr:uid="{00000000-0005-0000-0000-0000B56A0000}"/>
    <cellStyle name="Total 5 2 2 3 4 3" xfId="23906" xr:uid="{00000000-0005-0000-0000-0000B66A0000}"/>
    <cellStyle name="Total 5 2 2 3 4 4" xfId="23049" xr:uid="{00000000-0005-0000-0000-0000B76A0000}"/>
    <cellStyle name="Total 5 2 2 3 5" xfId="10409" xr:uid="{00000000-0005-0000-0000-0000B86A0000}"/>
    <cellStyle name="Total 5 2 2 3 5 2" xfId="21306" xr:uid="{00000000-0005-0000-0000-0000B96A0000}"/>
    <cellStyle name="Total 5 2 2 3 5 3" xfId="25436" xr:uid="{00000000-0005-0000-0000-0000BA6A0000}"/>
    <cellStyle name="Total 5 2 2 3 5 4" xfId="26953" xr:uid="{00000000-0005-0000-0000-0000BB6A0000}"/>
    <cellStyle name="Total 5 2 2 3 6" xfId="12352" xr:uid="{00000000-0005-0000-0000-0000BC6A0000}"/>
    <cellStyle name="Total 5 2 2 3 7" xfId="23698" xr:uid="{00000000-0005-0000-0000-0000BD6A0000}"/>
    <cellStyle name="Total 5 2 2 4" xfId="3054" xr:uid="{00000000-0005-0000-0000-0000BE6A0000}"/>
    <cellStyle name="Total 5 2 2 4 2" xfId="8005" xr:uid="{00000000-0005-0000-0000-0000BF6A0000}"/>
    <cellStyle name="Total 5 2 2 4 2 2" xfId="18902" xr:uid="{00000000-0005-0000-0000-0000C06A0000}"/>
    <cellStyle name="Total 5 2 2 4 2 3" xfId="24354" xr:uid="{00000000-0005-0000-0000-0000C16A0000}"/>
    <cellStyle name="Total 5 2 2 4 2 4" xfId="23984" xr:uid="{00000000-0005-0000-0000-0000C26A0000}"/>
    <cellStyle name="Total 5 2 2 4 3" xfId="10610" xr:uid="{00000000-0005-0000-0000-0000C36A0000}"/>
    <cellStyle name="Total 5 2 2 4 3 2" xfId="21507" xr:uid="{00000000-0005-0000-0000-0000C46A0000}"/>
    <cellStyle name="Total 5 2 2 4 3 3" xfId="25637" xr:uid="{00000000-0005-0000-0000-0000C56A0000}"/>
    <cellStyle name="Total 5 2 2 4 3 4" xfId="27154" xr:uid="{00000000-0005-0000-0000-0000C66A0000}"/>
    <cellStyle name="Total 5 2 2 4 4" xfId="13951" xr:uid="{00000000-0005-0000-0000-0000C76A0000}"/>
    <cellStyle name="Total 5 2 2 4 5" xfId="22658" xr:uid="{00000000-0005-0000-0000-0000C86A0000}"/>
    <cellStyle name="Total 5 2 2 4 6" xfId="24668" xr:uid="{00000000-0005-0000-0000-0000C96A0000}"/>
    <cellStyle name="Total 5 2 2 5" xfId="4991" xr:uid="{00000000-0005-0000-0000-0000CA6A0000}"/>
    <cellStyle name="Total 5 2 2 5 2" xfId="9942" xr:uid="{00000000-0005-0000-0000-0000CB6A0000}"/>
    <cellStyle name="Total 5 2 2 5 2 2" xfId="20839" xr:uid="{00000000-0005-0000-0000-0000CC6A0000}"/>
    <cellStyle name="Total 5 2 2 5 2 3" xfId="24969" xr:uid="{00000000-0005-0000-0000-0000CD6A0000}"/>
    <cellStyle name="Total 5 2 2 5 2 4" xfId="26486" xr:uid="{00000000-0005-0000-0000-0000CE6A0000}"/>
    <cellStyle name="Total 5 2 2 5 3" xfId="10937" xr:uid="{00000000-0005-0000-0000-0000CF6A0000}"/>
    <cellStyle name="Total 5 2 2 5 3 2" xfId="21834" xr:uid="{00000000-0005-0000-0000-0000D06A0000}"/>
    <cellStyle name="Total 5 2 2 5 3 3" xfId="25964" xr:uid="{00000000-0005-0000-0000-0000D16A0000}"/>
    <cellStyle name="Total 5 2 2 5 3 4" xfId="27481" xr:uid="{00000000-0005-0000-0000-0000D26A0000}"/>
    <cellStyle name="Total 5 2 2 5 4" xfId="15888" xr:uid="{00000000-0005-0000-0000-0000D36A0000}"/>
    <cellStyle name="Total 5 2 2 5 5" xfId="23280" xr:uid="{00000000-0005-0000-0000-0000D46A0000}"/>
    <cellStyle name="Total 5 2 2 5 6" xfId="24155" xr:uid="{00000000-0005-0000-0000-0000D56A0000}"/>
    <cellStyle name="Total 5 2 2 6" xfId="5693" xr:uid="{00000000-0005-0000-0000-0000D66A0000}"/>
    <cellStyle name="Total 5 2 2 6 2" xfId="16590" xr:uid="{00000000-0005-0000-0000-0000D76A0000}"/>
    <cellStyle name="Total 5 2 2 6 3" xfId="23678" xr:uid="{00000000-0005-0000-0000-0000D86A0000}"/>
    <cellStyle name="Total 5 2 2 6 4" xfId="24590" xr:uid="{00000000-0005-0000-0000-0000D96A0000}"/>
    <cellStyle name="Total 5 2 2 7" xfId="10269" xr:uid="{00000000-0005-0000-0000-0000DA6A0000}"/>
    <cellStyle name="Total 5 2 2 7 2" xfId="21166" xr:uid="{00000000-0005-0000-0000-0000DB6A0000}"/>
    <cellStyle name="Total 5 2 2 7 3" xfId="25296" xr:uid="{00000000-0005-0000-0000-0000DC6A0000}"/>
    <cellStyle name="Total 5 2 2 7 4" xfId="26813" xr:uid="{00000000-0005-0000-0000-0000DD6A0000}"/>
    <cellStyle name="Total 5 2 2 8" xfId="11691" xr:uid="{00000000-0005-0000-0000-0000DE6A0000}"/>
    <cellStyle name="Total 5 2 2 9" xfId="22229" xr:uid="{00000000-0005-0000-0000-0000DF6A0000}"/>
    <cellStyle name="Total 5 2 3" xfId="997" xr:uid="{00000000-0005-0000-0000-0000E06A0000}"/>
    <cellStyle name="Total 5 2 3 2" xfId="2154" xr:uid="{00000000-0005-0000-0000-0000E16A0000}"/>
    <cellStyle name="Total 5 2 3 2 2" xfId="4466" xr:uid="{00000000-0005-0000-0000-0000E26A0000}"/>
    <cellStyle name="Total 5 2 3 2 2 2" xfId="9417" xr:uid="{00000000-0005-0000-0000-0000E36A0000}"/>
    <cellStyle name="Total 5 2 3 2 2 2 2" xfId="20314" xr:uid="{00000000-0005-0000-0000-0000E46A0000}"/>
    <cellStyle name="Total 5 2 3 2 2 2 3" xfId="24760" xr:uid="{00000000-0005-0000-0000-0000E56A0000}"/>
    <cellStyle name="Total 5 2 3 2 2 2 4" xfId="26359" xr:uid="{00000000-0005-0000-0000-0000E66A0000}"/>
    <cellStyle name="Total 5 2 3 2 2 3" xfId="10810" xr:uid="{00000000-0005-0000-0000-0000E76A0000}"/>
    <cellStyle name="Total 5 2 3 2 2 3 2" xfId="21707" xr:uid="{00000000-0005-0000-0000-0000E86A0000}"/>
    <cellStyle name="Total 5 2 3 2 2 3 3" xfId="25837" xr:uid="{00000000-0005-0000-0000-0000E96A0000}"/>
    <cellStyle name="Total 5 2 3 2 2 3 4" xfId="27354" xr:uid="{00000000-0005-0000-0000-0000EA6A0000}"/>
    <cellStyle name="Total 5 2 3 2 2 4" xfId="15363" xr:uid="{00000000-0005-0000-0000-0000EB6A0000}"/>
    <cellStyle name="Total 5 2 3 2 2 5" xfId="23071" xr:uid="{00000000-0005-0000-0000-0000EC6A0000}"/>
    <cellStyle name="Total 5 2 3 2 2 6" xfId="11238" xr:uid="{00000000-0005-0000-0000-0000ED6A0000}"/>
    <cellStyle name="Total 5 2 3 2 3" xfId="5190" xr:uid="{00000000-0005-0000-0000-0000EE6A0000}"/>
    <cellStyle name="Total 5 2 3 2 3 2" xfId="10141" xr:uid="{00000000-0005-0000-0000-0000EF6A0000}"/>
    <cellStyle name="Total 5 2 3 2 3 2 2" xfId="21038" xr:uid="{00000000-0005-0000-0000-0000F06A0000}"/>
    <cellStyle name="Total 5 2 3 2 3 2 3" xfId="25168" xr:uid="{00000000-0005-0000-0000-0000F16A0000}"/>
    <cellStyle name="Total 5 2 3 2 3 2 4" xfId="26685" xr:uid="{00000000-0005-0000-0000-0000F26A0000}"/>
    <cellStyle name="Total 5 2 3 2 3 3" xfId="11136" xr:uid="{00000000-0005-0000-0000-0000F36A0000}"/>
    <cellStyle name="Total 5 2 3 2 3 3 2" xfId="22033" xr:uid="{00000000-0005-0000-0000-0000F46A0000}"/>
    <cellStyle name="Total 5 2 3 2 3 3 3" xfId="26163" xr:uid="{00000000-0005-0000-0000-0000F56A0000}"/>
    <cellStyle name="Total 5 2 3 2 3 3 4" xfId="27680" xr:uid="{00000000-0005-0000-0000-0000F66A0000}"/>
    <cellStyle name="Total 5 2 3 2 3 4" xfId="16087" xr:uid="{00000000-0005-0000-0000-0000F76A0000}"/>
    <cellStyle name="Total 5 2 3 2 3 5" xfId="23479" xr:uid="{00000000-0005-0000-0000-0000F86A0000}"/>
    <cellStyle name="Total 5 2 3 2 3 6" xfId="23086" xr:uid="{00000000-0005-0000-0000-0000F96A0000}"/>
    <cellStyle name="Total 5 2 3 2 4" xfId="7105" xr:uid="{00000000-0005-0000-0000-0000FA6A0000}"/>
    <cellStyle name="Total 5 2 3 2 4 2" xfId="18002" xr:uid="{00000000-0005-0000-0000-0000FB6A0000}"/>
    <cellStyle name="Total 5 2 3 2 4 3" xfId="24083" xr:uid="{00000000-0005-0000-0000-0000FC6A0000}"/>
    <cellStyle name="Total 5 2 3 2 4 4" xfId="23597" xr:uid="{00000000-0005-0000-0000-0000FD6A0000}"/>
    <cellStyle name="Total 5 2 3 2 5" xfId="10468" xr:uid="{00000000-0005-0000-0000-0000FE6A0000}"/>
    <cellStyle name="Total 5 2 3 2 5 2" xfId="21365" xr:uid="{00000000-0005-0000-0000-0000FF6A0000}"/>
    <cellStyle name="Total 5 2 3 2 5 3" xfId="25495" xr:uid="{00000000-0005-0000-0000-0000006B0000}"/>
    <cellStyle name="Total 5 2 3 2 5 4" xfId="27012" xr:uid="{00000000-0005-0000-0000-0000016B0000}"/>
    <cellStyle name="Total 5 2 3 2 6" xfId="13071" xr:uid="{00000000-0005-0000-0000-0000026B0000}"/>
    <cellStyle name="Total 5 2 3 2 7" xfId="22985" xr:uid="{00000000-0005-0000-0000-0000036B0000}"/>
    <cellStyle name="Total 5 2 3 3" xfId="3321" xr:uid="{00000000-0005-0000-0000-0000046B0000}"/>
    <cellStyle name="Total 5 2 3 3 2" xfId="8272" xr:uid="{00000000-0005-0000-0000-0000056B0000}"/>
    <cellStyle name="Total 5 2 3 3 2 2" xfId="19169" xr:uid="{00000000-0005-0000-0000-0000066B0000}"/>
    <cellStyle name="Total 5 2 3 3 2 3" xfId="24434" xr:uid="{00000000-0005-0000-0000-0000076B0000}"/>
    <cellStyle name="Total 5 2 3 3 2 4" xfId="22448" xr:uid="{00000000-0005-0000-0000-0000086B0000}"/>
    <cellStyle name="Total 5 2 3 3 3" xfId="10650" xr:uid="{00000000-0005-0000-0000-0000096B0000}"/>
    <cellStyle name="Total 5 2 3 3 3 2" xfId="21547" xr:uid="{00000000-0005-0000-0000-00000A6B0000}"/>
    <cellStyle name="Total 5 2 3 3 3 3" xfId="25677" xr:uid="{00000000-0005-0000-0000-00000B6B0000}"/>
    <cellStyle name="Total 5 2 3 3 3 4" xfId="27194" xr:uid="{00000000-0005-0000-0000-00000C6B0000}"/>
    <cellStyle name="Total 5 2 3 3 4" xfId="14218" xr:uid="{00000000-0005-0000-0000-00000D6B0000}"/>
    <cellStyle name="Total 5 2 3 3 5" xfId="22741" xr:uid="{00000000-0005-0000-0000-00000E6B0000}"/>
    <cellStyle name="Total 5 2 3 3 6" xfId="22132" xr:uid="{00000000-0005-0000-0000-00000F6B0000}"/>
    <cellStyle name="Total 5 2 3 4" xfId="5031" xr:uid="{00000000-0005-0000-0000-0000106B0000}"/>
    <cellStyle name="Total 5 2 3 4 2" xfId="9982" xr:uid="{00000000-0005-0000-0000-0000116B0000}"/>
    <cellStyle name="Total 5 2 3 4 2 2" xfId="20879" xr:uid="{00000000-0005-0000-0000-0000126B0000}"/>
    <cellStyle name="Total 5 2 3 4 2 3" xfId="25009" xr:uid="{00000000-0005-0000-0000-0000136B0000}"/>
    <cellStyle name="Total 5 2 3 4 2 4" xfId="26526" xr:uid="{00000000-0005-0000-0000-0000146B0000}"/>
    <cellStyle name="Total 5 2 3 4 3" xfId="10977" xr:uid="{00000000-0005-0000-0000-0000156B0000}"/>
    <cellStyle name="Total 5 2 3 4 3 2" xfId="21874" xr:uid="{00000000-0005-0000-0000-0000166B0000}"/>
    <cellStyle name="Total 5 2 3 4 3 3" xfId="26004" xr:uid="{00000000-0005-0000-0000-0000176B0000}"/>
    <cellStyle name="Total 5 2 3 4 3 4" xfId="27521" xr:uid="{00000000-0005-0000-0000-0000186B0000}"/>
    <cellStyle name="Total 5 2 3 4 4" xfId="15928" xr:uid="{00000000-0005-0000-0000-0000196B0000}"/>
    <cellStyle name="Total 5 2 3 4 5" xfId="23320" xr:uid="{00000000-0005-0000-0000-00001A6B0000}"/>
    <cellStyle name="Total 5 2 3 4 6" xfId="22598" xr:uid="{00000000-0005-0000-0000-00001B6B0000}"/>
    <cellStyle name="Total 5 2 3 5" xfId="5960" xr:uid="{00000000-0005-0000-0000-00001C6B0000}"/>
    <cellStyle name="Total 5 2 3 5 2" xfId="16857" xr:uid="{00000000-0005-0000-0000-00001D6B0000}"/>
    <cellStyle name="Total 5 2 3 5 3" xfId="23757" xr:uid="{00000000-0005-0000-0000-00001E6B0000}"/>
    <cellStyle name="Total 5 2 3 5 4" xfId="23706" xr:uid="{00000000-0005-0000-0000-00001F6B0000}"/>
    <cellStyle name="Total 5 2 3 6" xfId="10309" xr:uid="{00000000-0005-0000-0000-0000206B0000}"/>
    <cellStyle name="Total 5 2 3 6 2" xfId="21206" xr:uid="{00000000-0005-0000-0000-0000216B0000}"/>
    <cellStyle name="Total 5 2 3 6 3" xfId="25336" xr:uid="{00000000-0005-0000-0000-0000226B0000}"/>
    <cellStyle name="Total 5 2 3 6 4" xfId="26853" xr:uid="{00000000-0005-0000-0000-0000236B0000}"/>
    <cellStyle name="Total 5 2 3 7" xfId="11953" xr:uid="{00000000-0005-0000-0000-0000246B0000}"/>
    <cellStyle name="Total 5 2 3 8" xfId="22100" xr:uid="{00000000-0005-0000-0000-0000256B0000}"/>
    <cellStyle name="Total 5 2 4" xfId="1372" xr:uid="{00000000-0005-0000-0000-0000266B0000}"/>
    <cellStyle name="Total 5 2 4 2" xfId="3696" xr:uid="{00000000-0005-0000-0000-0000276B0000}"/>
    <cellStyle name="Total 5 2 4 2 2" xfId="8647" xr:uid="{00000000-0005-0000-0000-0000286B0000}"/>
    <cellStyle name="Total 5 2 4 2 2 2" xfId="19544" xr:uid="{00000000-0005-0000-0000-0000296B0000}"/>
    <cellStyle name="Total 5 2 4 2 2 3" xfId="24541" xr:uid="{00000000-0005-0000-0000-00002A6B0000}"/>
    <cellStyle name="Total 5 2 4 2 2 4" xfId="26259" xr:uid="{00000000-0005-0000-0000-00002B6B0000}"/>
    <cellStyle name="Total 5 2 4 2 3" xfId="10710" xr:uid="{00000000-0005-0000-0000-00002C6B0000}"/>
    <cellStyle name="Total 5 2 4 2 3 2" xfId="21607" xr:uid="{00000000-0005-0000-0000-00002D6B0000}"/>
    <cellStyle name="Total 5 2 4 2 3 3" xfId="25737" xr:uid="{00000000-0005-0000-0000-00002E6B0000}"/>
    <cellStyle name="Total 5 2 4 2 3 4" xfId="27254" xr:uid="{00000000-0005-0000-0000-00002F6B0000}"/>
    <cellStyle name="Total 5 2 4 2 4" xfId="14593" xr:uid="{00000000-0005-0000-0000-0000306B0000}"/>
    <cellStyle name="Total 5 2 4 2 5" xfId="22853" xr:uid="{00000000-0005-0000-0000-0000316B0000}"/>
    <cellStyle name="Total 5 2 4 2 6" xfId="22349" xr:uid="{00000000-0005-0000-0000-0000326B0000}"/>
    <cellStyle name="Total 5 2 4 3" xfId="5091" xr:uid="{00000000-0005-0000-0000-0000336B0000}"/>
    <cellStyle name="Total 5 2 4 3 2" xfId="10042" xr:uid="{00000000-0005-0000-0000-0000346B0000}"/>
    <cellStyle name="Total 5 2 4 3 2 2" xfId="20939" xr:uid="{00000000-0005-0000-0000-0000356B0000}"/>
    <cellStyle name="Total 5 2 4 3 2 3" xfId="25069" xr:uid="{00000000-0005-0000-0000-0000366B0000}"/>
    <cellStyle name="Total 5 2 4 3 2 4" xfId="26586" xr:uid="{00000000-0005-0000-0000-0000376B0000}"/>
    <cellStyle name="Total 5 2 4 3 3" xfId="11037" xr:uid="{00000000-0005-0000-0000-0000386B0000}"/>
    <cellStyle name="Total 5 2 4 3 3 2" xfId="21934" xr:uid="{00000000-0005-0000-0000-0000396B0000}"/>
    <cellStyle name="Total 5 2 4 3 3 3" xfId="26064" xr:uid="{00000000-0005-0000-0000-00003A6B0000}"/>
    <cellStyle name="Total 5 2 4 3 3 4" xfId="27581" xr:uid="{00000000-0005-0000-0000-00003B6B0000}"/>
    <cellStyle name="Total 5 2 4 3 4" xfId="15988" xr:uid="{00000000-0005-0000-0000-00003C6B0000}"/>
    <cellStyle name="Total 5 2 4 3 5" xfId="23380" xr:uid="{00000000-0005-0000-0000-00003D6B0000}"/>
    <cellStyle name="Total 5 2 4 3 6" xfId="24142" xr:uid="{00000000-0005-0000-0000-00003E6B0000}"/>
    <cellStyle name="Total 5 2 4 4" xfId="6335" xr:uid="{00000000-0005-0000-0000-00003F6B0000}"/>
    <cellStyle name="Total 5 2 4 4 2" xfId="17232" xr:uid="{00000000-0005-0000-0000-0000406B0000}"/>
    <cellStyle name="Total 5 2 4 4 3" xfId="23866" xr:uid="{00000000-0005-0000-0000-0000416B0000}"/>
    <cellStyle name="Total 5 2 4 4 4" xfId="24883" xr:uid="{00000000-0005-0000-0000-0000426B0000}"/>
    <cellStyle name="Total 5 2 4 5" xfId="10369" xr:uid="{00000000-0005-0000-0000-0000436B0000}"/>
    <cellStyle name="Total 5 2 4 5 2" xfId="21266" xr:uid="{00000000-0005-0000-0000-0000446B0000}"/>
    <cellStyle name="Total 5 2 4 5 3" xfId="25396" xr:uid="{00000000-0005-0000-0000-0000456B0000}"/>
    <cellStyle name="Total 5 2 4 5 4" xfId="26913" xr:uid="{00000000-0005-0000-0000-0000466B0000}"/>
    <cellStyle name="Total 5 2 4 6" xfId="12320" xr:uid="{00000000-0005-0000-0000-0000476B0000}"/>
    <cellStyle name="Total 5 2 4 7" xfId="23916" xr:uid="{00000000-0005-0000-0000-0000486B0000}"/>
    <cellStyle name="Total 5 2 5" xfId="2789" xr:uid="{00000000-0005-0000-0000-0000496B0000}"/>
    <cellStyle name="Total 5 2 5 2" xfId="7740" xr:uid="{00000000-0005-0000-0000-00004A6B0000}"/>
    <cellStyle name="Total 5 2 5 2 2" xfId="18637" xr:uid="{00000000-0005-0000-0000-00004B6B0000}"/>
    <cellStyle name="Total 5 2 5 2 3" xfId="24287" xr:uid="{00000000-0005-0000-0000-00004C6B0000}"/>
    <cellStyle name="Total 5 2 5 2 4" xfId="22691" xr:uid="{00000000-0005-0000-0000-00004D6B0000}"/>
    <cellStyle name="Total 5 2 5 3" xfId="10570" xr:uid="{00000000-0005-0000-0000-00004E6B0000}"/>
    <cellStyle name="Total 5 2 5 3 2" xfId="21467" xr:uid="{00000000-0005-0000-0000-00004F6B0000}"/>
    <cellStyle name="Total 5 2 5 3 3" xfId="25597" xr:uid="{00000000-0005-0000-0000-0000506B0000}"/>
    <cellStyle name="Total 5 2 5 3 4" xfId="27114" xr:uid="{00000000-0005-0000-0000-0000516B0000}"/>
    <cellStyle name="Total 5 2 5 4" xfId="13686" xr:uid="{00000000-0005-0000-0000-0000526B0000}"/>
    <cellStyle name="Total 5 2 5 5" xfId="22588" xr:uid="{00000000-0005-0000-0000-0000536B0000}"/>
    <cellStyle name="Total 5 2 5 6" xfId="24045" xr:uid="{00000000-0005-0000-0000-0000546B0000}"/>
    <cellStyle name="Total 5 2 6" xfId="4951" xr:uid="{00000000-0005-0000-0000-0000556B0000}"/>
    <cellStyle name="Total 5 2 6 2" xfId="9902" xr:uid="{00000000-0005-0000-0000-0000566B0000}"/>
    <cellStyle name="Total 5 2 6 2 2" xfId="20799" xr:uid="{00000000-0005-0000-0000-0000576B0000}"/>
    <cellStyle name="Total 5 2 6 2 3" xfId="24929" xr:uid="{00000000-0005-0000-0000-0000586B0000}"/>
    <cellStyle name="Total 5 2 6 2 4" xfId="26446" xr:uid="{00000000-0005-0000-0000-0000596B0000}"/>
    <cellStyle name="Total 5 2 6 3" xfId="10897" xr:uid="{00000000-0005-0000-0000-00005A6B0000}"/>
    <cellStyle name="Total 5 2 6 3 2" xfId="21794" xr:uid="{00000000-0005-0000-0000-00005B6B0000}"/>
    <cellStyle name="Total 5 2 6 3 3" xfId="25924" xr:uid="{00000000-0005-0000-0000-00005C6B0000}"/>
    <cellStyle name="Total 5 2 6 3 4" xfId="27441" xr:uid="{00000000-0005-0000-0000-00005D6B0000}"/>
    <cellStyle name="Total 5 2 6 4" xfId="15848" xr:uid="{00000000-0005-0000-0000-00005E6B0000}"/>
    <cellStyle name="Total 5 2 6 5" xfId="23240" xr:uid="{00000000-0005-0000-0000-00005F6B0000}"/>
    <cellStyle name="Total 5 2 6 6" xfId="24315" xr:uid="{00000000-0005-0000-0000-0000606B0000}"/>
    <cellStyle name="Total 5 2 7" xfId="5428" xr:uid="{00000000-0005-0000-0000-0000616B0000}"/>
    <cellStyle name="Total 5 2 7 2" xfId="16325" xr:uid="{00000000-0005-0000-0000-0000626B0000}"/>
    <cellStyle name="Total 5 2 7 3" xfId="23606" xr:uid="{00000000-0005-0000-0000-0000636B0000}"/>
    <cellStyle name="Total 5 2 7 4" xfId="23098" xr:uid="{00000000-0005-0000-0000-0000646B0000}"/>
    <cellStyle name="Total 5 2 8" xfId="10229" xr:uid="{00000000-0005-0000-0000-0000656B0000}"/>
    <cellStyle name="Total 5 2 8 2" xfId="21126" xr:uid="{00000000-0005-0000-0000-0000666B0000}"/>
    <cellStyle name="Total 5 2 8 3" xfId="25256" xr:uid="{00000000-0005-0000-0000-0000676B0000}"/>
    <cellStyle name="Total 5 2 8 4" xfId="26773" xr:uid="{00000000-0005-0000-0000-0000686B0000}"/>
    <cellStyle name="Total 5 2 9" xfId="11430" xr:uid="{00000000-0005-0000-0000-0000696B0000}"/>
    <cellStyle name="Total 5 3" xfId="631" xr:uid="{00000000-0005-0000-0000-00006A6B0000}"/>
    <cellStyle name="Total 5 3 2" xfId="1163" xr:uid="{00000000-0005-0000-0000-00006B6B0000}"/>
    <cellStyle name="Total 5 3 2 2" xfId="2320" xr:uid="{00000000-0005-0000-0000-00006C6B0000}"/>
    <cellStyle name="Total 5 3 2 2 2" xfId="4632" xr:uid="{00000000-0005-0000-0000-00006D6B0000}"/>
    <cellStyle name="Total 5 3 2 2 2 2" xfId="9583" xr:uid="{00000000-0005-0000-0000-00006E6B0000}"/>
    <cellStyle name="Total 5 3 2 2 2 2 2" xfId="20480" xr:uid="{00000000-0005-0000-0000-00006F6B0000}"/>
    <cellStyle name="Total 5 3 2 2 2 2 3" xfId="24808" xr:uid="{00000000-0005-0000-0000-0000706B0000}"/>
    <cellStyle name="Total 5 3 2 2 2 2 4" xfId="26384" xr:uid="{00000000-0005-0000-0000-0000716B0000}"/>
    <cellStyle name="Total 5 3 2 2 2 3" xfId="10835" xr:uid="{00000000-0005-0000-0000-0000726B0000}"/>
    <cellStyle name="Total 5 3 2 2 2 3 2" xfId="21732" xr:uid="{00000000-0005-0000-0000-0000736B0000}"/>
    <cellStyle name="Total 5 3 2 2 2 3 3" xfId="25862" xr:uid="{00000000-0005-0000-0000-0000746B0000}"/>
    <cellStyle name="Total 5 3 2 2 2 3 4" xfId="27379" xr:uid="{00000000-0005-0000-0000-0000756B0000}"/>
    <cellStyle name="Total 5 3 2 2 2 4" xfId="15529" xr:uid="{00000000-0005-0000-0000-0000766B0000}"/>
    <cellStyle name="Total 5 3 2 2 2 5" xfId="23121" xr:uid="{00000000-0005-0000-0000-0000776B0000}"/>
    <cellStyle name="Total 5 3 2 2 2 6" xfId="22918" xr:uid="{00000000-0005-0000-0000-0000786B0000}"/>
    <cellStyle name="Total 5 3 2 2 3" xfId="5215" xr:uid="{00000000-0005-0000-0000-0000796B0000}"/>
    <cellStyle name="Total 5 3 2 2 3 2" xfId="10166" xr:uid="{00000000-0005-0000-0000-00007A6B0000}"/>
    <cellStyle name="Total 5 3 2 2 3 2 2" xfId="21063" xr:uid="{00000000-0005-0000-0000-00007B6B0000}"/>
    <cellStyle name="Total 5 3 2 2 3 2 3" xfId="25193" xr:uid="{00000000-0005-0000-0000-00007C6B0000}"/>
    <cellStyle name="Total 5 3 2 2 3 2 4" xfId="26710" xr:uid="{00000000-0005-0000-0000-00007D6B0000}"/>
    <cellStyle name="Total 5 3 2 2 3 3" xfId="11161" xr:uid="{00000000-0005-0000-0000-00007E6B0000}"/>
    <cellStyle name="Total 5 3 2 2 3 3 2" xfId="22058" xr:uid="{00000000-0005-0000-0000-00007F6B0000}"/>
    <cellStyle name="Total 5 3 2 2 3 3 3" xfId="26188" xr:uid="{00000000-0005-0000-0000-0000806B0000}"/>
    <cellStyle name="Total 5 3 2 2 3 3 4" xfId="27705" xr:uid="{00000000-0005-0000-0000-0000816B0000}"/>
    <cellStyle name="Total 5 3 2 2 3 4" xfId="16112" xr:uid="{00000000-0005-0000-0000-0000826B0000}"/>
    <cellStyle name="Total 5 3 2 2 3 5" xfId="23504" xr:uid="{00000000-0005-0000-0000-0000836B0000}"/>
    <cellStyle name="Total 5 3 2 2 3 6" xfId="24218" xr:uid="{00000000-0005-0000-0000-0000846B0000}"/>
    <cellStyle name="Total 5 3 2 2 4" xfId="7271" xr:uid="{00000000-0005-0000-0000-0000856B0000}"/>
    <cellStyle name="Total 5 3 2 2 4 2" xfId="18168" xr:uid="{00000000-0005-0000-0000-0000866B0000}"/>
    <cellStyle name="Total 5 3 2 2 4 3" xfId="24134" xr:uid="{00000000-0005-0000-0000-0000876B0000}"/>
    <cellStyle name="Total 5 3 2 2 4 4" xfId="22309" xr:uid="{00000000-0005-0000-0000-0000886B0000}"/>
    <cellStyle name="Total 5 3 2 2 5" xfId="10493" xr:uid="{00000000-0005-0000-0000-0000896B0000}"/>
    <cellStyle name="Total 5 3 2 2 5 2" xfId="21390" xr:uid="{00000000-0005-0000-0000-00008A6B0000}"/>
    <cellStyle name="Total 5 3 2 2 5 3" xfId="25520" xr:uid="{00000000-0005-0000-0000-00008B6B0000}"/>
    <cellStyle name="Total 5 3 2 2 5 4" xfId="27037" xr:uid="{00000000-0005-0000-0000-00008C6B0000}"/>
    <cellStyle name="Total 5 3 2 2 6" xfId="13232" xr:uid="{00000000-0005-0000-0000-00008D6B0000}"/>
    <cellStyle name="Total 5 3 2 2 7" xfId="24841" xr:uid="{00000000-0005-0000-0000-00008E6B0000}"/>
    <cellStyle name="Total 5 3 2 3" xfId="3487" xr:uid="{00000000-0005-0000-0000-00008F6B0000}"/>
    <cellStyle name="Total 5 3 2 3 2" xfId="8438" xr:uid="{00000000-0005-0000-0000-0000906B0000}"/>
    <cellStyle name="Total 5 3 2 3 2 2" xfId="19335" xr:uid="{00000000-0005-0000-0000-0000916B0000}"/>
    <cellStyle name="Total 5 3 2 3 2 3" xfId="24485" xr:uid="{00000000-0005-0000-0000-0000926B0000}"/>
    <cellStyle name="Total 5 3 2 3 2 4" xfId="11785" xr:uid="{00000000-0005-0000-0000-0000936B0000}"/>
    <cellStyle name="Total 5 3 2 3 3" xfId="10675" xr:uid="{00000000-0005-0000-0000-0000946B0000}"/>
    <cellStyle name="Total 5 3 2 3 3 2" xfId="21572" xr:uid="{00000000-0005-0000-0000-0000956B0000}"/>
    <cellStyle name="Total 5 3 2 3 3 3" xfId="25702" xr:uid="{00000000-0005-0000-0000-0000966B0000}"/>
    <cellStyle name="Total 5 3 2 3 3 4" xfId="27219" xr:uid="{00000000-0005-0000-0000-0000976B0000}"/>
    <cellStyle name="Total 5 3 2 3 4" xfId="14384" xr:uid="{00000000-0005-0000-0000-0000986B0000}"/>
    <cellStyle name="Total 5 3 2 3 5" xfId="22793" xr:uid="{00000000-0005-0000-0000-0000996B0000}"/>
    <cellStyle name="Total 5 3 2 3 6" xfId="22944" xr:uid="{00000000-0005-0000-0000-00009A6B0000}"/>
    <cellStyle name="Total 5 3 2 4" xfId="5056" xr:uid="{00000000-0005-0000-0000-00009B6B0000}"/>
    <cellStyle name="Total 5 3 2 4 2" xfId="10007" xr:uid="{00000000-0005-0000-0000-00009C6B0000}"/>
    <cellStyle name="Total 5 3 2 4 2 2" xfId="20904" xr:uid="{00000000-0005-0000-0000-00009D6B0000}"/>
    <cellStyle name="Total 5 3 2 4 2 3" xfId="25034" xr:uid="{00000000-0005-0000-0000-00009E6B0000}"/>
    <cellStyle name="Total 5 3 2 4 2 4" xfId="26551" xr:uid="{00000000-0005-0000-0000-00009F6B0000}"/>
    <cellStyle name="Total 5 3 2 4 3" xfId="11002" xr:uid="{00000000-0005-0000-0000-0000A06B0000}"/>
    <cellStyle name="Total 5 3 2 4 3 2" xfId="21899" xr:uid="{00000000-0005-0000-0000-0000A16B0000}"/>
    <cellStyle name="Total 5 3 2 4 3 3" xfId="26029" xr:uid="{00000000-0005-0000-0000-0000A26B0000}"/>
    <cellStyle name="Total 5 3 2 4 3 4" xfId="27546" xr:uid="{00000000-0005-0000-0000-0000A36B0000}"/>
    <cellStyle name="Total 5 3 2 4 4" xfId="15953" xr:uid="{00000000-0005-0000-0000-0000A46B0000}"/>
    <cellStyle name="Total 5 3 2 4 5" xfId="23345" xr:uid="{00000000-0005-0000-0000-0000A56B0000}"/>
    <cellStyle name="Total 5 3 2 4 6" xfId="23163" xr:uid="{00000000-0005-0000-0000-0000A66B0000}"/>
    <cellStyle name="Total 5 3 2 5" xfId="6126" xr:uid="{00000000-0005-0000-0000-0000A76B0000}"/>
    <cellStyle name="Total 5 3 2 5 2" xfId="17023" xr:uid="{00000000-0005-0000-0000-0000A86B0000}"/>
    <cellStyle name="Total 5 3 2 5 3" xfId="23808" xr:uid="{00000000-0005-0000-0000-0000A96B0000}"/>
    <cellStyle name="Total 5 3 2 5 4" xfId="22212" xr:uid="{00000000-0005-0000-0000-0000AA6B0000}"/>
    <cellStyle name="Total 5 3 2 6" xfId="10334" xr:uid="{00000000-0005-0000-0000-0000AB6B0000}"/>
    <cellStyle name="Total 5 3 2 6 2" xfId="21231" xr:uid="{00000000-0005-0000-0000-0000AC6B0000}"/>
    <cellStyle name="Total 5 3 2 6 3" xfId="25361" xr:uid="{00000000-0005-0000-0000-0000AD6B0000}"/>
    <cellStyle name="Total 5 3 2 6 4" xfId="26878" xr:uid="{00000000-0005-0000-0000-0000AE6B0000}"/>
    <cellStyle name="Total 5 3 2 7" xfId="12114" xr:uid="{00000000-0005-0000-0000-0000AF6B0000}"/>
    <cellStyle name="Total 5 3 2 8" xfId="22279" xr:uid="{00000000-0005-0000-0000-0000B06B0000}"/>
    <cellStyle name="Total 5 3 3" xfId="1397" xr:uid="{00000000-0005-0000-0000-0000B16B0000}"/>
    <cellStyle name="Total 5 3 3 2" xfId="3721" xr:uid="{00000000-0005-0000-0000-0000B26B0000}"/>
    <cellStyle name="Total 5 3 3 2 2" xfId="8672" xr:uid="{00000000-0005-0000-0000-0000B36B0000}"/>
    <cellStyle name="Total 5 3 3 2 2 2" xfId="19569" xr:uid="{00000000-0005-0000-0000-0000B46B0000}"/>
    <cellStyle name="Total 5 3 3 2 2 3" xfId="24566" xr:uid="{00000000-0005-0000-0000-0000B56B0000}"/>
    <cellStyle name="Total 5 3 3 2 2 4" xfId="26284" xr:uid="{00000000-0005-0000-0000-0000B66B0000}"/>
    <cellStyle name="Total 5 3 3 2 3" xfId="10735" xr:uid="{00000000-0005-0000-0000-0000B76B0000}"/>
    <cellStyle name="Total 5 3 3 2 3 2" xfId="21632" xr:uid="{00000000-0005-0000-0000-0000B86B0000}"/>
    <cellStyle name="Total 5 3 3 2 3 3" xfId="25762" xr:uid="{00000000-0005-0000-0000-0000B96B0000}"/>
    <cellStyle name="Total 5 3 3 2 3 4" xfId="27279" xr:uid="{00000000-0005-0000-0000-0000BA6B0000}"/>
    <cellStyle name="Total 5 3 3 2 4" xfId="14618" xr:uid="{00000000-0005-0000-0000-0000BB6B0000}"/>
    <cellStyle name="Total 5 3 3 2 5" xfId="22878" xr:uid="{00000000-0005-0000-0000-0000BC6B0000}"/>
    <cellStyle name="Total 5 3 3 2 6" xfId="23682" xr:uid="{00000000-0005-0000-0000-0000BD6B0000}"/>
    <cellStyle name="Total 5 3 3 3" xfId="5116" xr:uid="{00000000-0005-0000-0000-0000BE6B0000}"/>
    <cellStyle name="Total 5 3 3 3 2" xfId="10067" xr:uid="{00000000-0005-0000-0000-0000BF6B0000}"/>
    <cellStyle name="Total 5 3 3 3 2 2" xfId="20964" xr:uid="{00000000-0005-0000-0000-0000C06B0000}"/>
    <cellStyle name="Total 5 3 3 3 2 3" xfId="25094" xr:uid="{00000000-0005-0000-0000-0000C16B0000}"/>
    <cellStyle name="Total 5 3 3 3 2 4" xfId="26611" xr:uid="{00000000-0005-0000-0000-0000C26B0000}"/>
    <cellStyle name="Total 5 3 3 3 3" xfId="11062" xr:uid="{00000000-0005-0000-0000-0000C36B0000}"/>
    <cellStyle name="Total 5 3 3 3 3 2" xfId="21959" xr:uid="{00000000-0005-0000-0000-0000C46B0000}"/>
    <cellStyle name="Total 5 3 3 3 3 3" xfId="26089" xr:uid="{00000000-0005-0000-0000-0000C56B0000}"/>
    <cellStyle name="Total 5 3 3 3 3 4" xfId="27606" xr:uid="{00000000-0005-0000-0000-0000C66B0000}"/>
    <cellStyle name="Total 5 3 3 3 4" xfId="16013" xr:uid="{00000000-0005-0000-0000-0000C76B0000}"/>
    <cellStyle name="Total 5 3 3 3 5" xfId="23405" xr:uid="{00000000-0005-0000-0000-0000C86B0000}"/>
    <cellStyle name="Total 5 3 3 3 6" xfId="24702" xr:uid="{00000000-0005-0000-0000-0000C96B0000}"/>
    <cellStyle name="Total 5 3 3 4" xfId="6360" xr:uid="{00000000-0005-0000-0000-0000CA6B0000}"/>
    <cellStyle name="Total 5 3 3 4 2" xfId="17257" xr:uid="{00000000-0005-0000-0000-0000CB6B0000}"/>
    <cellStyle name="Total 5 3 3 4 3" xfId="23891" xr:uid="{00000000-0005-0000-0000-0000CC6B0000}"/>
    <cellStyle name="Total 5 3 3 4 4" xfId="23190" xr:uid="{00000000-0005-0000-0000-0000CD6B0000}"/>
    <cellStyle name="Total 5 3 3 5" xfId="10394" xr:uid="{00000000-0005-0000-0000-0000CE6B0000}"/>
    <cellStyle name="Total 5 3 3 5 2" xfId="21291" xr:uid="{00000000-0005-0000-0000-0000CF6B0000}"/>
    <cellStyle name="Total 5 3 3 5 3" xfId="25421" xr:uid="{00000000-0005-0000-0000-0000D06B0000}"/>
    <cellStyle name="Total 5 3 3 5 4" xfId="26938" xr:uid="{00000000-0005-0000-0000-0000D16B0000}"/>
    <cellStyle name="Total 5 3 3 6" xfId="12339" xr:uid="{00000000-0005-0000-0000-0000D26B0000}"/>
    <cellStyle name="Total 5 3 3 7" xfId="23623" xr:uid="{00000000-0005-0000-0000-0000D36B0000}"/>
    <cellStyle name="Total 5 3 4" xfId="2955" xr:uid="{00000000-0005-0000-0000-0000D46B0000}"/>
    <cellStyle name="Total 5 3 4 2" xfId="7906" xr:uid="{00000000-0005-0000-0000-0000D56B0000}"/>
    <cellStyle name="Total 5 3 4 2 2" xfId="18803" xr:uid="{00000000-0005-0000-0000-0000D66B0000}"/>
    <cellStyle name="Total 5 3 4 2 3" xfId="24331" xr:uid="{00000000-0005-0000-0000-0000D76B0000}"/>
    <cellStyle name="Total 5 3 4 2 4" xfId="24344" xr:uid="{00000000-0005-0000-0000-0000D86B0000}"/>
    <cellStyle name="Total 5 3 4 3" xfId="10595" xr:uid="{00000000-0005-0000-0000-0000D96B0000}"/>
    <cellStyle name="Total 5 3 4 3 2" xfId="21492" xr:uid="{00000000-0005-0000-0000-0000DA6B0000}"/>
    <cellStyle name="Total 5 3 4 3 3" xfId="25622" xr:uid="{00000000-0005-0000-0000-0000DB6B0000}"/>
    <cellStyle name="Total 5 3 4 3 4" xfId="27139" xr:uid="{00000000-0005-0000-0000-0000DC6B0000}"/>
    <cellStyle name="Total 5 3 4 4" xfId="13852" xr:uid="{00000000-0005-0000-0000-0000DD6B0000}"/>
    <cellStyle name="Total 5 3 4 5" xfId="22635" xr:uid="{00000000-0005-0000-0000-0000DE6B0000}"/>
    <cellStyle name="Total 5 3 4 6" xfId="22664" xr:uid="{00000000-0005-0000-0000-0000DF6B0000}"/>
    <cellStyle name="Total 5 3 5" xfId="4976" xr:uid="{00000000-0005-0000-0000-0000E06B0000}"/>
    <cellStyle name="Total 5 3 5 2" xfId="9927" xr:uid="{00000000-0005-0000-0000-0000E16B0000}"/>
    <cellStyle name="Total 5 3 5 2 2" xfId="20824" xr:uid="{00000000-0005-0000-0000-0000E26B0000}"/>
    <cellStyle name="Total 5 3 5 2 3" xfId="24954" xr:uid="{00000000-0005-0000-0000-0000E36B0000}"/>
    <cellStyle name="Total 5 3 5 2 4" xfId="26471" xr:uid="{00000000-0005-0000-0000-0000E46B0000}"/>
    <cellStyle name="Total 5 3 5 3" xfId="10922" xr:uid="{00000000-0005-0000-0000-0000E56B0000}"/>
    <cellStyle name="Total 5 3 5 3 2" xfId="21819" xr:uid="{00000000-0005-0000-0000-0000E66B0000}"/>
    <cellStyle name="Total 5 3 5 3 3" xfId="25949" xr:uid="{00000000-0005-0000-0000-0000E76B0000}"/>
    <cellStyle name="Total 5 3 5 3 4" xfId="27466" xr:uid="{00000000-0005-0000-0000-0000E86B0000}"/>
    <cellStyle name="Total 5 3 5 4" xfId="15873" xr:uid="{00000000-0005-0000-0000-0000E96B0000}"/>
    <cellStyle name="Total 5 3 5 5" xfId="23265" xr:uid="{00000000-0005-0000-0000-0000EA6B0000}"/>
    <cellStyle name="Total 5 3 5 6" xfId="24079" xr:uid="{00000000-0005-0000-0000-0000EB6B0000}"/>
    <cellStyle name="Total 5 3 6" xfId="5594" xr:uid="{00000000-0005-0000-0000-0000EC6B0000}"/>
    <cellStyle name="Total 5 3 6 2" xfId="16491" xr:uid="{00000000-0005-0000-0000-0000ED6B0000}"/>
    <cellStyle name="Total 5 3 6 3" xfId="23652" xr:uid="{00000000-0005-0000-0000-0000EE6B0000}"/>
    <cellStyle name="Total 5 3 6 4" xfId="23580" xr:uid="{00000000-0005-0000-0000-0000EF6B0000}"/>
    <cellStyle name="Total 5 3 7" xfId="10254" xr:uid="{00000000-0005-0000-0000-0000F06B0000}"/>
    <cellStyle name="Total 5 3 7 2" xfId="21151" xr:uid="{00000000-0005-0000-0000-0000F16B0000}"/>
    <cellStyle name="Total 5 3 7 3" xfId="25281" xr:uid="{00000000-0005-0000-0000-0000F26B0000}"/>
    <cellStyle name="Total 5 3 7 4" xfId="26798" xr:uid="{00000000-0005-0000-0000-0000F36B0000}"/>
    <cellStyle name="Total 5 3 8" xfId="11593" xr:uid="{00000000-0005-0000-0000-0000F46B0000}"/>
    <cellStyle name="Total 5 3 9" xfId="22475" xr:uid="{00000000-0005-0000-0000-0000F56B0000}"/>
    <cellStyle name="Total 5 4" xfId="898" xr:uid="{00000000-0005-0000-0000-0000F66B0000}"/>
    <cellStyle name="Total 5 4 2" xfId="2055" xr:uid="{00000000-0005-0000-0000-0000F76B0000}"/>
    <cellStyle name="Total 5 4 2 2" xfId="4367" xr:uid="{00000000-0005-0000-0000-0000F86B0000}"/>
    <cellStyle name="Total 5 4 2 2 2" xfId="9318" xr:uid="{00000000-0005-0000-0000-0000F96B0000}"/>
    <cellStyle name="Total 5 4 2 2 2 2" xfId="20215" xr:uid="{00000000-0005-0000-0000-0000FA6B0000}"/>
    <cellStyle name="Total 5 4 2 2 2 3" xfId="24737" xr:uid="{00000000-0005-0000-0000-0000FB6B0000}"/>
    <cellStyle name="Total 5 4 2 2 2 4" xfId="26344" xr:uid="{00000000-0005-0000-0000-0000FC6B0000}"/>
    <cellStyle name="Total 5 4 2 2 3" xfId="10795" xr:uid="{00000000-0005-0000-0000-0000FD6B0000}"/>
    <cellStyle name="Total 5 4 2 2 3 2" xfId="21692" xr:uid="{00000000-0005-0000-0000-0000FE6B0000}"/>
    <cellStyle name="Total 5 4 2 2 3 3" xfId="25822" xr:uid="{00000000-0005-0000-0000-0000FF6B0000}"/>
    <cellStyle name="Total 5 4 2 2 3 4" xfId="27339" xr:uid="{00000000-0005-0000-0000-0000006C0000}"/>
    <cellStyle name="Total 5 4 2 2 4" xfId="15264" xr:uid="{00000000-0005-0000-0000-0000016C0000}"/>
    <cellStyle name="Total 5 4 2 2 5" xfId="23047" xr:uid="{00000000-0005-0000-0000-0000026C0000}"/>
    <cellStyle name="Total 5 4 2 2 6" xfId="24636" xr:uid="{00000000-0005-0000-0000-0000036C0000}"/>
    <cellStyle name="Total 5 4 2 3" xfId="5175" xr:uid="{00000000-0005-0000-0000-0000046C0000}"/>
    <cellStyle name="Total 5 4 2 3 2" xfId="10126" xr:uid="{00000000-0005-0000-0000-0000056C0000}"/>
    <cellStyle name="Total 5 4 2 3 2 2" xfId="21023" xr:uid="{00000000-0005-0000-0000-0000066C0000}"/>
    <cellStyle name="Total 5 4 2 3 2 3" xfId="25153" xr:uid="{00000000-0005-0000-0000-0000076C0000}"/>
    <cellStyle name="Total 5 4 2 3 2 4" xfId="26670" xr:uid="{00000000-0005-0000-0000-0000086C0000}"/>
    <cellStyle name="Total 5 4 2 3 3" xfId="11121" xr:uid="{00000000-0005-0000-0000-0000096C0000}"/>
    <cellStyle name="Total 5 4 2 3 3 2" xfId="22018" xr:uid="{00000000-0005-0000-0000-00000A6C0000}"/>
    <cellStyle name="Total 5 4 2 3 3 3" xfId="26148" xr:uid="{00000000-0005-0000-0000-00000B6C0000}"/>
    <cellStyle name="Total 5 4 2 3 3 4" xfId="27665" xr:uid="{00000000-0005-0000-0000-00000C6C0000}"/>
    <cellStyle name="Total 5 4 2 3 4" xfId="16072" xr:uid="{00000000-0005-0000-0000-00000D6C0000}"/>
    <cellStyle name="Total 5 4 2 3 5" xfId="23464" xr:uid="{00000000-0005-0000-0000-00000E6C0000}"/>
    <cellStyle name="Total 5 4 2 3 6" xfId="22444" xr:uid="{00000000-0005-0000-0000-00000F6C0000}"/>
    <cellStyle name="Total 5 4 2 4" xfId="7006" xr:uid="{00000000-0005-0000-0000-0000106C0000}"/>
    <cellStyle name="Total 5 4 2 4 2" xfId="17903" xr:uid="{00000000-0005-0000-0000-0000116C0000}"/>
    <cellStyle name="Total 5 4 2 4 3" xfId="24059" xr:uid="{00000000-0005-0000-0000-0000126C0000}"/>
    <cellStyle name="Total 5 4 2 4 4" xfId="22235" xr:uid="{00000000-0005-0000-0000-0000136C0000}"/>
    <cellStyle name="Total 5 4 2 5" xfId="10453" xr:uid="{00000000-0005-0000-0000-0000146C0000}"/>
    <cellStyle name="Total 5 4 2 5 2" xfId="21350" xr:uid="{00000000-0005-0000-0000-0000156C0000}"/>
    <cellStyle name="Total 5 4 2 5 3" xfId="25480" xr:uid="{00000000-0005-0000-0000-0000166C0000}"/>
    <cellStyle name="Total 5 4 2 5 4" xfId="26997" xr:uid="{00000000-0005-0000-0000-0000176C0000}"/>
    <cellStyle name="Total 5 4 2 6" xfId="12973" xr:uid="{00000000-0005-0000-0000-0000186C0000}"/>
    <cellStyle name="Total 5 4 2 7" xfId="24688" xr:uid="{00000000-0005-0000-0000-0000196C0000}"/>
    <cellStyle name="Total 5 4 3" xfId="3222" xr:uid="{00000000-0005-0000-0000-00001A6C0000}"/>
    <cellStyle name="Total 5 4 3 2" xfId="8173" xr:uid="{00000000-0005-0000-0000-00001B6C0000}"/>
    <cellStyle name="Total 5 4 3 2 2" xfId="19070" xr:uid="{00000000-0005-0000-0000-00001C6C0000}"/>
    <cellStyle name="Total 5 4 3 2 3" xfId="24407" xr:uid="{00000000-0005-0000-0000-00001D6C0000}"/>
    <cellStyle name="Total 5 4 3 2 4" xfId="22810" xr:uid="{00000000-0005-0000-0000-00001E6C0000}"/>
    <cellStyle name="Total 5 4 3 3" xfId="10635" xr:uid="{00000000-0005-0000-0000-00001F6C0000}"/>
    <cellStyle name="Total 5 4 3 3 2" xfId="21532" xr:uid="{00000000-0005-0000-0000-0000206C0000}"/>
    <cellStyle name="Total 5 4 3 3 3" xfId="25662" xr:uid="{00000000-0005-0000-0000-0000216C0000}"/>
    <cellStyle name="Total 5 4 3 3 4" xfId="27179" xr:uid="{00000000-0005-0000-0000-0000226C0000}"/>
    <cellStyle name="Total 5 4 3 4" xfId="14119" xr:uid="{00000000-0005-0000-0000-0000236C0000}"/>
    <cellStyle name="Total 5 4 3 5" xfId="22716" xr:uid="{00000000-0005-0000-0000-0000246C0000}"/>
    <cellStyle name="Total 5 4 3 6" xfId="22457" xr:uid="{00000000-0005-0000-0000-0000256C0000}"/>
    <cellStyle name="Total 5 4 4" xfId="5016" xr:uid="{00000000-0005-0000-0000-0000266C0000}"/>
    <cellStyle name="Total 5 4 4 2" xfId="9967" xr:uid="{00000000-0005-0000-0000-0000276C0000}"/>
    <cellStyle name="Total 5 4 4 2 2" xfId="20864" xr:uid="{00000000-0005-0000-0000-0000286C0000}"/>
    <cellStyle name="Total 5 4 4 2 3" xfId="24994" xr:uid="{00000000-0005-0000-0000-0000296C0000}"/>
    <cellStyle name="Total 5 4 4 2 4" xfId="26511" xr:uid="{00000000-0005-0000-0000-00002A6C0000}"/>
    <cellStyle name="Total 5 4 4 3" xfId="10962" xr:uid="{00000000-0005-0000-0000-00002B6C0000}"/>
    <cellStyle name="Total 5 4 4 3 2" xfId="21859" xr:uid="{00000000-0005-0000-0000-00002C6C0000}"/>
    <cellStyle name="Total 5 4 4 3 3" xfId="25989" xr:uid="{00000000-0005-0000-0000-00002D6C0000}"/>
    <cellStyle name="Total 5 4 4 3 4" xfId="27506" xr:uid="{00000000-0005-0000-0000-00002E6C0000}"/>
    <cellStyle name="Total 5 4 4 4" xfId="15913" xr:uid="{00000000-0005-0000-0000-00002F6C0000}"/>
    <cellStyle name="Total 5 4 4 5" xfId="23305" xr:uid="{00000000-0005-0000-0000-0000306C0000}"/>
    <cellStyle name="Total 5 4 4 6" xfId="23997" xr:uid="{00000000-0005-0000-0000-0000316C0000}"/>
    <cellStyle name="Total 5 4 5" xfId="5861" xr:uid="{00000000-0005-0000-0000-0000326C0000}"/>
    <cellStyle name="Total 5 4 5 2" xfId="16758" xr:uid="{00000000-0005-0000-0000-0000336C0000}"/>
    <cellStyle name="Total 5 4 5 3" xfId="23729" xr:uid="{00000000-0005-0000-0000-0000346C0000}"/>
    <cellStyle name="Total 5 4 5 4" xfId="24887" xr:uid="{00000000-0005-0000-0000-0000356C0000}"/>
    <cellStyle name="Total 5 4 6" xfId="10294" xr:uid="{00000000-0005-0000-0000-0000366C0000}"/>
    <cellStyle name="Total 5 4 6 2" xfId="21191" xr:uid="{00000000-0005-0000-0000-0000376C0000}"/>
    <cellStyle name="Total 5 4 6 3" xfId="25321" xr:uid="{00000000-0005-0000-0000-0000386C0000}"/>
    <cellStyle name="Total 5 4 6 4" xfId="26838" xr:uid="{00000000-0005-0000-0000-0000396C0000}"/>
    <cellStyle name="Total 5 4 7" xfId="11855" xr:uid="{00000000-0005-0000-0000-00003A6C0000}"/>
    <cellStyle name="Total 5 4 8" xfId="24410" xr:uid="{00000000-0005-0000-0000-00003B6C0000}"/>
    <cellStyle name="Total 5 5" xfId="2690" xr:uid="{00000000-0005-0000-0000-00003C6C0000}"/>
    <cellStyle name="Total 5 5 2" xfId="7641" xr:uid="{00000000-0005-0000-0000-00003D6C0000}"/>
    <cellStyle name="Total 5 5 2 2" xfId="18538" xr:uid="{00000000-0005-0000-0000-00003E6C0000}"/>
    <cellStyle name="Total 5 5 2 3" xfId="24259" xr:uid="{00000000-0005-0000-0000-00003F6C0000}"/>
    <cellStyle name="Total 5 5 2 4" xfId="23746" xr:uid="{00000000-0005-0000-0000-0000406C0000}"/>
    <cellStyle name="Total 5 5 3" xfId="10555" xr:uid="{00000000-0005-0000-0000-0000416C0000}"/>
    <cellStyle name="Total 5 5 3 2" xfId="21452" xr:uid="{00000000-0005-0000-0000-0000426C0000}"/>
    <cellStyle name="Total 5 5 3 3" xfId="25582" xr:uid="{00000000-0005-0000-0000-0000436C0000}"/>
    <cellStyle name="Total 5 5 3 4" xfId="27099" xr:uid="{00000000-0005-0000-0000-0000446C0000}"/>
    <cellStyle name="Total 5 5 4" xfId="13587" xr:uid="{00000000-0005-0000-0000-0000456C0000}"/>
    <cellStyle name="Total 5 5 5" xfId="22559" xr:uid="{00000000-0005-0000-0000-0000466C0000}"/>
    <cellStyle name="Total 5 5 6" xfId="24440" xr:uid="{00000000-0005-0000-0000-0000476C0000}"/>
    <cellStyle name="Total 5 6" xfId="4936" xr:uid="{00000000-0005-0000-0000-0000486C0000}"/>
    <cellStyle name="Total 5 6 2" xfId="9887" xr:uid="{00000000-0005-0000-0000-0000496C0000}"/>
    <cellStyle name="Total 5 6 2 2" xfId="20784" xr:uid="{00000000-0005-0000-0000-00004A6C0000}"/>
    <cellStyle name="Total 5 6 2 3" xfId="24914" xr:uid="{00000000-0005-0000-0000-00004B6C0000}"/>
    <cellStyle name="Total 5 6 2 4" xfId="26431" xr:uid="{00000000-0005-0000-0000-00004C6C0000}"/>
    <cellStyle name="Total 5 6 3" xfId="10882" xr:uid="{00000000-0005-0000-0000-00004D6C0000}"/>
    <cellStyle name="Total 5 6 3 2" xfId="21779" xr:uid="{00000000-0005-0000-0000-00004E6C0000}"/>
    <cellStyle name="Total 5 6 3 3" xfId="25909" xr:uid="{00000000-0005-0000-0000-00004F6C0000}"/>
    <cellStyle name="Total 5 6 3 4" xfId="27426" xr:uid="{00000000-0005-0000-0000-0000506C0000}"/>
    <cellStyle name="Total 5 6 4" xfId="15833" xr:uid="{00000000-0005-0000-0000-0000516C0000}"/>
    <cellStyle name="Total 5 6 5" xfId="23225" xr:uid="{00000000-0005-0000-0000-0000526C0000}"/>
    <cellStyle name="Total 5 6 6" xfId="24240" xr:uid="{00000000-0005-0000-0000-0000536C0000}"/>
    <cellStyle name="Total 5 7" xfId="5329" xr:uid="{00000000-0005-0000-0000-0000546C0000}"/>
    <cellStyle name="Total 5 7 2" xfId="16226" xr:uid="{00000000-0005-0000-0000-0000556C0000}"/>
    <cellStyle name="Total 5 7 3" xfId="23579" xr:uid="{00000000-0005-0000-0000-0000566C0000}"/>
    <cellStyle name="Total 5 7 4" xfId="22383" xr:uid="{00000000-0005-0000-0000-0000576C0000}"/>
    <cellStyle name="Total 5 8" xfId="10214" xr:uid="{00000000-0005-0000-0000-0000586C0000}"/>
    <cellStyle name="Total 5 8 2" xfId="21111" xr:uid="{00000000-0005-0000-0000-0000596C0000}"/>
    <cellStyle name="Total 5 8 3" xfId="25241" xr:uid="{00000000-0005-0000-0000-00005A6C0000}"/>
    <cellStyle name="Total 5 8 4" xfId="26758" xr:uid="{00000000-0005-0000-0000-00005B6C0000}"/>
    <cellStyle name="Total 5 9" xfId="11332" xr:uid="{00000000-0005-0000-0000-00005C6C0000}"/>
    <cellStyle name="Total 6" xfId="1514" xr:uid="{00000000-0005-0000-0000-00005D6C0000}"/>
    <cellStyle name="Warning Text 2" xfId="362" xr:uid="{00000000-0005-0000-0000-00005E6C0000}"/>
    <cellStyle name="Warning Text 3" xfId="363" xr:uid="{00000000-0005-0000-0000-00005F6C0000}"/>
    <cellStyle name="Warning Text 4" xfId="364" xr:uid="{00000000-0005-0000-0000-0000606C0000}"/>
    <cellStyle name="Warning Text 5" xfId="365" xr:uid="{00000000-0005-0000-0000-0000616C0000}"/>
  </cellStyles>
  <dxfs count="613">
    <dxf>
      <fill>
        <patternFill>
          <bgColor theme="2"/>
        </patternFill>
      </fill>
    </dxf>
    <dxf>
      <fill>
        <patternFill>
          <bgColor theme="6" tint="0.79998168889431442"/>
        </patternFill>
      </fill>
    </dxf>
    <dxf>
      <fill>
        <patternFill>
          <bgColor theme="2"/>
        </patternFill>
      </fill>
    </dxf>
    <dxf>
      <fill>
        <patternFill>
          <bgColor theme="6" tint="0.79998168889431442"/>
        </patternFill>
      </fill>
    </dxf>
    <dxf>
      <fill>
        <patternFill>
          <bgColor theme="2"/>
        </patternFill>
      </fill>
    </dxf>
    <dxf>
      <fill>
        <patternFill>
          <bgColor theme="6" tint="0.79998168889431442"/>
        </patternFill>
      </fill>
    </dxf>
    <dxf>
      <fill>
        <patternFill>
          <bgColor theme="2"/>
        </patternFill>
      </fill>
    </dxf>
    <dxf>
      <fill>
        <patternFill>
          <bgColor theme="6" tint="0.79998168889431442"/>
        </patternFill>
      </fill>
    </dxf>
    <dxf>
      <font>
        <color theme="0"/>
      </font>
      <fill>
        <patternFill>
          <bgColor theme="1"/>
        </patternFill>
      </fill>
    </dxf>
    <dxf>
      <font>
        <color theme="0"/>
      </font>
      <fill>
        <patternFill>
          <bgColor theme="6" tint="-0.499984740745262"/>
        </patternFill>
      </fill>
    </dxf>
    <dxf>
      <fill>
        <patternFill>
          <bgColor theme="6" tint="0.79998168889431442"/>
        </patternFill>
      </fill>
    </dxf>
    <dxf>
      <fill>
        <patternFill>
          <bgColor theme="2"/>
        </patternFill>
      </fill>
    </dxf>
    <dxf>
      <font>
        <color theme="0"/>
      </font>
      <fill>
        <patternFill>
          <bgColor theme="1"/>
        </patternFill>
      </fill>
    </dxf>
    <dxf>
      <font>
        <color theme="0"/>
      </font>
      <fill>
        <patternFill>
          <bgColor theme="6" tint="-0.499984740745262"/>
        </patternFill>
      </fill>
    </dxf>
    <dxf>
      <fill>
        <patternFill>
          <bgColor theme="6" tint="0.79998168889431442"/>
        </patternFill>
      </fill>
    </dxf>
    <dxf>
      <fill>
        <patternFill>
          <bgColor theme="2"/>
        </patternFill>
      </fill>
    </dxf>
    <dxf>
      <font>
        <color theme="0"/>
      </font>
      <fill>
        <patternFill>
          <bgColor theme="1"/>
        </patternFill>
      </fill>
    </dxf>
    <dxf>
      <font>
        <color theme="0"/>
      </font>
      <fill>
        <patternFill>
          <bgColor theme="6" tint="-0.499984740745262"/>
        </patternFill>
      </fill>
    </dxf>
    <dxf>
      <numFmt numFmtId="35" formatCode="_(* #,##0.00_);_(* \(#,##0.00\);_(* &quot;-&quot;??_);_(@_)"/>
    </dxf>
    <dxf>
      <numFmt numFmtId="35" formatCode="_(* #,##0.00_);_(* \(#,##0.00\);_(* &quot;-&quot;??_);_(@_)"/>
    </dxf>
    <dxf>
      <numFmt numFmtId="35" formatCode="_(* #,##0.00_);_(* \(#,##0.00\);_(* &quot;-&quot;??_);_(@_)"/>
    </dxf>
    <dxf>
      <font>
        <b val="0"/>
        <i val="0"/>
        <strike val="0"/>
        <condense val="0"/>
        <extend val="0"/>
        <outline val="0"/>
        <shadow val="0"/>
        <u val="none"/>
        <vertAlign val="baseline"/>
        <sz val="10"/>
        <color auto="1"/>
        <name val="Arial"/>
        <family val="2"/>
        <scheme val="none"/>
      </font>
      <numFmt numFmtId="35" formatCode="_(* #,##0.00_);_(* \(#,##0.00\);_(* &quot;-&quot;??_);_(@_)"/>
    </dxf>
    <dxf>
      <numFmt numFmtId="164" formatCode="_(* #,##0_);_(* \(#,##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numFmt numFmtId="35" formatCode="_(* #,##0.00_);_(* \(#,##0.00\);_(* &quot;-&quot;??_);_(@_)"/>
    </dxf>
    <dxf>
      <numFmt numFmtId="30" formatCode="@"/>
      <alignment horizontal="center" vertical="bottom" textRotation="0" wrapText="0" indent="0" justifyLastLine="0" shrinkToFit="0" readingOrder="0"/>
      <border diagonalUp="0" diagonalDown="0">
        <left style="thin">
          <color rgb="FFC0C0C0"/>
        </left>
        <right style="thin">
          <color rgb="FFC0C0C0"/>
        </right>
        <top style="thin">
          <color rgb="FFC0C0C0"/>
        </top>
        <bottom style="thin">
          <color rgb="FFC0C0C0"/>
        </bottom>
      </border>
    </dxf>
    <dxf>
      <numFmt numFmtId="35" formatCode="_(* #,##0.00_);_(* \(#,##0.00\);_(* &quot;-&quot;??_);_(@_)"/>
    </dxf>
    <dxf>
      <numFmt numFmtId="30" formatCode="@"/>
      <alignment horizontal="center" vertical="bottom" textRotation="0" wrapText="0" indent="0" justifyLastLine="0" shrinkToFit="0" readingOrder="0"/>
      <border diagonalUp="0" diagonalDown="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numFmt numFmtId="35" formatCode="_(* #,##0.00_);_(* \(#,##0.00\);_(* &quot;-&quot;??_);_(@_)"/>
    </dxf>
    <dxf>
      <numFmt numFmtId="30" formatCode="@"/>
      <alignment horizontal="center" vertical="bottom" textRotation="0" wrapText="0" indent="0" justifyLastLine="0" shrinkToFit="0" readingOrder="0"/>
      <border diagonalUp="0" diagonalDown="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numFmt numFmtId="35" formatCode="_(* #,##0.00_);_(* \(#,##0.00\);_(* &quot;-&quot;??_);_(@_)"/>
    </dxf>
    <dxf>
      <numFmt numFmtId="30" formatCode="@"/>
      <alignment horizontal="center" vertical="bottom" textRotation="0" wrapText="0" indent="0" justifyLastLine="0" shrinkToFit="0" readingOrder="0"/>
      <border diagonalUp="0" diagonalDown="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numFmt numFmtId="35" formatCode="_(* #,##0.00_);_(* \(#,##0.00\);_(* &quot;-&quot;??_);_(@_)"/>
    </dxf>
    <dxf>
      <numFmt numFmtId="30" formatCode="@"/>
      <alignment horizontal="center" vertical="bottom" textRotation="0" wrapText="0" indent="0" justifyLastLine="0" shrinkToFit="0" readingOrder="0"/>
      <border diagonalUp="0" diagonalDown="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numFmt numFmtId="35" formatCode="_(* #,##0.00_);_(* \(#,##0.00\);_(* &quot;-&quot;??_);_(@_)"/>
    </dxf>
    <dxf>
      <numFmt numFmtId="30" formatCode="@"/>
      <alignment horizontal="center" vertical="bottom" textRotation="0" wrapText="0" indent="0" justifyLastLine="0" shrinkToFit="0" readingOrder="0"/>
      <border diagonalUp="0" diagonalDown="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numFmt numFmtId="35" formatCode="_(* #,##0.00_);_(* \(#,##0.00\);_(* &quot;-&quot;??_);_(@_)"/>
    </dxf>
    <dxf>
      <numFmt numFmtId="30" formatCode="@"/>
      <alignment horizontal="center" vertical="bottom" textRotation="0" wrapText="0" indent="0" justifyLastLine="0" shrinkToFit="0" readingOrder="0"/>
      <border diagonalUp="0" diagonalDown="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numFmt numFmtId="35" formatCode="_(* #,##0.00_);_(* \(#,##0.00\);_(* &quot;-&quot;??_);_(@_)"/>
    </dxf>
    <dxf>
      <numFmt numFmtId="4" formatCode="#,##0.00"/>
      <alignment horizontal="right" vertical="bottom" textRotation="0" wrapText="0" indent="0" justifyLastLine="0" shrinkToFit="0" readingOrder="0"/>
      <border diagonalUp="0" diagonalDown="0">
        <left style="thin">
          <color rgb="FFC0C0C0"/>
        </left>
        <right style="thin">
          <color rgb="FFC0C0C0"/>
        </right>
        <top style="thin">
          <color rgb="FFC0C0C0"/>
        </top>
        <bottom style="thin">
          <color rgb="FFC0C0C0"/>
        </bottom>
      </border>
    </dxf>
    <dxf>
      <numFmt numFmtId="35" formatCode="_(* #,##0.00_);_(* \(#,##0.00\);_(* &quot;-&quot;??_);_(@_)"/>
    </dxf>
    <dxf>
      <numFmt numFmtId="4" formatCode="#,##0.00"/>
      <alignment horizontal="right" vertical="bottom" textRotation="0" wrapText="0" indent="0" justifyLastLine="0" shrinkToFit="0" readingOrder="0"/>
      <border diagonalUp="0" diagonalDown="0">
        <left style="thin">
          <color rgb="FFC0C0C0"/>
        </left>
        <right style="thin">
          <color rgb="FFC0C0C0"/>
        </right>
        <top style="thin">
          <color rgb="FFC0C0C0"/>
        </top>
        <bottom style="thin">
          <color rgb="FFC0C0C0"/>
        </bottom>
      </border>
    </dxf>
    <dxf>
      <numFmt numFmtId="35" formatCode="_(* #,##0.00_);_(* \(#,##0.00\);_(* &quot;-&quot;??_);_(@_)"/>
    </dxf>
    <dxf>
      <numFmt numFmtId="4" formatCode="#,##0.00"/>
      <alignment horizontal="right" vertical="bottom" textRotation="0" wrapText="0" indent="0" justifyLastLine="0" shrinkToFit="0" readingOrder="0"/>
      <border diagonalUp="0" diagonalDown="0">
        <left style="thin">
          <color rgb="FFC0C0C0"/>
        </left>
        <right style="thin">
          <color rgb="FFC0C0C0"/>
        </right>
        <top style="thin">
          <color rgb="FFC0C0C0"/>
        </top>
        <bottom style="thin">
          <color rgb="FFC0C0C0"/>
        </bottom>
      </border>
    </dxf>
    <dxf>
      <numFmt numFmtId="35" formatCode="_(* #,##0.00_);_(* \(#,##0.00\);_(* &quot;-&quot;??_);_(@_)"/>
    </dxf>
    <dxf>
      <numFmt numFmtId="4" formatCode="#,##0.00"/>
      <alignment horizontal="right" vertical="bottom" textRotation="0" wrapText="0" indent="0" justifyLastLine="0" shrinkToFit="0" readingOrder="0"/>
      <border diagonalUp="0" diagonalDown="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left style="thin">
          <color rgb="FFC0C0C0"/>
        </left>
        <right style="thin">
          <color rgb="FFC0C0C0"/>
        </right>
        <top style="thin">
          <color rgb="FFC0C0C0"/>
        </top>
        <bottom style="thin">
          <color rgb="FFC0C0C0"/>
        </bottom>
        <vertical/>
        <horizontal/>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left style="thin">
          <color rgb="FFC0C0C0"/>
        </left>
        <right style="thin">
          <color rgb="FFC0C0C0"/>
        </right>
        <top style="thin">
          <color rgb="FFC0C0C0"/>
        </top>
        <bottom style="thin">
          <color rgb="FFC0C0C0"/>
        </bottom>
        <vertical/>
        <horizontal/>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left style="thin">
          <color rgb="FFC0C0C0"/>
        </left>
        <right style="thin">
          <color rgb="FFC0C0C0"/>
        </right>
        <top style="thin">
          <color rgb="FFC0C0C0"/>
        </top>
        <bottom style="thin">
          <color rgb="FFC0C0C0"/>
        </bottom>
        <vertical/>
        <horizontal/>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alignment horizontal="left" vertical="bottom" textRotation="0" wrapText="0" indent="0" justifyLastLine="0" shrinkToFit="0" readingOrder="0"/>
    </dxf>
    <dxf>
      <numFmt numFmtId="0" formatCode="General"/>
      <alignment horizontal="left" vertical="bottom" textRotation="0" wrapText="0" indent="0" justifyLastLine="0" shrinkToFit="0" readingOrder="0"/>
      <protection locked="1" hidden="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protection locked="1" hidden="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left" vertical="bottom" textRotation="0" wrapText="0" indent="0" justifyLastLine="0" shrinkToFit="0" readingOrder="0"/>
      <protection locked="1" hidden="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protection locked="1" hidden="0"/>
    </dxf>
    <dxf>
      <numFmt numFmtId="35" formatCode="_(* #,##0.00_);_(* \(#,##0.00\);_(* &quot;-&quot;??_);_(@_)"/>
    </dxf>
    <dxf>
      <numFmt numFmtId="35" formatCode="_(* #,##0.00_);_(* \(#,##0.00\);_(* &quot;-&quot;??_);_(@_)"/>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outline="0">
        <left style="thin">
          <color rgb="FFABABAB"/>
        </left>
        <right style="thin">
          <color rgb="FFABABAB"/>
        </right>
        <top style="thin">
          <color rgb="FFABABAB"/>
        </top>
        <bottom style="thin">
          <color rgb="FFABABAB"/>
        </bottom>
      </border>
    </dxf>
    <dxf>
      <font>
        <b/>
        <i val="0"/>
        <strike val="0"/>
        <condense val="0"/>
        <extend val="0"/>
        <outline val="0"/>
        <shadow val="0"/>
        <u val="none"/>
        <vertAlign val="baseline"/>
        <sz val="12"/>
        <color theme="1"/>
        <name val="Arial"/>
        <scheme val="none"/>
      </font>
      <numFmt numFmtId="35" formatCode="_(* #,##0.00_);_(* \(#,##0.00\);_(*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numFmt numFmtId="170" formatCode="0.0000000000"/>
      <border diagonalUp="0" diagonalDown="0" outline="0">
        <left style="thin">
          <color rgb="FFABABAB"/>
        </left>
        <right style="thin">
          <color rgb="FFABABAB"/>
        </right>
        <top style="thin">
          <color rgb="FFABABAB"/>
        </top>
        <bottom style="thin">
          <color rgb="FFABABAB"/>
        </bottom>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5" formatCode="_(* #,##0.00_);_(* \(#,##0.00\);_(*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0" formatCode="General"/>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theme="1"/>
        <name val="Arial"/>
        <scheme val="none"/>
      </font>
      <numFmt numFmtId="0" formatCode="General"/>
      <fill>
        <patternFill patternType="none">
          <fgColor indexed="64"/>
          <bgColor indexed="65"/>
        </patternFill>
      </fill>
      <border diagonalUp="0" diagonalDown="0">
        <left style="thin">
          <color rgb="FFABABAB"/>
        </left>
        <right style="thin">
          <color rgb="FFABABAB"/>
        </right>
        <top style="thin">
          <color rgb="FFABABAB"/>
        </top>
        <bottom style="thin">
          <color rgb="FFABABAB"/>
        </bottom>
        <vertical/>
        <horizontal/>
      </border>
    </dxf>
    <dxf>
      <font>
        <b/>
        <i val="0"/>
        <strike val="0"/>
        <condense val="0"/>
        <extend val="0"/>
        <outline val="0"/>
        <shadow val="0"/>
        <u val="none"/>
        <vertAlign val="baseline"/>
        <sz val="12"/>
        <color theme="1"/>
        <name val="Arial"/>
        <scheme val="none"/>
      </font>
      <numFmt numFmtId="0" formatCode="General"/>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font>
        <sz val="12"/>
        <color theme="1"/>
        <family val="2"/>
      </font>
      <alignment horizontal="center" vertical="bottom" textRotation="0" wrapText="1" indent="0" justifyLastLine="0" shrinkToFit="0" readingOrder="0"/>
      <border diagonalUp="0" diagonalDown="0">
        <left style="thin">
          <color rgb="FFABABAB"/>
        </left>
        <right style="thin">
          <color rgb="FFABABAB"/>
        </right>
        <top style="thin">
          <color rgb="FFABABAB"/>
        </top>
        <bottom style="thin">
          <color rgb="FFABABAB"/>
        </bottom>
        <vertical/>
        <horizontal/>
      </border>
    </dxf>
    <dxf>
      <border outline="0">
        <top style="thin">
          <color auto="1"/>
        </top>
      </border>
    </dxf>
    <dxf>
      <font>
        <b val="0"/>
      </font>
    </dxf>
    <dxf>
      <border>
        <bottom style="thin">
          <color rgb="FF000000"/>
        </bottom>
      </border>
    </dxf>
    <dxf>
      <alignment horizontal="center" vertical="bottom"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theme="1"/>
        <name val="Arial"/>
        <family val="2"/>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outline="0">
        <left style="thin">
          <color rgb="FFABABAB"/>
        </left>
        <right style="thin">
          <color rgb="FFABABAB"/>
        </right>
        <top style="thin">
          <color rgb="FFABABAB"/>
        </top>
        <bottom style="thin">
          <color rgb="FFABABAB"/>
        </bottom>
      </border>
    </dxf>
    <dxf>
      <font>
        <b/>
        <i val="0"/>
        <strike val="0"/>
        <condense val="0"/>
        <extend val="0"/>
        <outline val="0"/>
        <shadow val="0"/>
        <u val="none"/>
        <vertAlign val="baseline"/>
        <sz val="12"/>
        <color theme="1"/>
        <name val="Arial"/>
        <scheme val="none"/>
      </font>
      <numFmt numFmtId="35" formatCode="_(* #,##0.00_);_(* \(#,##0.00\);_(*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numFmt numFmtId="170" formatCode="0.0000000000"/>
      <border diagonalUp="0" diagonalDown="0" outline="0">
        <left style="thin">
          <color rgb="FFABABAB"/>
        </left>
        <right style="thin">
          <color rgb="FFABABAB"/>
        </right>
        <top style="thin">
          <color rgb="FFABABAB"/>
        </top>
        <bottom style="thin">
          <color rgb="FFABABAB"/>
        </bottom>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5" formatCode="_(* #,##0.00_);_(* \(#,##0.00\);_(*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0" formatCode="General"/>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theme="1"/>
        <name val="Arial"/>
        <scheme val="none"/>
      </font>
      <numFmt numFmtId="0" formatCode="General"/>
      <fill>
        <patternFill patternType="none">
          <fgColor indexed="64"/>
          <bgColor indexed="65"/>
        </patternFill>
      </fill>
      <border diagonalUp="0" diagonalDown="0">
        <left style="thin">
          <color rgb="FFABABAB"/>
        </left>
        <right style="thin">
          <color rgb="FFABABAB"/>
        </right>
        <top style="thin">
          <color rgb="FFABABAB"/>
        </top>
        <bottom style="thin">
          <color rgb="FFABABAB"/>
        </bottom>
        <vertical/>
        <horizontal/>
      </border>
    </dxf>
    <dxf>
      <font>
        <b/>
        <i val="0"/>
        <strike val="0"/>
        <condense val="0"/>
        <extend val="0"/>
        <outline val="0"/>
        <shadow val="0"/>
        <u val="none"/>
        <vertAlign val="baseline"/>
        <sz val="12"/>
        <color theme="1"/>
        <name val="Arial"/>
        <scheme val="none"/>
      </font>
      <numFmt numFmtId="0" formatCode="General"/>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font>
        <sz val="12"/>
        <color theme="1"/>
        <family val="2"/>
      </font>
      <alignment horizontal="center" vertical="bottom" textRotation="0" wrapText="1" indent="0" justifyLastLine="0" shrinkToFit="0" readingOrder="0"/>
      <border diagonalUp="0" diagonalDown="0">
        <left style="thin">
          <color rgb="FFABABAB"/>
        </left>
        <right style="thin">
          <color rgb="FFABABAB"/>
        </right>
        <top style="thin">
          <color rgb="FFABABAB"/>
        </top>
        <bottom style="thin">
          <color rgb="FFABABAB"/>
        </bottom>
        <vertical/>
        <horizontal/>
      </border>
    </dxf>
    <dxf>
      <border outline="0">
        <top style="thin">
          <color auto="1"/>
        </top>
      </border>
    </dxf>
    <dxf>
      <font>
        <b val="0"/>
      </font>
    </dxf>
    <dxf>
      <border>
        <bottom style="thin">
          <color rgb="FF000000"/>
        </bottom>
      </border>
    </dxf>
    <dxf>
      <alignment horizontal="center" vertical="bottom"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theme="1"/>
        <name val="Arial"/>
        <family val="2"/>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outline="0">
        <left style="thin">
          <color rgb="FFABABAB"/>
        </left>
        <right style="thin">
          <color rgb="FFABABAB"/>
        </right>
        <top style="thin">
          <color rgb="FFABABAB"/>
        </top>
        <bottom style="thin">
          <color rgb="FFABABAB"/>
        </bottom>
      </border>
    </dxf>
    <dxf>
      <font>
        <b/>
        <i val="0"/>
        <strike val="0"/>
        <condense val="0"/>
        <extend val="0"/>
        <outline val="0"/>
        <shadow val="0"/>
        <u val="none"/>
        <vertAlign val="baseline"/>
        <sz val="12"/>
        <color theme="1"/>
        <name val="Arial"/>
        <scheme val="none"/>
      </font>
      <numFmt numFmtId="35" formatCode="_(* #,##0.00_);_(* \(#,##0.00\);_(*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numFmt numFmtId="170" formatCode="0.0000000000"/>
      <border diagonalUp="0" diagonalDown="0" outline="0">
        <left style="thin">
          <color rgb="FFABABAB"/>
        </left>
        <right style="thin">
          <color rgb="FFABABAB"/>
        </right>
        <top style="thin">
          <color rgb="FFABABAB"/>
        </top>
        <bottom style="thin">
          <color rgb="FFABABAB"/>
        </bottom>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5" formatCode="_(* #,##0.00_);_(* \(#,##0.00\);_(*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0" formatCode="General"/>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theme="1"/>
        <name val="Arial"/>
        <scheme val="none"/>
      </font>
      <numFmt numFmtId="0" formatCode="General"/>
      <fill>
        <patternFill patternType="none">
          <fgColor indexed="64"/>
          <bgColor indexed="65"/>
        </patternFill>
      </fill>
      <border diagonalUp="0" diagonalDown="0">
        <left style="thin">
          <color rgb="FFABABAB"/>
        </left>
        <right style="thin">
          <color rgb="FFABABAB"/>
        </right>
        <top style="thin">
          <color rgb="FFABABAB"/>
        </top>
        <bottom style="thin">
          <color rgb="FFABABAB"/>
        </bottom>
        <vertical/>
        <horizontal/>
      </border>
    </dxf>
    <dxf>
      <font>
        <b/>
        <i val="0"/>
        <strike val="0"/>
        <condense val="0"/>
        <extend val="0"/>
        <outline val="0"/>
        <shadow val="0"/>
        <u val="none"/>
        <vertAlign val="baseline"/>
        <sz val="12"/>
        <color theme="1"/>
        <name val="Arial"/>
        <scheme val="none"/>
      </font>
      <numFmt numFmtId="0" formatCode="General"/>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font>
        <sz val="12"/>
        <color theme="1"/>
        <family val="2"/>
      </font>
      <alignment horizontal="center" vertical="bottom" textRotation="0" wrapText="1" indent="0" justifyLastLine="0" shrinkToFit="0" readingOrder="0"/>
      <border diagonalUp="0" diagonalDown="0" outline="0">
        <left style="thin">
          <color rgb="FFABABAB"/>
        </left>
        <right style="thin">
          <color rgb="FFABABAB"/>
        </right>
        <top style="thin">
          <color rgb="FFABABAB"/>
        </top>
        <bottom style="thin">
          <color rgb="FFABABAB"/>
        </bottom>
      </border>
    </dxf>
    <dxf>
      <border outline="0">
        <top style="thin">
          <color auto="1"/>
        </top>
      </border>
    </dxf>
    <dxf>
      <font>
        <b val="0"/>
      </font>
    </dxf>
    <dxf>
      <border>
        <bottom style="thin">
          <color rgb="FF000000"/>
        </bottom>
      </border>
    </dxf>
    <dxf>
      <alignment horizontal="center" vertical="bottom"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auto="1"/>
        <name val="Arial"/>
        <family val="2"/>
        <scheme val="none"/>
      </font>
      <numFmt numFmtId="33" formatCode="_(* #,##0_);_(* \(#,##0\);_(* &quot;-&quot;_);_(@_)"/>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33" formatCode="_(* #,##0_);_(* \(#,##0\);_(* &quot;-&quot;_);_(@_)"/>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33" formatCode="_(* #,##0_);_(* \(#,##0\);_(* &quot;-&quot;_);_(@_)"/>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33" formatCode="_(* #,##0_);_(* \(#,##0\);_(* &quot;-&quot;_);_(@_)"/>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33" formatCode="_(* #,##0_);_(* \(#,##0\);_(* &quot;-&quot;_);_(@_)"/>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33" formatCode="_(* #,##0_);_(* \(#,##0\);_(* &quot;-&quot;_);_(@_)"/>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33" formatCode="_(* #,##0_);_(* \(#,##0\);_(* &quot;-&quot;_);_(@_)"/>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33" formatCode="_(* #,##0_);_(* \(#,##0\);_(* &quot;-&quot;_);_(@_)"/>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33" formatCode="_(* #,##0_);_(* \(#,##0\);_(* &quot;-&quot;_);_(@_)"/>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dxf>
    <dxf>
      <font>
        <strike val="0"/>
        <outline val="0"/>
        <shadow val="0"/>
        <u val="none"/>
        <vertAlign val="baseline"/>
        <sz val="12"/>
        <color auto="1"/>
        <name val="Arial"/>
        <scheme val="none"/>
      </font>
    </dxf>
    <dxf>
      <font>
        <b/>
        <i val="0"/>
        <strike val="0"/>
        <condense val="0"/>
        <extend val="0"/>
        <outline val="0"/>
        <shadow val="0"/>
        <u val="none"/>
        <vertAlign val="baseline"/>
        <sz val="12"/>
        <color auto="1"/>
        <name val="Arial"/>
        <family val="2"/>
        <scheme val="none"/>
      </font>
      <alignment horizontal="center" vertical="bottom" textRotation="0" wrapText="1" indent="0" justifyLastLine="0" shrinkToFit="0" readingOrder="0"/>
    </dxf>
    <dxf>
      <font>
        <strike val="0"/>
        <outline val="0"/>
        <shadow val="0"/>
        <u val="none"/>
        <vertAlign val="baseline"/>
        <sz val="12"/>
        <color auto="1"/>
        <name val="Arial"/>
        <scheme val="none"/>
      </font>
      <numFmt numFmtId="0" formatCode="General"/>
      <alignment horizontal="center" vertical="bottom" textRotation="0" indent="0" justifyLastLine="0" shrinkToFit="0" readingOrder="0"/>
    </dxf>
    <dxf>
      <border outline="0">
        <top style="thin">
          <color indexed="64"/>
        </top>
        <bottom style="thin">
          <color theme="0" tint="-0.14996795556505021"/>
        </bottom>
      </border>
    </dxf>
    <dxf>
      <alignment horizontal="general" vertical="bottom" textRotation="0" wrapText="1" indent="0" justifyLastLine="0" shrinkToFit="0" readingOrder="0"/>
    </dxf>
    <dxf>
      <fill>
        <patternFill patternType="solid">
          <fgColor indexed="64"/>
          <bgColor theme="3" tint="-0.499984740745262"/>
        </patternFill>
      </fill>
    </dxf>
    <dxf>
      <font>
        <b val="0"/>
        <i val="0"/>
        <strike val="0"/>
        <condense val="0"/>
        <extend val="0"/>
        <outline val="0"/>
        <shadow val="0"/>
        <u val="none"/>
        <vertAlign val="baseline"/>
        <sz val="12"/>
        <color theme="1"/>
        <name val="Arial"/>
        <family val="2"/>
        <scheme val="none"/>
      </font>
      <numFmt numFmtId="164" formatCode="_(* #,##0_);_(* \(#,##0\);_(* &quot;-&quot;??_);_(@_)"/>
    </dxf>
    <dxf>
      <font>
        <b val="0"/>
        <i val="0"/>
        <strike val="0"/>
        <condense val="0"/>
        <extend val="0"/>
        <outline val="0"/>
        <shadow val="0"/>
        <u val="none"/>
        <vertAlign val="baseline"/>
        <sz val="12"/>
        <color auto="1"/>
        <name val="Arial"/>
        <family val="2"/>
        <scheme val="none"/>
      </font>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font>
        <b val="0"/>
        <i val="0"/>
        <strike val="0"/>
        <condense val="0"/>
        <extend val="0"/>
        <outline val="0"/>
        <shadow val="0"/>
        <u val="none"/>
        <vertAlign val="baseline"/>
        <sz val="12"/>
        <color auto="1"/>
        <name val="Arial"/>
        <family val="2"/>
        <scheme val="none"/>
      </font>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font>
        <b val="0"/>
        <i val="0"/>
        <strike val="0"/>
        <condense val="0"/>
        <extend val="0"/>
        <outline val="0"/>
        <shadow val="0"/>
        <u val="none"/>
        <vertAlign val="baseline"/>
        <sz val="12"/>
        <color auto="1"/>
        <name val="Arial"/>
        <family val="2"/>
        <scheme val="none"/>
      </font>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font>
        <b val="0"/>
        <i val="0"/>
        <strike val="0"/>
        <condense val="0"/>
        <extend val="0"/>
        <outline val="0"/>
        <shadow val="0"/>
        <u val="none"/>
        <vertAlign val="baseline"/>
        <sz val="12"/>
        <color auto="1"/>
        <name val="Arial"/>
        <family val="2"/>
        <scheme val="none"/>
      </font>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font>
        <b val="0"/>
        <i val="0"/>
        <strike val="0"/>
        <condense val="0"/>
        <extend val="0"/>
        <outline val="0"/>
        <shadow val="0"/>
        <u val="none"/>
        <vertAlign val="baseline"/>
        <sz val="12"/>
        <color auto="1"/>
        <name val="Arial"/>
        <family val="2"/>
        <scheme val="none"/>
      </font>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font>
        <b val="0"/>
        <i val="0"/>
        <strike val="0"/>
        <condense val="0"/>
        <extend val="0"/>
        <outline val="0"/>
        <shadow val="0"/>
        <u val="none"/>
        <vertAlign val="baseline"/>
        <sz val="12"/>
        <color auto="1"/>
        <name val="Arial"/>
        <family val="2"/>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theme="1"/>
        <name val="Arial"/>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theme="1"/>
        <name val="Arial"/>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auto="1"/>
        <name val="Arial"/>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auto="1"/>
        <name val="Arial"/>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auto="1"/>
        <name val="Arial"/>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auto="1"/>
        <name val="Arial"/>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font>
        <b val="0"/>
        <i val="0"/>
        <strike val="0"/>
        <condense val="0"/>
        <extend val="0"/>
        <outline val="0"/>
        <shadow val="0"/>
        <u val="none"/>
        <vertAlign val="baseline"/>
        <sz val="12"/>
        <color auto="1"/>
        <name val="Arial"/>
        <family val="2"/>
        <scheme val="none"/>
      </font>
      <numFmt numFmtId="33" formatCode="_(* #,##0_);_(* \(#,##0\);_(* &quot;-&quot;_);_(@_)"/>
      <alignment horizontal="lef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border outline="0">
        <top style="thin">
          <color auto="1"/>
        </top>
      </border>
    </dxf>
    <dxf>
      <font>
        <b val="0"/>
        <i val="0"/>
        <strike val="0"/>
        <condense val="0"/>
        <extend val="0"/>
        <outline val="0"/>
        <shadow val="0"/>
        <u val="none"/>
        <vertAlign val="baseline"/>
        <sz val="12"/>
        <color rgb="FF000000"/>
        <name val="Arial"/>
        <scheme val="none"/>
      </font>
    </dxf>
    <dxf>
      <border outline="0">
        <bottom style="thin">
          <color auto="1"/>
        </bottom>
      </border>
    </dxf>
    <dxf>
      <alignment horizontal="center"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164" formatCode="_(* #,##0_);_(* \(#,##0\);_(* &quot;-&quot;??_);_(@_)"/>
    </dxf>
    <dxf>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font>
        <b val="0"/>
        <i val="0"/>
        <strike val="0"/>
        <condense val="0"/>
        <extend val="0"/>
        <outline val="0"/>
        <shadow val="0"/>
        <u val="none"/>
        <vertAlign val="baseline"/>
        <sz val="12"/>
        <color auto="1"/>
        <name val="Arial"/>
        <family val="2"/>
        <scheme val="none"/>
      </font>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font>
        <b val="0"/>
        <i val="0"/>
        <strike val="0"/>
        <condense val="0"/>
        <extend val="0"/>
        <outline val="0"/>
        <shadow val="0"/>
        <u val="none"/>
        <vertAlign val="baseline"/>
        <sz val="12"/>
        <color auto="1"/>
        <name val="Arial"/>
        <family val="2"/>
        <scheme val="none"/>
      </font>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numFmt numFmtId="33" formatCode="_(* #,##0_);_(* \(#,##0\);_(* &quot;-&quot;_);_(@_)"/>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font>
        <b val="0"/>
        <i val="0"/>
        <strike val="0"/>
        <condense val="0"/>
        <extend val="0"/>
        <outline val="0"/>
        <shadow val="0"/>
        <u val="none"/>
        <vertAlign val="baseline"/>
        <sz val="12"/>
        <color theme="1"/>
        <name val="Arial"/>
        <family val="2"/>
        <scheme val="none"/>
      </font>
      <numFmt numFmtId="164" formatCode="_(* #,##0_);_(* \(#,##0\);_(* &quot;-&quot;??_);_(@_)"/>
    </dxf>
    <dxf>
      <font>
        <b val="0"/>
        <i val="0"/>
        <strike val="0"/>
        <condense val="0"/>
        <extend val="0"/>
        <outline val="0"/>
        <shadow val="0"/>
        <u val="none"/>
        <vertAlign val="baseline"/>
        <sz val="12"/>
        <color auto="1"/>
        <name val="Arial"/>
        <family val="2"/>
        <scheme val="none"/>
      </font>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font>
        <b val="0"/>
        <i val="0"/>
        <strike val="0"/>
        <condense val="0"/>
        <extend val="0"/>
        <outline val="0"/>
        <shadow val="0"/>
        <u val="none"/>
        <vertAlign val="baseline"/>
        <sz val="12"/>
        <color auto="1"/>
        <name val="Arial"/>
        <family val="2"/>
        <scheme val="none"/>
      </font>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font>
        <b val="0"/>
        <i val="0"/>
        <strike val="0"/>
        <condense val="0"/>
        <extend val="0"/>
        <outline val="0"/>
        <shadow val="0"/>
        <u val="none"/>
        <vertAlign val="baseline"/>
        <sz val="12"/>
        <color auto="1"/>
        <name val="Arial"/>
        <family val="2"/>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theme="1"/>
        <name val="Arial"/>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theme="1"/>
        <name val="Arial"/>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auto="1"/>
        <name val="Arial"/>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auto="1"/>
        <name val="Arial"/>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auto="1"/>
        <name val="Arial"/>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auto="1"/>
        <name val="Arial"/>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font>
        <b val="0"/>
        <i val="0"/>
        <strike val="0"/>
        <condense val="0"/>
        <extend val="0"/>
        <outline val="0"/>
        <shadow val="0"/>
        <u val="none"/>
        <vertAlign val="baseline"/>
        <sz val="12"/>
        <color auto="1"/>
        <name val="Arial"/>
        <family val="2"/>
        <scheme val="none"/>
      </font>
      <numFmt numFmtId="33" formatCode="_(* #,##0_);_(* \(#,##0\);_(* &quot;-&quot;_);_(@_)"/>
      <alignment horizontal="lef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border outline="0">
        <top style="thin">
          <color auto="1"/>
        </top>
      </border>
    </dxf>
    <dxf>
      <font>
        <b val="0"/>
        <i val="0"/>
        <strike val="0"/>
        <condense val="0"/>
        <extend val="0"/>
        <outline val="0"/>
        <shadow val="0"/>
        <u val="none"/>
        <vertAlign val="baseline"/>
        <sz val="12"/>
        <color rgb="FF000000"/>
        <name val="Arial"/>
        <scheme val="none"/>
      </font>
    </dxf>
    <dxf>
      <border outline="0">
        <bottom style="thin">
          <color auto="1"/>
        </bottom>
      </border>
    </dxf>
    <dxf>
      <alignment horizontal="center"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164" formatCode="_(* #,##0_);_(* \(#,##0\);_(* &quot;-&quot;??_);_(@_)"/>
    </dxf>
    <dxf>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font>
        <b val="0"/>
        <i val="0"/>
        <strike val="0"/>
        <condense val="0"/>
        <extend val="0"/>
        <outline val="0"/>
        <shadow val="0"/>
        <u val="none"/>
        <vertAlign val="baseline"/>
        <sz val="12"/>
        <color auto="1"/>
        <name val="Arial"/>
        <family val="2"/>
        <scheme val="none"/>
      </font>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font>
        <b val="0"/>
        <i val="0"/>
        <strike val="0"/>
        <condense val="0"/>
        <extend val="0"/>
        <outline val="0"/>
        <shadow val="0"/>
        <u val="none"/>
        <vertAlign val="baseline"/>
        <sz val="12"/>
        <color auto="1"/>
        <name val="Arial"/>
        <family val="2"/>
        <scheme val="none"/>
      </font>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font>
        <b val="0"/>
        <i val="0"/>
        <strike val="0"/>
        <condense val="0"/>
        <extend val="0"/>
        <outline val="0"/>
        <shadow val="0"/>
        <u val="none"/>
        <vertAlign val="baseline"/>
        <sz val="12"/>
        <color auto="1"/>
        <name val="Arial"/>
        <family val="2"/>
        <scheme val="none"/>
      </font>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font>
        <b val="0"/>
        <i val="0"/>
        <strike val="0"/>
        <condense val="0"/>
        <extend val="0"/>
        <outline val="0"/>
        <shadow val="0"/>
        <u val="none"/>
        <vertAlign val="baseline"/>
        <sz val="12"/>
        <color auto="1"/>
        <name val="Arial"/>
        <family val="2"/>
        <scheme val="none"/>
      </font>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font>
        <b val="0"/>
        <i val="0"/>
        <strike val="0"/>
        <condense val="0"/>
        <extend val="0"/>
        <outline val="0"/>
        <shadow val="0"/>
        <u val="none"/>
        <vertAlign val="baseline"/>
        <sz val="12"/>
        <color auto="1"/>
        <name val="Arial"/>
        <family val="2"/>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theme="1"/>
        <name val="Arial"/>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theme="1"/>
        <name val="Arial"/>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auto="1"/>
        <name val="Arial"/>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auto="1"/>
        <name val="Arial"/>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auto="1"/>
        <name val="Arial"/>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font>
        <b val="0"/>
        <i val="0"/>
        <strike val="0"/>
        <condense val="0"/>
        <extend val="0"/>
        <outline val="0"/>
        <shadow val="0"/>
        <u val="none"/>
        <vertAlign val="baseline"/>
        <sz val="12"/>
        <color auto="1"/>
        <name val="Arial"/>
        <family val="2"/>
        <scheme val="none"/>
      </font>
      <numFmt numFmtId="33" formatCode="_(* #,##0_);_(* \(#,##0\);_(* &quot;-&quot;_);_(@_)"/>
      <alignment horizontal="lef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border outline="0">
        <top style="thin">
          <color auto="1"/>
        </top>
      </border>
    </dxf>
    <dxf>
      <font>
        <b val="0"/>
        <i val="0"/>
        <strike val="0"/>
        <condense val="0"/>
        <extend val="0"/>
        <outline val="0"/>
        <shadow val="0"/>
        <u val="none"/>
        <vertAlign val="baseline"/>
        <sz val="12"/>
        <color rgb="FF000000"/>
        <name val="Arial"/>
        <scheme val="none"/>
      </font>
    </dxf>
    <dxf>
      <border outline="0">
        <bottom style="thin">
          <color auto="1"/>
        </bottom>
      </border>
    </dxf>
    <dxf>
      <alignment horizontal="center" vertical="bottom"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lef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center" vertical="bottom" textRotation="0" wrapText="1" indent="0" justifyLastLine="0" shrinkToFit="0" readingOrder="0"/>
      <border diagonalUp="0" diagonalDown="0" outline="0">
        <left/>
        <right/>
        <top/>
        <bottom/>
      </border>
      <protection locked="1" hidden="0"/>
    </dxf>
    <dxf>
      <alignment horizontal="center" vertical="bottom" textRotation="0" indent="0" justifyLastLine="0" shrinkToFit="0" readingOrder="0"/>
    </dxf>
    <dxf>
      <font>
        <b/>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center" vertical="bottom" textRotation="0" wrapText="1" indent="0" justifyLastLine="0" shrinkToFit="0" readingOrder="0"/>
      <border diagonalUp="0" diagonalDown="0" outline="0">
        <left/>
        <right/>
        <top/>
        <bottom/>
      </border>
      <protection locked="1" hidden="0"/>
    </dxf>
    <dxf>
      <alignment horizontal="center" vertical="bottom" textRotation="0" indent="0" justifyLastLine="0" shrinkToFit="0" readingOrder="0"/>
    </dxf>
    <dxf>
      <border outline="0">
        <top style="thin">
          <color rgb="FF000000"/>
        </top>
      </border>
    </dxf>
    <dxf>
      <font>
        <strike val="0"/>
        <outline val="0"/>
        <shadow val="0"/>
        <u val="none"/>
        <vertAlign val="baseline"/>
        <sz val="12"/>
        <name val="Arial"/>
        <scheme val="none"/>
      </font>
      <alignment horizontal="general" vertical="bottom" textRotation="0" wrapText="1" indent="0" justifyLastLine="0" shrinkToFit="0" readingOrder="0"/>
    </dxf>
    <dxf>
      <border outline="0">
        <bottom style="thin">
          <color rgb="FF000000"/>
        </bottom>
      </border>
    </dxf>
    <dxf>
      <font>
        <strike val="0"/>
        <outline val="0"/>
        <shadow val="0"/>
        <u val="none"/>
        <vertAlign val="baseline"/>
        <sz val="12"/>
        <name val="Arial"/>
        <scheme val="none"/>
      </font>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lef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center" vertical="bottom" textRotation="0" wrapText="1" indent="0" justifyLastLine="0" shrinkToFit="0" readingOrder="0"/>
      <border diagonalUp="0" diagonalDown="0" outline="0">
        <left/>
        <right/>
        <top/>
        <bottom/>
      </border>
      <protection locked="1" hidden="0"/>
    </dxf>
    <dxf>
      <alignment horizontal="center" vertical="bottom" textRotation="0" indent="0" justifyLastLine="0" shrinkToFit="0" readingOrder="0"/>
    </dxf>
    <dxf>
      <font>
        <b/>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center" vertical="bottom" textRotation="0" wrapText="1" indent="0" justifyLastLine="0" shrinkToFit="0" readingOrder="0"/>
      <border diagonalUp="0" diagonalDown="0" outline="0">
        <left/>
        <right/>
        <top/>
        <bottom/>
      </border>
      <protection locked="1" hidden="0"/>
    </dxf>
    <dxf>
      <alignment horizontal="center" vertical="bottom" textRotation="0" indent="0" justifyLastLine="0" shrinkToFit="0" readingOrder="0"/>
    </dxf>
    <dxf>
      <border outline="0">
        <top style="thin">
          <color rgb="FF000000"/>
        </top>
      </border>
    </dxf>
    <dxf>
      <font>
        <strike val="0"/>
        <outline val="0"/>
        <shadow val="0"/>
        <u val="none"/>
        <vertAlign val="baseline"/>
        <sz val="12"/>
        <name val="Arial"/>
        <scheme val="none"/>
      </font>
      <alignment horizontal="general" vertical="bottom" textRotation="0" wrapText="1" indent="0" justifyLastLine="0" shrinkToFit="0" readingOrder="0"/>
    </dxf>
    <dxf>
      <border outline="0">
        <bottom style="thin">
          <color rgb="FF000000"/>
        </bottom>
      </border>
    </dxf>
    <dxf>
      <font>
        <strike val="0"/>
        <outline val="0"/>
        <shadow val="0"/>
        <u val="none"/>
        <vertAlign val="baseline"/>
        <sz val="12"/>
        <name val="Arial"/>
        <scheme val="none"/>
      </font>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lef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center" vertical="bottom" textRotation="0" wrapText="1" indent="0" justifyLastLine="0" shrinkToFit="0" readingOrder="0"/>
      <border diagonalUp="0" diagonalDown="0" outline="0">
        <left/>
        <right/>
        <top/>
        <bottom/>
      </border>
      <protection locked="1" hidden="0"/>
    </dxf>
    <dxf>
      <alignment horizontal="center" vertical="bottom" textRotation="0" indent="0" justifyLastLine="0" shrinkToFit="0" readingOrder="0"/>
    </dxf>
    <dxf>
      <font>
        <b/>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center" vertical="bottom" textRotation="0" wrapText="1" indent="0" justifyLastLine="0" shrinkToFit="0" readingOrder="0"/>
      <border diagonalUp="0" diagonalDown="0" outline="0">
        <left/>
        <right/>
        <top/>
        <bottom/>
      </border>
      <protection locked="1" hidden="0"/>
    </dxf>
    <dxf>
      <alignment horizontal="center" vertical="bottom" textRotation="0" indent="0" justifyLastLine="0" shrinkToFit="0" readingOrder="0"/>
    </dxf>
    <dxf>
      <border outline="0">
        <top style="thin">
          <color rgb="FF000000"/>
        </top>
      </border>
    </dxf>
    <dxf>
      <font>
        <strike val="0"/>
        <outline val="0"/>
        <shadow val="0"/>
        <u val="none"/>
        <vertAlign val="baseline"/>
        <sz val="12"/>
        <name val="Arial"/>
        <scheme val="none"/>
      </font>
      <alignment horizontal="general" vertical="bottom" textRotation="0" wrapText="1" indent="0" justifyLastLine="0" shrinkToFit="0" readingOrder="0"/>
    </dxf>
    <dxf>
      <border outline="0">
        <bottom style="thin">
          <color rgb="FF000000"/>
        </bottom>
      </border>
    </dxf>
    <dxf>
      <font>
        <strike val="0"/>
        <outline val="0"/>
        <shadow val="0"/>
        <u val="none"/>
        <vertAlign val="baseline"/>
        <sz val="12"/>
        <name val="Arial"/>
        <scheme val="none"/>
      </font>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family val="2"/>
        <scheme val="none"/>
      </font>
      <numFmt numFmtId="167" formatCode="_(&quot;$&quot;* #,##0_);_(&quot;$&quot;* \(#,##0\);_(&quot;$&quot;* &quot;-&quot;??_);_(@_)"/>
      <alignment horizontal="general"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167" formatCode="_(&quot;$&quot;* #,##0_);_(&quot;$&quot;* \(#,##0\);_(&quot;$&quot;* &quot;-&quot;??_);_(@_)"/>
      <alignment horizontal="general" vertical="bottom" textRotation="0" wrapText="1" indent="0" justifyLastLine="0" shrinkToFit="0" readingOrder="0"/>
    </dxf>
    <dxf>
      <font>
        <b val="0"/>
        <i val="0"/>
        <strike val="0"/>
        <condense val="0"/>
        <extend val="0"/>
        <outline val="0"/>
        <shadow val="0"/>
        <u val="none"/>
        <vertAlign val="baseline"/>
        <sz val="12"/>
        <color theme="1"/>
        <name val="Arial"/>
        <scheme val="none"/>
      </font>
      <numFmt numFmtId="164" formatCode="_(* #,##0_);_(* \(#,##0\);_(* &quot;-&quot;??_);_(@_)"/>
      <alignment horizontal="general" vertical="bottom" textRotation="0" wrapText="1" indent="0" justifyLastLine="0" shrinkToFit="0" readingOrder="0"/>
    </dxf>
    <dxf>
      <alignment horizontal="general" vertical="bottom" textRotation="0" wrapText="1" indent="0" justifyLastLine="0" shrinkToFit="0" readingOrder="0"/>
    </dxf>
    <dxf>
      <font>
        <b/>
        <i val="0"/>
        <strike val="0"/>
        <condense val="0"/>
        <extend val="0"/>
        <outline val="0"/>
        <shadow val="0"/>
        <u val="none"/>
        <vertAlign val="baseline"/>
        <sz val="12"/>
        <color auto="1"/>
        <name val="Arial"/>
        <family val="2"/>
        <scheme val="none"/>
      </font>
      <alignment horizontal="center" vertical="bottom" textRotation="0" wrapText="0" indent="0" justifyLastLine="0" shrinkToFit="0" readingOrder="0"/>
    </dxf>
    <dxf>
      <numFmt numFmtId="0" formatCode="General"/>
      <alignment horizontal="center" vertical="bottom" textRotation="0" wrapText="1" indent="0" justifyLastLine="0" shrinkToFit="0" readingOrder="0"/>
    </dxf>
    <dxf>
      <font>
        <b/>
        <i val="0"/>
        <strike val="0"/>
        <condense val="0"/>
        <extend val="0"/>
        <outline val="0"/>
        <shadow val="0"/>
        <u val="none"/>
        <vertAlign val="baseline"/>
        <sz val="12"/>
        <color auto="1"/>
        <name val="Arial"/>
        <family val="2"/>
        <scheme val="none"/>
      </font>
      <alignment horizontal="center" vertical="bottom" textRotation="0" wrapText="0" indent="0" justifyLastLine="0" shrinkToFit="0" readingOrder="0"/>
    </dxf>
    <dxf>
      <numFmt numFmtId="0" formatCode="General"/>
      <alignment horizontal="center" vertical="bottom" textRotation="0" wrapText="1" indent="0" justifyLastLine="0" shrinkToFit="0" readingOrder="0"/>
    </dxf>
    <dxf>
      <alignment vertical="bottom" textRotation="0" wrapText="0" indent="0" justifyLastLine="0" shrinkToFit="0" readingOrder="0"/>
    </dxf>
    <dxf>
      <border outline="0">
        <top style="thin">
          <color auto="1"/>
        </top>
      </border>
    </dxf>
    <dxf>
      <border outline="0">
        <bottom style="thin">
          <color auto="1"/>
        </bottom>
      </border>
    </dxf>
    <dxf>
      <numFmt numFmtId="164" formatCode="_(* #,##0_);_(* \(#,##0\);_(* &quot;-&quot;??_);_(@_)"/>
      <border diagonalUp="0" diagonalDown="0" outline="0">
        <left style="thin">
          <color auto="1"/>
        </left>
        <right style="thin">
          <color auto="1"/>
        </right>
        <top/>
        <bottom/>
      </border>
    </dxf>
    <dxf>
      <font>
        <b/>
        <i val="0"/>
        <strike val="0"/>
        <condense val="0"/>
        <extend val="0"/>
        <outline val="0"/>
        <shadow val="0"/>
        <u val="none"/>
        <vertAlign val="baseline"/>
        <sz val="12"/>
        <color auto="1"/>
        <name val="Arial"/>
        <family val="2"/>
        <scheme val="none"/>
      </font>
      <numFmt numFmtId="167" formatCode="_(&quot;$&quot;* #,##0_);_(&quot;$&quot;* \(#,##0\);_(&quot;$&quot;* &quot;-&quot;??_);_(@_)"/>
      <alignment horizontal="general" vertical="bottom" textRotation="0" wrapText="1" indent="0" justifyLastLine="0" shrinkToFit="0" readingOrder="0"/>
    </dxf>
    <dxf>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167" formatCode="_(&quot;$&quot;* #,##0_);_(&quot;$&quot;* \(#,##0\);_(&quot;$&quot;* &quot;-&quot;??_);_(@_)"/>
      <alignment horizontal="general"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 formatCode="_(* #,##0_);_(* \(#,##0\);_(* &quot;-&quot;_);_(@_)"/>
      <alignment horizontal="right" vertical="bottom" textRotation="0" wrapText="1" indent="0" justifyLastLine="0" shrinkToFit="0" readingOrder="0"/>
    </dxf>
    <dxf>
      <numFmt numFmtId="0" formatCode="General"/>
      <alignment horizontal="left" vertical="bottom" textRotation="0" wrapText="1" indent="0" justifyLastLine="0" shrinkToFit="0" readingOrder="0"/>
    </dxf>
    <dxf>
      <font>
        <b/>
        <i val="0"/>
        <strike val="0"/>
        <condense val="0"/>
        <extend val="0"/>
        <outline val="0"/>
        <shadow val="0"/>
        <u val="none"/>
        <vertAlign val="baseline"/>
        <sz val="12"/>
        <color auto="1"/>
        <name val="Arial"/>
        <family val="2"/>
        <scheme val="none"/>
      </font>
      <alignment horizontal="center" vertical="bottom" textRotation="0" wrapText="0" indent="0" justifyLastLine="0" shrinkToFit="0" readingOrder="0"/>
    </dxf>
    <dxf>
      <numFmt numFmtId="0" formatCode="General"/>
      <alignment horizontal="center" vertical="bottom" textRotation="0" wrapText="1" indent="0" justifyLastLine="0" shrinkToFit="0" readingOrder="0"/>
    </dxf>
    <dxf>
      <font>
        <b/>
        <i val="0"/>
        <strike val="0"/>
        <condense val="0"/>
        <extend val="0"/>
        <outline val="0"/>
        <shadow val="0"/>
        <u val="none"/>
        <vertAlign val="baseline"/>
        <sz val="12"/>
        <color auto="1"/>
        <name val="Arial"/>
        <family val="2"/>
        <scheme val="none"/>
      </font>
      <alignment horizontal="center" vertical="bottom" textRotation="0" wrapText="0" indent="0" justifyLastLine="0" shrinkToFit="0" readingOrder="0"/>
    </dxf>
    <dxf>
      <numFmt numFmtId="0" formatCode="General"/>
      <alignment horizontal="center" vertical="bottom" textRotation="0" wrapText="1" indent="0" justifyLastLine="0" shrinkToFit="0" readingOrder="0"/>
    </dxf>
    <dxf>
      <alignment vertical="bottom" textRotation="0" wrapText="0" indent="0" justifyLastLine="0" shrinkToFit="0" readingOrder="0"/>
    </dxf>
    <dxf>
      <border outline="0">
        <top style="thin">
          <color auto="1"/>
        </top>
      </border>
    </dxf>
    <dxf>
      <border outline="0">
        <bottom style="thin">
          <color auto="1"/>
        </bottom>
      </border>
    </dxf>
    <dxf>
      <numFmt numFmtId="164" formatCode="_(* #,##0_);_(* \(#,##0\);_(* &quot;-&quot;??_);_(@_)"/>
      <alignment vertical="bottom"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auto="1"/>
        <name val="Arial"/>
        <family val="2"/>
        <scheme val="none"/>
      </font>
      <numFmt numFmtId="167" formatCode="_(&quot;$&quot;* #,##0_);_(&quot;$&quot;* \(#,##0\);_(&quot;$&quot;* &quot;-&quot;??_);_(@_)"/>
      <alignment horizontal="general" vertical="bottom" textRotation="0" wrapText="1" indent="0" justifyLastLine="0" shrinkToFit="0" readingOrder="0"/>
    </dxf>
    <dxf>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167" formatCode="_(&quot;$&quot;* #,##0_);_(&quot;$&quot;* \(#,##0\);_(&quot;$&quot;* &quot;-&quot;??_);_(@_)"/>
      <alignment horizontal="general"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 formatCode="_(* #,##0_);_(* \(#,##0\);_(* &quot;-&quot;_);_(@_)"/>
      <alignment horizontal="right" vertical="bottom" textRotation="0" wrapText="1" indent="0" justifyLastLine="0" shrinkToFit="0" readingOrder="0"/>
    </dxf>
    <dxf>
      <numFmt numFmtId="0" formatCode="General"/>
      <alignment horizontal="left" vertical="bottom" textRotation="0" wrapText="1" indent="0" justifyLastLine="0" shrinkToFit="0" readingOrder="0"/>
    </dxf>
    <dxf>
      <font>
        <b/>
        <i val="0"/>
        <strike val="0"/>
        <condense val="0"/>
        <extend val="0"/>
        <outline val="0"/>
        <shadow val="0"/>
        <u val="none"/>
        <vertAlign val="baseline"/>
        <sz val="12"/>
        <color auto="1"/>
        <name val="Arial"/>
        <family val="2"/>
        <scheme val="none"/>
      </font>
      <alignment horizontal="center" vertical="bottom" textRotation="0" wrapText="0" indent="0" justifyLastLine="0" shrinkToFit="0" readingOrder="0"/>
    </dxf>
    <dxf>
      <numFmt numFmtId="0" formatCode="General"/>
      <alignment horizontal="center" vertical="bottom" textRotation="0" wrapText="1" indent="0" justifyLastLine="0" shrinkToFit="0" readingOrder="0"/>
    </dxf>
    <dxf>
      <font>
        <b/>
        <i val="0"/>
        <strike val="0"/>
        <condense val="0"/>
        <extend val="0"/>
        <outline val="0"/>
        <shadow val="0"/>
        <u val="none"/>
        <vertAlign val="baseline"/>
        <sz val="12"/>
        <color auto="1"/>
        <name val="Arial"/>
        <family val="2"/>
        <scheme val="none"/>
      </font>
      <alignment horizontal="center" vertical="bottom" textRotation="0" wrapText="0" indent="0" justifyLastLine="0" shrinkToFit="0" readingOrder="0"/>
    </dxf>
    <dxf>
      <numFmt numFmtId="0" formatCode="General"/>
      <alignment horizontal="center" vertical="bottom" textRotation="0" wrapText="1" indent="0" justifyLastLine="0" shrinkToFit="0" readingOrder="0"/>
    </dxf>
    <dxf>
      <alignment vertical="bottom" textRotation="0" wrapText="0" indent="0" justifyLastLine="0" shrinkToFit="0" readingOrder="0"/>
    </dxf>
    <dxf>
      <border outline="0">
        <top style="thin">
          <color auto="1"/>
        </top>
      </border>
    </dxf>
    <dxf>
      <border outline="0">
        <bottom style="thin">
          <color auto="1"/>
        </bottom>
      </border>
    </dxf>
    <dxf>
      <numFmt numFmtId="164" formatCode="_(* #,##0_);_(* \(#,##0\);_(* &quot;-&quot;??_);_(@_)"/>
      <alignment vertical="bottom" textRotation="0" wrapText="1" indent="0" justifyLastLine="0" shrinkToFit="0" readingOrder="0"/>
      <border diagonalUp="0" diagonalDown="0" outline="0">
        <left style="thin">
          <color auto="1"/>
        </left>
        <right style="thin">
          <color auto="1"/>
        </right>
        <top/>
        <bottom/>
      </border>
    </dxf>
    <dxf>
      <alignment horizontal="right" vertical="bottom" textRotation="0" wrapText="1" indent="0" justifyLastLine="0" shrinkToFit="0" readingOrder="0"/>
      <border diagonalUp="0" diagonalDown="0" outline="0">
        <left/>
        <right/>
        <top style="thin">
          <color rgb="FFABABAB"/>
        </top>
        <bottom/>
      </border>
    </dxf>
    <dxf>
      <font>
        <sz val="12"/>
        <color theme="1"/>
        <family val="2"/>
      </font>
      <numFmt numFmtId="0" formatCode="General"/>
      <alignment horizontal="left" vertical="bottom" textRotation="0" wrapText="1" indent="0" justifyLastLine="0" shrinkToFit="0" readingOrder="0"/>
      <border diagonalUp="0" diagonalDown="0">
        <left style="thin">
          <color rgb="FFABABAB"/>
        </left>
        <right style="thin">
          <color rgb="FFABABAB"/>
        </right>
        <top style="thin">
          <color rgb="FFABABAB"/>
        </top>
        <bottom style="thin">
          <color rgb="FFABABAB"/>
        </bottom>
        <vertical/>
        <horizontal/>
      </border>
    </dxf>
    <dxf>
      <alignment horizontal="right" vertical="bottom" textRotation="0" wrapText="1" indent="0" justifyLastLine="0" shrinkToFit="0" readingOrder="0"/>
      <border diagonalUp="0" diagonalDown="0" outline="0">
        <left style="thin">
          <color rgb="FFABABAB"/>
        </left>
        <right style="thin">
          <color rgb="FFABABAB"/>
        </right>
        <top style="thin">
          <color rgb="FFABABAB"/>
        </top>
        <bottom style="thin">
          <color rgb="FFABABAB"/>
        </bottom>
      </border>
    </dxf>
    <dxf>
      <font>
        <sz val="12"/>
        <color theme="1"/>
        <family val="2"/>
      </font>
      <numFmt numFmtId="0" formatCode="General"/>
      <alignment horizontal="left" vertical="bottom" textRotation="0" wrapText="1" indent="0" justifyLastLine="0" shrinkToFit="0" readingOrder="0"/>
      <border diagonalUp="0" diagonalDown="0">
        <left style="thin">
          <color rgb="FFABABAB"/>
        </left>
        <right style="thin">
          <color rgb="FFABABAB"/>
        </right>
        <top style="thin">
          <color rgb="FFABABAB"/>
        </top>
        <bottom style="thin">
          <color rgb="FFABABAB"/>
        </bottom>
        <vertical/>
        <horizontal/>
      </border>
    </dxf>
    <dxf>
      <border outline="0">
        <top style="thin">
          <color rgb="FFABABAB"/>
        </top>
      </border>
    </dxf>
    <dxf>
      <numFmt numFmtId="167" formatCode="_(&quot;$&quot;* #,##0_);_(&quot;$&quot;* \(#,##0\);_(&quot;$&quot;* &quot;-&quot;??_);_(@_)"/>
      <alignment horizontal="right" vertical="bottom" textRotation="0" wrapText="1" indent="0" justifyLastLine="0" shrinkToFit="0" readingOrder="0"/>
      <border diagonalUp="0" diagonalDown="0" outline="0">
        <left style="thin">
          <color rgb="FFABABAB"/>
        </left>
        <right style="thin">
          <color rgb="FFABABAB"/>
        </right>
        <top/>
        <bottom/>
      </border>
    </dxf>
    <dxf>
      <border outline="0">
        <top style="thin">
          <color auto="1"/>
        </top>
      </border>
    </dxf>
    <dxf>
      <font>
        <sz val="12"/>
        <color theme="1"/>
        <family val="2"/>
      </font>
      <alignment horizontal="left" vertical="bottom" textRotation="0" wrapText="1" indent="0" justifyLastLine="0" shrinkToFit="0" readingOrder="0"/>
    </dxf>
    <dxf>
      <font>
        <b/>
        <family val="2"/>
      </font>
      <alignment horizontal="center" vertical="center" textRotation="0" wrapText="1" indent="0" justifyLastLine="0" shrinkToFit="0" readingOrder="0"/>
    </dxf>
    <dxf>
      <font>
        <b/>
        <i val="0"/>
      </font>
      <border>
        <left style="thin">
          <color rgb="FFC0C0C0"/>
        </left>
        <right style="thin">
          <color rgb="FFC0C0C0"/>
        </right>
        <top style="thin">
          <color rgb="FFC0C0C0"/>
        </top>
        <bottom style="thin">
          <color rgb="FFC0C0C0"/>
        </bottom>
        <vertical style="thin">
          <color rgb="FFC0C0C0"/>
        </vertical>
        <horizontal style="thin">
          <color rgb="FFC0C0C0"/>
        </horizontal>
      </border>
    </dxf>
    <dxf>
      <font>
        <b/>
        <i val="0"/>
        <color theme="0"/>
      </font>
      <fill>
        <patternFill>
          <bgColor rgb="FF008000"/>
        </patternFill>
      </fill>
      <border>
        <left style="thin">
          <color auto="1"/>
        </left>
        <right style="thin">
          <color auto="1"/>
        </right>
        <top style="thin">
          <color auto="1"/>
        </top>
        <bottom style="thin">
          <color auto="1"/>
        </bottom>
        <vertical style="thin">
          <color auto="1"/>
        </vertical>
        <horizontal style="thin">
          <color auto="1"/>
        </horizontal>
      </border>
    </dxf>
    <dxf>
      <font>
        <b val="0"/>
        <i val="0"/>
      </font>
      <border>
        <left style="thin">
          <color rgb="FFC0C0C0"/>
        </left>
        <right style="thin">
          <color rgb="FFC0C0C0"/>
        </right>
        <top style="thin">
          <color rgb="FFC0C0C0"/>
        </top>
        <bottom style="thin">
          <color rgb="FFC0C0C0"/>
        </bottom>
        <vertical style="thin">
          <color rgb="FFC0C0C0"/>
        </vertical>
        <horizontal style="thin">
          <color rgb="FFC0C0C0"/>
        </horizontal>
      </border>
    </dxf>
    <dxf>
      <font>
        <b/>
        <i val="0"/>
      </font>
      <border>
        <left style="thin">
          <color rgb="FFC0C0C0"/>
        </left>
        <right style="thin">
          <color rgb="FFC0C0C0"/>
        </right>
        <top style="thin">
          <color rgb="FFC0C0C0"/>
        </top>
        <bottom style="thin">
          <color rgb="FFC0C0C0"/>
        </bottom>
        <vertical style="thin">
          <color rgb="FFC0C0C0"/>
        </vertical>
        <horizontal style="thin">
          <color rgb="FFC0C0C0"/>
        </horizontal>
      </border>
    </dxf>
    <dxf>
      <font>
        <b/>
        <i val="0"/>
        <color theme="0"/>
      </font>
      <fill>
        <patternFill>
          <bgColor rgb="FF008000"/>
        </patternFill>
      </fill>
      <border>
        <left style="thin">
          <color auto="1"/>
        </left>
        <right style="thin">
          <color auto="1"/>
        </right>
        <top style="thin">
          <color auto="1"/>
        </top>
        <bottom style="thin">
          <color auto="1"/>
        </bottom>
        <vertical style="thin">
          <color auto="1"/>
        </vertical>
        <horizontal style="thin">
          <color auto="1"/>
        </horizontal>
      </border>
    </dxf>
    <dxf>
      <font>
        <b val="0"/>
        <i val="0"/>
      </font>
      <border>
        <left style="thin">
          <color rgb="FFC0C0C0"/>
        </left>
        <right style="thin">
          <color rgb="FFC0C0C0"/>
        </right>
        <top style="thin">
          <color rgb="FFC0C0C0"/>
        </top>
        <bottom style="thin">
          <color rgb="FFC0C0C0"/>
        </bottom>
        <vertical style="thin">
          <color rgb="FFC0C0C0"/>
        </vertical>
        <horizontal style="thin">
          <color rgb="FFC0C0C0"/>
        </horizontal>
      </border>
    </dxf>
    <dxf>
      <font>
        <b/>
        <i val="0"/>
      </font>
      <border>
        <left style="thin">
          <color rgb="FFC0C0C0"/>
        </left>
        <right style="thin">
          <color rgb="FFC0C0C0"/>
        </right>
        <top style="thin">
          <color rgb="FFC0C0C0"/>
        </top>
        <bottom style="thin">
          <color rgb="FFC0C0C0"/>
        </bottom>
        <vertical style="thin">
          <color rgb="FFC0C0C0"/>
        </vertical>
        <horizontal style="thin">
          <color rgb="FFC0C0C0"/>
        </horizontal>
      </border>
    </dxf>
    <dxf>
      <font>
        <b/>
        <i val="0"/>
        <color theme="0"/>
      </font>
      <fill>
        <patternFill>
          <bgColor rgb="FF008000"/>
        </patternFill>
      </fill>
      <border>
        <left style="thin">
          <color auto="1"/>
        </left>
        <right style="thin">
          <color auto="1"/>
        </right>
        <top style="thin">
          <color auto="1"/>
        </top>
        <bottom style="thin">
          <color auto="1"/>
        </bottom>
        <vertical style="thin">
          <color auto="1"/>
        </vertical>
        <horizontal style="thin">
          <color auto="1"/>
        </horizontal>
      </border>
    </dxf>
    <dxf>
      <font>
        <b val="0"/>
        <i val="0"/>
      </font>
      <border>
        <left style="thin">
          <color rgb="FFC0C0C0"/>
        </left>
        <right style="thin">
          <color rgb="FFC0C0C0"/>
        </right>
        <top style="thin">
          <color rgb="FFC0C0C0"/>
        </top>
        <bottom style="thin">
          <color rgb="FFC0C0C0"/>
        </bottom>
        <vertical style="thin">
          <color rgb="FFC0C0C0"/>
        </vertical>
        <horizontal style="thin">
          <color rgb="FFC0C0C0"/>
        </horizontal>
      </border>
    </dxf>
    <dxf>
      <font>
        <b/>
        <i val="0"/>
      </font>
      <border>
        <left style="thin">
          <color rgb="FFC0C0C0"/>
        </left>
        <right style="thin">
          <color rgb="FFC0C0C0"/>
        </right>
        <top style="thin">
          <color rgb="FFC0C0C0"/>
        </top>
        <bottom style="thin">
          <color rgb="FFC0C0C0"/>
        </bottom>
        <vertical style="thin">
          <color rgb="FFC0C0C0"/>
        </vertical>
        <horizontal style="thin">
          <color rgb="FFC0C0C0"/>
        </horizontal>
      </border>
    </dxf>
    <dxf>
      <font>
        <b/>
        <i val="0"/>
        <color theme="0"/>
      </font>
      <fill>
        <patternFill>
          <bgColor rgb="FF008000"/>
        </patternFill>
      </fill>
      <border>
        <left style="thin">
          <color auto="1"/>
        </left>
        <right style="thin">
          <color auto="1"/>
        </right>
        <top style="thin">
          <color auto="1"/>
        </top>
        <bottom style="thin">
          <color auto="1"/>
        </bottom>
        <vertical style="thin">
          <color auto="1"/>
        </vertical>
        <horizontal style="thin">
          <color auto="1"/>
        </horizontal>
      </border>
    </dxf>
    <dxf>
      <font>
        <b val="0"/>
        <i val="0"/>
      </font>
      <border>
        <left style="thin">
          <color rgb="FFC0C0C0"/>
        </left>
        <right style="thin">
          <color rgb="FFC0C0C0"/>
        </right>
        <top style="thin">
          <color rgb="FFC0C0C0"/>
        </top>
        <bottom style="thin">
          <color rgb="FFC0C0C0"/>
        </bottom>
        <vertical style="thin">
          <color rgb="FFC0C0C0"/>
        </vertical>
        <horizontal style="thin">
          <color rgb="FFC0C0C0"/>
        </horizontal>
      </border>
    </dxf>
    <dxf>
      <font>
        <b/>
        <i val="0"/>
      </font>
      <border>
        <left style="thin">
          <color rgb="FFC0C0C0"/>
        </left>
        <right style="thin">
          <color rgb="FFC0C0C0"/>
        </right>
        <top style="thin">
          <color rgb="FFC0C0C0"/>
        </top>
        <bottom style="thin">
          <color rgb="FFC0C0C0"/>
        </bottom>
        <vertical style="thin">
          <color rgb="FFC0C0C0"/>
        </vertical>
        <horizontal style="thin">
          <color rgb="FFC0C0C0"/>
        </horizontal>
      </border>
    </dxf>
    <dxf>
      <font>
        <b/>
        <i val="0"/>
        <color theme="0"/>
      </font>
      <fill>
        <patternFill>
          <bgColor rgb="FF008000"/>
        </patternFill>
      </fill>
      <border>
        <left style="thin">
          <color auto="1"/>
        </left>
        <right style="thin">
          <color auto="1"/>
        </right>
        <top style="thin">
          <color auto="1"/>
        </top>
        <bottom style="thin">
          <color auto="1"/>
        </bottom>
        <vertical style="thin">
          <color auto="1"/>
        </vertical>
        <horizontal style="thin">
          <color auto="1"/>
        </horizontal>
      </border>
    </dxf>
    <dxf>
      <font>
        <b val="0"/>
        <i val="0"/>
      </font>
      <border>
        <left style="thin">
          <color rgb="FFC0C0C0"/>
        </left>
        <right style="thin">
          <color rgb="FFC0C0C0"/>
        </right>
        <top style="thin">
          <color rgb="FFC0C0C0"/>
        </top>
        <bottom style="thin">
          <color rgb="FFC0C0C0"/>
        </bottom>
        <vertical style="thin">
          <color rgb="FFC0C0C0"/>
        </vertical>
        <horizontal style="thin">
          <color rgb="FFC0C0C0"/>
        </horizontal>
      </border>
    </dxf>
    <dxf>
      <font>
        <b/>
        <i val="0"/>
      </font>
      <border>
        <left style="thin">
          <color rgb="FFC0C0C0"/>
        </left>
        <right style="thin">
          <color rgb="FFC0C0C0"/>
        </right>
        <top style="thin">
          <color rgb="FFC0C0C0"/>
        </top>
        <bottom style="thin">
          <color rgb="FFC0C0C0"/>
        </bottom>
        <vertical style="thin">
          <color rgb="FFC0C0C0"/>
        </vertical>
        <horizontal style="thin">
          <color rgb="FFC0C0C0"/>
        </horizontal>
      </border>
    </dxf>
    <dxf>
      <font>
        <b/>
        <i val="0"/>
        <color theme="0"/>
      </font>
      <fill>
        <patternFill>
          <bgColor rgb="FF008000"/>
        </patternFill>
      </fill>
      <border>
        <left style="thin">
          <color auto="1"/>
        </left>
        <right style="thin">
          <color auto="1"/>
        </right>
        <top style="thin">
          <color auto="1"/>
        </top>
        <bottom style="thin">
          <color auto="1"/>
        </bottom>
        <vertical style="thin">
          <color auto="1"/>
        </vertical>
        <horizontal style="thin">
          <color auto="1"/>
        </horizontal>
      </border>
    </dxf>
    <dxf>
      <font>
        <b val="0"/>
        <i val="0"/>
      </font>
      <border>
        <left style="thin">
          <color rgb="FFC0C0C0"/>
        </left>
        <right style="thin">
          <color rgb="FFC0C0C0"/>
        </right>
        <top style="thin">
          <color rgb="FFC0C0C0"/>
        </top>
        <bottom style="thin">
          <color rgb="FFC0C0C0"/>
        </bottom>
        <vertical style="thin">
          <color rgb="FFC0C0C0"/>
        </vertical>
        <horizontal style="thin">
          <color rgb="FFC0C0C0"/>
        </horizontal>
      </border>
    </dxf>
  </dxfs>
  <tableStyles count="6" defaultTableStyle="TableStyleMedium2" defaultPivotStyle="PivotStyleLight16">
    <tableStyle name="PAS Table" pivot="0" count="3" xr9:uid="{CD452F42-99F9-43B3-8080-1153C8432AE0}">
      <tableStyleElement type="wholeTable" dxfId="612"/>
      <tableStyleElement type="headerRow" dxfId="611"/>
      <tableStyleElement type="totalRow" dxfId="610"/>
    </tableStyle>
    <tableStyle name="PAS Table 2" pivot="0" count="3" xr9:uid="{F11C4CCA-D79A-48FD-83FA-DAE1D593D3C6}">
      <tableStyleElement type="wholeTable" dxfId="609"/>
      <tableStyleElement type="headerRow" dxfId="608"/>
      <tableStyleElement type="totalRow" dxfId="607"/>
    </tableStyle>
    <tableStyle name="PAS Table 3" pivot="0" count="3" xr9:uid="{7042321E-4DA4-4381-9B4B-DF83FED06BEA}">
      <tableStyleElement type="wholeTable" dxfId="606"/>
      <tableStyleElement type="headerRow" dxfId="605"/>
      <tableStyleElement type="totalRow" dxfId="604"/>
    </tableStyle>
    <tableStyle name="PAS Table 4" pivot="0" count="3" xr9:uid="{E8761916-94C5-4671-A82A-5A131587671B}">
      <tableStyleElement type="wholeTable" dxfId="603"/>
      <tableStyleElement type="headerRow" dxfId="602"/>
      <tableStyleElement type="totalRow" dxfId="601"/>
    </tableStyle>
    <tableStyle name="PAS Table 5" pivot="0" count="3" xr9:uid="{AB9C3D23-E75C-4BAB-8AF4-D59E5EC878BB}">
      <tableStyleElement type="wholeTable" dxfId="600"/>
      <tableStyleElement type="headerRow" dxfId="599"/>
      <tableStyleElement type="totalRow" dxfId="598"/>
    </tableStyle>
    <tableStyle name="PAS Table 6" pivot="0" count="3" xr9:uid="{FC24FFC3-BF47-4E6A-A8A7-5F51D3525E97}">
      <tableStyleElement type="wholeTable" dxfId="597"/>
      <tableStyleElement type="headerRow" dxfId="596"/>
      <tableStyleElement type="totalRow" dxfId="595"/>
    </tableStyle>
  </tableStyles>
  <colors>
    <mruColors>
      <color rgb="FFFFFFCC"/>
      <color rgb="FFFFFFFF"/>
      <color rgb="FFCCECFF"/>
      <color rgb="FF66FF33"/>
      <color rgb="FFCCFFCC"/>
      <color rgb="FFF2F5FF"/>
      <color rgb="FF006600"/>
      <color rgb="FFB6E1EA"/>
      <color rgb="FFEDEFFD"/>
      <color rgb="FFE3E3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47" Type="http://schemas.openxmlformats.org/officeDocument/2006/relationships/customXml" Target="../customXml/item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customXml" Target="../customXml/item1.xml"/><Relationship Id="rId48" Type="http://schemas.openxmlformats.org/officeDocument/2006/relationships/customXml" Target="../customXml/item6.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cde.ca.gov/DATA/CAAR/1-CATEGORICAL/State%20Fiscal%20Stabilization%20Fund%20SFSF/2008-09/Categorical%20Reductions/Master%20file/MASTER%20ABx3%2056%20Backfil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lacombe\Google%20Drive\My%20Documents\Diane's%20Documents\LCFF%20Calculator\Baseline\LCFF-Calculator%20-%20Unlocke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BACKUP%20Step3.%202008-09%20AMBG%20Ent%20Calc.,2nd%20Appt.xls"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https://fcmat2-my.sharepoint.com/personal/mploog_fcmat_org/Documents/LCFF/County%20Calculator/Versions/version%2024.1/COE%20LCFF-Calculator%20v.24.xlsx" TargetMode="External"/><Relationship Id="rId1" Type="http://schemas.openxmlformats.org/officeDocument/2006/relationships/externalLinkPath" Target="/personal/mploog_fcmat_org/Documents/LCFF/County%20Calculator/Versions/version%2024.1/COE%20LCFF-Calculator%20v.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FSF Backfill ABx3 56 Entit"/>
      <sheetName val="Zero Backfill Removed"/>
      <sheetName val="Backfill ABx3 56 All LEAs"/>
      <sheetName val="108-MHHSC"/>
      <sheetName val="137-MRPD"/>
      <sheetName val="137-MRPD-EL"/>
      <sheetName val="232-CSR 9"/>
      <sheetName val="228-SSVPP"/>
      <sheetName val="244-TCBG "/>
      <sheetName val="265-AMBG"/>
      <sheetName val="Closed Charter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 CDS"/>
      <sheetName val="Version"/>
      <sheetName val="CDS Continuity"/>
      <sheetName val="LEAs"/>
      <sheetName val="Caveats"/>
      <sheetName val="Navigation"/>
      <sheetName val="Assumptions"/>
      <sheetName val="EPA Estimate"/>
      <sheetName val="Awards"/>
      <sheetName val="SD 1213 Adj RL ADA"/>
      <sheetName val="Cat Subsmd"/>
      <sheetName val="Awards - New Charter"/>
      <sheetName val="1213 NSS Add-on"/>
      <sheetName val="1213 P2 Charter BG"/>
      <sheetName val="1314 ANR3 Basic Aid"/>
      <sheetName val="1213 P2 Basic Aid"/>
      <sheetName val="AB104 H2S Tran Rev"/>
      <sheetName val="1213 ANR3 SD 1213 RL"/>
      <sheetName val="District MYP Data"/>
      <sheetName val="1920 SD ADA"/>
      <sheetName val="1819 SD ADA"/>
      <sheetName val="1718 SD ADA"/>
      <sheetName val="1617 SD ADA"/>
      <sheetName val="1516 SD ADA"/>
      <sheetName val="1415 ANR3 SD ADA"/>
      <sheetName val="1920 SD UPP"/>
      <sheetName val="1819 SD UPP"/>
      <sheetName val="1314 ANR3 SD ADA"/>
      <sheetName val="1314 ANR3 SD PY ADA"/>
      <sheetName val="1920 SD Target"/>
      <sheetName val="1819 SD Trans"/>
      <sheetName val="1718 SD Trans"/>
      <sheetName val="1617 SD Trans"/>
      <sheetName val="1516 SD Trans"/>
      <sheetName val="1415 ANR3 SD Trans"/>
      <sheetName val="1314 ANR3 SD Trans"/>
      <sheetName val="1516 SD UPP"/>
      <sheetName val="Charter MYP Data"/>
      <sheetName val="1920 CS UPP"/>
      <sheetName val="1819 CS UPP"/>
      <sheetName val="1718 CS UPP"/>
      <sheetName val="1617 CS UPP"/>
      <sheetName val="1516 CS UPP"/>
      <sheetName val="1415 ANR3 CS UPP"/>
      <sheetName val="1314 ANR3 CS UPP"/>
      <sheetName val="1920 CS Target"/>
      <sheetName val="1819 CS Target"/>
      <sheetName val="1718 CS Target"/>
      <sheetName val="1617 CS Target"/>
      <sheetName val="1516 CS Target"/>
      <sheetName val="1415 ANR3 CS Target"/>
      <sheetName val="1314 ANR3 CS Target"/>
      <sheetName val="1819 CS Trans"/>
      <sheetName val="1718 CS Trans"/>
      <sheetName val="1617 CS Trans"/>
      <sheetName val="1516 CS Trans"/>
      <sheetName val="1415 ANR3 CS Trans"/>
      <sheetName val="1314 ANR3 CS Trans"/>
      <sheetName val="District Class Size"/>
      <sheetName val="SD K-3 GSA Ratio"/>
      <sheetName val="District NSS"/>
      <sheetName val="1920 SD NSS Target"/>
      <sheetName val="1819 SD NSS Target"/>
      <sheetName val="1718 SD NSS Target"/>
      <sheetName val="1617 SD NSS Target"/>
      <sheetName val="1516 SD NSS Target"/>
      <sheetName val="1415 ANR3 SD NSS Target"/>
      <sheetName val="1314 ANR3 SD NSS Target"/>
      <sheetName val="SD NSS Schools"/>
      <sheetName val="NSS Data"/>
      <sheetName val="NSS Calculation"/>
      <sheetName val="1920 SD Local Rev"/>
      <sheetName val="1819 SD Local Rev"/>
      <sheetName val="1718 SD Local Rev"/>
      <sheetName val="1617 SD Local Rev"/>
      <sheetName val="1516 SD Local Rev"/>
      <sheetName val="1415 ANR3 SD Local Rev"/>
      <sheetName val="1314 ANR3 SD Local Rev"/>
      <sheetName val="New LEA Calc Yrs"/>
      <sheetName val="District In-Lieu Taxes"/>
      <sheetName val="Calculator"/>
      <sheetName val="1819 ERT"/>
      <sheetName val="EPA"/>
      <sheetName val="1920 4th EPA"/>
      <sheetName val="1819 4th EPA"/>
      <sheetName val="1718 4th EPA"/>
      <sheetName val="1617 4th EPA"/>
      <sheetName val="1516 4th EPA"/>
      <sheetName val="1415 4th EPA"/>
      <sheetName val="1314 4th EPA"/>
      <sheetName val="1213 EPA"/>
      <sheetName val="LCAP"/>
      <sheetName val="Summary"/>
      <sheetName val="Graphs"/>
      <sheetName val="Local 1"/>
      <sheetName val="Local 2"/>
      <sheetName val="Local 3"/>
      <sheetName val="Local 4"/>
      <sheetName val="Local 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10">
          <cell r="D10" t="str">
            <v>Current</v>
          </cell>
        </row>
        <row r="11">
          <cell r="D11" t="str">
            <v>May Revise</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unt"/>
      <sheetName val="1.Validated 2008 CBEDs"/>
      <sheetName val="2.Virtual Academy-Decl Removed"/>
      <sheetName val="3.Rvsd Ent Calc -School Level"/>
      <sheetName val="3a.Ent Calc-SchLev No DFCS"/>
      <sheetName val="3b.Ent Calc. DFCS Only"/>
      <sheetName val="4a. Rvsd LEA Ent -No DFCS"/>
      <sheetName val="4b.Rvsd LEA Ent w DFCS"/>
      <sheetName val="5.Tracking"/>
      <sheetName val="5a.1st Appt"/>
      <sheetName val="6.2nd Appt"/>
      <sheetName val="Reconciliation"/>
      <sheetName val="Import Data"/>
    </sheetNames>
    <sheetDataSet>
      <sheetData sheetId="0"/>
      <sheetData sheetId="1"/>
      <sheetData sheetId="2"/>
      <sheetData sheetId="3"/>
      <sheetData sheetId="4"/>
      <sheetData sheetId="5"/>
      <sheetData sheetId="6">
        <row r="1">
          <cell r="A1" t="str">
            <v>Co_Code</v>
          </cell>
          <cell r="B1" t="str">
            <v>Dist_Code</v>
          </cell>
          <cell r="C1" t="str">
            <v>county</v>
          </cell>
          <cell r="D1" t="str">
            <v>district</v>
          </cell>
          <cell r="E1" t="str">
            <v>Sum Of 2008 CBEDS Total K-12 &amp; Adults</v>
          </cell>
          <cell r="F1" t="str">
            <v>Sum Of Total Entitlement (Sum of G + I + J)</v>
          </cell>
          <cell r="G1" t="str">
            <v>Count Of 2008-09, 2nd Appt Ent Calc-SchLev No DFCS</v>
          </cell>
        </row>
        <row r="2">
          <cell r="A2" t="str">
            <v>01</v>
          </cell>
          <cell r="B2" t="str">
            <v>10017</v>
          </cell>
          <cell r="C2" t="str">
            <v>Alameda</v>
          </cell>
          <cell r="D2" t="str">
            <v>Alameda County Office of Education</v>
          </cell>
          <cell r="E2">
            <v>597</v>
          </cell>
          <cell r="F2">
            <v>12755</v>
          </cell>
          <cell r="G2">
            <v>3</v>
          </cell>
        </row>
        <row r="3">
          <cell r="A3" t="str">
            <v>01</v>
          </cell>
          <cell r="B3" t="str">
            <v>31609</v>
          </cell>
          <cell r="C3" t="str">
            <v>Alameda</v>
          </cell>
          <cell r="D3" t="str">
            <v>California School for the Blind (State Special Schl)</v>
          </cell>
          <cell r="E3">
            <v>71</v>
          </cell>
          <cell r="F3">
            <v>3564</v>
          </cell>
          <cell r="G3">
            <v>1</v>
          </cell>
        </row>
        <row r="4">
          <cell r="A4" t="str">
            <v>01</v>
          </cell>
          <cell r="B4" t="str">
            <v>31617</v>
          </cell>
          <cell r="C4" t="str">
            <v>Alameda</v>
          </cell>
          <cell r="D4" t="str">
            <v>California School for the Deaf-Fremont (State Special Schl)</v>
          </cell>
          <cell r="E4">
            <v>411</v>
          </cell>
          <cell r="F4">
            <v>6987</v>
          </cell>
          <cell r="G4">
            <v>1</v>
          </cell>
        </row>
        <row r="5">
          <cell r="A5" t="str">
            <v>01</v>
          </cell>
          <cell r="B5" t="str">
            <v>61119</v>
          </cell>
          <cell r="C5" t="str">
            <v>Alameda</v>
          </cell>
          <cell r="D5" t="str">
            <v>Alameda City Unified</v>
          </cell>
          <cell r="E5">
            <v>10150</v>
          </cell>
          <cell r="F5">
            <v>174343</v>
          </cell>
          <cell r="G5">
            <v>18</v>
          </cell>
        </row>
        <row r="6">
          <cell r="A6" t="str">
            <v>01</v>
          </cell>
          <cell r="B6" t="str">
            <v>61127</v>
          </cell>
          <cell r="C6" t="str">
            <v>Alameda</v>
          </cell>
          <cell r="D6" t="str">
            <v>Albany City Unified</v>
          </cell>
          <cell r="E6">
            <v>3830</v>
          </cell>
          <cell r="F6">
            <v>67758</v>
          </cell>
          <cell r="G6">
            <v>6</v>
          </cell>
        </row>
        <row r="7">
          <cell r="A7" t="str">
            <v>01</v>
          </cell>
          <cell r="B7" t="str">
            <v>61143</v>
          </cell>
          <cell r="C7" t="str">
            <v>Alameda</v>
          </cell>
          <cell r="D7" t="str">
            <v>Berkeley Unified</v>
          </cell>
          <cell r="E7">
            <v>8922</v>
          </cell>
          <cell r="F7">
            <v>153218</v>
          </cell>
          <cell r="G7">
            <v>16</v>
          </cell>
        </row>
        <row r="8">
          <cell r="A8" t="str">
            <v>01</v>
          </cell>
          <cell r="B8" t="str">
            <v>61150</v>
          </cell>
          <cell r="C8" t="str">
            <v>Alameda</v>
          </cell>
          <cell r="D8" t="str">
            <v>Castro Valley Unified</v>
          </cell>
          <cell r="E8">
            <v>8896</v>
          </cell>
          <cell r="F8">
            <v>158053</v>
          </cell>
          <cell r="G8">
            <v>15</v>
          </cell>
        </row>
        <row r="9">
          <cell r="A9" t="str">
            <v>01</v>
          </cell>
          <cell r="B9" t="str">
            <v>61168</v>
          </cell>
          <cell r="C9" t="str">
            <v>Alameda</v>
          </cell>
          <cell r="D9" t="str">
            <v>Emery Unified</v>
          </cell>
          <cell r="E9">
            <v>783</v>
          </cell>
          <cell r="F9">
            <v>13311</v>
          </cell>
          <cell r="G9">
            <v>2</v>
          </cell>
        </row>
        <row r="10">
          <cell r="A10" t="str">
            <v>01</v>
          </cell>
          <cell r="B10" t="str">
            <v>61176</v>
          </cell>
          <cell r="C10" t="str">
            <v>Alameda</v>
          </cell>
          <cell r="D10" t="str">
            <v>Fremont Unified</v>
          </cell>
          <cell r="E10">
            <v>32083</v>
          </cell>
          <cell r="F10">
            <v>547716</v>
          </cell>
          <cell r="G10">
            <v>41</v>
          </cell>
        </row>
        <row r="11">
          <cell r="A11" t="str">
            <v>01</v>
          </cell>
          <cell r="B11" t="str">
            <v>61192</v>
          </cell>
          <cell r="C11" t="str">
            <v>Alameda</v>
          </cell>
          <cell r="D11" t="str">
            <v>Hayward Unified</v>
          </cell>
          <cell r="E11">
            <v>21396</v>
          </cell>
          <cell r="F11">
            <v>365271</v>
          </cell>
          <cell r="G11">
            <v>31</v>
          </cell>
        </row>
        <row r="12">
          <cell r="A12" t="str">
            <v>01</v>
          </cell>
          <cell r="B12" t="str">
            <v>61200</v>
          </cell>
          <cell r="C12" t="str">
            <v>Alameda</v>
          </cell>
          <cell r="D12" t="str">
            <v>Livermore Valley Joint Unified</v>
          </cell>
          <cell r="E12">
            <v>13089</v>
          </cell>
          <cell r="F12">
            <v>228058</v>
          </cell>
          <cell r="G12">
            <v>19</v>
          </cell>
        </row>
        <row r="13">
          <cell r="A13" t="str">
            <v>01</v>
          </cell>
          <cell r="B13" t="str">
            <v>61218</v>
          </cell>
          <cell r="C13" t="str">
            <v>Alameda</v>
          </cell>
          <cell r="D13" t="str">
            <v>Mountain House Elementary</v>
          </cell>
          <cell r="E13">
            <v>42</v>
          </cell>
          <cell r="F13">
            <v>3564</v>
          </cell>
          <cell r="G13">
            <v>1</v>
          </cell>
        </row>
        <row r="14">
          <cell r="A14" t="str">
            <v>01</v>
          </cell>
          <cell r="B14" t="str">
            <v>61234</v>
          </cell>
          <cell r="C14" t="str">
            <v>Alameda</v>
          </cell>
          <cell r="D14" t="str">
            <v>Newark Unified</v>
          </cell>
          <cell r="E14">
            <v>7170</v>
          </cell>
          <cell r="F14">
            <v>130416</v>
          </cell>
          <cell r="G14">
            <v>14</v>
          </cell>
        </row>
        <row r="15">
          <cell r="A15" t="str">
            <v>01</v>
          </cell>
          <cell r="B15" t="str">
            <v>61242</v>
          </cell>
          <cell r="C15" t="str">
            <v>Alameda</v>
          </cell>
          <cell r="D15" t="str">
            <v>New Haven Unified</v>
          </cell>
          <cell r="E15">
            <v>12900</v>
          </cell>
          <cell r="F15">
            <v>227725</v>
          </cell>
          <cell r="G15">
            <v>14</v>
          </cell>
        </row>
        <row r="16">
          <cell r="A16" t="str">
            <v>01</v>
          </cell>
          <cell r="B16" t="str">
            <v>61259</v>
          </cell>
          <cell r="C16" t="str">
            <v>Alameda</v>
          </cell>
          <cell r="D16" t="str">
            <v>Oakland Unified</v>
          </cell>
          <cell r="E16">
            <v>39529</v>
          </cell>
          <cell r="F16">
            <v>718541</v>
          </cell>
          <cell r="G16">
            <v>117</v>
          </cell>
        </row>
        <row r="17">
          <cell r="A17" t="str">
            <v>01</v>
          </cell>
          <cell r="B17" t="str">
            <v>61275</v>
          </cell>
          <cell r="C17" t="str">
            <v>Alameda</v>
          </cell>
          <cell r="D17" t="str">
            <v>Piedmont City Unified</v>
          </cell>
          <cell r="E17">
            <v>2526</v>
          </cell>
          <cell r="F17">
            <v>45147</v>
          </cell>
          <cell r="G17">
            <v>6</v>
          </cell>
        </row>
        <row r="18">
          <cell r="A18" t="str">
            <v>01</v>
          </cell>
          <cell r="B18" t="str">
            <v>61291</v>
          </cell>
          <cell r="C18" t="str">
            <v>Alameda</v>
          </cell>
          <cell r="D18" t="str">
            <v>San Leandro Unified</v>
          </cell>
          <cell r="E18">
            <v>8777</v>
          </cell>
          <cell r="F18">
            <v>151384</v>
          </cell>
          <cell r="G18">
            <v>12</v>
          </cell>
        </row>
        <row r="19">
          <cell r="A19" t="str">
            <v>01</v>
          </cell>
          <cell r="B19" t="str">
            <v>61309</v>
          </cell>
          <cell r="C19" t="str">
            <v>Alameda</v>
          </cell>
          <cell r="D19" t="str">
            <v>San Lorenzo Unified</v>
          </cell>
          <cell r="E19">
            <v>11392</v>
          </cell>
          <cell r="F19">
            <v>194903</v>
          </cell>
          <cell r="G19">
            <v>16</v>
          </cell>
        </row>
        <row r="20">
          <cell r="A20" t="str">
            <v>01</v>
          </cell>
          <cell r="B20" t="str">
            <v>75093</v>
          </cell>
          <cell r="C20" t="str">
            <v>Alameda</v>
          </cell>
          <cell r="D20" t="str">
            <v>Dublin Unified</v>
          </cell>
          <cell r="E20">
            <v>5739</v>
          </cell>
          <cell r="F20">
            <v>99786</v>
          </cell>
          <cell r="G20">
            <v>9</v>
          </cell>
        </row>
        <row r="21">
          <cell r="A21" t="str">
            <v>01</v>
          </cell>
          <cell r="B21" t="str">
            <v>75101</v>
          </cell>
          <cell r="C21" t="str">
            <v>Alameda</v>
          </cell>
          <cell r="D21" t="str">
            <v>Pleasanton Unified</v>
          </cell>
          <cell r="E21">
            <v>14795</v>
          </cell>
          <cell r="F21">
            <v>254910</v>
          </cell>
          <cell r="G21">
            <v>16</v>
          </cell>
        </row>
        <row r="22">
          <cell r="A22" t="str">
            <v>01</v>
          </cell>
          <cell r="B22" t="str">
            <v>75119</v>
          </cell>
          <cell r="C22" t="str">
            <v>Alameda</v>
          </cell>
          <cell r="D22" t="str">
            <v>Sunol Glen Unified</v>
          </cell>
          <cell r="E22">
            <v>232</v>
          </cell>
          <cell r="F22">
            <v>3944</v>
          </cell>
          <cell r="G22">
            <v>1</v>
          </cell>
        </row>
        <row r="23">
          <cell r="A23" t="str">
            <v>02</v>
          </cell>
          <cell r="B23" t="str">
            <v>61333</v>
          </cell>
          <cell r="C23" t="str">
            <v>Alpine</v>
          </cell>
          <cell r="D23" t="str">
            <v>Alpine County Unified</v>
          </cell>
          <cell r="E23">
            <v>129</v>
          </cell>
          <cell r="F23">
            <v>14704</v>
          </cell>
          <cell r="G23">
            <v>6</v>
          </cell>
        </row>
        <row r="24">
          <cell r="A24" t="str">
            <v>03</v>
          </cell>
          <cell r="B24" t="str">
            <v>10033</v>
          </cell>
          <cell r="C24" t="str">
            <v>Amador</v>
          </cell>
          <cell r="D24" t="str">
            <v>Amador County Office of Education</v>
          </cell>
          <cell r="E24">
            <v>203</v>
          </cell>
          <cell r="F24">
            <v>7128</v>
          </cell>
          <cell r="G24">
            <v>2</v>
          </cell>
        </row>
        <row r="25">
          <cell r="A25" t="str">
            <v>03</v>
          </cell>
          <cell r="B25" t="str">
            <v>73981</v>
          </cell>
          <cell r="C25" t="str">
            <v>Amador</v>
          </cell>
          <cell r="D25" t="str">
            <v>Amador County Unified</v>
          </cell>
          <cell r="E25">
            <v>4390</v>
          </cell>
          <cell r="F25">
            <v>79509</v>
          </cell>
          <cell r="G25">
            <v>12</v>
          </cell>
        </row>
        <row r="26">
          <cell r="A26" t="str">
            <v>04</v>
          </cell>
          <cell r="B26" t="str">
            <v>10041</v>
          </cell>
          <cell r="C26" t="str">
            <v>Butte</v>
          </cell>
          <cell r="D26" t="str">
            <v>Butte County Office of Education</v>
          </cell>
          <cell r="E26">
            <v>590</v>
          </cell>
          <cell r="F26">
            <v>14999</v>
          </cell>
          <cell r="G26">
            <v>3</v>
          </cell>
        </row>
        <row r="27">
          <cell r="A27" t="str">
            <v>04</v>
          </cell>
          <cell r="B27" t="str">
            <v>61382</v>
          </cell>
          <cell r="C27" t="str">
            <v>Butte</v>
          </cell>
          <cell r="D27" t="str">
            <v>Bangor Union Elementary</v>
          </cell>
          <cell r="E27">
            <v>125</v>
          </cell>
          <cell r="F27">
            <v>3564</v>
          </cell>
          <cell r="G27">
            <v>1</v>
          </cell>
        </row>
        <row r="28">
          <cell r="A28" t="str">
            <v>04</v>
          </cell>
          <cell r="B28" t="str">
            <v>61408</v>
          </cell>
          <cell r="C28" t="str">
            <v>Butte</v>
          </cell>
          <cell r="D28" t="str">
            <v>Biggs Unified</v>
          </cell>
          <cell r="E28">
            <v>551</v>
          </cell>
          <cell r="F28">
            <v>18820</v>
          </cell>
          <cell r="G28">
            <v>6</v>
          </cell>
        </row>
        <row r="29">
          <cell r="A29" t="str">
            <v>04</v>
          </cell>
          <cell r="B29" t="str">
            <v>61424</v>
          </cell>
          <cell r="C29" t="str">
            <v>Butte</v>
          </cell>
          <cell r="D29" t="str">
            <v>Chico Unified</v>
          </cell>
          <cell r="E29">
            <v>12845</v>
          </cell>
          <cell r="F29">
            <v>224300</v>
          </cell>
          <cell r="G29">
            <v>21</v>
          </cell>
        </row>
        <row r="30">
          <cell r="A30" t="str">
            <v>04</v>
          </cell>
          <cell r="B30" t="str">
            <v>61432</v>
          </cell>
          <cell r="C30" t="str">
            <v>Butte</v>
          </cell>
          <cell r="D30" t="str">
            <v>Durham Unified</v>
          </cell>
          <cell r="E30">
            <v>1097</v>
          </cell>
          <cell r="F30">
            <v>20792</v>
          </cell>
          <cell r="G30">
            <v>4</v>
          </cell>
        </row>
        <row r="31">
          <cell r="A31" t="str">
            <v>04</v>
          </cell>
          <cell r="B31" t="str">
            <v>61440</v>
          </cell>
          <cell r="C31" t="str">
            <v>Butte</v>
          </cell>
          <cell r="D31" t="str">
            <v>Feather Falls Union Elementary</v>
          </cell>
          <cell r="E31">
            <v>27</v>
          </cell>
          <cell r="F31">
            <v>3564</v>
          </cell>
          <cell r="G31">
            <v>1</v>
          </cell>
        </row>
        <row r="32">
          <cell r="A32" t="str">
            <v>04</v>
          </cell>
          <cell r="B32" t="str">
            <v>61457</v>
          </cell>
          <cell r="C32" t="str">
            <v>Butte</v>
          </cell>
          <cell r="D32" t="str">
            <v>Golden Feather Union Elementary</v>
          </cell>
          <cell r="E32">
            <v>133</v>
          </cell>
          <cell r="F32">
            <v>9356</v>
          </cell>
          <cell r="G32">
            <v>3</v>
          </cell>
        </row>
        <row r="33">
          <cell r="A33" t="str">
            <v>04</v>
          </cell>
          <cell r="B33" t="str">
            <v>61499</v>
          </cell>
          <cell r="C33" t="str">
            <v>Butte</v>
          </cell>
          <cell r="D33" t="str">
            <v>Manzanita Elementary</v>
          </cell>
          <cell r="E33">
            <v>262</v>
          </cell>
          <cell r="F33">
            <v>4454</v>
          </cell>
          <cell r="G33">
            <v>1</v>
          </cell>
        </row>
        <row r="34">
          <cell r="A34" t="str">
            <v>04</v>
          </cell>
          <cell r="B34" t="str">
            <v>61507</v>
          </cell>
          <cell r="C34" t="str">
            <v>Butte</v>
          </cell>
          <cell r="D34" t="str">
            <v>Oroville City Elementary</v>
          </cell>
          <cell r="E34">
            <v>2773</v>
          </cell>
          <cell r="F34">
            <v>48699</v>
          </cell>
          <cell r="G34">
            <v>7</v>
          </cell>
        </row>
        <row r="35">
          <cell r="A35" t="str">
            <v>04</v>
          </cell>
          <cell r="B35" t="str">
            <v>61515</v>
          </cell>
          <cell r="C35" t="str">
            <v>Butte</v>
          </cell>
          <cell r="D35" t="str">
            <v>Oroville Union High</v>
          </cell>
          <cell r="E35">
            <v>2870</v>
          </cell>
          <cell r="F35">
            <v>54044</v>
          </cell>
          <cell r="G35">
            <v>5</v>
          </cell>
        </row>
        <row r="36">
          <cell r="A36" t="str">
            <v>04</v>
          </cell>
          <cell r="B36" t="str">
            <v>61523</v>
          </cell>
          <cell r="C36" t="str">
            <v>Butte</v>
          </cell>
          <cell r="D36" t="str">
            <v>Palermo Union Elementary</v>
          </cell>
          <cell r="E36">
            <v>1341</v>
          </cell>
          <cell r="F36">
            <v>29124</v>
          </cell>
          <cell r="G36">
            <v>6</v>
          </cell>
        </row>
        <row r="37">
          <cell r="A37" t="str">
            <v>04</v>
          </cell>
          <cell r="B37" t="str">
            <v>61531</v>
          </cell>
          <cell r="C37" t="str">
            <v>Butte</v>
          </cell>
          <cell r="D37" t="str">
            <v>Paradise Unified</v>
          </cell>
          <cell r="E37">
            <v>4498</v>
          </cell>
          <cell r="F37">
            <v>85291</v>
          </cell>
          <cell r="G37">
            <v>12</v>
          </cell>
        </row>
        <row r="38">
          <cell r="A38" t="str">
            <v>04</v>
          </cell>
          <cell r="B38" t="str">
            <v>61549</v>
          </cell>
          <cell r="C38" t="str">
            <v>Butte</v>
          </cell>
          <cell r="D38" t="str">
            <v>Thermalito Union Elementary</v>
          </cell>
          <cell r="E38">
            <v>1416</v>
          </cell>
          <cell r="F38">
            <v>28341</v>
          </cell>
          <cell r="G38">
            <v>6</v>
          </cell>
        </row>
        <row r="39">
          <cell r="A39" t="str">
            <v>04</v>
          </cell>
          <cell r="B39" t="str">
            <v>73379</v>
          </cell>
          <cell r="C39" t="str">
            <v>Butte</v>
          </cell>
          <cell r="D39" t="str">
            <v>Pioneer Union Elementary</v>
          </cell>
          <cell r="E39">
            <v>98</v>
          </cell>
          <cell r="F39">
            <v>5792</v>
          </cell>
          <cell r="G39">
            <v>2</v>
          </cell>
        </row>
        <row r="40">
          <cell r="A40" t="str">
            <v>04</v>
          </cell>
          <cell r="B40" t="str">
            <v>75507</v>
          </cell>
          <cell r="C40" t="str">
            <v>Butte</v>
          </cell>
          <cell r="D40" t="str">
            <v>Gridley Unified</v>
          </cell>
          <cell r="E40">
            <v>2115</v>
          </cell>
          <cell r="F40">
            <v>42700</v>
          </cell>
          <cell r="G40">
            <v>7</v>
          </cell>
        </row>
        <row r="41">
          <cell r="A41" t="str">
            <v>05</v>
          </cell>
          <cell r="B41" t="str">
            <v>10058</v>
          </cell>
          <cell r="C41" t="str">
            <v>Calaveras</v>
          </cell>
          <cell r="D41" t="str">
            <v>Calaveras County Office of Education</v>
          </cell>
          <cell r="E41">
            <v>497</v>
          </cell>
          <cell r="F41">
            <v>18112</v>
          </cell>
          <cell r="G41">
            <v>5</v>
          </cell>
        </row>
        <row r="42">
          <cell r="A42" t="str">
            <v>05</v>
          </cell>
          <cell r="B42" t="str">
            <v>61556</v>
          </cell>
          <cell r="C42" t="str">
            <v>Calaveras</v>
          </cell>
          <cell r="D42" t="str">
            <v>Bret Harte Union High</v>
          </cell>
          <cell r="E42">
            <v>863</v>
          </cell>
          <cell r="F42">
            <v>20593</v>
          </cell>
          <cell r="G42">
            <v>3</v>
          </cell>
        </row>
        <row r="43">
          <cell r="A43" t="str">
            <v>05</v>
          </cell>
          <cell r="B43" t="str">
            <v>61564</v>
          </cell>
          <cell r="C43" t="str">
            <v>Calaveras</v>
          </cell>
          <cell r="D43" t="str">
            <v>Calaveras Unified</v>
          </cell>
          <cell r="E43">
            <v>3562</v>
          </cell>
          <cell r="F43">
            <v>76430</v>
          </cell>
          <cell r="G43">
            <v>13</v>
          </cell>
        </row>
        <row r="44">
          <cell r="A44" t="str">
            <v>05</v>
          </cell>
          <cell r="B44" t="str">
            <v>61572</v>
          </cell>
          <cell r="C44" t="str">
            <v>Calaveras</v>
          </cell>
          <cell r="D44" t="str">
            <v>Mark Twain Union Elementary</v>
          </cell>
          <cell r="E44">
            <v>791</v>
          </cell>
          <cell r="F44">
            <v>13447</v>
          </cell>
          <cell r="G44">
            <v>2</v>
          </cell>
        </row>
        <row r="45">
          <cell r="A45" t="str">
            <v>05</v>
          </cell>
          <cell r="B45" t="str">
            <v>61580</v>
          </cell>
          <cell r="C45" t="str">
            <v>Calaveras</v>
          </cell>
          <cell r="D45" t="str">
            <v>Vallecito Union</v>
          </cell>
          <cell r="E45">
            <v>795</v>
          </cell>
          <cell r="F45">
            <v>17801</v>
          </cell>
          <cell r="G45">
            <v>5</v>
          </cell>
        </row>
        <row r="46">
          <cell r="A46" t="str">
            <v>06</v>
          </cell>
          <cell r="B46" t="str">
            <v>10066</v>
          </cell>
          <cell r="C46" t="str">
            <v>Colusa</v>
          </cell>
          <cell r="D46" t="str">
            <v>Colusa County Office of Education</v>
          </cell>
          <cell r="E46">
            <v>177</v>
          </cell>
          <cell r="F46">
            <v>11584</v>
          </cell>
          <cell r="G46">
            <v>4</v>
          </cell>
        </row>
        <row r="47">
          <cell r="A47" t="str">
            <v>06</v>
          </cell>
          <cell r="B47" t="str">
            <v>61598</v>
          </cell>
          <cell r="C47" t="str">
            <v>Colusa</v>
          </cell>
          <cell r="D47" t="str">
            <v>Colusa Unified</v>
          </cell>
          <cell r="E47">
            <v>1394</v>
          </cell>
          <cell r="F47">
            <v>28939</v>
          </cell>
          <cell r="G47">
            <v>5</v>
          </cell>
        </row>
        <row r="48">
          <cell r="A48" t="str">
            <v>06</v>
          </cell>
          <cell r="B48" t="str">
            <v>61606</v>
          </cell>
          <cell r="C48" t="str">
            <v>Colusa</v>
          </cell>
          <cell r="D48" t="str">
            <v>Maxwell Unified</v>
          </cell>
          <cell r="E48">
            <v>422</v>
          </cell>
          <cell r="F48">
            <v>10382</v>
          </cell>
          <cell r="G48">
            <v>3</v>
          </cell>
        </row>
        <row r="49">
          <cell r="A49" t="str">
            <v>06</v>
          </cell>
          <cell r="B49" t="str">
            <v>61614</v>
          </cell>
          <cell r="C49" t="str">
            <v>Colusa</v>
          </cell>
          <cell r="D49" t="str">
            <v>Pierce Joint Unified</v>
          </cell>
          <cell r="E49">
            <v>1296</v>
          </cell>
          <cell r="F49">
            <v>26260</v>
          </cell>
          <cell r="G49">
            <v>5</v>
          </cell>
        </row>
        <row r="50">
          <cell r="A50" t="str">
            <v>06</v>
          </cell>
          <cell r="B50" t="str">
            <v>61622</v>
          </cell>
          <cell r="C50" t="str">
            <v>Colusa</v>
          </cell>
          <cell r="D50" t="str">
            <v>Williams Unified</v>
          </cell>
          <cell r="E50">
            <v>1218</v>
          </cell>
          <cell r="F50">
            <v>24604</v>
          </cell>
          <cell r="G50">
            <v>5</v>
          </cell>
        </row>
        <row r="51">
          <cell r="A51" t="str">
            <v>07</v>
          </cell>
          <cell r="B51" t="str">
            <v>10074</v>
          </cell>
          <cell r="C51" t="str">
            <v>Contra Costa</v>
          </cell>
          <cell r="D51" t="str">
            <v>Contra Costa County Office of Education</v>
          </cell>
          <cell r="E51">
            <v>958</v>
          </cell>
          <cell r="F51">
            <v>25719</v>
          </cell>
          <cell r="G51">
            <v>7</v>
          </cell>
        </row>
        <row r="52">
          <cell r="A52" t="str">
            <v>07</v>
          </cell>
          <cell r="B52" t="str">
            <v>61630</v>
          </cell>
          <cell r="C52" t="str">
            <v>Contra Costa</v>
          </cell>
          <cell r="D52" t="str">
            <v>Acalanes Union High</v>
          </cell>
          <cell r="E52">
            <v>5697</v>
          </cell>
          <cell r="F52">
            <v>101686</v>
          </cell>
          <cell r="G52">
            <v>6</v>
          </cell>
        </row>
        <row r="53">
          <cell r="A53" t="str">
            <v>07</v>
          </cell>
          <cell r="B53" t="str">
            <v>61648</v>
          </cell>
          <cell r="C53" t="str">
            <v>Contra Costa</v>
          </cell>
          <cell r="D53" t="str">
            <v>Antioch Unified</v>
          </cell>
          <cell r="E53">
            <v>19262</v>
          </cell>
          <cell r="F53">
            <v>333633</v>
          </cell>
          <cell r="G53">
            <v>26</v>
          </cell>
        </row>
        <row r="54">
          <cell r="A54" t="str">
            <v>07</v>
          </cell>
          <cell r="B54" t="str">
            <v>61655</v>
          </cell>
          <cell r="C54" t="str">
            <v>Contra Costa</v>
          </cell>
          <cell r="D54" t="str">
            <v>Brentwood Union Elementary</v>
          </cell>
          <cell r="E54">
            <v>8247</v>
          </cell>
          <cell r="F54">
            <v>140206</v>
          </cell>
          <cell r="G54">
            <v>10</v>
          </cell>
        </row>
        <row r="55">
          <cell r="A55" t="str">
            <v>07</v>
          </cell>
          <cell r="B55" t="str">
            <v>61663</v>
          </cell>
          <cell r="C55" t="str">
            <v>Contra Costa</v>
          </cell>
          <cell r="D55" t="str">
            <v>Byron Union Elementary</v>
          </cell>
          <cell r="E55">
            <v>1666</v>
          </cell>
          <cell r="F55">
            <v>28322</v>
          </cell>
          <cell r="G55">
            <v>3</v>
          </cell>
        </row>
        <row r="56">
          <cell r="A56" t="str">
            <v>07</v>
          </cell>
          <cell r="B56" t="str">
            <v>61671</v>
          </cell>
          <cell r="C56" t="str">
            <v>Contra Costa</v>
          </cell>
          <cell r="D56" t="str">
            <v>Canyon Elementary</v>
          </cell>
          <cell r="E56">
            <v>68</v>
          </cell>
          <cell r="F56">
            <v>3564</v>
          </cell>
          <cell r="G56">
            <v>1</v>
          </cell>
        </row>
        <row r="57">
          <cell r="A57" t="str">
            <v>07</v>
          </cell>
          <cell r="B57" t="str">
            <v>61697</v>
          </cell>
          <cell r="C57" t="str">
            <v>Contra Costa</v>
          </cell>
          <cell r="D57" t="str">
            <v>John Swett Unified</v>
          </cell>
          <cell r="E57">
            <v>1702</v>
          </cell>
          <cell r="F57">
            <v>31767</v>
          </cell>
          <cell r="G57">
            <v>4</v>
          </cell>
        </row>
        <row r="58">
          <cell r="A58" t="str">
            <v>07</v>
          </cell>
          <cell r="B58" t="str">
            <v>61705</v>
          </cell>
          <cell r="C58" t="str">
            <v>Contra Costa</v>
          </cell>
          <cell r="D58" t="str">
            <v>Knightsen Elementary</v>
          </cell>
          <cell r="E58">
            <v>500</v>
          </cell>
          <cell r="F58">
            <v>9939</v>
          </cell>
          <cell r="G58">
            <v>2</v>
          </cell>
        </row>
        <row r="59">
          <cell r="A59" t="str">
            <v>07</v>
          </cell>
          <cell r="B59" t="str">
            <v>61713</v>
          </cell>
          <cell r="C59" t="str">
            <v>Contra Costa</v>
          </cell>
          <cell r="D59" t="str">
            <v>Lafayette Elementary</v>
          </cell>
          <cell r="E59">
            <v>3205</v>
          </cell>
          <cell r="F59">
            <v>54486</v>
          </cell>
          <cell r="G59">
            <v>5</v>
          </cell>
        </row>
        <row r="60">
          <cell r="A60" t="str">
            <v>07</v>
          </cell>
          <cell r="B60" t="str">
            <v>61721</v>
          </cell>
          <cell r="C60" t="str">
            <v>Contra Costa</v>
          </cell>
          <cell r="D60" t="str">
            <v>Liberty Union High</v>
          </cell>
          <cell r="E60">
            <v>6980</v>
          </cell>
          <cell r="F60">
            <v>118664</v>
          </cell>
          <cell r="G60">
            <v>5</v>
          </cell>
        </row>
        <row r="61">
          <cell r="A61" t="str">
            <v>07</v>
          </cell>
          <cell r="B61" t="str">
            <v>61739</v>
          </cell>
          <cell r="C61" t="str">
            <v>Contra Costa</v>
          </cell>
          <cell r="D61" t="str">
            <v>Martinez Unified</v>
          </cell>
          <cell r="E61">
            <v>3975</v>
          </cell>
          <cell r="F61">
            <v>71509</v>
          </cell>
          <cell r="G61">
            <v>8</v>
          </cell>
        </row>
        <row r="62">
          <cell r="A62" t="str">
            <v>07</v>
          </cell>
          <cell r="B62" t="str">
            <v>61747</v>
          </cell>
          <cell r="C62" t="str">
            <v>Contra Costa</v>
          </cell>
          <cell r="D62" t="str">
            <v>Moraga Elementary</v>
          </cell>
          <cell r="E62">
            <v>1734</v>
          </cell>
          <cell r="F62">
            <v>29478</v>
          </cell>
          <cell r="G62">
            <v>4</v>
          </cell>
        </row>
        <row r="63">
          <cell r="A63" t="str">
            <v>07</v>
          </cell>
          <cell r="B63" t="str">
            <v>61754</v>
          </cell>
          <cell r="C63" t="str">
            <v>Contra Costa</v>
          </cell>
          <cell r="D63" t="str">
            <v>Mt. Diablo Unified</v>
          </cell>
          <cell r="E63">
            <v>34813</v>
          </cell>
          <cell r="F63">
            <v>612163</v>
          </cell>
          <cell r="G63">
            <v>55</v>
          </cell>
        </row>
        <row r="64">
          <cell r="A64" t="str">
            <v>07</v>
          </cell>
          <cell r="B64" t="str">
            <v>61762</v>
          </cell>
          <cell r="C64" t="str">
            <v>Contra Costa</v>
          </cell>
          <cell r="D64" t="str">
            <v>Oakley Union Elementary</v>
          </cell>
          <cell r="E64">
            <v>4601</v>
          </cell>
          <cell r="F64">
            <v>78218</v>
          </cell>
          <cell r="G64">
            <v>7</v>
          </cell>
        </row>
        <row r="65">
          <cell r="A65" t="str">
            <v>07</v>
          </cell>
          <cell r="B65" t="str">
            <v>61770</v>
          </cell>
          <cell r="C65" t="str">
            <v>Contra Costa</v>
          </cell>
          <cell r="D65" t="str">
            <v>Orinda Union Elementary</v>
          </cell>
          <cell r="E65">
            <v>2422</v>
          </cell>
          <cell r="F65">
            <v>41175</v>
          </cell>
          <cell r="G65">
            <v>5</v>
          </cell>
        </row>
        <row r="66">
          <cell r="A66" t="str">
            <v>07</v>
          </cell>
          <cell r="B66" t="str">
            <v>61788</v>
          </cell>
          <cell r="C66" t="str">
            <v>Contra Costa</v>
          </cell>
          <cell r="D66" t="str">
            <v>Pittsburg Unified</v>
          </cell>
          <cell r="E66">
            <v>9530</v>
          </cell>
          <cell r="F66">
            <v>162014</v>
          </cell>
          <cell r="G66">
            <v>12</v>
          </cell>
        </row>
        <row r="67">
          <cell r="A67" t="str">
            <v>07</v>
          </cell>
          <cell r="B67" t="str">
            <v>61796</v>
          </cell>
          <cell r="C67" t="str">
            <v>Contra Costa</v>
          </cell>
          <cell r="D67" t="str">
            <v>West Contra Costa Unified</v>
          </cell>
          <cell r="E67">
            <v>30109</v>
          </cell>
          <cell r="F67">
            <v>525402</v>
          </cell>
          <cell r="G67">
            <v>61</v>
          </cell>
        </row>
        <row r="68">
          <cell r="A68" t="str">
            <v>07</v>
          </cell>
          <cell r="B68" t="str">
            <v>61804</v>
          </cell>
          <cell r="C68" t="str">
            <v>Contra Costa</v>
          </cell>
          <cell r="D68" t="str">
            <v>San Ramon Valley Unified</v>
          </cell>
          <cell r="E68">
            <v>26939</v>
          </cell>
          <cell r="F68">
            <v>460198</v>
          </cell>
          <cell r="G68">
            <v>34</v>
          </cell>
        </row>
        <row r="69">
          <cell r="A69" t="str">
            <v>07</v>
          </cell>
          <cell r="B69" t="str">
            <v>61812</v>
          </cell>
          <cell r="C69" t="str">
            <v>Contra Costa</v>
          </cell>
          <cell r="D69" t="str">
            <v>Walnut Creek Elementary</v>
          </cell>
          <cell r="E69">
            <v>3235</v>
          </cell>
          <cell r="F69">
            <v>54996</v>
          </cell>
          <cell r="G69">
            <v>6</v>
          </cell>
        </row>
        <row r="70">
          <cell r="A70" t="str">
            <v>08</v>
          </cell>
          <cell r="B70" t="str">
            <v>10082</v>
          </cell>
          <cell r="C70" t="str">
            <v>Del Norte</v>
          </cell>
          <cell r="D70" t="str">
            <v>Del Norte County Office of Education</v>
          </cell>
          <cell r="E70">
            <v>533</v>
          </cell>
          <cell r="F70">
            <v>24907</v>
          </cell>
          <cell r="G70">
            <v>7</v>
          </cell>
        </row>
        <row r="71">
          <cell r="A71" t="str">
            <v>08</v>
          </cell>
          <cell r="B71" t="str">
            <v>61820</v>
          </cell>
          <cell r="C71" t="str">
            <v>Del Norte</v>
          </cell>
          <cell r="D71" t="str">
            <v>Del Norte County Unified</v>
          </cell>
          <cell r="E71">
            <v>3893</v>
          </cell>
          <cell r="F71">
            <v>73270</v>
          </cell>
          <cell r="G71">
            <v>11</v>
          </cell>
        </row>
        <row r="72">
          <cell r="A72" t="str">
            <v>09</v>
          </cell>
          <cell r="B72" t="str">
            <v>10090</v>
          </cell>
          <cell r="C72" t="str">
            <v>El Dorado</v>
          </cell>
          <cell r="D72" t="str">
            <v>El Dorado County Office of Education</v>
          </cell>
          <cell r="E72">
            <v>1043</v>
          </cell>
          <cell r="F72">
            <v>26470</v>
          </cell>
          <cell r="G72">
            <v>6</v>
          </cell>
        </row>
        <row r="73">
          <cell r="A73" t="str">
            <v>09</v>
          </cell>
          <cell r="B73" t="str">
            <v>61838</v>
          </cell>
          <cell r="C73" t="str">
            <v>El Dorado</v>
          </cell>
          <cell r="D73" t="str">
            <v>Buckeye Union Elementary</v>
          </cell>
          <cell r="E73">
            <v>4790</v>
          </cell>
          <cell r="F73">
            <v>83312</v>
          </cell>
          <cell r="G73">
            <v>8</v>
          </cell>
        </row>
        <row r="74">
          <cell r="A74" t="str">
            <v>09</v>
          </cell>
          <cell r="B74" t="str">
            <v>61846</v>
          </cell>
          <cell r="C74" t="str">
            <v>El Dorado</v>
          </cell>
          <cell r="D74" t="str">
            <v>Camino Union Elementary</v>
          </cell>
          <cell r="E74">
            <v>438</v>
          </cell>
          <cell r="F74">
            <v>7446</v>
          </cell>
          <cell r="G74">
            <v>1</v>
          </cell>
        </row>
        <row r="75">
          <cell r="A75" t="str">
            <v>09</v>
          </cell>
          <cell r="B75" t="str">
            <v>61853</v>
          </cell>
          <cell r="C75" t="str">
            <v>El Dorado</v>
          </cell>
          <cell r="D75" t="str">
            <v>El Dorado Union High</v>
          </cell>
          <cell r="E75">
            <v>7262</v>
          </cell>
          <cell r="F75">
            <v>135125</v>
          </cell>
          <cell r="G75">
            <v>10</v>
          </cell>
        </row>
        <row r="76">
          <cell r="A76" t="str">
            <v>09</v>
          </cell>
          <cell r="B76" t="str">
            <v>61879</v>
          </cell>
          <cell r="C76" t="str">
            <v>El Dorado</v>
          </cell>
          <cell r="D76" t="str">
            <v>Gold Oak Union Elementary</v>
          </cell>
          <cell r="E76">
            <v>631</v>
          </cell>
          <cell r="F76">
            <v>13809</v>
          </cell>
          <cell r="G76">
            <v>3</v>
          </cell>
        </row>
        <row r="77">
          <cell r="A77" t="str">
            <v>09</v>
          </cell>
          <cell r="B77" t="str">
            <v>61887</v>
          </cell>
          <cell r="C77" t="str">
            <v>El Dorado</v>
          </cell>
          <cell r="D77" t="str">
            <v>Gold Trail Union Elementary</v>
          </cell>
          <cell r="E77">
            <v>550</v>
          </cell>
          <cell r="F77">
            <v>9350</v>
          </cell>
          <cell r="G77">
            <v>2</v>
          </cell>
        </row>
        <row r="78">
          <cell r="A78" t="str">
            <v>09</v>
          </cell>
          <cell r="B78" t="str">
            <v>61895</v>
          </cell>
          <cell r="C78" t="str">
            <v>El Dorado</v>
          </cell>
          <cell r="D78" t="str">
            <v>Indian Diggings Elementary</v>
          </cell>
          <cell r="E78">
            <v>26</v>
          </cell>
          <cell r="F78">
            <v>3564</v>
          </cell>
          <cell r="G78">
            <v>1</v>
          </cell>
        </row>
        <row r="79">
          <cell r="A79" t="str">
            <v>09</v>
          </cell>
          <cell r="B79" t="str">
            <v>61903</v>
          </cell>
          <cell r="C79" t="str">
            <v>El Dorado</v>
          </cell>
          <cell r="D79" t="str">
            <v>Lake Tahoe Unified</v>
          </cell>
          <cell r="E79">
            <v>4079</v>
          </cell>
          <cell r="F79">
            <v>73515</v>
          </cell>
          <cell r="G79">
            <v>8</v>
          </cell>
        </row>
        <row r="80">
          <cell r="A80" t="str">
            <v>09</v>
          </cell>
          <cell r="B80" t="str">
            <v>61911</v>
          </cell>
          <cell r="C80" t="str">
            <v>El Dorado</v>
          </cell>
          <cell r="D80" t="str">
            <v>Latrobe</v>
          </cell>
          <cell r="E80">
            <v>181</v>
          </cell>
          <cell r="F80">
            <v>7128</v>
          </cell>
          <cell r="G80">
            <v>2</v>
          </cell>
        </row>
        <row r="81">
          <cell r="A81" t="str">
            <v>09</v>
          </cell>
          <cell r="B81" t="str">
            <v>61929</v>
          </cell>
          <cell r="C81" t="str">
            <v>El Dorado</v>
          </cell>
          <cell r="D81" t="str">
            <v>Mother Lode Union Elementary</v>
          </cell>
          <cell r="E81">
            <v>1378</v>
          </cell>
          <cell r="F81">
            <v>23426</v>
          </cell>
          <cell r="G81">
            <v>3</v>
          </cell>
        </row>
        <row r="82">
          <cell r="A82" t="str">
            <v>09</v>
          </cell>
          <cell r="B82" t="str">
            <v>61945</v>
          </cell>
          <cell r="C82" t="str">
            <v>El Dorado</v>
          </cell>
          <cell r="D82" t="str">
            <v>Pioneer Union Elementary</v>
          </cell>
          <cell r="E82">
            <v>427</v>
          </cell>
          <cell r="F82">
            <v>10970</v>
          </cell>
          <cell r="G82">
            <v>3</v>
          </cell>
        </row>
        <row r="83">
          <cell r="A83" t="str">
            <v>09</v>
          </cell>
          <cell r="B83" t="str">
            <v>61952</v>
          </cell>
          <cell r="C83" t="str">
            <v>El Dorado</v>
          </cell>
          <cell r="D83" t="str">
            <v>Placerville Union Elementary</v>
          </cell>
          <cell r="E83">
            <v>1164</v>
          </cell>
          <cell r="F83">
            <v>21931</v>
          </cell>
          <cell r="G83">
            <v>4</v>
          </cell>
        </row>
        <row r="84">
          <cell r="A84" t="str">
            <v>09</v>
          </cell>
          <cell r="B84" t="str">
            <v>61960</v>
          </cell>
          <cell r="C84" t="str">
            <v>El Dorado</v>
          </cell>
          <cell r="D84" t="str">
            <v>Pollock Pines Elementary</v>
          </cell>
          <cell r="E84">
            <v>745</v>
          </cell>
          <cell r="F84">
            <v>12665</v>
          </cell>
          <cell r="G84">
            <v>2</v>
          </cell>
        </row>
        <row r="85">
          <cell r="A85" t="str">
            <v>09</v>
          </cell>
          <cell r="B85" t="str">
            <v>61978</v>
          </cell>
          <cell r="C85" t="str">
            <v>El Dorado</v>
          </cell>
          <cell r="D85" t="str">
            <v>Rescue Union Elementary</v>
          </cell>
          <cell r="E85">
            <v>4105</v>
          </cell>
          <cell r="F85">
            <v>69785</v>
          </cell>
          <cell r="G85">
            <v>7</v>
          </cell>
        </row>
        <row r="86">
          <cell r="A86" t="str">
            <v>09</v>
          </cell>
          <cell r="B86" t="str">
            <v>61986</v>
          </cell>
          <cell r="C86" t="str">
            <v>El Dorado</v>
          </cell>
          <cell r="D86" t="str">
            <v>Silver Fork Elementary</v>
          </cell>
          <cell r="E86">
            <v>18</v>
          </cell>
          <cell r="F86">
            <v>2228</v>
          </cell>
          <cell r="G86">
            <v>1</v>
          </cell>
        </row>
        <row r="87">
          <cell r="A87" t="str">
            <v>09</v>
          </cell>
          <cell r="B87" t="str">
            <v>73783</v>
          </cell>
          <cell r="C87" t="str">
            <v>El Dorado</v>
          </cell>
          <cell r="D87" t="str">
            <v>Black Oak Mine Unified</v>
          </cell>
          <cell r="E87">
            <v>1737</v>
          </cell>
          <cell r="F87">
            <v>37763</v>
          </cell>
          <cell r="G87">
            <v>6</v>
          </cell>
        </row>
        <row r="88">
          <cell r="A88" t="str">
            <v>09</v>
          </cell>
          <cell r="B88" t="str">
            <v>76489</v>
          </cell>
          <cell r="C88" t="str">
            <v>El Dorado</v>
          </cell>
          <cell r="D88" t="str">
            <v>SBC - Aspire Public Schools</v>
          </cell>
          <cell r="E88">
            <v>434</v>
          </cell>
          <cell r="F88">
            <v>7712</v>
          </cell>
          <cell r="G88">
            <v>2</v>
          </cell>
        </row>
        <row r="89">
          <cell r="A89" t="str">
            <v>10</v>
          </cell>
          <cell r="B89" t="str">
            <v>10108</v>
          </cell>
          <cell r="C89" t="str">
            <v>Fresno</v>
          </cell>
          <cell r="D89" t="str">
            <v>Fresno County Office of Education</v>
          </cell>
          <cell r="E89">
            <v>1318</v>
          </cell>
          <cell r="F89">
            <v>25063</v>
          </cell>
          <cell r="G89">
            <v>4</v>
          </cell>
        </row>
        <row r="90">
          <cell r="A90" t="str">
            <v>10</v>
          </cell>
          <cell r="B90" t="str">
            <v>61994</v>
          </cell>
          <cell r="C90" t="str">
            <v>Fresno</v>
          </cell>
          <cell r="D90" t="str">
            <v>Alvina Elementary</v>
          </cell>
          <cell r="E90">
            <v>195</v>
          </cell>
          <cell r="F90">
            <v>3564</v>
          </cell>
          <cell r="G90">
            <v>1</v>
          </cell>
        </row>
        <row r="91">
          <cell r="A91" t="str">
            <v>10</v>
          </cell>
          <cell r="B91" t="str">
            <v>62000</v>
          </cell>
          <cell r="C91" t="str">
            <v>Fresno</v>
          </cell>
          <cell r="D91" t="str">
            <v>American Union Elementary</v>
          </cell>
          <cell r="E91">
            <v>336</v>
          </cell>
          <cell r="F91">
            <v>5712</v>
          </cell>
          <cell r="G91">
            <v>1</v>
          </cell>
        </row>
        <row r="92">
          <cell r="A92" t="str">
            <v>10</v>
          </cell>
          <cell r="B92" t="str">
            <v>62026</v>
          </cell>
          <cell r="C92" t="str">
            <v>Fresno</v>
          </cell>
          <cell r="D92" t="str">
            <v>Big Creek Elementary</v>
          </cell>
          <cell r="E92">
            <v>32</v>
          </cell>
          <cell r="F92">
            <v>3564</v>
          </cell>
          <cell r="G92">
            <v>1</v>
          </cell>
        </row>
        <row r="93">
          <cell r="A93" t="str">
            <v>10</v>
          </cell>
          <cell r="B93" t="str">
            <v>62042</v>
          </cell>
          <cell r="C93" t="str">
            <v>Fresno</v>
          </cell>
          <cell r="D93" t="str">
            <v>Burrel Union Elementary</v>
          </cell>
          <cell r="E93">
            <v>107</v>
          </cell>
          <cell r="F93">
            <v>3564</v>
          </cell>
          <cell r="G93">
            <v>1</v>
          </cell>
        </row>
        <row r="94">
          <cell r="A94" t="str">
            <v>10</v>
          </cell>
          <cell r="B94" t="str">
            <v>62109</v>
          </cell>
          <cell r="C94" t="str">
            <v>Fresno</v>
          </cell>
          <cell r="D94" t="str">
            <v>Clay Joint Elementary</v>
          </cell>
          <cell r="E94">
            <v>219</v>
          </cell>
          <cell r="F94">
            <v>3723</v>
          </cell>
          <cell r="G94">
            <v>1</v>
          </cell>
        </row>
        <row r="95">
          <cell r="A95" t="str">
            <v>10</v>
          </cell>
          <cell r="B95" t="str">
            <v>62117</v>
          </cell>
          <cell r="C95" t="str">
            <v>Fresno</v>
          </cell>
          <cell r="D95" t="str">
            <v>Clovis Unified</v>
          </cell>
          <cell r="E95">
            <v>37464</v>
          </cell>
          <cell r="F95">
            <v>643100</v>
          </cell>
          <cell r="G95">
            <v>45</v>
          </cell>
        </row>
        <row r="96">
          <cell r="A96" t="str">
            <v>10</v>
          </cell>
          <cell r="B96" t="str">
            <v>62125</v>
          </cell>
          <cell r="C96" t="str">
            <v>Fresno</v>
          </cell>
          <cell r="D96" t="str">
            <v>Coalinga-Huron Joint Unified</v>
          </cell>
          <cell r="E96">
            <v>4339</v>
          </cell>
          <cell r="F96">
            <v>82826</v>
          </cell>
          <cell r="G96">
            <v>11</v>
          </cell>
        </row>
        <row r="97">
          <cell r="A97" t="str">
            <v>10</v>
          </cell>
          <cell r="B97" t="str">
            <v>62158</v>
          </cell>
          <cell r="C97" t="str">
            <v>Fresno</v>
          </cell>
          <cell r="D97" t="str">
            <v>Fowler Unified</v>
          </cell>
          <cell r="E97">
            <v>2251</v>
          </cell>
          <cell r="F97">
            <v>43430</v>
          </cell>
          <cell r="G97">
            <v>7</v>
          </cell>
        </row>
        <row r="98">
          <cell r="A98" t="str">
            <v>10</v>
          </cell>
          <cell r="B98" t="str">
            <v>62166</v>
          </cell>
          <cell r="C98" t="str">
            <v>Fresno</v>
          </cell>
          <cell r="D98" t="str">
            <v>Fresno Unified</v>
          </cell>
          <cell r="E98">
            <v>73279</v>
          </cell>
          <cell r="F98">
            <v>1259008</v>
          </cell>
          <cell r="G98">
            <v>96</v>
          </cell>
        </row>
        <row r="99">
          <cell r="A99" t="str">
            <v>10</v>
          </cell>
          <cell r="B99" t="str">
            <v>62174</v>
          </cell>
          <cell r="C99" t="str">
            <v>Fresno</v>
          </cell>
          <cell r="D99" t="str">
            <v>West Fresno Elementary</v>
          </cell>
          <cell r="E99">
            <v>902</v>
          </cell>
          <cell r="F99">
            <v>15334</v>
          </cell>
          <cell r="G99">
            <v>2</v>
          </cell>
        </row>
        <row r="100">
          <cell r="A100" t="str">
            <v>10</v>
          </cell>
          <cell r="B100" t="str">
            <v>62240</v>
          </cell>
          <cell r="C100" t="str">
            <v>Fresno</v>
          </cell>
          <cell r="D100" t="str">
            <v>Kingsburg Elementary Charter</v>
          </cell>
          <cell r="E100">
            <v>2230</v>
          </cell>
          <cell r="F100">
            <v>40812</v>
          </cell>
          <cell r="G100">
            <v>7</v>
          </cell>
        </row>
        <row r="101">
          <cell r="A101" t="str">
            <v>10</v>
          </cell>
          <cell r="B101" t="str">
            <v>62257</v>
          </cell>
          <cell r="C101" t="str">
            <v>Fresno</v>
          </cell>
          <cell r="D101" t="str">
            <v>Kingsburg Joint Union High</v>
          </cell>
          <cell r="E101">
            <v>1177</v>
          </cell>
          <cell r="F101">
            <v>22775</v>
          </cell>
          <cell r="G101">
            <v>2</v>
          </cell>
        </row>
        <row r="102">
          <cell r="A102" t="str">
            <v>10</v>
          </cell>
          <cell r="B102" t="str">
            <v>62265</v>
          </cell>
          <cell r="C102" t="str">
            <v>Fresno</v>
          </cell>
          <cell r="D102" t="str">
            <v>Kings Canyon Joint Unified</v>
          </cell>
          <cell r="E102">
            <v>9835</v>
          </cell>
          <cell r="F102">
            <v>172403</v>
          </cell>
          <cell r="G102">
            <v>20</v>
          </cell>
        </row>
        <row r="103">
          <cell r="A103" t="str">
            <v>10</v>
          </cell>
          <cell r="B103" t="str">
            <v>62281</v>
          </cell>
          <cell r="C103" t="str">
            <v>Fresno</v>
          </cell>
          <cell r="D103" t="str">
            <v>Laton Joint Unified</v>
          </cell>
          <cell r="E103">
            <v>755</v>
          </cell>
          <cell r="F103">
            <v>15697</v>
          </cell>
          <cell r="G103">
            <v>4</v>
          </cell>
        </row>
        <row r="104">
          <cell r="A104" t="str">
            <v>10</v>
          </cell>
          <cell r="B104" t="str">
            <v>62323</v>
          </cell>
          <cell r="C104" t="str">
            <v>Fresno</v>
          </cell>
          <cell r="D104" t="str">
            <v>Monroe Elementary</v>
          </cell>
          <cell r="E104">
            <v>201</v>
          </cell>
          <cell r="F104">
            <v>3564</v>
          </cell>
          <cell r="G104">
            <v>1</v>
          </cell>
        </row>
        <row r="105">
          <cell r="A105" t="str">
            <v>10</v>
          </cell>
          <cell r="B105" t="str">
            <v>62331</v>
          </cell>
          <cell r="C105" t="str">
            <v>Fresno</v>
          </cell>
          <cell r="D105" t="str">
            <v>Orange Center</v>
          </cell>
          <cell r="E105">
            <v>327</v>
          </cell>
          <cell r="F105">
            <v>5559</v>
          </cell>
          <cell r="G105">
            <v>1</v>
          </cell>
        </row>
        <row r="106">
          <cell r="A106" t="str">
            <v>10</v>
          </cell>
          <cell r="B106" t="str">
            <v>62356</v>
          </cell>
          <cell r="C106" t="str">
            <v>Fresno</v>
          </cell>
          <cell r="D106" t="str">
            <v>Pacific Union Elementary</v>
          </cell>
          <cell r="E106">
            <v>371</v>
          </cell>
          <cell r="F106">
            <v>6307</v>
          </cell>
          <cell r="G106">
            <v>1</v>
          </cell>
        </row>
        <row r="107">
          <cell r="A107" t="str">
            <v>10</v>
          </cell>
          <cell r="B107" t="str">
            <v>62364</v>
          </cell>
          <cell r="C107" t="str">
            <v>Fresno</v>
          </cell>
          <cell r="D107" t="str">
            <v>Parlier Unified</v>
          </cell>
          <cell r="E107">
            <v>3327</v>
          </cell>
          <cell r="F107">
            <v>58900</v>
          </cell>
          <cell r="G107">
            <v>7</v>
          </cell>
        </row>
        <row r="108">
          <cell r="A108" t="str">
            <v>10</v>
          </cell>
          <cell r="B108" t="str">
            <v>62372</v>
          </cell>
          <cell r="C108" t="str">
            <v>Fresno</v>
          </cell>
          <cell r="D108" t="str">
            <v>Pine Ridge Elementary</v>
          </cell>
          <cell r="E108">
            <v>79</v>
          </cell>
          <cell r="F108">
            <v>3564</v>
          </cell>
          <cell r="G108">
            <v>1</v>
          </cell>
        </row>
        <row r="109">
          <cell r="A109" t="str">
            <v>10</v>
          </cell>
          <cell r="B109" t="str">
            <v>62380</v>
          </cell>
          <cell r="C109" t="str">
            <v>Fresno</v>
          </cell>
          <cell r="D109" t="str">
            <v>Raisin City Elementary</v>
          </cell>
          <cell r="E109">
            <v>304</v>
          </cell>
          <cell r="F109">
            <v>5168</v>
          </cell>
          <cell r="G109">
            <v>1</v>
          </cell>
        </row>
        <row r="110">
          <cell r="A110" t="str">
            <v>10</v>
          </cell>
          <cell r="B110" t="str">
            <v>62414</v>
          </cell>
          <cell r="C110" t="str">
            <v>Fresno</v>
          </cell>
          <cell r="D110" t="str">
            <v>Sanger Unified</v>
          </cell>
          <cell r="E110">
            <v>10368</v>
          </cell>
          <cell r="F110">
            <v>183619</v>
          </cell>
          <cell r="G110">
            <v>19</v>
          </cell>
        </row>
        <row r="111">
          <cell r="A111" t="str">
            <v>10</v>
          </cell>
          <cell r="B111" t="str">
            <v>62430</v>
          </cell>
          <cell r="C111" t="str">
            <v>Fresno</v>
          </cell>
          <cell r="D111" t="str">
            <v>Selma Unified</v>
          </cell>
          <cell r="E111">
            <v>6390</v>
          </cell>
          <cell r="F111">
            <v>112445</v>
          </cell>
          <cell r="G111">
            <v>12</v>
          </cell>
        </row>
        <row r="112">
          <cell r="A112" t="str">
            <v>10</v>
          </cell>
          <cell r="B112" t="str">
            <v>62513</v>
          </cell>
          <cell r="C112" t="str">
            <v>Fresno</v>
          </cell>
          <cell r="D112" t="str">
            <v>Washington Colony Elementary</v>
          </cell>
          <cell r="E112">
            <v>425</v>
          </cell>
          <cell r="F112">
            <v>7225</v>
          </cell>
          <cell r="G112">
            <v>1</v>
          </cell>
        </row>
        <row r="113">
          <cell r="A113" t="str">
            <v>10</v>
          </cell>
          <cell r="B113" t="str">
            <v>62521</v>
          </cell>
          <cell r="C113" t="str">
            <v>Fresno</v>
          </cell>
          <cell r="D113" t="str">
            <v>Washington Union High</v>
          </cell>
          <cell r="E113">
            <v>1173</v>
          </cell>
          <cell r="F113">
            <v>24075</v>
          </cell>
          <cell r="G113">
            <v>3</v>
          </cell>
        </row>
        <row r="114">
          <cell r="A114" t="str">
            <v>10</v>
          </cell>
          <cell r="B114" t="str">
            <v>62539</v>
          </cell>
          <cell r="C114" t="str">
            <v>Fresno</v>
          </cell>
          <cell r="D114" t="str">
            <v>West Park Elementary</v>
          </cell>
          <cell r="E114">
            <v>316</v>
          </cell>
          <cell r="F114">
            <v>5372</v>
          </cell>
          <cell r="G114">
            <v>1</v>
          </cell>
        </row>
        <row r="115">
          <cell r="A115" t="str">
            <v>10</v>
          </cell>
          <cell r="B115" t="str">
            <v>62547</v>
          </cell>
          <cell r="C115" t="str">
            <v>Fresno</v>
          </cell>
          <cell r="D115" t="str">
            <v>Westside Elementary</v>
          </cell>
          <cell r="E115">
            <v>254</v>
          </cell>
          <cell r="F115">
            <v>4318</v>
          </cell>
          <cell r="G115">
            <v>1</v>
          </cell>
        </row>
        <row r="116">
          <cell r="A116" t="str">
            <v>10</v>
          </cell>
          <cell r="B116" t="str">
            <v>73809</v>
          </cell>
          <cell r="C116" t="str">
            <v>Fresno</v>
          </cell>
          <cell r="D116" t="str">
            <v>Firebaugh-Las Deltas Joint Unified</v>
          </cell>
          <cell r="E116">
            <v>2286</v>
          </cell>
          <cell r="F116">
            <v>42035</v>
          </cell>
          <cell r="G116">
            <v>5</v>
          </cell>
        </row>
        <row r="117">
          <cell r="A117" t="str">
            <v>10</v>
          </cell>
          <cell r="B117" t="str">
            <v>73965</v>
          </cell>
          <cell r="C117" t="str">
            <v>Fresno</v>
          </cell>
          <cell r="D117" t="str">
            <v>Central Unified</v>
          </cell>
          <cell r="E117">
            <v>14241</v>
          </cell>
          <cell r="F117">
            <v>246301</v>
          </cell>
          <cell r="G117">
            <v>19</v>
          </cell>
        </row>
        <row r="118">
          <cell r="A118" t="str">
            <v>10</v>
          </cell>
          <cell r="B118" t="str">
            <v>73999</v>
          </cell>
          <cell r="C118" t="str">
            <v>Fresno</v>
          </cell>
          <cell r="D118" t="str">
            <v>Kerman Unified</v>
          </cell>
          <cell r="E118">
            <v>4398</v>
          </cell>
          <cell r="F118">
            <v>79643</v>
          </cell>
          <cell r="G118">
            <v>7</v>
          </cell>
        </row>
        <row r="119">
          <cell r="A119" t="str">
            <v>10</v>
          </cell>
          <cell r="B119" t="str">
            <v>75127</v>
          </cell>
          <cell r="C119" t="str">
            <v>Fresno</v>
          </cell>
          <cell r="D119" t="str">
            <v>Mendota Unified</v>
          </cell>
          <cell r="E119">
            <v>2670</v>
          </cell>
          <cell r="F119">
            <v>50503</v>
          </cell>
          <cell r="G119">
            <v>6</v>
          </cell>
        </row>
        <row r="120">
          <cell r="A120" t="str">
            <v>10</v>
          </cell>
          <cell r="B120" t="str">
            <v>75234</v>
          </cell>
          <cell r="C120" t="str">
            <v>Fresno</v>
          </cell>
          <cell r="D120" t="str">
            <v>Golden Plains Unified</v>
          </cell>
          <cell r="E120">
            <v>1893</v>
          </cell>
          <cell r="F120">
            <v>40356</v>
          </cell>
          <cell r="G120">
            <v>8</v>
          </cell>
        </row>
        <row r="121">
          <cell r="A121" t="str">
            <v>10</v>
          </cell>
          <cell r="B121" t="str">
            <v>75275</v>
          </cell>
          <cell r="C121" t="str">
            <v>Fresno</v>
          </cell>
          <cell r="D121" t="str">
            <v>Sierra Unified</v>
          </cell>
          <cell r="E121">
            <v>1705</v>
          </cell>
          <cell r="F121">
            <v>40424</v>
          </cell>
          <cell r="G121">
            <v>9</v>
          </cell>
        </row>
        <row r="122">
          <cell r="A122" t="str">
            <v>10</v>
          </cell>
          <cell r="B122" t="str">
            <v>75408</v>
          </cell>
          <cell r="C122" t="str">
            <v>Fresno</v>
          </cell>
          <cell r="D122" t="str">
            <v>Riverdale Joint Unified</v>
          </cell>
          <cell r="E122">
            <v>1572</v>
          </cell>
          <cell r="F122">
            <v>31989</v>
          </cell>
          <cell r="G122">
            <v>5</v>
          </cell>
        </row>
        <row r="123">
          <cell r="A123" t="str">
            <v>10</v>
          </cell>
          <cell r="B123" t="str">
            <v>75598</v>
          </cell>
          <cell r="C123" t="str">
            <v>Fresno</v>
          </cell>
          <cell r="D123" t="str">
            <v>Caruthers Unified</v>
          </cell>
          <cell r="E123">
            <v>1416</v>
          </cell>
          <cell r="F123">
            <v>29321</v>
          </cell>
          <cell r="G123">
            <v>4</v>
          </cell>
        </row>
        <row r="124">
          <cell r="A124" t="str">
            <v>11</v>
          </cell>
          <cell r="B124" t="str">
            <v>10116</v>
          </cell>
          <cell r="C124" t="str">
            <v>Glenn</v>
          </cell>
          <cell r="D124" t="str">
            <v>Glenn County Office of Education</v>
          </cell>
          <cell r="E124">
            <v>300</v>
          </cell>
          <cell r="F124">
            <v>12920</v>
          </cell>
          <cell r="G124">
            <v>4</v>
          </cell>
        </row>
        <row r="125">
          <cell r="A125" t="str">
            <v>11</v>
          </cell>
          <cell r="B125" t="str">
            <v>62554</v>
          </cell>
          <cell r="C125" t="str">
            <v>Glenn</v>
          </cell>
          <cell r="D125" t="str">
            <v>Capay Joint Union Elementary</v>
          </cell>
          <cell r="E125">
            <v>146</v>
          </cell>
          <cell r="F125">
            <v>3564</v>
          </cell>
          <cell r="G125">
            <v>1</v>
          </cell>
        </row>
        <row r="126">
          <cell r="A126" t="str">
            <v>11</v>
          </cell>
          <cell r="B126" t="str">
            <v>62570</v>
          </cell>
          <cell r="C126" t="str">
            <v>Glenn</v>
          </cell>
          <cell r="D126" t="str">
            <v>Hamilton Union Elementary</v>
          </cell>
          <cell r="E126">
            <v>472</v>
          </cell>
          <cell r="F126">
            <v>10167</v>
          </cell>
          <cell r="G126">
            <v>2</v>
          </cell>
        </row>
        <row r="127">
          <cell r="A127" t="str">
            <v>11</v>
          </cell>
          <cell r="B127" t="str">
            <v>62588</v>
          </cell>
          <cell r="C127" t="str">
            <v>Glenn</v>
          </cell>
          <cell r="D127" t="str">
            <v>Hamilton Union High</v>
          </cell>
          <cell r="E127">
            <v>327</v>
          </cell>
          <cell r="F127">
            <v>9709</v>
          </cell>
          <cell r="G127">
            <v>3</v>
          </cell>
        </row>
        <row r="128">
          <cell r="A128" t="str">
            <v>11</v>
          </cell>
          <cell r="B128" t="str">
            <v>62596</v>
          </cell>
          <cell r="C128" t="str">
            <v>Glenn</v>
          </cell>
          <cell r="D128" t="str">
            <v>Lake Elementary</v>
          </cell>
          <cell r="E128">
            <v>124</v>
          </cell>
          <cell r="F128">
            <v>3564</v>
          </cell>
          <cell r="G128">
            <v>1</v>
          </cell>
        </row>
        <row r="129">
          <cell r="A129" t="str">
            <v>11</v>
          </cell>
          <cell r="B129" t="str">
            <v>62638</v>
          </cell>
          <cell r="C129" t="str">
            <v>Glenn</v>
          </cell>
          <cell r="D129" t="str">
            <v>Plaza Elementary</v>
          </cell>
          <cell r="E129">
            <v>135</v>
          </cell>
          <cell r="F129">
            <v>3564</v>
          </cell>
          <cell r="G129">
            <v>1</v>
          </cell>
        </row>
        <row r="130">
          <cell r="A130" t="str">
            <v>11</v>
          </cell>
          <cell r="B130" t="str">
            <v>62646</v>
          </cell>
          <cell r="C130" t="str">
            <v>Glenn</v>
          </cell>
          <cell r="D130" t="str">
            <v>Princeton Joint Unified</v>
          </cell>
          <cell r="E130">
            <v>237</v>
          </cell>
          <cell r="F130">
            <v>11584</v>
          </cell>
          <cell r="G130">
            <v>4</v>
          </cell>
        </row>
        <row r="131">
          <cell r="A131" t="str">
            <v>11</v>
          </cell>
          <cell r="B131" t="str">
            <v>62653</v>
          </cell>
          <cell r="C131" t="str">
            <v>Glenn</v>
          </cell>
          <cell r="D131" t="str">
            <v>Stony Creek Joint Unified</v>
          </cell>
          <cell r="E131">
            <v>100</v>
          </cell>
          <cell r="F131">
            <v>16040</v>
          </cell>
          <cell r="G131">
            <v>6</v>
          </cell>
        </row>
        <row r="132">
          <cell r="A132" t="str">
            <v>11</v>
          </cell>
          <cell r="B132" t="str">
            <v>62661</v>
          </cell>
          <cell r="C132" t="str">
            <v>Glenn</v>
          </cell>
          <cell r="D132" t="str">
            <v>Willows Unified</v>
          </cell>
          <cell r="E132">
            <v>1710</v>
          </cell>
          <cell r="F132">
            <v>38519</v>
          </cell>
          <cell r="G132">
            <v>7</v>
          </cell>
        </row>
        <row r="133">
          <cell r="A133" t="str">
            <v>11</v>
          </cell>
          <cell r="B133" t="str">
            <v>75481</v>
          </cell>
          <cell r="C133" t="str">
            <v>Glenn</v>
          </cell>
          <cell r="D133" t="str">
            <v>Orland Joint Unified</v>
          </cell>
          <cell r="E133">
            <v>2246</v>
          </cell>
          <cell r="F133">
            <v>45420</v>
          </cell>
          <cell r="G133">
            <v>7</v>
          </cell>
        </row>
        <row r="134">
          <cell r="A134" t="str">
            <v>12</v>
          </cell>
          <cell r="B134" t="str">
            <v>10124</v>
          </cell>
          <cell r="C134" t="str">
            <v>Humboldt</v>
          </cell>
          <cell r="D134" t="str">
            <v>Humboldt County Office of Education</v>
          </cell>
          <cell r="E134">
            <v>410</v>
          </cell>
          <cell r="F134">
            <v>20940</v>
          </cell>
          <cell r="G134">
            <v>7</v>
          </cell>
        </row>
        <row r="135">
          <cell r="A135" t="str">
            <v>12</v>
          </cell>
          <cell r="B135" t="str">
            <v>62679</v>
          </cell>
          <cell r="C135" t="str">
            <v>Humboldt</v>
          </cell>
          <cell r="D135" t="str">
            <v>Arcata Elementary</v>
          </cell>
          <cell r="E135">
            <v>643</v>
          </cell>
          <cell r="F135">
            <v>12846</v>
          </cell>
          <cell r="G135">
            <v>3</v>
          </cell>
        </row>
        <row r="136">
          <cell r="A136" t="str">
            <v>12</v>
          </cell>
          <cell r="B136" t="str">
            <v>62687</v>
          </cell>
          <cell r="C136" t="str">
            <v>Humboldt</v>
          </cell>
          <cell r="D136" t="str">
            <v>Northern Humboldt Union High</v>
          </cell>
          <cell r="E136">
            <v>1734</v>
          </cell>
          <cell r="F136">
            <v>38744</v>
          </cell>
          <cell r="G136">
            <v>6</v>
          </cell>
        </row>
        <row r="137">
          <cell r="A137" t="str">
            <v>12</v>
          </cell>
          <cell r="B137" t="str">
            <v>62695</v>
          </cell>
          <cell r="C137" t="str">
            <v>Humboldt</v>
          </cell>
          <cell r="D137" t="str">
            <v>Big Lagoon Union Elementary</v>
          </cell>
          <cell r="E137">
            <v>38</v>
          </cell>
          <cell r="F137">
            <v>3564</v>
          </cell>
          <cell r="G137">
            <v>1</v>
          </cell>
        </row>
        <row r="138">
          <cell r="A138" t="str">
            <v>12</v>
          </cell>
          <cell r="B138" t="str">
            <v>62703</v>
          </cell>
          <cell r="C138" t="str">
            <v>Humboldt</v>
          </cell>
          <cell r="D138" t="str">
            <v>Blue Lake Union Elementary</v>
          </cell>
          <cell r="E138">
            <v>157</v>
          </cell>
          <cell r="F138">
            <v>3564</v>
          </cell>
          <cell r="G138">
            <v>1</v>
          </cell>
        </row>
        <row r="139">
          <cell r="A139" t="str">
            <v>12</v>
          </cell>
          <cell r="B139" t="str">
            <v>62729</v>
          </cell>
          <cell r="C139" t="str">
            <v>Humboldt</v>
          </cell>
          <cell r="D139" t="str">
            <v>Bridgeville Elementary</v>
          </cell>
          <cell r="E139">
            <v>38</v>
          </cell>
          <cell r="F139">
            <v>3564</v>
          </cell>
          <cell r="G139">
            <v>1</v>
          </cell>
        </row>
        <row r="140">
          <cell r="A140" t="str">
            <v>12</v>
          </cell>
          <cell r="B140" t="str">
            <v>62737</v>
          </cell>
          <cell r="C140" t="str">
            <v>Humboldt</v>
          </cell>
          <cell r="D140" t="str">
            <v>Cuddeback Union Elementary</v>
          </cell>
          <cell r="E140">
            <v>122</v>
          </cell>
          <cell r="F140">
            <v>3564</v>
          </cell>
          <cell r="G140">
            <v>1</v>
          </cell>
        </row>
        <row r="141">
          <cell r="A141" t="str">
            <v>12</v>
          </cell>
          <cell r="B141" t="str">
            <v>62745</v>
          </cell>
          <cell r="C141" t="str">
            <v>Humboldt</v>
          </cell>
          <cell r="D141" t="str">
            <v>Cutten Elementary</v>
          </cell>
          <cell r="E141">
            <v>552</v>
          </cell>
          <cell r="F141">
            <v>9384</v>
          </cell>
          <cell r="G141">
            <v>2</v>
          </cell>
        </row>
        <row r="142">
          <cell r="A142" t="str">
            <v>12</v>
          </cell>
          <cell r="B142" t="str">
            <v>62794</v>
          </cell>
          <cell r="C142" t="str">
            <v>Humboldt</v>
          </cell>
          <cell r="D142" t="str">
            <v>Fieldbrook Elementary</v>
          </cell>
          <cell r="E142">
            <v>113</v>
          </cell>
          <cell r="F142">
            <v>3564</v>
          </cell>
          <cell r="G142">
            <v>1</v>
          </cell>
        </row>
        <row r="143">
          <cell r="A143" t="str">
            <v>12</v>
          </cell>
          <cell r="B143" t="str">
            <v>62802</v>
          </cell>
          <cell r="C143" t="str">
            <v>Humboldt</v>
          </cell>
          <cell r="D143" t="str">
            <v>Fortuna Union Elementary</v>
          </cell>
          <cell r="E143">
            <v>722</v>
          </cell>
          <cell r="F143">
            <v>12274</v>
          </cell>
          <cell r="G143">
            <v>2</v>
          </cell>
        </row>
        <row r="144">
          <cell r="A144" t="str">
            <v>12</v>
          </cell>
          <cell r="B144" t="str">
            <v>62810</v>
          </cell>
          <cell r="C144" t="str">
            <v>Humboldt</v>
          </cell>
          <cell r="D144" t="str">
            <v>Fortuna Union High</v>
          </cell>
          <cell r="E144">
            <v>1175</v>
          </cell>
          <cell r="F144">
            <v>24266</v>
          </cell>
          <cell r="G144">
            <v>4</v>
          </cell>
        </row>
        <row r="145">
          <cell r="A145" t="str">
            <v>12</v>
          </cell>
          <cell r="B145" t="str">
            <v>62828</v>
          </cell>
          <cell r="C145" t="str">
            <v>Humboldt</v>
          </cell>
          <cell r="D145" t="str">
            <v>Freshwater Elementary</v>
          </cell>
          <cell r="E145">
            <v>329</v>
          </cell>
          <cell r="F145">
            <v>8273</v>
          </cell>
          <cell r="G145">
            <v>2</v>
          </cell>
        </row>
        <row r="146">
          <cell r="A146" t="str">
            <v>12</v>
          </cell>
          <cell r="B146" t="str">
            <v>62836</v>
          </cell>
          <cell r="C146" t="str">
            <v>Humboldt</v>
          </cell>
          <cell r="D146" t="str">
            <v>Garfield Elementary</v>
          </cell>
          <cell r="E146">
            <v>60</v>
          </cell>
          <cell r="F146">
            <v>3564</v>
          </cell>
          <cell r="G146">
            <v>1</v>
          </cell>
        </row>
        <row r="147">
          <cell r="A147" t="str">
            <v>12</v>
          </cell>
          <cell r="B147" t="str">
            <v>62851</v>
          </cell>
          <cell r="C147" t="str">
            <v>Humboldt</v>
          </cell>
          <cell r="D147" t="str">
            <v>Green Point Elementary</v>
          </cell>
          <cell r="E147">
            <v>17</v>
          </cell>
          <cell r="F147">
            <v>2228</v>
          </cell>
          <cell r="G147">
            <v>1</v>
          </cell>
        </row>
        <row r="148">
          <cell r="A148" t="str">
            <v>12</v>
          </cell>
          <cell r="B148" t="str">
            <v>62885</v>
          </cell>
          <cell r="C148" t="str">
            <v>Humboldt</v>
          </cell>
          <cell r="D148" t="str">
            <v>Hydesville Elementary</v>
          </cell>
          <cell r="E148">
            <v>152</v>
          </cell>
          <cell r="F148">
            <v>3564</v>
          </cell>
          <cell r="G148">
            <v>1</v>
          </cell>
        </row>
        <row r="149">
          <cell r="A149" t="str">
            <v>12</v>
          </cell>
          <cell r="B149" t="str">
            <v>62893</v>
          </cell>
          <cell r="C149" t="str">
            <v>Humboldt</v>
          </cell>
          <cell r="D149" t="str">
            <v>Jacoby Creek Elementary</v>
          </cell>
          <cell r="E149">
            <v>394</v>
          </cell>
          <cell r="F149">
            <v>6698</v>
          </cell>
          <cell r="G149">
            <v>1</v>
          </cell>
        </row>
        <row r="150">
          <cell r="A150" t="str">
            <v>12</v>
          </cell>
          <cell r="B150" t="str">
            <v>62901</v>
          </cell>
          <cell r="C150" t="str">
            <v>Humboldt</v>
          </cell>
          <cell r="D150" t="str">
            <v>Klamath-Trinity Joint Unified</v>
          </cell>
          <cell r="E150">
            <v>1054</v>
          </cell>
          <cell r="F150">
            <v>30652</v>
          </cell>
          <cell r="G150">
            <v>8</v>
          </cell>
        </row>
        <row r="151">
          <cell r="A151" t="str">
            <v>12</v>
          </cell>
          <cell r="B151" t="str">
            <v>62919</v>
          </cell>
          <cell r="C151" t="str">
            <v>Humboldt</v>
          </cell>
          <cell r="D151" t="str">
            <v>Kneeland Elementary</v>
          </cell>
          <cell r="E151">
            <v>25</v>
          </cell>
          <cell r="F151">
            <v>3564</v>
          </cell>
          <cell r="G151">
            <v>1</v>
          </cell>
        </row>
        <row r="152">
          <cell r="A152" t="str">
            <v>12</v>
          </cell>
          <cell r="B152" t="str">
            <v>62927</v>
          </cell>
          <cell r="C152" t="str">
            <v>Humboldt</v>
          </cell>
          <cell r="D152" t="str">
            <v>Loleta Union Elementary</v>
          </cell>
          <cell r="E152">
            <v>124</v>
          </cell>
          <cell r="F152">
            <v>3564</v>
          </cell>
          <cell r="G152">
            <v>1</v>
          </cell>
        </row>
        <row r="153">
          <cell r="A153" t="str">
            <v>12</v>
          </cell>
          <cell r="B153" t="str">
            <v>62935</v>
          </cell>
          <cell r="C153" t="str">
            <v>Humboldt</v>
          </cell>
          <cell r="D153" t="str">
            <v>Maple Creek Elementary</v>
          </cell>
          <cell r="E153">
            <v>11</v>
          </cell>
          <cell r="F153">
            <v>2228</v>
          </cell>
          <cell r="G153">
            <v>1</v>
          </cell>
        </row>
        <row r="154">
          <cell r="A154" t="str">
            <v>12</v>
          </cell>
          <cell r="B154" t="str">
            <v>62950</v>
          </cell>
          <cell r="C154" t="str">
            <v>Humboldt</v>
          </cell>
          <cell r="D154" t="str">
            <v>McKinleyville Union Elementary</v>
          </cell>
          <cell r="E154">
            <v>1165</v>
          </cell>
          <cell r="F154">
            <v>19805</v>
          </cell>
          <cell r="G154">
            <v>3</v>
          </cell>
        </row>
        <row r="155">
          <cell r="A155" t="str">
            <v>12</v>
          </cell>
          <cell r="B155" t="str">
            <v>62968</v>
          </cell>
          <cell r="C155" t="str">
            <v>Humboldt</v>
          </cell>
          <cell r="D155" t="str">
            <v>Orick Elementary</v>
          </cell>
          <cell r="E155">
            <v>24</v>
          </cell>
          <cell r="F155">
            <v>3564</v>
          </cell>
          <cell r="G155">
            <v>1</v>
          </cell>
        </row>
        <row r="156">
          <cell r="A156" t="str">
            <v>12</v>
          </cell>
          <cell r="B156" t="str">
            <v>62976</v>
          </cell>
          <cell r="C156" t="str">
            <v>Humboldt</v>
          </cell>
          <cell r="D156" t="str">
            <v>Pacific Union Elementary</v>
          </cell>
          <cell r="E156">
            <v>525</v>
          </cell>
          <cell r="F156">
            <v>11911</v>
          </cell>
          <cell r="G156">
            <v>2</v>
          </cell>
        </row>
        <row r="157">
          <cell r="A157" t="str">
            <v>12</v>
          </cell>
          <cell r="B157" t="str">
            <v>62984</v>
          </cell>
          <cell r="C157" t="str">
            <v>Humboldt</v>
          </cell>
          <cell r="D157" t="str">
            <v>Peninsula Union</v>
          </cell>
          <cell r="E157">
            <v>22</v>
          </cell>
          <cell r="F157">
            <v>3564</v>
          </cell>
          <cell r="G157">
            <v>1</v>
          </cell>
        </row>
        <row r="158">
          <cell r="A158" t="str">
            <v>12</v>
          </cell>
          <cell r="B158" t="str">
            <v>63008</v>
          </cell>
          <cell r="C158" t="str">
            <v>Humboldt</v>
          </cell>
          <cell r="D158" t="str">
            <v>Rio Dell Elementary</v>
          </cell>
          <cell r="E158">
            <v>287</v>
          </cell>
          <cell r="F158">
            <v>7128</v>
          </cell>
          <cell r="G158">
            <v>2</v>
          </cell>
        </row>
        <row r="159">
          <cell r="A159" t="str">
            <v>12</v>
          </cell>
          <cell r="B159" t="str">
            <v>63016</v>
          </cell>
          <cell r="C159" t="str">
            <v>Humboldt</v>
          </cell>
          <cell r="D159" t="str">
            <v>Rohnerville Elementary</v>
          </cell>
          <cell r="E159">
            <v>675</v>
          </cell>
          <cell r="F159">
            <v>11475</v>
          </cell>
          <cell r="G159">
            <v>2</v>
          </cell>
        </row>
        <row r="160">
          <cell r="A160" t="str">
            <v>12</v>
          </cell>
          <cell r="B160" t="str">
            <v>63024</v>
          </cell>
          <cell r="C160" t="str">
            <v>Humboldt</v>
          </cell>
          <cell r="D160" t="str">
            <v>Scotia Union Elementary</v>
          </cell>
          <cell r="E160">
            <v>201</v>
          </cell>
          <cell r="F160">
            <v>3564</v>
          </cell>
          <cell r="G160">
            <v>1</v>
          </cell>
        </row>
        <row r="161">
          <cell r="A161" t="str">
            <v>12</v>
          </cell>
          <cell r="B161" t="str">
            <v>63032</v>
          </cell>
          <cell r="C161" t="str">
            <v>Humboldt</v>
          </cell>
          <cell r="D161" t="str">
            <v>South Bay Union Elementary</v>
          </cell>
          <cell r="E161">
            <v>408</v>
          </cell>
          <cell r="F161">
            <v>7984</v>
          </cell>
          <cell r="G161">
            <v>2</v>
          </cell>
        </row>
        <row r="162">
          <cell r="A162" t="str">
            <v>12</v>
          </cell>
          <cell r="B162" t="str">
            <v>63040</v>
          </cell>
          <cell r="C162" t="str">
            <v>Humboldt</v>
          </cell>
          <cell r="D162" t="str">
            <v>Southern Humboldt Joint Unified</v>
          </cell>
          <cell r="E162">
            <v>802</v>
          </cell>
          <cell r="F162">
            <v>28419</v>
          </cell>
          <cell r="G162">
            <v>8</v>
          </cell>
        </row>
        <row r="163">
          <cell r="A163" t="str">
            <v>12</v>
          </cell>
          <cell r="B163" t="str">
            <v>63057</v>
          </cell>
          <cell r="C163" t="str">
            <v>Humboldt</v>
          </cell>
          <cell r="D163" t="str">
            <v>Trinidad Union Elementary</v>
          </cell>
          <cell r="E163">
            <v>153</v>
          </cell>
          <cell r="F163">
            <v>3564</v>
          </cell>
          <cell r="G163">
            <v>1</v>
          </cell>
        </row>
        <row r="164">
          <cell r="A164" t="str">
            <v>12</v>
          </cell>
          <cell r="B164" t="str">
            <v>75374</v>
          </cell>
          <cell r="C164" t="str">
            <v>Humboldt</v>
          </cell>
          <cell r="D164" t="str">
            <v>Ferndale Unified</v>
          </cell>
          <cell r="E164">
            <v>487</v>
          </cell>
          <cell r="F164">
            <v>9072</v>
          </cell>
          <cell r="G164">
            <v>2</v>
          </cell>
        </row>
        <row r="165">
          <cell r="A165" t="str">
            <v>12</v>
          </cell>
          <cell r="B165" t="str">
            <v>75382</v>
          </cell>
          <cell r="C165" t="str">
            <v>Humboldt</v>
          </cell>
          <cell r="D165" t="str">
            <v>Mattole Unified</v>
          </cell>
          <cell r="E165">
            <v>880</v>
          </cell>
          <cell r="F165">
            <v>22148</v>
          </cell>
          <cell r="G165">
            <v>4</v>
          </cell>
        </row>
        <row r="166">
          <cell r="A166" t="str">
            <v>12</v>
          </cell>
          <cell r="B166" t="str">
            <v>75515</v>
          </cell>
          <cell r="C166" t="str">
            <v>Humboldt</v>
          </cell>
          <cell r="D166" t="str">
            <v>Eureka City Unified</v>
          </cell>
          <cell r="E166">
            <v>4149</v>
          </cell>
          <cell r="F166">
            <v>75606</v>
          </cell>
          <cell r="G166">
            <v>9</v>
          </cell>
        </row>
        <row r="167">
          <cell r="A167" t="str">
            <v>13</v>
          </cell>
          <cell r="B167" t="str">
            <v>10132</v>
          </cell>
          <cell r="C167" t="str">
            <v>Imperial</v>
          </cell>
          <cell r="D167" t="str">
            <v>Imperial County Office of Education</v>
          </cell>
          <cell r="E167">
            <v>688</v>
          </cell>
          <cell r="F167">
            <v>11696</v>
          </cell>
          <cell r="G167">
            <v>2</v>
          </cell>
        </row>
        <row r="168">
          <cell r="A168" t="str">
            <v>13</v>
          </cell>
          <cell r="B168" t="str">
            <v>63073</v>
          </cell>
          <cell r="C168" t="str">
            <v>Imperial</v>
          </cell>
          <cell r="D168" t="str">
            <v>Brawley Elementary</v>
          </cell>
          <cell r="E168">
            <v>3680</v>
          </cell>
          <cell r="F168">
            <v>62562</v>
          </cell>
          <cell r="G168">
            <v>5</v>
          </cell>
        </row>
        <row r="169">
          <cell r="A169" t="str">
            <v>13</v>
          </cell>
          <cell r="B169" t="str">
            <v>63081</v>
          </cell>
          <cell r="C169" t="str">
            <v>Imperial</v>
          </cell>
          <cell r="D169" t="str">
            <v>Brawley Union High</v>
          </cell>
          <cell r="E169">
            <v>1952</v>
          </cell>
          <cell r="F169">
            <v>35526</v>
          </cell>
          <cell r="G169">
            <v>3</v>
          </cell>
        </row>
        <row r="170">
          <cell r="A170" t="str">
            <v>13</v>
          </cell>
          <cell r="B170" t="str">
            <v>63099</v>
          </cell>
          <cell r="C170" t="str">
            <v>Imperial</v>
          </cell>
          <cell r="D170" t="str">
            <v>Calexico Unified</v>
          </cell>
          <cell r="E170">
            <v>9255</v>
          </cell>
          <cell r="F170">
            <v>159397</v>
          </cell>
          <cell r="G170">
            <v>13</v>
          </cell>
        </row>
        <row r="171">
          <cell r="A171" t="str">
            <v>13</v>
          </cell>
          <cell r="B171" t="str">
            <v>63107</v>
          </cell>
          <cell r="C171" t="str">
            <v>Imperial</v>
          </cell>
          <cell r="D171" t="str">
            <v>Calipatria Unified</v>
          </cell>
          <cell r="E171">
            <v>1190</v>
          </cell>
          <cell r="F171">
            <v>21805</v>
          </cell>
          <cell r="G171">
            <v>4</v>
          </cell>
        </row>
        <row r="172">
          <cell r="A172" t="str">
            <v>13</v>
          </cell>
          <cell r="B172" t="str">
            <v>63115</v>
          </cell>
          <cell r="C172" t="str">
            <v>Imperial</v>
          </cell>
          <cell r="D172" t="str">
            <v>Central Union High</v>
          </cell>
          <cell r="E172">
            <v>4156</v>
          </cell>
          <cell r="F172">
            <v>71209</v>
          </cell>
          <cell r="G172">
            <v>3</v>
          </cell>
        </row>
        <row r="173">
          <cell r="A173" t="str">
            <v>13</v>
          </cell>
          <cell r="B173" t="str">
            <v>63123</v>
          </cell>
          <cell r="C173" t="str">
            <v>Imperial</v>
          </cell>
          <cell r="D173" t="str">
            <v>El Centro Elementary</v>
          </cell>
          <cell r="E173">
            <v>5644</v>
          </cell>
          <cell r="F173">
            <v>95949</v>
          </cell>
          <cell r="G173">
            <v>11</v>
          </cell>
        </row>
        <row r="174">
          <cell r="A174" t="str">
            <v>13</v>
          </cell>
          <cell r="B174" t="str">
            <v>63131</v>
          </cell>
          <cell r="C174" t="str">
            <v>Imperial</v>
          </cell>
          <cell r="D174" t="str">
            <v>Heber Elementary</v>
          </cell>
          <cell r="E174">
            <v>1037</v>
          </cell>
          <cell r="F174">
            <v>17630</v>
          </cell>
          <cell r="G174">
            <v>1</v>
          </cell>
        </row>
        <row r="175">
          <cell r="A175" t="str">
            <v>13</v>
          </cell>
          <cell r="B175" t="str">
            <v>63149</v>
          </cell>
          <cell r="C175" t="str">
            <v>Imperial</v>
          </cell>
          <cell r="D175" t="str">
            <v>Holtville Unified</v>
          </cell>
          <cell r="E175">
            <v>1701</v>
          </cell>
          <cell r="F175">
            <v>32543</v>
          </cell>
          <cell r="G175">
            <v>5</v>
          </cell>
        </row>
        <row r="176">
          <cell r="A176" t="str">
            <v>13</v>
          </cell>
          <cell r="B176" t="str">
            <v>63164</v>
          </cell>
          <cell r="C176" t="str">
            <v>Imperial</v>
          </cell>
          <cell r="D176" t="str">
            <v>Imperial Unified</v>
          </cell>
          <cell r="E176">
            <v>3602</v>
          </cell>
          <cell r="F176">
            <v>66291</v>
          </cell>
          <cell r="G176">
            <v>6</v>
          </cell>
        </row>
        <row r="177">
          <cell r="A177" t="str">
            <v>13</v>
          </cell>
          <cell r="B177" t="str">
            <v>63172</v>
          </cell>
          <cell r="C177" t="str">
            <v>Imperial</v>
          </cell>
          <cell r="D177" t="str">
            <v>Magnolia Union Elementary</v>
          </cell>
          <cell r="E177">
            <v>118</v>
          </cell>
          <cell r="F177">
            <v>3564</v>
          </cell>
          <cell r="G177">
            <v>1</v>
          </cell>
        </row>
        <row r="178">
          <cell r="A178" t="str">
            <v>13</v>
          </cell>
          <cell r="B178" t="str">
            <v>63180</v>
          </cell>
          <cell r="C178" t="str">
            <v>Imperial</v>
          </cell>
          <cell r="D178" t="str">
            <v>McCabe Union Elementary</v>
          </cell>
          <cell r="E178">
            <v>1126</v>
          </cell>
          <cell r="F178">
            <v>19143</v>
          </cell>
          <cell r="G178">
            <v>1</v>
          </cell>
        </row>
        <row r="179">
          <cell r="A179" t="str">
            <v>13</v>
          </cell>
          <cell r="B179" t="str">
            <v>63198</v>
          </cell>
          <cell r="C179" t="str">
            <v>Imperial</v>
          </cell>
          <cell r="D179" t="str">
            <v>Meadows Union Elementary</v>
          </cell>
          <cell r="E179">
            <v>483</v>
          </cell>
          <cell r="F179">
            <v>8211</v>
          </cell>
          <cell r="G179">
            <v>1</v>
          </cell>
        </row>
        <row r="180">
          <cell r="A180" t="str">
            <v>13</v>
          </cell>
          <cell r="B180" t="str">
            <v>63206</v>
          </cell>
          <cell r="C180" t="str">
            <v>Imperial</v>
          </cell>
          <cell r="D180" t="str">
            <v>Mulberry Elementary</v>
          </cell>
          <cell r="E180">
            <v>73</v>
          </cell>
          <cell r="F180">
            <v>3564</v>
          </cell>
          <cell r="G180">
            <v>1</v>
          </cell>
        </row>
        <row r="181">
          <cell r="A181" t="str">
            <v>13</v>
          </cell>
          <cell r="B181" t="str">
            <v>63214</v>
          </cell>
          <cell r="C181" t="str">
            <v>Imperial</v>
          </cell>
          <cell r="D181" t="str">
            <v>San Pasqual Valley Unified</v>
          </cell>
          <cell r="E181">
            <v>746</v>
          </cell>
          <cell r="F181">
            <v>16071</v>
          </cell>
          <cell r="G181">
            <v>4</v>
          </cell>
        </row>
        <row r="182">
          <cell r="A182" t="str">
            <v>13</v>
          </cell>
          <cell r="B182" t="str">
            <v>63222</v>
          </cell>
          <cell r="C182" t="str">
            <v>Imperial</v>
          </cell>
          <cell r="D182" t="str">
            <v>Seeley Union Elementary</v>
          </cell>
          <cell r="E182">
            <v>436</v>
          </cell>
          <cell r="F182">
            <v>7412</v>
          </cell>
          <cell r="G182">
            <v>1</v>
          </cell>
        </row>
        <row r="183">
          <cell r="A183" t="str">
            <v>13</v>
          </cell>
          <cell r="B183" t="str">
            <v>63230</v>
          </cell>
          <cell r="C183" t="str">
            <v>Imperial</v>
          </cell>
          <cell r="D183" t="str">
            <v>Westmorland Union Elementary</v>
          </cell>
          <cell r="E183">
            <v>364</v>
          </cell>
          <cell r="F183">
            <v>6188</v>
          </cell>
          <cell r="G183">
            <v>1</v>
          </cell>
        </row>
        <row r="184">
          <cell r="A184" t="str">
            <v>14</v>
          </cell>
          <cell r="B184" t="str">
            <v>10140</v>
          </cell>
          <cell r="C184" t="str">
            <v>Inyo</v>
          </cell>
          <cell r="D184" t="str">
            <v>Inyo County Office of Education</v>
          </cell>
          <cell r="E184">
            <v>264</v>
          </cell>
          <cell r="F184">
            <v>11743</v>
          </cell>
          <cell r="G184">
            <v>4</v>
          </cell>
        </row>
        <row r="185">
          <cell r="A185" t="str">
            <v>14</v>
          </cell>
          <cell r="B185" t="str">
            <v>63248</v>
          </cell>
          <cell r="C185" t="str">
            <v>Inyo</v>
          </cell>
          <cell r="D185" t="str">
            <v>Big Pine Unified</v>
          </cell>
          <cell r="E185">
            <v>195</v>
          </cell>
          <cell r="F185">
            <v>9356</v>
          </cell>
          <cell r="G185">
            <v>3</v>
          </cell>
        </row>
        <row r="186">
          <cell r="A186" t="str">
            <v>14</v>
          </cell>
          <cell r="B186" t="str">
            <v>63255</v>
          </cell>
          <cell r="C186" t="str">
            <v>Inyo</v>
          </cell>
          <cell r="D186" t="str">
            <v>Bishop Union Elementary</v>
          </cell>
          <cell r="E186">
            <v>1250</v>
          </cell>
          <cell r="F186">
            <v>25587</v>
          </cell>
          <cell r="G186">
            <v>5</v>
          </cell>
        </row>
        <row r="187">
          <cell r="A187" t="str">
            <v>14</v>
          </cell>
          <cell r="B187" t="str">
            <v>63263</v>
          </cell>
          <cell r="C187" t="str">
            <v>Inyo</v>
          </cell>
          <cell r="D187" t="str">
            <v>Bishop Joint Union High</v>
          </cell>
          <cell r="E187">
            <v>702</v>
          </cell>
          <cell r="F187">
            <v>14512</v>
          </cell>
          <cell r="G187">
            <v>2</v>
          </cell>
        </row>
        <row r="188">
          <cell r="A188" t="str">
            <v>14</v>
          </cell>
          <cell r="B188" t="str">
            <v>63271</v>
          </cell>
          <cell r="C188" t="str">
            <v>Inyo</v>
          </cell>
          <cell r="D188" t="str">
            <v>Death Valley Unified</v>
          </cell>
          <cell r="E188">
            <v>77</v>
          </cell>
          <cell r="F188">
            <v>13812</v>
          </cell>
          <cell r="G188">
            <v>5</v>
          </cell>
        </row>
        <row r="189">
          <cell r="A189" t="str">
            <v>14</v>
          </cell>
          <cell r="B189" t="str">
            <v>63289</v>
          </cell>
          <cell r="C189" t="str">
            <v>Inyo</v>
          </cell>
          <cell r="D189" t="str">
            <v>Lone Pine Unified</v>
          </cell>
          <cell r="E189">
            <v>396</v>
          </cell>
          <cell r="F189">
            <v>10093</v>
          </cell>
          <cell r="G189">
            <v>3</v>
          </cell>
        </row>
        <row r="190">
          <cell r="A190" t="str">
            <v>14</v>
          </cell>
          <cell r="B190" t="str">
            <v>63297</v>
          </cell>
          <cell r="C190" t="str">
            <v>Inyo</v>
          </cell>
          <cell r="D190" t="str">
            <v>Owens Valley Unified</v>
          </cell>
          <cell r="E190">
            <v>60</v>
          </cell>
          <cell r="F190">
            <v>9356</v>
          </cell>
          <cell r="G190">
            <v>3</v>
          </cell>
        </row>
        <row r="191">
          <cell r="A191" t="str">
            <v>14</v>
          </cell>
          <cell r="B191" t="str">
            <v>63305</v>
          </cell>
          <cell r="C191" t="str">
            <v>Inyo</v>
          </cell>
          <cell r="D191" t="str">
            <v>Round Valley Joint Elementary</v>
          </cell>
          <cell r="E191">
            <v>117</v>
          </cell>
          <cell r="F191">
            <v>3564</v>
          </cell>
          <cell r="G191">
            <v>1</v>
          </cell>
        </row>
        <row r="192">
          <cell r="A192" t="str">
            <v>15</v>
          </cell>
          <cell r="B192" t="str">
            <v>10157</v>
          </cell>
          <cell r="C192" t="str">
            <v>Kern</v>
          </cell>
          <cell r="D192" t="str">
            <v>Kern County Office of Education</v>
          </cell>
          <cell r="E192">
            <v>3570</v>
          </cell>
          <cell r="F192">
            <v>60692</v>
          </cell>
          <cell r="G192">
            <v>4</v>
          </cell>
        </row>
        <row r="193">
          <cell r="A193" t="str">
            <v>15</v>
          </cell>
          <cell r="B193" t="str">
            <v>63313</v>
          </cell>
          <cell r="C193" t="str">
            <v>Kern</v>
          </cell>
          <cell r="D193" t="str">
            <v>Arvin Union Elementary</v>
          </cell>
          <cell r="E193">
            <v>3362</v>
          </cell>
          <cell r="F193">
            <v>57157</v>
          </cell>
          <cell r="G193">
            <v>4</v>
          </cell>
        </row>
        <row r="194">
          <cell r="A194" t="str">
            <v>15</v>
          </cell>
          <cell r="B194" t="str">
            <v>63321</v>
          </cell>
          <cell r="C194" t="str">
            <v>Kern</v>
          </cell>
          <cell r="D194" t="str">
            <v>Bakersfield City</v>
          </cell>
          <cell r="E194">
            <v>27263</v>
          </cell>
          <cell r="F194">
            <v>466320</v>
          </cell>
          <cell r="G194">
            <v>41</v>
          </cell>
        </row>
        <row r="195">
          <cell r="A195" t="str">
            <v>15</v>
          </cell>
          <cell r="B195" t="str">
            <v>63339</v>
          </cell>
          <cell r="C195" t="str">
            <v>Kern</v>
          </cell>
          <cell r="D195" t="str">
            <v>Beardsley Elementary</v>
          </cell>
          <cell r="E195">
            <v>1738</v>
          </cell>
          <cell r="F195">
            <v>29546</v>
          </cell>
          <cell r="G195">
            <v>4</v>
          </cell>
        </row>
        <row r="196">
          <cell r="A196" t="str">
            <v>15</v>
          </cell>
          <cell r="B196" t="str">
            <v>63347</v>
          </cell>
          <cell r="C196" t="str">
            <v>Kern</v>
          </cell>
          <cell r="D196" t="str">
            <v>Belridge Elementary</v>
          </cell>
          <cell r="E196">
            <v>35</v>
          </cell>
          <cell r="F196">
            <v>3564</v>
          </cell>
          <cell r="G196">
            <v>1</v>
          </cell>
        </row>
        <row r="197">
          <cell r="A197" t="str">
            <v>15</v>
          </cell>
          <cell r="B197" t="str">
            <v>63354</v>
          </cell>
          <cell r="C197" t="str">
            <v>Kern</v>
          </cell>
          <cell r="D197" t="str">
            <v>Blake Elementary</v>
          </cell>
          <cell r="E197">
            <v>6</v>
          </cell>
          <cell r="F197">
            <v>2228</v>
          </cell>
          <cell r="G197">
            <v>1</v>
          </cell>
        </row>
        <row r="198">
          <cell r="A198" t="str">
            <v>15</v>
          </cell>
          <cell r="B198" t="str">
            <v>63362</v>
          </cell>
          <cell r="C198" t="str">
            <v>Kern</v>
          </cell>
          <cell r="D198" t="str">
            <v>Panama-Buena Vista Union</v>
          </cell>
          <cell r="E198">
            <v>16385</v>
          </cell>
          <cell r="F198">
            <v>278558</v>
          </cell>
          <cell r="G198">
            <v>22</v>
          </cell>
        </row>
        <row r="199">
          <cell r="A199" t="str">
            <v>15</v>
          </cell>
          <cell r="B199" t="str">
            <v>63370</v>
          </cell>
          <cell r="C199" t="str">
            <v>Kern</v>
          </cell>
          <cell r="D199" t="str">
            <v>Buttonwillow Union Elementary</v>
          </cell>
          <cell r="E199">
            <v>386</v>
          </cell>
          <cell r="F199">
            <v>6562</v>
          </cell>
          <cell r="G199">
            <v>1</v>
          </cell>
        </row>
        <row r="200">
          <cell r="A200" t="str">
            <v>15</v>
          </cell>
          <cell r="B200" t="str">
            <v>63388</v>
          </cell>
          <cell r="C200" t="str">
            <v>Kern</v>
          </cell>
          <cell r="D200" t="str">
            <v>Caliente Union Elementary</v>
          </cell>
          <cell r="E200">
            <v>103</v>
          </cell>
          <cell r="F200">
            <v>5792</v>
          </cell>
          <cell r="G200">
            <v>2</v>
          </cell>
        </row>
        <row r="201">
          <cell r="A201" t="str">
            <v>15</v>
          </cell>
          <cell r="B201" t="str">
            <v>63404</v>
          </cell>
          <cell r="C201" t="str">
            <v>Kern</v>
          </cell>
          <cell r="D201" t="str">
            <v>Delano Union Elementary</v>
          </cell>
          <cell r="E201">
            <v>7716</v>
          </cell>
          <cell r="F201">
            <v>131175</v>
          </cell>
          <cell r="G201">
            <v>11</v>
          </cell>
        </row>
        <row r="202">
          <cell r="A202" t="str">
            <v>15</v>
          </cell>
          <cell r="B202" t="str">
            <v>63412</v>
          </cell>
          <cell r="C202" t="str">
            <v>Kern</v>
          </cell>
          <cell r="D202" t="str">
            <v>Delano Joint Union High</v>
          </cell>
          <cell r="E202">
            <v>4634</v>
          </cell>
          <cell r="F202">
            <v>80338</v>
          </cell>
          <cell r="G202">
            <v>5</v>
          </cell>
        </row>
        <row r="203">
          <cell r="A203" t="str">
            <v>15</v>
          </cell>
          <cell r="B203" t="str">
            <v>63420</v>
          </cell>
          <cell r="C203" t="str">
            <v>Kern</v>
          </cell>
          <cell r="D203" t="str">
            <v>Di Giorgio Elementary</v>
          </cell>
          <cell r="E203">
            <v>210</v>
          </cell>
          <cell r="F203">
            <v>3570</v>
          </cell>
          <cell r="G203">
            <v>1</v>
          </cell>
        </row>
        <row r="204">
          <cell r="A204" t="str">
            <v>15</v>
          </cell>
          <cell r="B204" t="str">
            <v>63438</v>
          </cell>
          <cell r="C204" t="str">
            <v>Kern</v>
          </cell>
          <cell r="D204" t="str">
            <v>Edison Elementary</v>
          </cell>
          <cell r="E204">
            <v>1112</v>
          </cell>
          <cell r="F204">
            <v>18904</v>
          </cell>
          <cell r="G204">
            <v>2</v>
          </cell>
        </row>
        <row r="205">
          <cell r="A205" t="str">
            <v>15</v>
          </cell>
          <cell r="B205" t="str">
            <v>63446</v>
          </cell>
          <cell r="C205" t="str">
            <v>Kern</v>
          </cell>
          <cell r="D205" t="str">
            <v>Elk Hills Elementary</v>
          </cell>
          <cell r="E205">
            <v>72</v>
          </cell>
          <cell r="F205">
            <v>3564</v>
          </cell>
          <cell r="G205">
            <v>1</v>
          </cell>
        </row>
        <row r="206">
          <cell r="A206" t="str">
            <v>15</v>
          </cell>
          <cell r="B206" t="str">
            <v>63461</v>
          </cell>
          <cell r="C206" t="str">
            <v>Kern</v>
          </cell>
          <cell r="D206" t="str">
            <v>Fairfax Elementary</v>
          </cell>
          <cell r="E206">
            <v>2122</v>
          </cell>
          <cell r="F206">
            <v>36074</v>
          </cell>
          <cell r="G206">
            <v>3</v>
          </cell>
        </row>
        <row r="207">
          <cell r="A207" t="str">
            <v>15</v>
          </cell>
          <cell r="B207" t="str">
            <v>63479</v>
          </cell>
          <cell r="C207" t="str">
            <v>Kern</v>
          </cell>
          <cell r="D207" t="str">
            <v>Fruitvale Elementary</v>
          </cell>
          <cell r="E207">
            <v>3237</v>
          </cell>
          <cell r="F207">
            <v>55031</v>
          </cell>
          <cell r="G207">
            <v>5</v>
          </cell>
        </row>
        <row r="208">
          <cell r="A208" t="str">
            <v>15</v>
          </cell>
          <cell r="B208" t="str">
            <v>63487</v>
          </cell>
          <cell r="C208" t="str">
            <v>Kern</v>
          </cell>
          <cell r="D208" t="str">
            <v>General Shafter Elementary</v>
          </cell>
          <cell r="E208">
            <v>188</v>
          </cell>
          <cell r="F208">
            <v>3564</v>
          </cell>
          <cell r="G208">
            <v>1</v>
          </cell>
        </row>
        <row r="209">
          <cell r="A209" t="str">
            <v>15</v>
          </cell>
          <cell r="B209" t="str">
            <v>63503</v>
          </cell>
          <cell r="C209" t="str">
            <v>Kern</v>
          </cell>
          <cell r="D209" t="str">
            <v>Greenfield Union</v>
          </cell>
          <cell r="E209">
            <v>8411</v>
          </cell>
          <cell r="F209">
            <v>142993</v>
          </cell>
          <cell r="G209">
            <v>11</v>
          </cell>
        </row>
        <row r="210">
          <cell r="A210" t="str">
            <v>15</v>
          </cell>
          <cell r="B210" t="str">
            <v>63529</v>
          </cell>
          <cell r="C210" t="str">
            <v>Kern</v>
          </cell>
          <cell r="D210" t="str">
            <v>Kern Union High</v>
          </cell>
          <cell r="E210">
            <v>37783</v>
          </cell>
          <cell r="F210">
            <v>649729</v>
          </cell>
          <cell r="G210">
            <v>24</v>
          </cell>
        </row>
        <row r="211">
          <cell r="A211" t="str">
            <v>15</v>
          </cell>
          <cell r="B211" t="str">
            <v>63545</v>
          </cell>
          <cell r="C211" t="str">
            <v>Kern</v>
          </cell>
          <cell r="D211" t="str">
            <v>Kernville Union Elementary</v>
          </cell>
          <cell r="E211">
            <v>878</v>
          </cell>
          <cell r="F211">
            <v>17811</v>
          </cell>
          <cell r="G211">
            <v>3</v>
          </cell>
        </row>
        <row r="212">
          <cell r="A212" t="str">
            <v>15</v>
          </cell>
          <cell r="B212" t="str">
            <v>63552</v>
          </cell>
          <cell r="C212" t="str">
            <v>Kern</v>
          </cell>
          <cell r="D212" t="str">
            <v>Lakeside Union</v>
          </cell>
          <cell r="E212">
            <v>1345</v>
          </cell>
          <cell r="F212">
            <v>22866</v>
          </cell>
          <cell r="G212">
            <v>2</v>
          </cell>
        </row>
        <row r="213">
          <cell r="A213" t="str">
            <v>15</v>
          </cell>
          <cell r="B213" t="str">
            <v>63560</v>
          </cell>
          <cell r="C213" t="str">
            <v>Kern</v>
          </cell>
          <cell r="D213" t="str">
            <v>Lamont Elementary</v>
          </cell>
          <cell r="E213">
            <v>2626</v>
          </cell>
          <cell r="F213">
            <v>44643</v>
          </cell>
          <cell r="G213">
            <v>4</v>
          </cell>
        </row>
        <row r="214">
          <cell r="A214" t="str">
            <v>15</v>
          </cell>
          <cell r="B214" t="str">
            <v>63578</v>
          </cell>
          <cell r="C214" t="str">
            <v>Kern</v>
          </cell>
          <cell r="D214" t="str">
            <v>Richland Union Elementary</v>
          </cell>
          <cell r="E214">
            <v>3124</v>
          </cell>
          <cell r="F214">
            <v>53110</v>
          </cell>
          <cell r="G214">
            <v>4</v>
          </cell>
        </row>
        <row r="215">
          <cell r="A215" t="str">
            <v>15</v>
          </cell>
          <cell r="B215" t="str">
            <v>63586</v>
          </cell>
          <cell r="C215" t="str">
            <v>Kern</v>
          </cell>
          <cell r="D215" t="str">
            <v>Linns Valley-Poso Flat Union</v>
          </cell>
          <cell r="E215">
            <v>20</v>
          </cell>
          <cell r="F215">
            <v>2228</v>
          </cell>
          <cell r="G215">
            <v>1</v>
          </cell>
        </row>
        <row r="216">
          <cell r="A216" t="str">
            <v>15</v>
          </cell>
          <cell r="B216" t="str">
            <v>63594</v>
          </cell>
          <cell r="C216" t="str">
            <v>Kern</v>
          </cell>
          <cell r="D216" t="str">
            <v>Lost Hills Union Elementary</v>
          </cell>
          <cell r="E216">
            <v>598</v>
          </cell>
          <cell r="F216">
            <v>10721</v>
          </cell>
          <cell r="G216">
            <v>2</v>
          </cell>
        </row>
        <row r="217">
          <cell r="A217" t="str">
            <v>15</v>
          </cell>
          <cell r="B217" t="str">
            <v>63610</v>
          </cell>
          <cell r="C217" t="str">
            <v>Kern</v>
          </cell>
          <cell r="D217" t="str">
            <v>Maple Elementary</v>
          </cell>
          <cell r="E217">
            <v>274</v>
          </cell>
          <cell r="F217">
            <v>4658</v>
          </cell>
          <cell r="G217">
            <v>1</v>
          </cell>
        </row>
        <row r="218">
          <cell r="A218" t="str">
            <v>15</v>
          </cell>
          <cell r="B218" t="str">
            <v>63628</v>
          </cell>
          <cell r="C218" t="str">
            <v>Kern</v>
          </cell>
          <cell r="D218" t="str">
            <v>Maricopa Unified</v>
          </cell>
          <cell r="E218">
            <v>305</v>
          </cell>
          <cell r="F218">
            <v>7128</v>
          </cell>
          <cell r="G218">
            <v>2</v>
          </cell>
        </row>
        <row r="219">
          <cell r="A219" t="str">
            <v>15</v>
          </cell>
          <cell r="B219" t="str">
            <v>63651</v>
          </cell>
          <cell r="C219" t="str">
            <v>Kern</v>
          </cell>
          <cell r="D219" t="str">
            <v>McKittrick Elementary</v>
          </cell>
          <cell r="E219">
            <v>75</v>
          </cell>
          <cell r="F219">
            <v>3564</v>
          </cell>
          <cell r="G219">
            <v>1</v>
          </cell>
        </row>
        <row r="220">
          <cell r="A220" t="str">
            <v>15</v>
          </cell>
          <cell r="B220" t="str">
            <v>63669</v>
          </cell>
          <cell r="C220" t="str">
            <v>Kern</v>
          </cell>
          <cell r="D220" t="str">
            <v>Midway Elementary</v>
          </cell>
          <cell r="E220">
            <v>72</v>
          </cell>
          <cell r="F220">
            <v>3564</v>
          </cell>
          <cell r="G220">
            <v>1</v>
          </cell>
        </row>
        <row r="221">
          <cell r="A221" t="str">
            <v>15</v>
          </cell>
          <cell r="B221" t="str">
            <v>63677</v>
          </cell>
          <cell r="C221" t="str">
            <v>Kern</v>
          </cell>
          <cell r="D221" t="str">
            <v>Mojave Unified</v>
          </cell>
          <cell r="E221">
            <v>2920</v>
          </cell>
          <cell r="F221">
            <v>52813</v>
          </cell>
          <cell r="G221">
            <v>9</v>
          </cell>
        </row>
        <row r="222">
          <cell r="A222" t="str">
            <v>15</v>
          </cell>
          <cell r="B222" t="str">
            <v>63685</v>
          </cell>
          <cell r="C222" t="str">
            <v>Kern</v>
          </cell>
          <cell r="D222" t="str">
            <v>Muroc Joint Unified</v>
          </cell>
          <cell r="E222">
            <v>2043</v>
          </cell>
          <cell r="F222">
            <v>37769</v>
          </cell>
          <cell r="G222">
            <v>5</v>
          </cell>
        </row>
        <row r="223">
          <cell r="A223" t="str">
            <v>15</v>
          </cell>
          <cell r="B223" t="str">
            <v>63693</v>
          </cell>
          <cell r="C223" t="str">
            <v>Kern</v>
          </cell>
          <cell r="D223" t="str">
            <v>Norris Elementary</v>
          </cell>
          <cell r="E223">
            <v>3536</v>
          </cell>
          <cell r="F223">
            <v>60114</v>
          </cell>
          <cell r="G223">
            <v>5</v>
          </cell>
        </row>
        <row r="224">
          <cell r="A224" t="str">
            <v>15</v>
          </cell>
          <cell r="B224" t="str">
            <v>63719</v>
          </cell>
          <cell r="C224" t="str">
            <v>Kern</v>
          </cell>
          <cell r="D224" t="str">
            <v>Pond Union Elementary</v>
          </cell>
          <cell r="E224">
            <v>226</v>
          </cell>
          <cell r="F224">
            <v>3842</v>
          </cell>
          <cell r="G224">
            <v>1</v>
          </cell>
        </row>
        <row r="225">
          <cell r="A225" t="str">
            <v>15</v>
          </cell>
          <cell r="B225" t="str">
            <v>63750</v>
          </cell>
          <cell r="C225" t="str">
            <v>Kern</v>
          </cell>
          <cell r="D225" t="str">
            <v>Rosedale Union Elementary</v>
          </cell>
          <cell r="E225">
            <v>5325</v>
          </cell>
          <cell r="F225">
            <v>90526</v>
          </cell>
          <cell r="G225">
            <v>9</v>
          </cell>
        </row>
        <row r="226">
          <cell r="A226" t="str">
            <v>15</v>
          </cell>
          <cell r="B226" t="str">
            <v>63768</v>
          </cell>
          <cell r="C226" t="str">
            <v>Kern</v>
          </cell>
          <cell r="D226" t="str">
            <v>Semitropic Elementary</v>
          </cell>
          <cell r="E226">
            <v>234</v>
          </cell>
          <cell r="F226">
            <v>3978</v>
          </cell>
          <cell r="G226">
            <v>1</v>
          </cell>
        </row>
        <row r="227">
          <cell r="A227" t="str">
            <v>15</v>
          </cell>
          <cell r="B227" t="str">
            <v>63776</v>
          </cell>
          <cell r="C227" t="str">
            <v>Kern</v>
          </cell>
          <cell r="D227" t="str">
            <v>Southern Kern Unified</v>
          </cell>
          <cell r="E227">
            <v>3435</v>
          </cell>
          <cell r="F227">
            <v>62006</v>
          </cell>
          <cell r="G227">
            <v>6</v>
          </cell>
        </row>
        <row r="228">
          <cell r="A228" t="str">
            <v>15</v>
          </cell>
          <cell r="B228" t="str">
            <v>63784</v>
          </cell>
          <cell r="C228" t="str">
            <v>Kern</v>
          </cell>
          <cell r="D228" t="str">
            <v>South Fork Union</v>
          </cell>
          <cell r="E228">
            <v>303</v>
          </cell>
          <cell r="F228">
            <v>9356</v>
          </cell>
          <cell r="G228">
            <v>3</v>
          </cell>
        </row>
        <row r="229">
          <cell r="A229" t="str">
            <v>15</v>
          </cell>
          <cell r="B229" t="str">
            <v>63792</v>
          </cell>
          <cell r="C229" t="str">
            <v>Kern</v>
          </cell>
          <cell r="D229" t="str">
            <v>Standard Elementary</v>
          </cell>
          <cell r="E229">
            <v>2890</v>
          </cell>
          <cell r="F229">
            <v>49132</v>
          </cell>
          <cell r="G229">
            <v>4</v>
          </cell>
        </row>
        <row r="230">
          <cell r="A230" t="str">
            <v>15</v>
          </cell>
          <cell r="B230" t="str">
            <v>63800</v>
          </cell>
          <cell r="C230" t="str">
            <v>Kern</v>
          </cell>
          <cell r="D230" t="str">
            <v>Taft City</v>
          </cell>
          <cell r="E230">
            <v>2139</v>
          </cell>
          <cell r="F230">
            <v>39412</v>
          </cell>
          <cell r="G230">
            <v>7</v>
          </cell>
        </row>
        <row r="231">
          <cell r="A231" t="str">
            <v>15</v>
          </cell>
          <cell r="B231" t="str">
            <v>63818</v>
          </cell>
          <cell r="C231" t="str">
            <v>Kern</v>
          </cell>
          <cell r="D231" t="str">
            <v>Taft Union High</v>
          </cell>
          <cell r="E231">
            <v>1066</v>
          </cell>
          <cell r="F231">
            <v>23279</v>
          </cell>
          <cell r="G231">
            <v>3</v>
          </cell>
        </row>
        <row r="232">
          <cell r="A232" t="str">
            <v>15</v>
          </cell>
          <cell r="B232" t="str">
            <v>63826</v>
          </cell>
          <cell r="C232" t="str">
            <v>Kern</v>
          </cell>
          <cell r="D232" t="str">
            <v>Tehachapi Unified</v>
          </cell>
          <cell r="E232">
            <v>4866</v>
          </cell>
          <cell r="F232">
            <v>83364</v>
          </cell>
          <cell r="G232">
            <v>6</v>
          </cell>
        </row>
        <row r="233">
          <cell r="A233" t="str">
            <v>15</v>
          </cell>
          <cell r="B233" t="str">
            <v>63834</v>
          </cell>
          <cell r="C233" t="str">
            <v>Kern</v>
          </cell>
          <cell r="D233" t="str">
            <v>Vineland Elementary</v>
          </cell>
          <cell r="E233">
            <v>862</v>
          </cell>
          <cell r="F233">
            <v>14654</v>
          </cell>
          <cell r="G233">
            <v>2</v>
          </cell>
        </row>
        <row r="234">
          <cell r="A234" t="str">
            <v>15</v>
          </cell>
          <cell r="B234" t="str">
            <v>63842</v>
          </cell>
          <cell r="C234" t="str">
            <v>Kern</v>
          </cell>
          <cell r="D234" t="str">
            <v>Wasco Union Elementary</v>
          </cell>
          <cell r="E234">
            <v>3182</v>
          </cell>
          <cell r="F234">
            <v>54094</v>
          </cell>
          <cell r="G234">
            <v>5</v>
          </cell>
        </row>
        <row r="235">
          <cell r="A235" t="str">
            <v>15</v>
          </cell>
          <cell r="B235" t="str">
            <v>63859</v>
          </cell>
          <cell r="C235" t="str">
            <v>Kern</v>
          </cell>
          <cell r="D235" t="str">
            <v>Wasco Union High</v>
          </cell>
          <cell r="E235">
            <v>1795</v>
          </cell>
          <cell r="F235">
            <v>31530</v>
          </cell>
          <cell r="G235">
            <v>2</v>
          </cell>
        </row>
        <row r="236">
          <cell r="A236" t="str">
            <v>15</v>
          </cell>
          <cell r="B236" t="str">
            <v>73544</v>
          </cell>
          <cell r="C236" t="str">
            <v>Kern</v>
          </cell>
          <cell r="D236" t="str">
            <v>Rio Bravo-Greeley Union Elementary</v>
          </cell>
          <cell r="E236">
            <v>949</v>
          </cell>
          <cell r="F236">
            <v>16133</v>
          </cell>
          <cell r="G236">
            <v>2</v>
          </cell>
        </row>
        <row r="237">
          <cell r="A237" t="str">
            <v>15</v>
          </cell>
          <cell r="B237" t="str">
            <v>73742</v>
          </cell>
          <cell r="C237" t="str">
            <v>Kern</v>
          </cell>
          <cell r="D237" t="str">
            <v>Sierra Sands Unified</v>
          </cell>
          <cell r="E237">
            <v>5509</v>
          </cell>
          <cell r="F237">
            <v>99101</v>
          </cell>
          <cell r="G237">
            <v>12</v>
          </cell>
        </row>
        <row r="238">
          <cell r="A238" t="str">
            <v>15</v>
          </cell>
          <cell r="B238" t="str">
            <v>73908</v>
          </cell>
          <cell r="C238" t="str">
            <v>Kern</v>
          </cell>
          <cell r="D238" t="str">
            <v>McFarland Unified</v>
          </cell>
          <cell r="E238">
            <v>3269</v>
          </cell>
          <cell r="F238">
            <v>60680</v>
          </cell>
          <cell r="G238">
            <v>6</v>
          </cell>
        </row>
        <row r="239">
          <cell r="A239" t="str">
            <v>15</v>
          </cell>
          <cell r="B239" t="str">
            <v>75168</v>
          </cell>
          <cell r="C239" t="str">
            <v>Kern</v>
          </cell>
          <cell r="D239" t="str">
            <v>El Tejon Unified</v>
          </cell>
          <cell r="E239">
            <v>1301</v>
          </cell>
          <cell r="F239">
            <v>27307</v>
          </cell>
          <cell r="G239">
            <v>5</v>
          </cell>
        </row>
        <row r="240">
          <cell r="A240" t="str">
            <v>16</v>
          </cell>
          <cell r="B240" t="str">
            <v>10165</v>
          </cell>
          <cell r="C240" t="str">
            <v>Kings</v>
          </cell>
          <cell r="D240" t="str">
            <v>Kings County Office of Education</v>
          </cell>
          <cell r="E240">
            <v>516</v>
          </cell>
          <cell r="F240">
            <v>11922</v>
          </cell>
          <cell r="G240">
            <v>3</v>
          </cell>
        </row>
        <row r="241">
          <cell r="A241" t="str">
            <v>16</v>
          </cell>
          <cell r="B241" t="str">
            <v>63875</v>
          </cell>
          <cell r="C241" t="str">
            <v>Kings</v>
          </cell>
          <cell r="D241" t="str">
            <v>Armona Union Elementary</v>
          </cell>
          <cell r="E241">
            <v>1213</v>
          </cell>
          <cell r="F241">
            <v>20621</v>
          </cell>
          <cell r="G241">
            <v>3</v>
          </cell>
        </row>
        <row r="242">
          <cell r="A242" t="str">
            <v>16</v>
          </cell>
          <cell r="B242" t="str">
            <v>63883</v>
          </cell>
          <cell r="C242" t="str">
            <v>Kings</v>
          </cell>
          <cell r="D242" t="str">
            <v>Central Union Elementary</v>
          </cell>
          <cell r="E242">
            <v>1866</v>
          </cell>
          <cell r="F242">
            <v>31722</v>
          </cell>
          <cell r="G242">
            <v>4</v>
          </cell>
        </row>
        <row r="243">
          <cell r="A243" t="str">
            <v>16</v>
          </cell>
          <cell r="B243" t="str">
            <v>63891</v>
          </cell>
          <cell r="C243" t="str">
            <v>Kings</v>
          </cell>
          <cell r="D243" t="str">
            <v>Corcoran Joint Unified</v>
          </cell>
          <cell r="E243">
            <v>3257</v>
          </cell>
          <cell r="F243">
            <v>60585</v>
          </cell>
          <cell r="G243">
            <v>7</v>
          </cell>
        </row>
        <row r="244">
          <cell r="A244" t="str">
            <v>16</v>
          </cell>
          <cell r="B244" t="str">
            <v>63909</v>
          </cell>
          <cell r="C244" t="str">
            <v>Kings</v>
          </cell>
          <cell r="D244" t="str">
            <v>Delta View Joint Union Elementary</v>
          </cell>
          <cell r="E244">
            <v>75</v>
          </cell>
          <cell r="F244">
            <v>3564</v>
          </cell>
          <cell r="G244">
            <v>1</v>
          </cell>
        </row>
        <row r="245">
          <cell r="A245" t="str">
            <v>16</v>
          </cell>
          <cell r="B245" t="str">
            <v>63917</v>
          </cell>
          <cell r="C245" t="str">
            <v>Kings</v>
          </cell>
          <cell r="D245" t="str">
            <v>Hanford Elementary</v>
          </cell>
          <cell r="E245">
            <v>5514</v>
          </cell>
          <cell r="F245">
            <v>96843</v>
          </cell>
          <cell r="G245">
            <v>11</v>
          </cell>
        </row>
        <row r="246">
          <cell r="A246" t="str">
            <v>16</v>
          </cell>
          <cell r="B246" t="str">
            <v>63925</v>
          </cell>
          <cell r="C246" t="str">
            <v>Kings</v>
          </cell>
          <cell r="D246" t="str">
            <v>Hanford Joint Union High</v>
          </cell>
          <cell r="E246">
            <v>3926</v>
          </cell>
          <cell r="F246">
            <v>71476</v>
          </cell>
          <cell r="G246">
            <v>5</v>
          </cell>
        </row>
        <row r="247">
          <cell r="A247" t="str">
            <v>16</v>
          </cell>
          <cell r="B247" t="str">
            <v>63933</v>
          </cell>
          <cell r="C247" t="str">
            <v>Kings</v>
          </cell>
          <cell r="D247" t="str">
            <v>Island Union Elementary</v>
          </cell>
          <cell r="E247">
            <v>277</v>
          </cell>
          <cell r="F247">
            <v>4709</v>
          </cell>
          <cell r="G247">
            <v>1</v>
          </cell>
        </row>
        <row r="248">
          <cell r="A248" t="str">
            <v>16</v>
          </cell>
          <cell r="B248" t="str">
            <v>63941</v>
          </cell>
          <cell r="C248" t="str">
            <v>Kings</v>
          </cell>
          <cell r="D248" t="str">
            <v>Kings River-Hardwick Union Elementary</v>
          </cell>
          <cell r="E248">
            <v>655</v>
          </cell>
          <cell r="F248">
            <v>11135</v>
          </cell>
          <cell r="G248">
            <v>1</v>
          </cell>
        </row>
        <row r="249">
          <cell r="A249" t="str">
            <v>16</v>
          </cell>
          <cell r="B249" t="str">
            <v>63958</v>
          </cell>
          <cell r="C249" t="str">
            <v>Kings</v>
          </cell>
          <cell r="D249" t="str">
            <v>Kit Carson Union Elementary</v>
          </cell>
          <cell r="E249">
            <v>424</v>
          </cell>
          <cell r="F249">
            <v>9181</v>
          </cell>
          <cell r="G249">
            <v>2</v>
          </cell>
        </row>
        <row r="250">
          <cell r="A250" t="str">
            <v>16</v>
          </cell>
          <cell r="B250" t="str">
            <v>63966</v>
          </cell>
          <cell r="C250" t="str">
            <v>Kings</v>
          </cell>
          <cell r="D250" t="str">
            <v>Lakeside Union Elementary</v>
          </cell>
          <cell r="E250">
            <v>366</v>
          </cell>
          <cell r="F250">
            <v>10654</v>
          </cell>
          <cell r="G250">
            <v>3</v>
          </cell>
        </row>
        <row r="251">
          <cell r="A251" t="str">
            <v>16</v>
          </cell>
          <cell r="B251" t="str">
            <v>63974</v>
          </cell>
          <cell r="C251" t="str">
            <v>Kings</v>
          </cell>
          <cell r="D251" t="str">
            <v>Lemoore Union Elementary</v>
          </cell>
          <cell r="E251">
            <v>3350</v>
          </cell>
          <cell r="F251">
            <v>56950</v>
          </cell>
          <cell r="G251">
            <v>6</v>
          </cell>
        </row>
        <row r="252">
          <cell r="A252" t="str">
            <v>16</v>
          </cell>
          <cell r="B252" t="str">
            <v>63982</v>
          </cell>
          <cell r="C252" t="str">
            <v>Kings</v>
          </cell>
          <cell r="D252" t="str">
            <v>Lemoore Union High</v>
          </cell>
          <cell r="E252">
            <v>2208</v>
          </cell>
          <cell r="F252">
            <v>45177</v>
          </cell>
          <cell r="G252">
            <v>5</v>
          </cell>
        </row>
        <row r="253">
          <cell r="A253" t="str">
            <v>16</v>
          </cell>
          <cell r="B253" t="str">
            <v>63990</v>
          </cell>
          <cell r="C253" t="str">
            <v>Kings</v>
          </cell>
          <cell r="D253" t="str">
            <v>Pioneer Union Elementary</v>
          </cell>
          <cell r="E253">
            <v>1664</v>
          </cell>
          <cell r="F253">
            <v>28288</v>
          </cell>
          <cell r="G253">
            <v>3</v>
          </cell>
        </row>
        <row r="254">
          <cell r="A254" t="str">
            <v>16</v>
          </cell>
          <cell r="B254" t="str">
            <v>73932</v>
          </cell>
          <cell r="C254" t="str">
            <v>Kings</v>
          </cell>
          <cell r="D254" t="str">
            <v>Reef-Sunset Unified</v>
          </cell>
          <cell r="E254">
            <v>2516</v>
          </cell>
          <cell r="F254">
            <v>50987</v>
          </cell>
          <cell r="G254">
            <v>9</v>
          </cell>
        </row>
        <row r="255">
          <cell r="A255" t="str">
            <v>17</v>
          </cell>
          <cell r="B255" t="str">
            <v>10173</v>
          </cell>
          <cell r="C255" t="str">
            <v>Lake</v>
          </cell>
          <cell r="D255" t="str">
            <v>Lake County Office of Education</v>
          </cell>
          <cell r="E255">
            <v>81</v>
          </cell>
          <cell r="F255">
            <v>12476</v>
          </cell>
          <cell r="G255">
            <v>5</v>
          </cell>
        </row>
        <row r="256">
          <cell r="A256" t="str">
            <v>17</v>
          </cell>
          <cell r="B256" t="str">
            <v>64014</v>
          </cell>
          <cell r="C256" t="str">
            <v>Lake</v>
          </cell>
          <cell r="D256" t="str">
            <v>Kelseyville Unified</v>
          </cell>
          <cell r="E256">
            <v>1752</v>
          </cell>
          <cell r="F256">
            <v>35805</v>
          </cell>
          <cell r="G256">
            <v>7</v>
          </cell>
        </row>
        <row r="257">
          <cell r="A257" t="str">
            <v>17</v>
          </cell>
          <cell r="B257" t="str">
            <v>64022</v>
          </cell>
          <cell r="C257" t="str">
            <v>Lake</v>
          </cell>
          <cell r="D257" t="str">
            <v>Konocti Unified</v>
          </cell>
          <cell r="E257">
            <v>3108</v>
          </cell>
          <cell r="F257">
            <v>63636</v>
          </cell>
          <cell r="G257">
            <v>10</v>
          </cell>
        </row>
        <row r="258">
          <cell r="A258" t="str">
            <v>17</v>
          </cell>
          <cell r="B258" t="str">
            <v>64030</v>
          </cell>
          <cell r="C258" t="str">
            <v>Lake</v>
          </cell>
          <cell r="D258" t="str">
            <v>Lakeport Unified</v>
          </cell>
          <cell r="E258">
            <v>1650</v>
          </cell>
          <cell r="F258">
            <v>36131</v>
          </cell>
          <cell r="G258">
            <v>6</v>
          </cell>
        </row>
        <row r="259">
          <cell r="A259" t="str">
            <v>17</v>
          </cell>
          <cell r="B259" t="str">
            <v>64048</v>
          </cell>
          <cell r="C259" t="str">
            <v>Lake</v>
          </cell>
          <cell r="D259" t="str">
            <v>Lucerne Elementary</v>
          </cell>
          <cell r="E259">
            <v>258</v>
          </cell>
          <cell r="F259">
            <v>4386</v>
          </cell>
          <cell r="G259">
            <v>1</v>
          </cell>
        </row>
        <row r="260">
          <cell r="A260" t="str">
            <v>17</v>
          </cell>
          <cell r="B260" t="str">
            <v>64055</v>
          </cell>
          <cell r="C260" t="str">
            <v>Lake</v>
          </cell>
          <cell r="D260" t="str">
            <v>Middletown Unified</v>
          </cell>
          <cell r="E260">
            <v>1741</v>
          </cell>
          <cell r="F260">
            <v>38285</v>
          </cell>
          <cell r="G260">
            <v>8</v>
          </cell>
        </row>
        <row r="261">
          <cell r="A261" t="str">
            <v>17</v>
          </cell>
          <cell r="B261" t="str">
            <v>64063</v>
          </cell>
          <cell r="C261" t="str">
            <v>Lake</v>
          </cell>
          <cell r="D261" t="str">
            <v>Upper Lake Union Elementary</v>
          </cell>
          <cell r="E261">
            <v>549</v>
          </cell>
          <cell r="F261">
            <v>11742</v>
          </cell>
          <cell r="G261">
            <v>3</v>
          </cell>
        </row>
        <row r="262">
          <cell r="A262" t="str">
            <v>17</v>
          </cell>
          <cell r="B262" t="str">
            <v>64071</v>
          </cell>
          <cell r="C262" t="str">
            <v>Lake</v>
          </cell>
          <cell r="D262" t="str">
            <v>Upper Lake Union High</v>
          </cell>
          <cell r="E262">
            <v>419</v>
          </cell>
          <cell r="F262">
            <v>12116</v>
          </cell>
          <cell r="G262">
            <v>3</v>
          </cell>
        </row>
        <row r="263">
          <cell r="A263" t="str">
            <v>18</v>
          </cell>
          <cell r="B263" t="str">
            <v>10181</v>
          </cell>
          <cell r="C263" t="str">
            <v>Lassen</v>
          </cell>
          <cell r="D263" t="str">
            <v>Lassen County Office of Education</v>
          </cell>
          <cell r="E263">
            <v>136</v>
          </cell>
          <cell r="F263">
            <v>11584</v>
          </cell>
          <cell r="G263">
            <v>4</v>
          </cell>
        </row>
        <row r="264">
          <cell r="A264" t="str">
            <v>18</v>
          </cell>
          <cell r="B264" t="str">
            <v>64089</v>
          </cell>
          <cell r="C264" t="str">
            <v>Lassen</v>
          </cell>
          <cell r="D264" t="str">
            <v>Big Valley Joint Unified</v>
          </cell>
          <cell r="E264">
            <v>223</v>
          </cell>
          <cell r="F264">
            <v>12920</v>
          </cell>
          <cell r="G264">
            <v>4</v>
          </cell>
        </row>
        <row r="265">
          <cell r="A265" t="str">
            <v>18</v>
          </cell>
          <cell r="B265" t="str">
            <v>64105</v>
          </cell>
          <cell r="C265" t="str">
            <v>Lassen</v>
          </cell>
          <cell r="D265" t="str">
            <v>Janesville Union Elementary</v>
          </cell>
          <cell r="E265">
            <v>460</v>
          </cell>
          <cell r="F265">
            <v>7820</v>
          </cell>
          <cell r="G265">
            <v>1</v>
          </cell>
        </row>
        <row r="266">
          <cell r="A266" t="str">
            <v>18</v>
          </cell>
          <cell r="B266" t="str">
            <v>64113</v>
          </cell>
          <cell r="C266" t="str">
            <v>Lassen</v>
          </cell>
          <cell r="D266" t="str">
            <v>Johnstonville Elementary</v>
          </cell>
          <cell r="E266">
            <v>217</v>
          </cell>
          <cell r="F266">
            <v>3689</v>
          </cell>
          <cell r="G266">
            <v>1</v>
          </cell>
        </row>
        <row r="267">
          <cell r="A267" t="str">
            <v>18</v>
          </cell>
          <cell r="B267" t="str">
            <v>64139</v>
          </cell>
          <cell r="C267" t="str">
            <v>Lassen</v>
          </cell>
          <cell r="D267" t="str">
            <v>Lassen Union High</v>
          </cell>
          <cell r="E267">
            <v>1104</v>
          </cell>
          <cell r="F267">
            <v>28466</v>
          </cell>
          <cell r="G267">
            <v>5</v>
          </cell>
        </row>
        <row r="268">
          <cell r="A268" t="str">
            <v>18</v>
          </cell>
          <cell r="B268" t="str">
            <v>64162</v>
          </cell>
          <cell r="C268" t="str">
            <v>Lassen</v>
          </cell>
          <cell r="D268" t="str">
            <v>Ravendale-Termo Elementary</v>
          </cell>
          <cell r="E268">
            <v>9</v>
          </cell>
          <cell r="F268">
            <v>4456</v>
          </cell>
          <cell r="G268">
            <v>2</v>
          </cell>
        </row>
        <row r="269">
          <cell r="A269" t="str">
            <v>18</v>
          </cell>
          <cell r="B269" t="str">
            <v>64170</v>
          </cell>
          <cell r="C269" t="str">
            <v>Lassen</v>
          </cell>
          <cell r="D269" t="str">
            <v>Richmond Elementary</v>
          </cell>
          <cell r="E269">
            <v>219</v>
          </cell>
          <cell r="F269">
            <v>3723</v>
          </cell>
          <cell r="G269">
            <v>1</v>
          </cell>
        </row>
        <row r="270">
          <cell r="A270" t="str">
            <v>18</v>
          </cell>
          <cell r="B270" t="str">
            <v>64188</v>
          </cell>
          <cell r="C270" t="str">
            <v>Lassen</v>
          </cell>
          <cell r="D270" t="str">
            <v>Shaffer Union Elementary</v>
          </cell>
          <cell r="E270">
            <v>290</v>
          </cell>
          <cell r="F270">
            <v>4930</v>
          </cell>
          <cell r="G270">
            <v>1</v>
          </cell>
        </row>
        <row r="271">
          <cell r="A271" t="str">
            <v>18</v>
          </cell>
          <cell r="B271" t="str">
            <v>64196</v>
          </cell>
          <cell r="C271" t="str">
            <v>Lassen</v>
          </cell>
          <cell r="D271" t="str">
            <v>Susanville Elementary</v>
          </cell>
          <cell r="E271">
            <v>1228</v>
          </cell>
          <cell r="F271">
            <v>25230</v>
          </cell>
          <cell r="G271">
            <v>5</v>
          </cell>
        </row>
        <row r="272">
          <cell r="A272" t="str">
            <v>18</v>
          </cell>
          <cell r="B272" t="str">
            <v>64204</v>
          </cell>
          <cell r="C272" t="str">
            <v>Lassen</v>
          </cell>
          <cell r="D272" t="str">
            <v>Westwood Unified</v>
          </cell>
          <cell r="E272">
            <v>296</v>
          </cell>
          <cell r="F272">
            <v>9356</v>
          </cell>
          <cell r="G272">
            <v>3</v>
          </cell>
        </row>
        <row r="273">
          <cell r="A273" t="str">
            <v>18</v>
          </cell>
          <cell r="B273" t="str">
            <v>75036</v>
          </cell>
          <cell r="C273" t="str">
            <v>Lassen</v>
          </cell>
          <cell r="D273" t="str">
            <v>Fort Sage Unified</v>
          </cell>
          <cell r="E273">
            <v>192</v>
          </cell>
          <cell r="F273">
            <v>15148</v>
          </cell>
          <cell r="G273">
            <v>5</v>
          </cell>
        </row>
        <row r="274">
          <cell r="A274" t="str">
            <v>19</v>
          </cell>
          <cell r="B274" t="str">
            <v>10199</v>
          </cell>
          <cell r="C274" t="str">
            <v>Los Angeles</v>
          </cell>
          <cell r="D274" t="str">
            <v>Los Angeles County Office of Education</v>
          </cell>
          <cell r="E274">
            <v>10456</v>
          </cell>
          <cell r="F274">
            <v>178431</v>
          </cell>
          <cell r="G274">
            <v>11</v>
          </cell>
        </row>
        <row r="275">
          <cell r="A275" t="str">
            <v>19</v>
          </cell>
          <cell r="B275" t="str">
            <v>64212</v>
          </cell>
          <cell r="C275" t="str">
            <v>Los Angeles</v>
          </cell>
          <cell r="D275" t="str">
            <v>ABC Unified</v>
          </cell>
          <cell r="E275">
            <v>20787</v>
          </cell>
          <cell r="F275">
            <v>354533</v>
          </cell>
          <cell r="G275">
            <v>30</v>
          </cell>
        </row>
        <row r="276">
          <cell r="A276" t="str">
            <v>19</v>
          </cell>
          <cell r="B276" t="str">
            <v>64246</v>
          </cell>
          <cell r="C276" t="str">
            <v>Los Angeles</v>
          </cell>
          <cell r="D276" t="str">
            <v>Antelope Valley Union High</v>
          </cell>
          <cell r="E276">
            <v>23653</v>
          </cell>
          <cell r="F276">
            <v>402892</v>
          </cell>
          <cell r="G276">
            <v>12</v>
          </cell>
        </row>
        <row r="277">
          <cell r="A277" t="str">
            <v>19</v>
          </cell>
          <cell r="B277" t="str">
            <v>64261</v>
          </cell>
          <cell r="C277" t="str">
            <v>Los Angeles</v>
          </cell>
          <cell r="D277" t="str">
            <v>Arcadia Unified</v>
          </cell>
          <cell r="E277">
            <v>9813</v>
          </cell>
          <cell r="F277">
            <v>169421</v>
          </cell>
          <cell r="G277">
            <v>11</v>
          </cell>
        </row>
        <row r="278">
          <cell r="A278" t="str">
            <v>19</v>
          </cell>
          <cell r="B278" t="str">
            <v>64279</v>
          </cell>
          <cell r="C278" t="str">
            <v>Los Angeles</v>
          </cell>
          <cell r="D278" t="str">
            <v>Azusa Unified</v>
          </cell>
          <cell r="E278">
            <v>11172</v>
          </cell>
          <cell r="F278">
            <v>191022</v>
          </cell>
          <cell r="G278">
            <v>18</v>
          </cell>
        </row>
        <row r="279">
          <cell r="A279" t="str">
            <v>19</v>
          </cell>
          <cell r="B279" t="str">
            <v>64287</v>
          </cell>
          <cell r="C279" t="str">
            <v>Los Angeles</v>
          </cell>
          <cell r="D279" t="str">
            <v>Baldwin Park Unified</v>
          </cell>
          <cell r="E279">
            <v>16354</v>
          </cell>
          <cell r="F279">
            <v>280927</v>
          </cell>
          <cell r="G279">
            <v>21</v>
          </cell>
        </row>
        <row r="280">
          <cell r="A280" t="str">
            <v>19</v>
          </cell>
          <cell r="B280" t="str">
            <v>64295</v>
          </cell>
          <cell r="C280" t="str">
            <v>Los Angeles</v>
          </cell>
          <cell r="D280" t="str">
            <v>Bassett Unified</v>
          </cell>
          <cell r="E280">
            <v>5033</v>
          </cell>
          <cell r="F280">
            <v>87274</v>
          </cell>
          <cell r="G280">
            <v>7</v>
          </cell>
        </row>
        <row r="281">
          <cell r="A281" t="str">
            <v>19</v>
          </cell>
          <cell r="B281" t="str">
            <v>64303</v>
          </cell>
          <cell r="C281" t="str">
            <v>Los Angeles</v>
          </cell>
          <cell r="D281" t="str">
            <v>Bellflower Unified</v>
          </cell>
          <cell r="E281">
            <v>14624</v>
          </cell>
          <cell r="F281">
            <v>251261</v>
          </cell>
          <cell r="G281">
            <v>15</v>
          </cell>
        </row>
        <row r="282">
          <cell r="A282" t="str">
            <v>19</v>
          </cell>
          <cell r="B282" t="str">
            <v>64311</v>
          </cell>
          <cell r="C282" t="str">
            <v>Los Angeles</v>
          </cell>
          <cell r="D282" t="str">
            <v>Beverly Hills Unified</v>
          </cell>
          <cell r="E282">
            <v>5093</v>
          </cell>
          <cell r="F282">
            <v>88539</v>
          </cell>
          <cell r="G282">
            <v>6</v>
          </cell>
        </row>
        <row r="283">
          <cell r="A283" t="str">
            <v>19</v>
          </cell>
          <cell r="B283" t="str">
            <v>64329</v>
          </cell>
          <cell r="C283" t="str">
            <v>Los Angeles</v>
          </cell>
          <cell r="D283" t="str">
            <v>Bonita Unified</v>
          </cell>
          <cell r="E283">
            <v>9808</v>
          </cell>
          <cell r="F283">
            <v>170723</v>
          </cell>
          <cell r="G283">
            <v>14</v>
          </cell>
        </row>
        <row r="284">
          <cell r="A284" t="str">
            <v>19</v>
          </cell>
          <cell r="B284" t="str">
            <v>64337</v>
          </cell>
          <cell r="C284" t="str">
            <v>Los Angeles</v>
          </cell>
          <cell r="D284" t="str">
            <v>Burbank Unified</v>
          </cell>
          <cell r="E284">
            <v>15181</v>
          </cell>
          <cell r="F284">
            <v>265928</v>
          </cell>
          <cell r="G284">
            <v>20</v>
          </cell>
        </row>
        <row r="285">
          <cell r="A285" t="str">
            <v>19</v>
          </cell>
          <cell r="B285" t="str">
            <v>64345</v>
          </cell>
          <cell r="C285" t="str">
            <v>Los Angeles</v>
          </cell>
          <cell r="D285" t="str">
            <v>Castaic Union Elementary</v>
          </cell>
          <cell r="E285">
            <v>3303</v>
          </cell>
          <cell r="F285">
            <v>56152</v>
          </cell>
          <cell r="G285">
            <v>4</v>
          </cell>
        </row>
        <row r="286">
          <cell r="A286" t="str">
            <v>19</v>
          </cell>
          <cell r="B286" t="str">
            <v>64352</v>
          </cell>
          <cell r="C286" t="str">
            <v>Los Angeles</v>
          </cell>
          <cell r="D286" t="str">
            <v>Centinela Valley Union High</v>
          </cell>
          <cell r="E286">
            <v>7324</v>
          </cell>
          <cell r="F286">
            <v>126683</v>
          </cell>
          <cell r="G286">
            <v>5</v>
          </cell>
        </row>
        <row r="287">
          <cell r="A287" t="str">
            <v>19</v>
          </cell>
          <cell r="B287" t="str">
            <v>64378</v>
          </cell>
          <cell r="C287" t="str">
            <v>Los Angeles</v>
          </cell>
          <cell r="D287" t="str">
            <v>Charter Oak Unified</v>
          </cell>
          <cell r="E287">
            <v>6272</v>
          </cell>
          <cell r="F287">
            <v>110967</v>
          </cell>
          <cell r="G287">
            <v>10</v>
          </cell>
        </row>
        <row r="288">
          <cell r="A288" t="str">
            <v>19</v>
          </cell>
          <cell r="B288" t="str">
            <v>64394</v>
          </cell>
          <cell r="C288" t="str">
            <v>Los Angeles</v>
          </cell>
          <cell r="D288" t="str">
            <v>Claremont Unified</v>
          </cell>
          <cell r="E288">
            <v>6948</v>
          </cell>
          <cell r="F288">
            <v>125530</v>
          </cell>
          <cell r="G288">
            <v>12</v>
          </cell>
        </row>
        <row r="289">
          <cell r="A289" t="str">
            <v>19</v>
          </cell>
          <cell r="B289" t="str">
            <v>64436</v>
          </cell>
          <cell r="C289" t="str">
            <v>Los Angeles</v>
          </cell>
          <cell r="D289" t="str">
            <v>Covina-Valley Unified</v>
          </cell>
          <cell r="E289">
            <v>14385</v>
          </cell>
          <cell r="F289">
            <v>244551</v>
          </cell>
          <cell r="G289">
            <v>19</v>
          </cell>
        </row>
        <row r="290">
          <cell r="A290" t="str">
            <v>19</v>
          </cell>
          <cell r="B290" t="str">
            <v>64444</v>
          </cell>
          <cell r="C290" t="str">
            <v>Los Angeles</v>
          </cell>
          <cell r="D290" t="str">
            <v>Culver City Unified</v>
          </cell>
          <cell r="E290">
            <v>6636</v>
          </cell>
          <cell r="F290">
            <v>117818</v>
          </cell>
          <cell r="G290">
            <v>9</v>
          </cell>
        </row>
        <row r="291">
          <cell r="A291" t="str">
            <v>19</v>
          </cell>
          <cell r="B291" t="str">
            <v>64451</v>
          </cell>
          <cell r="C291" t="str">
            <v>Los Angeles</v>
          </cell>
          <cell r="D291" t="str">
            <v>Downey Unified</v>
          </cell>
          <cell r="E291">
            <v>22429</v>
          </cell>
          <cell r="F291">
            <v>381305</v>
          </cell>
          <cell r="G291">
            <v>20</v>
          </cell>
        </row>
        <row r="292">
          <cell r="A292" t="str">
            <v>19</v>
          </cell>
          <cell r="B292" t="str">
            <v>64469</v>
          </cell>
          <cell r="C292" t="str">
            <v>Los Angeles</v>
          </cell>
          <cell r="D292" t="str">
            <v>Duarte Unified</v>
          </cell>
          <cell r="E292">
            <v>4239</v>
          </cell>
          <cell r="F292">
            <v>73690</v>
          </cell>
          <cell r="G292">
            <v>8</v>
          </cell>
        </row>
        <row r="293">
          <cell r="A293" t="str">
            <v>19</v>
          </cell>
          <cell r="B293" t="str">
            <v>64477</v>
          </cell>
          <cell r="C293" t="str">
            <v>Los Angeles</v>
          </cell>
          <cell r="D293" t="str">
            <v>Eastside Union Elementary</v>
          </cell>
          <cell r="E293">
            <v>3217</v>
          </cell>
          <cell r="F293">
            <v>54692</v>
          </cell>
          <cell r="G293">
            <v>4</v>
          </cell>
        </row>
        <row r="294">
          <cell r="A294" t="str">
            <v>19</v>
          </cell>
          <cell r="B294" t="str">
            <v>64485</v>
          </cell>
          <cell r="C294" t="str">
            <v>Los Angeles</v>
          </cell>
          <cell r="D294" t="str">
            <v>East Whittier City Elementary</v>
          </cell>
          <cell r="E294">
            <v>8816</v>
          </cell>
          <cell r="F294">
            <v>149877</v>
          </cell>
          <cell r="G294">
            <v>13</v>
          </cell>
        </row>
        <row r="295">
          <cell r="A295" t="str">
            <v>19</v>
          </cell>
          <cell r="B295" t="str">
            <v>64501</v>
          </cell>
          <cell r="C295" t="str">
            <v>Los Angeles</v>
          </cell>
          <cell r="D295" t="str">
            <v>El Monte City Elementary</v>
          </cell>
          <cell r="E295">
            <v>10144</v>
          </cell>
          <cell r="F295">
            <v>174810</v>
          </cell>
          <cell r="G295">
            <v>17</v>
          </cell>
        </row>
        <row r="296">
          <cell r="A296" t="str">
            <v>19</v>
          </cell>
          <cell r="B296" t="str">
            <v>64519</v>
          </cell>
          <cell r="C296" t="str">
            <v>Los Angeles</v>
          </cell>
          <cell r="D296" t="str">
            <v>El Monte Union High</v>
          </cell>
          <cell r="E296">
            <v>10409</v>
          </cell>
          <cell r="F296">
            <v>179723</v>
          </cell>
          <cell r="G296">
            <v>7</v>
          </cell>
        </row>
        <row r="297">
          <cell r="A297" t="str">
            <v>19</v>
          </cell>
          <cell r="B297" t="str">
            <v>64527</v>
          </cell>
          <cell r="C297" t="str">
            <v>Los Angeles</v>
          </cell>
          <cell r="D297" t="str">
            <v>El Rancho Unified</v>
          </cell>
          <cell r="E297">
            <v>11022</v>
          </cell>
          <cell r="F297">
            <v>189317</v>
          </cell>
          <cell r="G297">
            <v>14</v>
          </cell>
        </row>
        <row r="298">
          <cell r="A298" t="str">
            <v>19</v>
          </cell>
          <cell r="B298" t="str">
            <v>64535</v>
          </cell>
          <cell r="C298" t="str">
            <v>Los Angeles</v>
          </cell>
          <cell r="D298" t="str">
            <v>El Segundo Unified</v>
          </cell>
          <cell r="E298">
            <v>3262</v>
          </cell>
          <cell r="F298">
            <v>58595</v>
          </cell>
          <cell r="G298">
            <v>5</v>
          </cell>
        </row>
        <row r="299">
          <cell r="A299" t="str">
            <v>19</v>
          </cell>
          <cell r="B299" t="str">
            <v>64550</v>
          </cell>
          <cell r="C299" t="str">
            <v>Los Angeles</v>
          </cell>
          <cell r="D299" t="str">
            <v>Garvey Elementary</v>
          </cell>
          <cell r="E299">
            <v>5770</v>
          </cell>
          <cell r="F299">
            <v>98091</v>
          </cell>
          <cell r="G299">
            <v>11</v>
          </cell>
        </row>
        <row r="300">
          <cell r="A300" t="str">
            <v>19</v>
          </cell>
          <cell r="B300" t="str">
            <v>64568</v>
          </cell>
          <cell r="C300" t="str">
            <v>Los Angeles</v>
          </cell>
          <cell r="D300" t="str">
            <v>Glendale Unified</v>
          </cell>
          <cell r="E300">
            <v>26702</v>
          </cell>
          <cell r="F300">
            <v>458406</v>
          </cell>
          <cell r="G300">
            <v>32</v>
          </cell>
        </row>
        <row r="301">
          <cell r="A301" t="str">
            <v>19</v>
          </cell>
          <cell r="B301" t="str">
            <v>64576</v>
          </cell>
          <cell r="C301" t="str">
            <v>Los Angeles</v>
          </cell>
          <cell r="D301" t="str">
            <v>Glendora Unified</v>
          </cell>
          <cell r="E301">
            <v>7189</v>
          </cell>
          <cell r="F301">
            <v>123860</v>
          </cell>
          <cell r="G301">
            <v>10</v>
          </cell>
        </row>
        <row r="302">
          <cell r="A302" t="str">
            <v>19</v>
          </cell>
          <cell r="B302" t="str">
            <v>64584</v>
          </cell>
          <cell r="C302" t="str">
            <v>Los Angeles</v>
          </cell>
          <cell r="D302" t="str">
            <v>Gorman Elementary</v>
          </cell>
          <cell r="E302">
            <v>44</v>
          </cell>
          <cell r="F302">
            <v>3564</v>
          </cell>
          <cell r="G302">
            <v>1</v>
          </cell>
        </row>
        <row r="303">
          <cell r="A303" t="str">
            <v>19</v>
          </cell>
          <cell r="B303" t="str">
            <v>64592</v>
          </cell>
          <cell r="C303" t="str">
            <v>Los Angeles</v>
          </cell>
          <cell r="D303" t="str">
            <v>Hawthorne</v>
          </cell>
          <cell r="E303">
            <v>9052</v>
          </cell>
          <cell r="F303">
            <v>153891</v>
          </cell>
          <cell r="G303">
            <v>11</v>
          </cell>
        </row>
        <row r="304">
          <cell r="A304" t="str">
            <v>19</v>
          </cell>
          <cell r="B304" t="str">
            <v>64600</v>
          </cell>
          <cell r="C304" t="str">
            <v>Los Angeles</v>
          </cell>
          <cell r="D304" t="str">
            <v>Hermosa Beach City Elementary</v>
          </cell>
          <cell r="E304">
            <v>1176</v>
          </cell>
          <cell r="F304">
            <v>19993</v>
          </cell>
          <cell r="G304">
            <v>2</v>
          </cell>
        </row>
        <row r="305">
          <cell r="A305" t="str">
            <v>19</v>
          </cell>
          <cell r="B305" t="str">
            <v>64626</v>
          </cell>
          <cell r="C305" t="str">
            <v>Los Angeles</v>
          </cell>
          <cell r="D305" t="str">
            <v>Hughes-Elizabeth Lakes Union Elementary</v>
          </cell>
          <cell r="E305">
            <v>353</v>
          </cell>
          <cell r="F305">
            <v>6001</v>
          </cell>
          <cell r="G305">
            <v>1</v>
          </cell>
        </row>
        <row r="306">
          <cell r="A306" t="str">
            <v>19</v>
          </cell>
          <cell r="B306" t="str">
            <v>64634</v>
          </cell>
          <cell r="C306" t="str">
            <v>Los Angeles</v>
          </cell>
          <cell r="D306" t="str">
            <v>Inglewood Unified</v>
          </cell>
          <cell r="E306">
            <v>14263</v>
          </cell>
          <cell r="F306">
            <v>242478</v>
          </cell>
          <cell r="G306">
            <v>19</v>
          </cell>
        </row>
        <row r="307">
          <cell r="A307" t="str">
            <v>19</v>
          </cell>
          <cell r="B307" t="str">
            <v>64642</v>
          </cell>
          <cell r="C307" t="str">
            <v>Los Angeles</v>
          </cell>
          <cell r="D307" t="str">
            <v>Keppel Union Elementary</v>
          </cell>
          <cell r="E307">
            <v>2890</v>
          </cell>
          <cell r="F307">
            <v>49130</v>
          </cell>
          <cell r="G307">
            <v>6</v>
          </cell>
        </row>
        <row r="308">
          <cell r="A308" t="str">
            <v>19</v>
          </cell>
          <cell r="B308" t="str">
            <v>64659</v>
          </cell>
          <cell r="C308" t="str">
            <v>Los Angeles</v>
          </cell>
          <cell r="D308" t="str">
            <v>La Canada Unified</v>
          </cell>
          <cell r="E308">
            <v>4001</v>
          </cell>
          <cell r="F308">
            <v>70025</v>
          </cell>
          <cell r="G308">
            <v>5</v>
          </cell>
        </row>
        <row r="309">
          <cell r="A309" t="str">
            <v>19</v>
          </cell>
          <cell r="B309" t="str">
            <v>64667</v>
          </cell>
          <cell r="C309" t="str">
            <v>Los Angeles</v>
          </cell>
          <cell r="D309" t="str">
            <v>Lancaster Elementary</v>
          </cell>
          <cell r="E309">
            <v>15085</v>
          </cell>
          <cell r="F309">
            <v>261785</v>
          </cell>
          <cell r="G309">
            <v>19</v>
          </cell>
        </row>
        <row r="310">
          <cell r="A310" t="str">
            <v>19</v>
          </cell>
          <cell r="B310" t="str">
            <v>64683</v>
          </cell>
          <cell r="C310" t="str">
            <v>Los Angeles</v>
          </cell>
          <cell r="D310" t="str">
            <v>Las Virgenes Unified</v>
          </cell>
          <cell r="E310">
            <v>11627</v>
          </cell>
          <cell r="F310">
            <v>202463</v>
          </cell>
          <cell r="G310">
            <v>15</v>
          </cell>
        </row>
        <row r="311">
          <cell r="A311" t="str">
            <v>19</v>
          </cell>
          <cell r="B311" t="str">
            <v>64691</v>
          </cell>
          <cell r="C311" t="str">
            <v>Los Angeles</v>
          </cell>
          <cell r="D311" t="str">
            <v>Lawndale Elementary</v>
          </cell>
          <cell r="E311">
            <v>5795</v>
          </cell>
          <cell r="F311">
            <v>98518</v>
          </cell>
          <cell r="G311">
            <v>8</v>
          </cell>
        </row>
        <row r="312">
          <cell r="A312" t="str">
            <v>19</v>
          </cell>
          <cell r="B312" t="str">
            <v>64709</v>
          </cell>
          <cell r="C312" t="str">
            <v>Los Angeles</v>
          </cell>
          <cell r="D312" t="str">
            <v>Lennox Elementary</v>
          </cell>
          <cell r="E312">
            <v>6253</v>
          </cell>
          <cell r="F312">
            <v>106304</v>
          </cell>
          <cell r="G312">
            <v>7</v>
          </cell>
        </row>
        <row r="313">
          <cell r="A313" t="str">
            <v>19</v>
          </cell>
          <cell r="B313" t="str">
            <v>64717</v>
          </cell>
          <cell r="C313" t="str">
            <v>Los Angeles</v>
          </cell>
          <cell r="D313" t="str">
            <v>Little Lake City Elementary</v>
          </cell>
          <cell r="E313">
            <v>4953</v>
          </cell>
          <cell r="F313">
            <v>84203</v>
          </cell>
          <cell r="G313">
            <v>9</v>
          </cell>
        </row>
        <row r="314">
          <cell r="A314" t="str">
            <v>19</v>
          </cell>
          <cell r="B314" t="str">
            <v>64725</v>
          </cell>
          <cell r="C314" t="str">
            <v>Los Angeles</v>
          </cell>
          <cell r="D314" t="str">
            <v>Long Beach Unified</v>
          </cell>
          <cell r="E314">
            <v>86563</v>
          </cell>
          <cell r="F314">
            <v>1478988</v>
          </cell>
          <cell r="G314">
            <v>87</v>
          </cell>
        </row>
        <row r="315">
          <cell r="A315" t="str">
            <v>19</v>
          </cell>
          <cell r="B315" t="str">
            <v>64733</v>
          </cell>
          <cell r="C315" t="str">
            <v>Los Angeles</v>
          </cell>
          <cell r="D315" t="str">
            <v>Los Angeles Unified</v>
          </cell>
          <cell r="E315">
            <v>633892</v>
          </cell>
          <cell r="F315">
            <v>10921927</v>
          </cell>
          <cell r="G315">
            <v>721</v>
          </cell>
        </row>
        <row r="316">
          <cell r="A316" t="str">
            <v>19</v>
          </cell>
          <cell r="B316" t="str">
            <v>64758</v>
          </cell>
          <cell r="C316" t="str">
            <v>Los Angeles</v>
          </cell>
          <cell r="D316" t="str">
            <v>Los Nietos</v>
          </cell>
          <cell r="E316">
            <v>2027</v>
          </cell>
          <cell r="F316">
            <v>34459</v>
          </cell>
          <cell r="G316">
            <v>4</v>
          </cell>
        </row>
        <row r="317">
          <cell r="A317" t="str">
            <v>19</v>
          </cell>
          <cell r="B317" t="str">
            <v>64766</v>
          </cell>
          <cell r="C317" t="str">
            <v>Los Angeles</v>
          </cell>
          <cell r="D317" t="str">
            <v>Lowell Joint</v>
          </cell>
          <cell r="E317">
            <v>3061</v>
          </cell>
          <cell r="F317">
            <v>52038</v>
          </cell>
          <cell r="G317">
            <v>6</v>
          </cell>
        </row>
        <row r="318">
          <cell r="A318" t="str">
            <v>19</v>
          </cell>
          <cell r="B318" t="str">
            <v>64774</v>
          </cell>
          <cell r="C318" t="str">
            <v>Los Angeles</v>
          </cell>
          <cell r="D318" t="str">
            <v>Lynwood Unified</v>
          </cell>
          <cell r="E318">
            <v>17021</v>
          </cell>
          <cell r="F318">
            <v>291502</v>
          </cell>
          <cell r="G318">
            <v>19</v>
          </cell>
        </row>
        <row r="319">
          <cell r="A319" t="str">
            <v>19</v>
          </cell>
          <cell r="B319" t="str">
            <v>64790</v>
          </cell>
          <cell r="C319" t="str">
            <v>Los Angeles</v>
          </cell>
          <cell r="D319" t="str">
            <v>Monrovia Unified</v>
          </cell>
          <cell r="E319">
            <v>6012</v>
          </cell>
          <cell r="F319">
            <v>105814</v>
          </cell>
          <cell r="G319">
            <v>10</v>
          </cell>
        </row>
        <row r="320">
          <cell r="A320" t="str">
            <v>19</v>
          </cell>
          <cell r="B320" t="str">
            <v>64808</v>
          </cell>
          <cell r="C320" t="str">
            <v>Los Angeles</v>
          </cell>
          <cell r="D320" t="str">
            <v>Montebello Unified</v>
          </cell>
          <cell r="E320">
            <v>33007</v>
          </cell>
          <cell r="F320">
            <v>561846</v>
          </cell>
          <cell r="G320">
            <v>29</v>
          </cell>
        </row>
        <row r="321">
          <cell r="A321" t="str">
            <v>19</v>
          </cell>
          <cell r="B321" t="str">
            <v>64816</v>
          </cell>
          <cell r="C321" t="str">
            <v>Los Angeles</v>
          </cell>
          <cell r="D321" t="str">
            <v>Mountain View Elementary</v>
          </cell>
          <cell r="E321">
            <v>8714</v>
          </cell>
          <cell r="F321">
            <v>148143</v>
          </cell>
          <cell r="G321">
            <v>12</v>
          </cell>
        </row>
        <row r="322">
          <cell r="A322" t="str">
            <v>19</v>
          </cell>
          <cell r="B322" t="str">
            <v>64832</v>
          </cell>
          <cell r="C322" t="str">
            <v>Los Angeles</v>
          </cell>
          <cell r="D322" t="str">
            <v>Newhall Elementary</v>
          </cell>
          <cell r="E322">
            <v>7032</v>
          </cell>
          <cell r="F322">
            <v>119547</v>
          </cell>
          <cell r="G322">
            <v>10</v>
          </cell>
        </row>
        <row r="323">
          <cell r="A323" t="str">
            <v>19</v>
          </cell>
          <cell r="B323" t="str">
            <v>64840</v>
          </cell>
          <cell r="C323" t="str">
            <v>Los Angeles</v>
          </cell>
          <cell r="D323" t="str">
            <v>Norwalk-La Mirada Unified</v>
          </cell>
          <cell r="E323">
            <v>21478</v>
          </cell>
          <cell r="F323">
            <v>365133</v>
          </cell>
          <cell r="G323">
            <v>27</v>
          </cell>
        </row>
        <row r="324">
          <cell r="A324" t="str">
            <v>19</v>
          </cell>
          <cell r="B324" t="str">
            <v>64857</v>
          </cell>
          <cell r="C324" t="str">
            <v>Los Angeles</v>
          </cell>
          <cell r="D324" t="str">
            <v>Palmdale Elementary</v>
          </cell>
          <cell r="E324">
            <v>21223</v>
          </cell>
          <cell r="F324">
            <v>365406</v>
          </cell>
          <cell r="G324">
            <v>27</v>
          </cell>
        </row>
        <row r="325">
          <cell r="A325" t="str">
            <v>19</v>
          </cell>
          <cell r="B325" t="str">
            <v>64865</v>
          </cell>
          <cell r="C325" t="str">
            <v>Los Angeles</v>
          </cell>
          <cell r="D325" t="str">
            <v>Palos Verdes Peninsula Unified</v>
          </cell>
          <cell r="E325">
            <v>12014</v>
          </cell>
          <cell r="F325">
            <v>209026</v>
          </cell>
          <cell r="G325">
            <v>17</v>
          </cell>
        </row>
        <row r="326">
          <cell r="A326" t="str">
            <v>19</v>
          </cell>
          <cell r="B326" t="str">
            <v>64873</v>
          </cell>
          <cell r="C326" t="str">
            <v>Los Angeles</v>
          </cell>
          <cell r="D326" t="str">
            <v>Paramount Unified</v>
          </cell>
          <cell r="E326">
            <v>15949</v>
          </cell>
          <cell r="F326">
            <v>274043</v>
          </cell>
          <cell r="G326">
            <v>19</v>
          </cell>
        </row>
        <row r="327">
          <cell r="A327" t="str">
            <v>19</v>
          </cell>
          <cell r="B327" t="str">
            <v>64881</v>
          </cell>
          <cell r="C327" t="str">
            <v>Los Angeles</v>
          </cell>
          <cell r="D327" t="str">
            <v>Pasadena Unified</v>
          </cell>
          <cell r="E327">
            <v>19691</v>
          </cell>
          <cell r="F327">
            <v>335071</v>
          </cell>
          <cell r="G327">
            <v>29</v>
          </cell>
        </row>
        <row r="328">
          <cell r="A328" t="str">
            <v>19</v>
          </cell>
          <cell r="B328" t="str">
            <v>64907</v>
          </cell>
          <cell r="C328" t="str">
            <v>Los Angeles</v>
          </cell>
          <cell r="D328" t="str">
            <v>Pomona Unified</v>
          </cell>
          <cell r="E328">
            <v>30032</v>
          </cell>
          <cell r="F328">
            <v>516004</v>
          </cell>
          <cell r="G328">
            <v>44</v>
          </cell>
        </row>
        <row r="329">
          <cell r="A329" t="str">
            <v>19</v>
          </cell>
          <cell r="B329" t="str">
            <v>64931</v>
          </cell>
          <cell r="C329" t="str">
            <v>Los Angeles</v>
          </cell>
          <cell r="D329" t="str">
            <v>Rosemead Elementary</v>
          </cell>
          <cell r="E329">
            <v>3052</v>
          </cell>
          <cell r="F329">
            <v>51884</v>
          </cell>
          <cell r="G329">
            <v>5</v>
          </cell>
        </row>
        <row r="330">
          <cell r="A330" t="str">
            <v>19</v>
          </cell>
          <cell r="B330" t="str">
            <v>64964</v>
          </cell>
          <cell r="C330" t="str">
            <v>Los Angeles</v>
          </cell>
          <cell r="D330" t="str">
            <v>San Marino Unified</v>
          </cell>
          <cell r="E330">
            <v>3195</v>
          </cell>
          <cell r="F330">
            <v>54317</v>
          </cell>
          <cell r="G330">
            <v>4</v>
          </cell>
        </row>
        <row r="331">
          <cell r="A331" t="str">
            <v>19</v>
          </cell>
          <cell r="B331" t="str">
            <v>64980</v>
          </cell>
          <cell r="C331" t="str">
            <v>Los Angeles</v>
          </cell>
          <cell r="D331" t="str">
            <v>Santa Monica-Malibu Unified</v>
          </cell>
          <cell r="E331">
            <v>11579</v>
          </cell>
          <cell r="F331">
            <v>198673</v>
          </cell>
          <cell r="G331">
            <v>16</v>
          </cell>
        </row>
        <row r="332">
          <cell r="A332" t="str">
            <v>19</v>
          </cell>
          <cell r="B332" t="str">
            <v>64998</v>
          </cell>
          <cell r="C332" t="str">
            <v>Los Angeles</v>
          </cell>
          <cell r="D332" t="str">
            <v>Saugus Union Elementary</v>
          </cell>
          <cell r="E332">
            <v>10404</v>
          </cell>
          <cell r="F332">
            <v>176873</v>
          </cell>
          <cell r="G332">
            <v>15</v>
          </cell>
        </row>
        <row r="333">
          <cell r="A333" t="str">
            <v>19</v>
          </cell>
          <cell r="B333" t="str">
            <v>65029</v>
          </cell>
          <cell r="C333" t="str">
            <v>Los Angeles</v>
          </cell>
          <cell r="D333" t="str">
            <v>South Pasadena Unified</v>
          </cell>
          <cell r="E333">
            <v>4247</v>
          </cell>
          <cell r="F333">
            <v>72201</v>
          </cell>
          <cell r="G333">
            <v>5</v>
          </cell>
        </row>
        <row r="334">
          <cell r="A334" t="str">
            <v>19</v>
          </cell>
          <cell r="B334" t="str">
            <v>65037</v>
          </cell>
          <cell r="C334" t="str">
            <v>Los Angeles</v>
          </cell>
          <cell r="D334" t="str">
            <v>South Whittier Elementary</v>
          </cell>
          <cell r="E334">
            <v>3906</v>
          </cell>
          <cell r="F334">
            <v>66403</v>
          </cell>
          <cell r="G334">
            <v>8</v>
          </cell>
        </row>
        <row r="335">
          <cell r="A335" t="str">
            <v>19</v>
          </cell>
          <cell r="B335" t="str">
            <v>65045</v>
          </cell>
          <cell r="C335" t="str">
            <v>Los Angeles</v>
          </cell>
          <cell r="D335" t="str">
            <v>Sulphur Springs Union Elementary</v>
          </cell>
          <cell r="E335">
            <v>5774</v>
          </cell>
          <cell r="F335">
            <v>98159</v>
          </cell>
          <cell r="G335">
            <v>9</v>
          </cell>
        </row>
        <row r="336">
          <cell r="A336" t="str">
            <v>19</v>
          </cell>
          <cell r="B336" t="str">
            <v>65052</v>
          </cell>
          <cell r="C336" t="str">
            <v>Los Angeles</v>
          </cell>
          <cell r="D336" t="str">
            <v>Temple City Unified</v>
          </cell>
          <cell r="E336">
            <v>5486</v>
          </cell>
          <cell r="F336">
            <v>98710</v>
          </cell>
          <cell r="G336">
            <v>8</v>
          </cell>
        </row>
        <row r="337">
          <cell r="A337" t="str">
            <v>19</v>
          </cell>
          <cell r="B337" t="str">
            <v>65060</v>
          </cell>
          <cell r="C337" t="str">
            <v>Los Angeles</v>
          </cell>
          <cell r="D337" t="str">
            <v>Torrance Unified</v>
          </cell>
          <cell r="E337">
            <v>24648</v>
          </cell>
          <cell r="F337">
            <v>422328</v>
          </cell>
          <cell r="G337">
            <v>31</v>
          </cell>
        </row>
        <row r="338">
          <cell r="A338" t="str">
            <v>19</v>
          </cell>
          <cell r="B338" t="str">
            <v>65078</v>
          </cell>
          <cell r="C338" t="str">
            <v>Los Angeles</v>
          </cell>
          <cell r="D338" t="str">
            <v>Valle Lindo Elementary</v>
          </cell>
          <cell r="E338">
            <v>1155</v>
          </cell>
          <cell r="F338">
            <v>19635</v>
          </cell>
          <cell r="G338">
            <v>2</v>
          </cell>
        </row>
        <row r="339">
          <cell r="A339" t="str">
            <v>19</v>
          </cell>
          <cell r="B339" t="str">
            <v>65094</v>
          </cell>
          <cell r="C339" t="str">
            <v>Los Angeles</v>
          </cell>
          <cell r="D339" t="str">
            <v>West Covina Unified</v>
          </cell>
          <cell r="E339">
            <v>10322</v>
          </cell>
          <cell r="F339">
            <v>175478</v>
          </cell>
          <cell r="G339">
            <v>14</v>
          </cell>
        </row>
        <row r="340">
          <cell r="A340" t="str">
            <v>19</v>
          </cell>
          <cell r="B340" t="str">
            <v>65102</v>
          </cell>
          <cell r="C340" t="str">
            <v>Los Angeles</v>
          </cell>
          <cell r="D340" t="str">
            <v>Westside Union Elementary</v>
          </cell>
          <cell r="E340">
            <v>8829</v>
          </cell>
          <cell r="F340">
            <v>151234</v>
          </cell>
          <cell r="G340">
            <v>11</v>
          </cell>
        </row>
        <row r="341">
          <cell r="A341" t="str">
            <v>19</v>
          </cell>
          <cell r="B341" t="str">
            <v>65110</v>
          </cell>
          <cell r="C341" t="str">
            <v>Los Angeles</v>
          </cell>
          <cell r="D341" t="str">
            <v>Whittier City Elementary</v>
          </cell>
          <cell r="E341">
            <v>6617</v>
          </cell>
          <cell r="F341">
            <v>112491</v>
          </cell>
          <cell r="G341">
            <v>11</v>
          </cell>
        </row>
        <row r="342">
          <cell r="A342" t="str">
            <v>19</v>
          </cell>
          <cell r="B342" t="str">
            <v>65128</v>
          </cell>
          <cell r="C342" t="str">
            <v>Los Angeles</v>
          </cell>
          <cell r="D342" t="str">
            <v>Whittier Union High</v>
          </cell>
          <cell r="E342">
            <v>13603</v>
          </cell>
          <cell r="F342">
            <v>231261</v>
          </cell>
          <cell r="G342">
            <v>7</v>
          </cell>
        </row>
        <row r="343">
          <cell r="A343" t="str">
            <v>19</v>
          </cell>
          <cell r="B343" t="str">
            <v>65136</v>
          </cell>
          <cell r="C343" t="str">
            <v>Los Angeles</v>
          </cell>
          <cell r="D343" t="str">
            <v>William S. Hart Union High</v>
          </cell>
          <cell r="E343">
            <v>23211</v>
          </cell>
          <cell r="F343">
            <v>400926</v>
          </cell>
          <cell r="G343">
            <v>17</v>
          </cell>
        </row>
        <row r="344">
          <cell r="A344" t="str">
            <v>19</v>
          </cell>
          <cell r="B344" t="str">
            <v>65151</v>
          </cell>
          <cell r="C344" t="str">
            <v>Los Angeles</v>
          </cell>
          <cell r="D344" t="str">
            <v>Wilsona Elementary</v>
          </cell>
          <cell r="E344">
            <v>1737</v>
          </cell>
          <cell r="F344">
            <v>32328</v>
          </cell>
          <cell r="G344">
            <v>4</v>
          </cell>
        </row>
        <row r="345">
          <cell r="A345" t="str">
            <v>19</v>
          </cell>
          <cell r="B345" t="str">
            <v>65169</v>
          </cell>
          <cell r="C345" t="str">
            <v>Los Angeles</v>
          </cell>
          <cell r="D345" t="str">
            <v>Wiseburn Elementary</v>
          </cell>
          <cell r="E345">
            <v>2273</v>
          </cell>
          <cell r="F345">
            <v>38642</v>
          </cell>
          <cell r="G345">
            <v>4</v>
          </cell>
        </row>
        <row r="346">
          <cell r="A346" t="str">
            <v>19</v>
          </cell>
          <cell r="B346" t="str">
            <v>73437</v>
          </cell>
          <cell r="C346" t="str">
            <v>Los Angeles</v>
          </cell>
          <cell r="D346" t="str">
            <v>Compton Unified</v>
          </cell>
          <cell r="E346">
            <v>27369</v>
          </cell>
          <cell r="F346">
            <v>474038</v>
          </cell>
          <cell r="G346">
            <v>40</v>
          </cell>
        </row>
        <row r="347">
          <cell r="A347" t="str">
            <v>19</v>
          </cell>
          <cell r="B347" t="str">
            <v>73445</v>
          </cell>
          <cell r="C347" t="str">
            <v>Los Angeles</v>
          </cell>
          <cell r="D347" t="str">
            <v>Hacienda la Puente Unified</v>
          </cell>
          <cell r="E347">
            <v>21950</v>
          </cell>
          <cell r="F347">
            <v>381299</v>
          </cell>
          <cell r="G347">
            <v>37</v>
          </cell>
        </row>
        <row r="348">
          <cell r="A348" t="str">
            <v>19</v>
          </cell>
          <cell r="B348" t="str">
            <v>73452</v>
          </cell>
          <cell r="C348" t="str">
            <v>Los Angeles</v>
          </cell>
          <cell r="D348" t="str">
            <v>Rowland Unified</v>
          </cell>
          <cell r="E348">
            <v>16505</v>
          </cell>
          <cell r="F348">
            <v>286122</v>
          </cell>
          <cell r="G348">
            <v>23</v>
          </cell>
        </row>
        <row r="349">
          <cell r="A349" t="str">
            <v>19</v>
          </cell>
          <cell r="B349" t="str">
            <v>73460</v>
          </cell>
          <cell r="C349" t="str">
            <v>Los Angeles</v>
          </cell>
          <cell r="D349" t="str">
            <v>Walnut Valley Unified</v>
          </cell>
          <cell r="E349">
            <v>14984</v>
          </cell>
          <cell r="F349">
            <v>256395</v>
          </cell>
          <cell r="G349">
            <v>15</v>
          </cell>
        </row>
        <row r="350">
          <cell r="A350" t="str">
            <v>19</v>
          </cell>
          <cell r="B350" t="str">
            <v>75291</v>
          </cell>
          <cell r="C350" t="str">
            <v>Los Angeles</v>
          </cell>
          <cell r="D350" t="str">
            <v>San Gabriel Unified</v>
          </cell>
          <cell r="E350">
            <v>5439</v>
          </cell>
          <cell r="F350">
            <v>94856</v>
          </cell>
          <cell r="G350">
            <v>8</v>
          </cell>
        </row>
        <row r="351">
          <cell r="A351" t="str">
            <v>19</v>
          </cell>
          <cell r="B351" t="str">
            <v>75309</v>
          </cell>
          <cell r="C351" t="str">
            <v>Los Angeles</v>
          </cell>
          <cell r="D351" t="str">
            <v>Acton-Agua Dulce Unified</v>
          </cell>
          <cell r="E351">
            <v>1807</v>
          </cell>
          <cell r="F351">
            <v>30719</v>
          </cell>
          <cell r="G351">
            <v>4</v>
          </cell>
        </row>
        <row r="352">
          <cell r="A352" t="str">
            <v>19</v>
          </cell>
          <cell r="B352" t="str">
            <v>75333</v>
          </cell>
          <cell r="C352" t="str">
            <v>Los Angeles</v>
          </cell>
          <cell r="D352" t="str">
            <v>Manhattan Beach Unified</v>
          </cell>
          <cell r="E352">
            <v>6451</v>
          </cell>
          <cell r="F352">
            <v>109670</v>
          </cell>
          <cell r="G352">
            <v>7</v>
          </cell>
        </row>
        <row r="353">
          <cell r="A353" t="str">
            <v>19</v>
          </cell>
          <cell r="B353" t="str">
            <v>75341</v>
          </cell>
          <cell r="C353" t="str">
            <v>Los Angeles</v>
          </cell>
          <cell r="D353" t="str">
            <v>Redondo Beach Unified</v>
          </cell>
          <cell r="E353">
            <v>8251</v>
          </cell>
          <cell r="F353">
            <v>144312</v>
          </cell>
          <cell r="G353">
            <v>13</v>
          </cell>
        </row>
        <row r="354">
          <cell r="A354" t="str">
            <v>19</v>
          </cell>
          <cell r="B354" t="str">
            <v>75713</v>
          </cell>
          <cell r="C354" t="str">
            <v>Los Angeles</v>
          </cell>
          <cell r="D354" t="str">
            <v>Alhambra Unified</v>
          </cell>
          <cell r="E354">
            <v>18680</v>
          </cell>
          <cell r="F354">
            <v>318994</v>
          </cell>
          <cell r="G354">
            <v>18</v>
          </cell>
        </row>
        <row r="355">
          <cell r="A355" t="str">
            <v>20</v>
          </cell>
          <cell r="B355" t="str">
            <v>10207</v>
          </cell>
          <cell r="C355" t="str">
            <v>Madera</v>
          </cell>
          <cell r="D355" t="str">
            <v>Madera County Office of Education</v>
          </cell>
          <cell r="E355">
            <v>666</v>
          </cell>
          <cell r="F355">
            <v>28166</v>
          </cell>
          <cell r="G355">
            <v>9</v>
          </cell>
        </row>
        <row r="356">
          <cell r="A356" t="str">
            <v>20</v>
          </cell>
          <cell r="B356" t="str">
            <v>65177</v>
          </cell>
          <cell r="C356" t="str">
            <v>Madera</v>
          </cell>
          <cell r="D356" t="str">
            <v>Alview-Dairyland Union Elementary</v>
          </cell>
          <cell r="E356">
            <v>370</v>
          </cell>
          <cell r="F356">
            <v>7219</v>
          </cell>
          <cell r="G356">
            <v>2</v>
          </cell>
        </row>
        <row r="357">
          <cell r="A357" t="str">
            <v>20</v>
          </cell>
          <cell r="B357" t="str">
            <v>65185</v>
          </cell>
          <cell r="C357" t="str">
            <v>Madera</v>
          </cell>
          <cell r="D357" t="str">
            <v>Bass Lake Joint Union Elementary</v>
          </cell>
          <cell r="E357">
            <v>1104</v>
          </cell>
          <cell r="F357">
            <v>26102</v>
          </cell>
          <cell r="G357">
            <v>7</v>
          </cell>
        </row>
        <row r="358">
          <cell r="A358" t="str">
            <v>20</v>
          </cell>
          <cell r="B358" t="str">
            <v>65193</v>
          </cell>
          <cell r="C358" t="str">
            <v>Madera</v>
          </cell>
          <cell r="D358" t="str">
            <v>Chowchilla Elementary</v>
          </cell>
          <cell r="E358">
            <v>1924</v>
          </cell>
          <cell r="F358">
            <v>32708</v>
          </cell>
          <cell r="G358">
            <v>5</v>
          </cell>
        </row>
        <row r="359">
          <cell r="A359" t="str">
            <v>20</v>
          </cell>
          <cell r="B359" t="str">
            <v>65201</v>
          </cell>
          <cell r="C359" t="str">
            <v>Madera</v>
          </cell>
          <cell r="D359" t="str">
            <v>Chowchilla Union High</v>
          </cell>
          <cell r="E359">
            <v>996</v>
          </cell>
          <cell r="F359">
            <v>20123</v>
          </cell>
          <cell r="G359">
            <v>2</v>
          </cell>
        </row>
        <row r="360">
          <cell r="A360" t="str">
            <v>20</v>
          </cell>
          <cell r="B360" t="str">
            <v>65243</v>
          </cell>
          <cell r="C360" t="str">
            <v>Madera</v>
          </cell>
          <cell r="D360" t="str">
            <v>Madera Unified</v>
          </cell>
          <cell r="E360">
            <v>18675</v>
          </cell>
          <cell r="F360">
            <v>318761</v>
          </cell>
          <cell r="G360">
            <v>24</v>
          </cell>
        </row>
        <row r="361">
          <cell r="A361" t="str">
            <v>20</v>
          </cell>
          <cell r="B361" t="str">
            <v>65276</v>
          </cell>
          <cell r="C361" t="str">
            <v>Madera</v>
          </cell>
          <cell r="D361" t="str">
            <v>Raymond-Knowles Union Elementary</v>
          </cell>
          <cell r="E361">
            <v>80</v>
          </cell>
          <cell r="F361">
            <v>5792</v>
          </cell>
          <cell r="G361">
            <v>2</v>
          </cell>
        </row>
        <row r="362">
          <cell r="A362" t="str">
            <v>20</v>
          </cell>
          <cell r="B362" t="str">
            <v>75580</v>
          </cell>
          <cell r="C362" t="str">
            <v>Madera</v>
          </cell>
          <cell r="D362" t="str">
            <v>Golden Valley Unified</v>
          </cell>
          <cell r="E362">
            <v>1941</v>
          </cell>
          <cell r="F362">
            <v>43034</v>
          </cell>
          <cell r="G362">
            <v>8</v>
          </cell>
        </row>
        <row r="363">
          <cell r="A363" t="str">
            <v>20</v>
          </cell>
          <cell r="B363" t="str">
            <v>75606</v>
          </cell>
          <cell r="C363" t="str">
            <v>Madera</v>
          </cell>
          <cell r="D363" t="str">
            <v>Chawanakee Unified</v>
          </cell>
          <cell r="E363">
            <v>754</v>
          </cell>
          <cell r="F363">
            <v>25127</v>
          </cell>
          <cell r="G363">
            <v>7</v>
          </cell>
        </row>
        <row r="364">
          <cell r="A364" t="str">
            <v>20</v>
          </cell>
          <cell r="B364" t="str">
            <v>76414</v>
          </cell>
          <cell r="C364" t="str">
            <v>Madera</v>
          </cell>
          <cell r="D364" t="str">
            <v>Yosemite Unified</v>
          </cell>
          <cell r="E364">
            <v>2419</v>
          </cell>
          <cell r="F364">
            <v>62510</v>
          </cell>
          <cell r="G364">
            <v>11</v>
          </cell>
        </row>
        <row r="365">
          <cell r="A365" t="str">
            <v>21</v>
          </cell>
          <cell r="B365" t="str">
            <v>10215</v>
          </cell>
          <cell r="C365" t="str">
            <v>Marin</v>
          </cell>
          <cell r="D365" t="str">
            <v>Marin County Office of Education</v>
          </cell>
          <cell r="E365">
            <v>475</v>
          </cell>
          <cell r="F365">
            <v>13776</v>
          </cell>
          <cell r="G365">
            <v>4</v>
          </cell>
        </row>
        <row r="366">
          <cell r="A366" t="str">
            <v>21</v>
          </cell>
          <cell r="B366" t="str">
            <v>65300</v>
          </cell>
          <cell r="C366" t="str">
            <v>Marin</v>
          </cell>
          <cell r="D366" t="str">
            <v>Bolinas-Stinson Union</v>
          </cell>
          <cell r="E366">
            <v>101</v>
          </cell>
          <cell r="F366">
            <v>3564</v>
          </cell>
          <cell r="G366">
            <v>1</v>
          </cell>
        </row>
        <row r="367">
          <cell r="A367" t="str">
            <v>21</v>
          </cell>
          <cell r="B367" t="str">
            <v>65318</v>
          </cell>
          <cell r="C367" t="str">
            <v>Marin</v>
          </cell>
          <cell r="D367" t="str">
            <v>Dixie Elementary</v>
          </cell>
          <cell r="E367">
            <v>1783</v>
          </cell>
          <cell r="F367">
            <v>30311</v>
          </cell>
          <cell r="G367">
            <v>4</v>
          </cell>
        </row>
        <row r="368">
          <cell r="A368" t="str">
            <v>21</v>
          </cell>
          <cell r="B368" t="str">
            <v>65334</v>
          </cell>
          <cell r="C368" t="str">
            <v>Marin</v>
          </cell>
          <cell r="D368" t="str">
            <v>Kentfield Elementary</v>
          </cell>
          <cell r="E368">
            <v>1007</v>
          </cell>
          <cell r="F368">
            <v>17119</v>
          </cell>
          <cell r="G368">
            <v>2</v>
          </cell>
        </row>
        <row r="369">
          <cell r="A369" t="str">
            <v>21</v>
          </cell>
          <cell r="B369" t="str">
            <v>65342</v>
          </cell>
          <cell r="C369" t="str">
            <v>Marin</v>
          </cell>
          <cell r="D369" t="str">
            <v>Laguna Joint Elementary</v>
          </cell>
          <cell r="E369">
            <v>35</v>
          </cell>
          <cell r="F369">
            <v>3564</v>
          </cell>
          <cell r="G369">
            <v>1</v>
          </cell>
        </row>
        <row r="370">
          <cell r="A370" t="str">
            <v>21</v>
          </cell>
          <cell r="B370" t="str">
            <v>65359</v>
          </cell>
          <cell r="C370" t="str">
            <v>Marin</v>
          </cell>
          <cell r="D370" t="str">
            <v>Lagunitas Elementary</v>
          </cell>
          <cell r="E370">
            <v>287</v>
          </cell>
          <cell r="F370">
            <v>7128</v>
          </cell>
          <cell r="G370">
            <v>2</v>
          </cell>
        </row>
        <row r="371">
          <cell r="A371" t="str">
            <v>21</v>
          </cell>
          <cell r="B371" t="str">
            <v>65367</v>
          </cell>
          <cell r="C371" t="str">
            <v>Marin</v>
          </cell>
          <cell r="D371" t="str">
            <v>Larkspur</v>
          </cell>
          <cell r="E371">
            <v>1257</v>
          </cell>
          <cell r="F371">
            <v>21369</v>
          </cell>
          <cell r="G371">
            <v>2</v>
          </cell>
        </row>
        <row r="372">
          <cell r="A372" t="str">
            <v>21</v>
          </cell>
          <cell r="B372" t="str">
            <v>65375</v>
          </cell>
          <cell r="C372" t="str">
            <v>Marin</v>
          </cell>
          <cell r="D372" t="str">
            <v>Lincoln Elementary</v>
          </cell>
          <cell r="E372">
            <v>13</v>
          </cell>
          <cell r="F372">
            <v>2228</v>
          </cell>
          <cell r="G372">
            <v>1</v>
          </cell>
        </row>
        <row r="373">
          <cell r="A373" t="str">
            <v>21</v>
          </cell>
          <cell r="B373" t="str">
            <v>65391</v>
          </cell>
          <cell r="C373" t="str">
            <v>Marin</v>
          </cell>
          <cell r="D373" t="str">
            <v>Mill Valley Elementary</v>
          </cell>
          <cell r="E373">
            <v>2490</v>
          </cell>
          <cell r="F373">
            <v>42330</v>
          </cell>
          <cell r="G373">
            <v>6</v>
          </cell>
        </row>
        <row r="374">
          <cell r="A374" t="str">
            <v>21</v>
          </cell>
          <cell r="B374" t="str">
            <v>65409</v>
          </cell>
          <cell r="C374" t="str">
            <v>Marin</v>
          </cell>
          <cell r="D374" t="str">
            <v>Nicasio</v>
          </cell>
          <cell r="E374">
            <v>59</v>
          </cell>
          <cell r="F374">
            <v>3564</v>
          </cell>
          <cell r="G374">
            <v>1</v>
          </cell>
        </row>
        <row r="375">
          <cell r="A375" t="str">
            <v>21</v>
          </cell>
          <cell r="B375" t="str">
            <v>65417</v>
          </cell>
          <cell r="C375" t="str">
            <v>Marin</v>
          </cell>
          <cell r="D375" t="str">
            <v>Novato Unified</v>
          </cell>
          <cell r="E375">
            <v>7686</v>
          </cell>
          <cell r="F375">
            <v>135055</v>
          </cell>
          <cell r="G375">
            <v>15</v>
          </cell>
        </row>
        <row r="376">
          <cell r="A376" t="str">
            <v>21</v>
          </cell>
          <cell r="B376" t="str">
            <v>65425</v>
          </cell>
          <cell r="C376" t="str">
            <v>Marin</v>
          </cell>
          <cell r="D376" t="str">
            <v>Reed Union Elementary</v>
          </cell>
          <cell r="E376">
            <v>1163</v>
          </cell>
          <cell r="F376">
            <v>19771</v>
          </cell>
          <cell r="G376">
            <v>3</v>
          </cell>
        </row>
        <row r="377">
          <cell r="A377" t="str">
            <v>21</v>
          </cell>
          <cell r="B377" t="str">
            <v>65433</v>
          </cell>
          <cell r="C377" t="str">
            <v>Marin</v>
          </cell>
          <cell r="D377" t="str">
            <v>Ross Elementary</v>
          </cell>
          <cell r="E377">
            <v>378</v>
          </cell>
          <cell r="F377">
            <v>6426</v>
          </cell>
          <cell r="G377">
            <v>1</v>
          </cell>
        </row>
        <row r="378">
          <cell r="A378" t="str">
            <v>21</v>
          </cell>
          <cell r="B378" t="str">
            <v>65458</v>
          </cell>
          <cell r="C378" t="str">
            <v>Marin</v>
          </cell>
          <cell r="D378" t="str">
            <v>San Rafael City Elementary</v>
          </cell>
          <cell r="E378">
            <v>3750</v>
          </cell>
          <cell r="F378">
            <v>64255</v>
          </cell>
          <cell r="G378">
            <v>8</v>
          </cell>
        </row>
        <row r="379">
          <cell r="A379" t="str">
            <v>21</v>
          </cell>
          <cell r="B379" t="str">
            <v>65466</v>
          </cell>
          <cell r="C379" t="str">
            <v>Marin</v>
          </cell>
          <cell r="D379" t="str">
            <v>San Rafael City High</v>
          </cell>
          <cell r="E379">
            <v>2133</v>
          </cell>
          <cell r="F379">
            <v>38875</v>
          </cell>
          <cell r="G379">
            <v>3</v>
          </cell>
        </row>
        <row r="380">
          <cell r="A380" t="str">
            <v>21</v>
          </cell>
          <cell r="B380" t="str">
            <v>65474</v>
          </cell>
          <cell r="C380" t="str">
            <v>Marin</v>
          </cell>
          <cell r="D380" t="str">
            <v>Sausalito Marin City</v>
          </cell>
          <cell r="E380">
            <v>177</v>
          </cell>
          <cell r="F380">
            <v>7128</v>
          </cell>
          <cell r="G380">
            <v>2</v>
          </cell>
        </row>
        <row r="381">
          <cell r="A381" t="str">
            <v>21</v>
          </cell>
          <cell r="B381" t="str">
            <v>65482</v>
          </cell>
          <cell r="C381" t="str">
            <v>Marin</v>
          </cell>
          <cell r="D381" t="str">
            <v>Tamalpais Union High</v>
          </cell>
          <cell r="E381">
            <v>3811</v>
          </cell>
          <cell r="F381">
            <v>68025</v>
          </cell>
          <cell r="G381">
            <v>5</v>
          </cell>
        </row>
        <row r="382">
          <cell r="A382" t="str">
            <v>21</v>
          </cell>
          <cell r="B382" t="str">
            <v>65516</v>
          </cell>
          <cell r="C382" t="str">
            <v>Marin</v>
          </cell>
          <cell r="D382" t="str">
            <v>Union Joint Elementary</v>
          </cell>
          <cell r="E382">
            <v>14</v>
          </cell>
          <cell r="F382">
            <v>2228</v>
          </cell>
          <cell r="G382">
            <v>1</v>
          </cell>
        </row>
        <row r="383">
          <cell r="A383" t="str">
            <v>21</v>
          </cell>
          <cell r="B383" t="str">
            <v>73361</v>
          </cell>
          <cell r="C383" t="str">
            <v>Marin</v>
          </cell>
          <cell r="D383" t="str">
            <v>Shoreline Unified</v>
          </cell>
          <cell r="E383">
            <v>567</v>
          </cell>
          <cell r="F383">
            <v>17820</v>
          </cell>
          <cell r="G383">
            <v>5</v>
          </cell>
        </row>
        <row r="384">
          <cell r="A384" t="str">
            <v>21</v>
          </cell>
          <cell r="B384" t="str">
            <v>75002</v>
          </cell>
          <cell r="C384" t="str">
            <v>Marin</v>
          </cell>
          <cell r="D384" t="str">
            <v>Ross Valley Elementary</v>
          </cell>
          <cell r="E384">
            <v>1935</v>
          </cell>
          <cell r="F384">
            <v>32895</v>
          </cell>
          <cell r="G384">
            <v>4</v>
          </cell>
        </row>
        <row r="385">
          <cell r="A385" t="str">
            <v>22</v>
          </cell>
          <cell r="B385" t="str">
            <v>10223</v>
          </cell>
          <cell r="C385" t="str">
            <v>Mariposa</v>
          </cell>
          <cell r="D385" t="str">
            <v>Mariposa County Office of Education</v>
          </cell>
          <cell r="E385">
            <v>54</v>
          </cell>
          <cell r="F385">
            <v>8020</v>
          </cell>
          <cell r="G385">
            <v>3</v>
          </cell>
        </row>
        <row r="386">
          <cell r="A386" t="str">
            <v>22</v>
          </cell>
          <cell r="B386" t="str">
            <v>65532</v>
          </cell>
          <cell r="C386" t="str">
            <v>Mariposa</v>
          </cell>
          <cell r="D386" t="str">
            <v>Mariposa County Unified</v>
          </cell>
          <cell r="E386">
            <v>2201</v>
          </cell>
          <cell r="F386">
            <v>57145</v>
          </cell>
          <cell r="G386">
            <v>14</v>
          </cell>
        </row>
        <row r="387">
          <cell r="A387" t="str">
            <v>23</v>
          </cell>
          <cell r="B387" t="str">
            <v>10231</v>
          </cell>
          <cell r="C387" t="str">
            <v>Mendocino</v>
          </cell>
          <cell r="D387" t="str">
            <v>Mendocino County Office of Education</v>
          </cell>
          <cell r="E387">
            <v>221</v>
          </cell>
          <cell r="F387">
            <v>11584</v>
          </cell>
          <cell r="G387">
            <v>4</v>
          </cell>
        </row>
        <row r="388">
          <cell r="A388" t="str">
            <v>23</v>
          </cell>
          <cell r="B388" t="str">
            <v>65540</v>
          </cell>
          <cell r="C388" t="str">
            <v>Mendocino</v>
          </cell>
          <cell r="D388" t="str">
            <v>Anderson Valley Unified</v>
          </cell>
          <cell r="E388">
            <v>543</v>
          </cell>
          <cell r="F388">
            <v>11323</v>
          </cell>
          <cell r="G388">
            <v>3</v>
          </cell>
        </row>
        <row r="389">
          <cell r="A389" t="str">
            <v>23</v>
          </cell>
          <cell r="B389" t="str">
            <v>65557</v>
          </cell>
          <cell r="C389" t="str">
            <v>Mendocino</v>
          </cell>
          <cell r="D389" t="str">
            <v>Arena Union Elementary</v>
          </cell>
          <cell r="E389">
            <v>209</v>
          </cell>
          <cell r="F389">
            <v>3564</v>
          </cell>
          <cell r="G389">
            <v>1</v>
          </cell>
        </row>
        <row r="390">
          <cell r="A390" t="str">
            <v>23</v>
          </cell>
          <cell r="B390" t="str">
            <v>65565</v>
          </cell>
          <cell r="C390" t="str">
            <v>Mendocino</v>
          </cell>
          <cell r="D390" t="str">
            <v>Fort Bragg Unified</v>
          </cell>
          <cell r="E390">
            <v>1907</v>
          </cell>
          <cell r="F390">
            <v>40413</v>
          </cell>
          <cell r="G390">
            <v>8</v>
          </cell>
        </row>
        <row r="391">
          <cell r="A391" t="str">
            <v>23</v>
          </cell>
          <cell r="B391" t="str">
            <v>65573</v>
          </cell>
          <cell r="C391" t="str">
            <v>Mendocino</v>
          </cell>
          <cell r="D391" t="str">
            <v>Manchester Union Elementary</v>
          </cell>
          <cell r="E391">
            <v>67</v>
          </cell>
          <cell r="F391">
            <v>3564</v>
          </cell>
          <cell r="G391">
            <v>1</v>
          </cell>
        </row>
        <row r="392">
          <cell r="A392" t="str">
            <v>23</v>
          </cell>
          <cell r="B392" t="str">
            <v>65581</v>
          </cell>
          <cell r="C392" t="str">
            <v>Mendocino</v>
          </cell>
          <cell r="D392" t="str">
            <v>Mendocino Unified</v>
          </cell>
          <cell r="E392">
            <v>548</v>
          </cell>
          <cell r="F392">
            <v>21983</v>
          </cell>
          <cell r="G392">
            <v>7</v>
          </cell>
        </row>
        <row r="393">
          <cell r="A393" t="str">
            <v>23</v>
          </cell>
          <cell r="B393" t="str">
            <v>65599</v>
          </cell>
          <cell r="C393" t="str">
            <v>Mendocino</v>
          </cell>
          <cell r="D393" t="str">
            <v>Point Arena Joint Union High</v>
          </cell>
          <cell r="E393">
            <v>185</v>
          </cell>
          <cell r="F393">
            <v>5792</v>
          </cell>
          <cell r="G393">
            <v>2</v>
          </cell>
        </row>
        <row r="394">
          <cell r="A394" t="str">
            <v>23</v>
          </cell>
          <cell r="B394" t="str">
            <v>65607</v>
          </cell>
          <cell r="C394" t="str">
            <v>Mendocino</v>
          </cell>
          <cell r="D394" t="str">
            <v>Round Valley Unified</v>
          </cell>
          <cell r="E394">
            <v>331</v>
          </cell>
          <cell r="F394">
            <v>13971</v>
          </cell>
          <cell r="G394">
            <v>5</v>
          </cell>
        </row>
        <row r="395">
          <cell r="A395" t="str">
            <v>23</v>
          </cell>
          <cell r="B395" t="str">
            <v>65615</v>
          </cell>
          <cell r="C395" t="str">
            <v>Mendocino</v>
          </cell>
          <cell r="D395" t="str">
            <v>Ukiah Unified</v>
          </cell>
          <cell r="E395">
            <v>5736</v>
          </cell>
          <cell r="F395">
            <v>99898</v>
          </cell>
          <cell r="G395">
            <v>12</v>
          </cell>
        </row>
        <row r="396">
          <cell r="A396" t="str">
            <v>23</v>
          </cell>
          <cell r="B396" t="str">
            <v>65623</v>
          </cell>
          <cell r="C396" t="str">
            <v>Mendocino</v>
          </cell>
          <cell r="D396" t="str">
            <v>Willits Unified</v>
          </cell>
          <cell r="E396">
            <v>1824</v>
          </cell>
          <cell r="F396">
            <v>43572</v>
          </cell>
          <cell r="G396">
            <v>9</v>
          </cell>
        </row>
        <row r="397">
          <cell r="A397" t="str">
            <v>23</v>
          </cell>
          <cell r="B397" t="str">
            <v>73866</v>
          </cell>
          <cell r="C397" t="str">
            <v>Mendocino</v>
          </cell>
          <cell r="D397" t="str">
            <v>Potter Valley Community Unified</v>
          </cell>
          <cell r="E397">
            <v>261</v>
          </cell>
          <cell r="F397">
            <v>15148</v>
          </cell>
          <cell r="G397">
            <v>5</v>
          </cell>
        </row>
        <row r="398">
          <cell r="A398" t="str">
            <v>23</v>
          </cell>
          <cell r="B398" t="str">
            <v>73916</v>
          </cell>
          <cell r="C398" t="str">
            <v>Mendocino</v>
          </cell>
          <cell r="D398" t="str">
            <v>Laytonville Unified</v>
          </cell>
          <cell r="E398">
            <v>386</v>
          </cell>
          <cell r="F398">
            <v>16182</v>
          </cell>
          <cell r="G398">
            <v>6</v>
          </cell>
        </row>
        <row r="399">
          <cell r="A399" t="str">
            <v>23</v>
          </cell>
          <cell r="B399" t="str">
            <v>75218</v>
          </cell>
          <cell r="C399" t="str">
            <v>Mendocino</v>
          </cell>
          <cell r="D399" t="str">
            <v>Leggett Valley Unified</v>
          </cell>
          <cell r="E399">
            <v>149</v>
          </cell>
          <cell r="F399">
            <v>15148</v>
          </cell>
          <cell r="G399">
            <v>5</v>
          </cell>
        </row>
        <row r="400">
          <cell r="A400" t="str">
            <v>24</v>
          </cell>
          <cell r="B400" t="str">
            <v>10249</v>
          </cell>
          <cell r="C400" t="str">
            <v>Merced</v>
          </cell>
          <cell r="D400" t="str">
            <v>Merced County Office of Education</v>
          </cell>
          <cell r="E400">
            <v>1865</v>
          </cell>
          <cell r="F400">
            <v>41383</v>
          </cell>
          <cell r="G400">
            <v>7</v>
          </cell>
        </row>
        <row r="401">
          <cell r="A401" t="str">
            <v>24</v>
          </cell>
          <cell r="B401" t="str">
            <v>65631</v>
          </cell>
          <cell r="C401" t="str">
            <v>Merced</v>
          </cell>
          <cell r="D401" t="str">
            <v>Atwater Elementary</v>
          </cell>
          <cell r="E401">
            <v>4612</v>
          </cell>
          <cell r="F401">
            <v>80446</v>
          </cell>
          <cell r="G401">
            <v>9</v>
          </cell>
        </row>
        <row r="402">
          <cell r="A402" t="str">
            <v>24</v>
          </cell>
          <cell r="B402" t="str">
            <v>65649</v>
          </cell>
          <cell r="C402" t="str">
            <v>Merced</v>
          </cell>
          <cell r="D402" t="str">
            <v>Ballico-Cressey Elementary</v>
          </cell>
          <cell r="E402">
            <v>311</v>
          </cell>
          <cell r="F402">
            <v>7128</v>
          </cell>
          <cell r="G402">
            <v>2</v>
          </cell>
        </row>
        <row r="403">
          <cell r="A403" t="str">
            <v>24</v>
          </cell>
          <cell r="B403" t="str">
            <v>65680</v>
          </cell>
          <cell r="C403" t="str">
            <v>Merced</v>
          </cell>
          <cell r="D403" t="str">
            <v>El Nido Elementary</v>
          </cell>
          <cell r="E403">
            <v>181</v>
          </cell>
          <cell r="F403">
            <v>3564</v>
          </cell>
          <cell r="G403">
            <v>1</v>
          </cell>
        </row>
        <row r="404">
          <cell r="A404" t="str">
            <v>24</v>
          </cell>
          <cell r="B404" t="str">
            <v>65698</v>
          </cell>
          <cell r="C404" t="str">
            <v>Merced</v>
          </cell>
          <cell r="D404" t="str">
            <v>Hilmar Unified</v>
          </cell>
          <cell r="E404">
            <v>2362</v>
          </cell>
          <cell r="F404">
            <v>45584</v>
          </cell>
          <cell r="G404">
            <v>6</v>
          </cell>
        </row>
        <row r="405">
          <cell r="A405" t="str">
            <v>24</v>
          </cell>
          <cell r="B405" t="str">
            <v>65722</v>
          </cell>
          <cell r="C405" t="str">
            <v>Merced</v>
          </cell>
          <cell r="D405" t="str">
            <v>Le Grand Union Elementary</v>
          </cell>
          <cell r="E405">
            <v>403</v>
          </cell>
          <cell r="F405">
            <v>6851</v>
          </cell>
          <cell r="G405">
            <v>1</v>
          </cell>
        </row>
        <row r="406">
          <cell r="A406" t="str">
            <v>24</v>
          </cell>
          <cell r="B406" t="str">
            <v>65730</v>
          </cell>
          <cell r="C406" t="str">
            <v>Merced</v>
          </cell>
          <cell r="D406" t="str">
            <v>Le Grand Union High</v>
          </cell>
          <cell r="E406">
            <v>572</v>
          </cell>
          <cell r="F406">
            <v>12149</v>
          </cell>
          <cell r="G406">
            <v>2</v>
          </cell>
        </row>
        <row r="407">
          <cell r="A407" t="str">
            <v>24</v>
          </cell>
          <cell r="B407" t="str">
            <v>65748</v>
          </cell>
          <cell r="C407" t="str">
            <v>Merced</v>
          </cell>
          <cell r="D407" t="str">
            <v>Livingston Union</v>
          </cell>
          <cell r="E407">
            <v>2521</v>
          </cell>
          <cell r="F407">
            <v>42858</v>
          </cell>
          <cell r="G407">
            <v>4</v>
          </cell>
        </row>
        <row r="408">
          <cell r="A408" t="str">
            <v>24</v>
          </cell>
          <cell r="B408" t="str">
            <v>65755</v>
          </cell>
          <cell r="C408" t="str">
            <v>Merced</v>
          </cell>
          <cell r="D408" t="str">
            <v>Los Banos Unified</v>
          </cell>
          <cell r="E408">
            <v>8748</v>
          </cell>
          <cell r="F408">
            <v>151319</v>
          </cell>
          <cell r="G408">
            <v>11</v>
          </cell>
        </row>
        <row r="409">
          <cell r="A409" t="str">
            <v>24</v>
          </cell>
          <cell r="B409" t="str">
            <v>65763</v>
          </cell>
          <cell r="C409" t="str">
            <v>Merced</v>
          </cell>
          <cell r="D409" t="str">
            <v>McSwain Union Elementary</v>
          </cell>
          <cell r="E409">
            <v>782</v>
          </cell>
          <cell r="F409">
            <v>13295</v>
          </cell>
          <cell r="G409">
            <v>1</v>
          </cell>
        </row>
        <row r="410">
          <cell r="A410" t="str">
            <v>24</v>
          </cell>
          <cell r="B410" t="str">
            <v>65771</v>
          </cell>
          <cell r="C410" t="str">
            <v>Merced</v>
          </cell>
          <cell r="D410" t="str">
            <v>Merced City Elementary</v>
          </cell>
          <cell r="E410">
            <v>10876</v>
          </cell>
          <cell r="F410">
            <v>188086</v>
          </cell>
          <cell r="G410">
            <v>18</v>
          </cell>
        </row>
        <row r="411">
          <cell r="A411" t="str">
            <v>24</v>
          </cell>
          <cell r="B411" t="str">
            <v>65789</v>
          </cell>
          <cell r="C411" t="str">
            <v>Merced</v>
          </cell>
          <cell r="D411" t="str">
            <v>Merced Union High</v>
          </cell>
          <cell r="E411">
            <v>10591</v>
          </cell>
          <cell r="F411">
            <v>182343</v>
          </cell>
          <cell r="G411">
            <v>8</v>
          </cell>
        </row>
        <row r="412">
          <cell r="A412" t="str">
            <v>24</v>
          </cell>
          <cell r="B412" t="str">
            <v>65813</v>
          </cell>
          <cell r="C412" t="str">
            <v>Merced</v>
          </cell>
          <cell r="D412" t="str">
            <v>Plainsburg Union Elementary</v>
          </cell>
          <cell r="E412">
            <v>114</v>
          </cell>
          <cell r="F412">
            <v>3564</v>
          </cell>
          <cell r="G412">
            <v>1</v>
          </cell>
        </row>
        <row r="413">
          <cell r="A413" t="str">
            <v>24</v>
          </cell>
          <cell r="B413" t="str">
            <v>65821</v>
          </cell>
          <cell r="C413" t="str">
            <v>Merced</v>
          </cell>
          <cell r="D413" t="str">
            <v>Planada Elementary</v>
          </cell>
          <cell r="E413">
            <v>794</v>
          </cell>
          <cell r="F413">
            <v>13498</v>
          </cell>
          <cell r="G413">
            <v>2</v>
          </cell>
        </row>
        <row r="414">
          <cell r="A414" t="str">
            <v>24</v>
          </cell>
          <cell r="B414" t="str">
            <v>65839</v>
          </cell>
          <cell r="C414" t="str">
            <v>Merced</v>
          </cell>
          <cell r="D414" t="str">
            <v>Snelling-Merced Falls Union Elementary</v>
          </cell>
          <cell r="E414">
            <v>86</v>
          </cell>
          <cell r="F414">
            <v>3564</v>
          </cell>
          <cell r="G414">
            <v>1</v>
          </cell>
        </row>
        <row r="415">
          <cell r="A415" t="str">
            <v>24</v>
          </cell>
          <cell r="B415" t="str">
            <v>65862</v>
          </cell>
          <cell r="C415" t="str">
            <v>Merced</v>
          </cell>
          <cell r="D415" t="str">
            <v>Weaver Union</v>
          </cell>
          <cell r="E415">
            <v>2371</v>
          </cell>
          <cell r="F415">
            <v>40309</v>
          </cell>
          <cell r="G415">
            <v>3</v>
          </cell>
        </row>
        <row r="416">
          <cell r="A416" t="str">
            <v>24</v>
          </cell>
          <cell r="B416" t="str">
            <v>65870</v>
          </cell>
          <cell r="C416" t="str">
            <v>Merced</v>
          </cell>
          <cell r="D416" t="str">
            <v>Winton Elementary</v>
          </cell>
          <cell r="E416">
            <v>1794</v>
          </cell>
          <cell r="F416">
            <v>30498</v>
          </cell>
          <cell r="G416">
            <v>4</v>
          </cell>
        </row>
        <row r="417">
          <cell r="A417" t="str">
            <v>24</v>
          </cell>
          <cell r="B417" t="str">
            <v>73619</v>
          </cell>
          <cell r="C417" t="str">
            <v>Merced</v>
          </cell>
          <cell r="D417" t="str">
            <v>Gustine Unified</v>
          </cell>
          <cell r="E417">
            <v>1812</v>
          </cell>
          <cell r="F417">
            <v>36137</v>
          </cell>
          <cell r="G417">
            <v>6</v>
          </cell>
        </row>
        <row r="418">
          <cell r="A418" t="str">
            <v>24</v>
          </cell>
          <cell r="B418" t="str">
            <v>73726</v>
          </cell>
          <cell r="C418" t="str">
            <v>Merced</v>
          </cell>
          <cell r="D418" t="str">
            <v>Merced River Union Elementary</v>
          </cell>
          <cell r="E418">
            <v>187</v>
          </cell>
          <cell r="F418">
            <v>7128</v>
          </cell>
          <cell r="G418">
            <v>2</v>
          </cell>
        </row>
        <row r="419">
          <cell r="A419" t="str">
            <v>24</v>
          </cell>
          <cell r="B419" t="str">
            <v>75317</v>
          </cell>
          <cell r="C419" t="str">
            <v>Merced</v>
          </cell>
          <cell r="D419" t="str">
            <v>Dos Palos Oro Loma Joint Unified</v>
          </cell>
          <cell r="E419">
            <v>2570</v>
          </cell>
          <cell r="F419">
            <v>47011</v>
          </cell>
          <cell r="G419">
            <v>6</v>
          </cell>
        </row>
        <row r="420">
          <cell r="A420" t="str">
            <v>24</v>
          </cell>
          <cell r="B420" t="str">
            <v>75366</v>
          </cell>
          <cell r="C420" t="str">
            <v>Merced</v>
          </cell>
          <cell r="D420" t="str">
            <v>Delhi Unified</v>
          </cell>
          <cell r="E420">
            <v>2644</v>
          </cell>
          <cell r="F420">
            <v>52410</v>
          </cell>
          <cell r="G420">
            <v>7</v>
          </cell>
        </row>
        <row r="421">
          <cell r="A421" t="str">
            <v>25</v>
          </cell>
          <cell r="B421" t="str">
            <v>10256</v>
          </cell>
          <cell r="C421" t="str">
            <v>Modoc</v>
          </cell>
          <cell r="D421" t="str">
            <v>Modoc County Office of Education</v>
          </cell>
          <cell r="E421">
            <v>65</v>
          </cell>
          <cell r="F421">
            <v>11584</v>
          </cell>
          <cell r="G421">
            <v>4</v>
          </cell>
        </row>
        <row r="422">
          <cell r="A422" t="str">
            <v>25</v>
          </cell>
          <cell r="B422" t="str">
            <v>65896</v>
          </cell>
          <cell r="C422" t="str">
            <v>Modoc</v>
          </cell>
          <cell r="D422" t="str">
            <v>Surprise Valley Joint Unified</v>
          </cell>
          <cell r="E422">
            <v>163</v>
          </cell>
          <cell r="F422">
            <v>11584</v>
          </cell>
          <cell r="G422">
            <v>4</v>
          </cell>
        </row>
        <row r="423">
          <cell r="A423" t="str">
            <v>25</v>
          </cell>
          <cell r="B423" t="str">
            <v>73585</v>
          </cell>
          <cell r="C423" t="str">
            <v>Modoc</v>
          </cell>
          <cell r="D423" t="str">
            <v>Modoc Joint Unified</v>
          </cell>
          <cell r="E423">
            <v>914</v>
          </cell>
          <cell r="F423">
            <v>30178</v>
          </cell>
          <cell r="G423">
            <v>9</v>
          </cell>
        </row>
        <row r="424">
          <cell r="A424" t="str">
            <v>25</v>
          </cell>
          <cell r="B424" t="str">
            <v>73593</v>
          </cell>
          <cell r="C424" t="str">
            <v>Modoc</v>
          </cell>
          <cell r="D424" t="str">
            <v>Tulelake Basin Joint Unified</v>
          </cell>
          <cell r="E424">
            <v>535</v>
          </cell>
          <cell r="F424">
            <v>15596</v>
          </cell>
          <cell r="G424">
            <v>5</v>
          </cell>
        </row>
        <row r="425">
          <cell r="A425" t="str">
            <v>26</v>
          </cell>
          <cell r="B425" t="str">
            <v>10264</v>
          </cell>
          <cell r="C425" t="str">
            <v>Mono</v>
          </cell>
          <cell r="D425" t="str">
            <v>Mono County Office of Education</v>
          </cell>
          <cell r="E425">
            <v>41</v>
          </cell>
          <cell r="F425">
            <v>8912</v>
          </cell>
          <cell r="G425">
            <v>4</v>
          </cell>
        </row>
        <row r="426">
          <cell r="A426" t="str">
            <v>26</v>
          </cell>
          <cell r="B426" t="str">
            <v>73668</v>
          </cell>
          <cell r="C426" t="str">
            <v>Mono</v>
          </cell>
          <cell r="D426" t="str">
            <v>Eastern Sierra Unified</v>
          </cell>
          <cell r="E426">
            <v>490</v>
          </cell>
          <cell r="F426">
            <v>33860</v>
          </cell>
          <cell r="G426">
            <v>11</v>
          </cell>
        </row>
        <row r="427">
          <cell r="A427" t="str">
            <v>26</v>
          </cell>
          <cell r="B427" t="str">
            <v>73692</v>
          </cell>
          <cell r="C427" t="str">
            <v>Mono</v>
          </cell>
          <cell r="D427" t="str">
            <v>Mammoth Unified</v>
          </cell>
          <cell r="E427">
            <v>1178</v>
          </cell>
          <cell r="F427">
            <v>26423</v>
          </cell>
          <cell r="G427">
            <v>5</v>
          </cell>
        </row>
        <row r="428">
          <cell r="A428" t="str">
            <v>27</v>
          </cell>
          <cell r="B428" t="str">
            <v>10272</v>
          </cell>
          <cell r="C428" t="str">
            <v>Monterey</v>
          </cell>
          <cell r="D428" t="str">
            <v>Monterey County Office of Education</v>
          </cell>
          <cell r="E428">
            <v>1196</v>
          </cell>
          <cell r="F428">
            <v>23370</v>
          </cell>
          <cell r="G428">
            <v>4</v>
          </cell>
        </row>
        <row r="429">
          <cell r="A429" t="str">
            <v>27</v>
          </cell>
          <cell r="B429" t="str">
            <v>65961</v>
          </cell>
          <cell r="C429" t="str">
            <v>Monterey</v>
          </cell>
          <cell r="D429" t="str">
            <v>Alisal Union</v>
          </cell>
          <cell r="E429">
            <v>7463</v>
          </cell>
          <cell r="F429">
            <v>126874</v>
          </cell>
          <cell r="G429">
            <v>11</v>
          </cell>
        </row>
        <row r="430">
          <cell r="A430" t="str">
            <v>27</v>
          </cell>
          <cell r="B430" t="str">
            <v>65979</v>
          </cell>
          <cell r="C430" t="str">
            <v>Monterey</v>
          </cell>
          <cell r="D430" t="str">
            <v>Bradley Union Elementary</v>
          </cell>
          <cell r="E430">
            <v>42</v>
          </cell>
          <cell r="F430">
            <v>3564</v>
          </cell>
          <cell r="G430">
            <v>1</v>
          </cell>
        </row>
        <row r="431">
          <cell r="A431" t="str">
            <v>27</v>
          </cell>
          <cell r="B431" t="str">
            <v>65987</v>
          </cell>
          <cell r="C431" t="str">
            <v>Monterey</v>
          </cell>
          <cell r="D431" t="str">
            <v>Carmel Unified</v>
          </cell>
          <cell r="E431">
            <v>2152</v>
          </cell>
          <cell r="F431">
            <v>42250</v>
          </cell>
          <cell r="G431">
            <v>6</v>
          </cell>
        </row>
        <row r="432">
          <cell r="A432" t="str">
            <v>27</v>
          </cell>
          <cell r="B432" t="str">
            <v>65995</v>
          </cell>
          <cell r="C432" t="str">
            <v>Monterey</v>
          </cell>
          <cell r="D432" t="str">
            <v>Chualar Union Elementary</v>
          </cell>
          <cell r="E432">
            <v>364</v>
          </cell>
          <cell r="F432">
            <v>6188</v>
          </cell>
          <cell r="G432">
            <v>1</v>
          </cell>
        </row>
        <row r="433">
          <cell r="A433" t="str">
            <v>27</v>
          </cell>
          <cell r="B433" t="str">
            <v>66027</v>
          </cell>
          <cell r="C433" t="str">
            <v>Monterey</v>
          </cell>
          <cell r="D433" t="str">
            <v>Graves Elementary</v>
          </cell>
          <cell r="E433">
            <v>33</v>
          </cell>
          <cell r="F433">
            <v>3564</v>
          </cell>
          <cell r="G433">
            <v>1</v>
          </cell>
        </row>
        <row r="434">
          <cell r="A434" t="str">
            <v>27</v>
          </cell>
          <cell r="B434" t="str">
            <v>66035</v>
          </cell>
          <cell r="C434" t="str">
            <v>Monterey</v>
          </cell>
          <cell r="D434" t="str">
            <v>Greenfield Union Elementary</v>
          </cell>
          <cell r="E434">
            <v>2635</v>
          </cell>
          <cell r="F434">
            <v>44796</v>
          </cell>
          <cell r="G434">
            <v>4</v>
          </cell>
        </row>
        <row r="435">
          <cell r="A435" t="str">
            <v>27</v>
          </cell>
          <cell r="B435" t="str">
            <v>66050</v>
          </cell>
          <cell r="C435" t="str">
            <v>Monterey</v>
          </cell>
          <cell r="D435" t="str">
            <v>King City Union</v>
          </cell>
          <cell r="E435">
            <v>2431</v>
          </cell>
          <cell r="F435">
            <v>41594</v>
          </cell>
          <cell r="G435">
            <v>4</v>
          </cell>
        </row>
        <row r="436">
          <cell r="A436" t="str">
            <v>27</v>
          </cell>
          <cell r="B436" t="str">
            <v>66068</v>
          </cell>
          <cell r="C436" t="str">
            <v>Monterey</v>
          </cell>
          <cell r="D436" t="str">
            <v>King City Joint Union High</v>
          </cell>
          <cell r="E436">
            <v>2134</v>
          </cell>
          <cell r="F436">
            <v>41436</v>
          </cell>
          <cell r="G436">
            <v>4</v>
          </cell>
        </row>
        <row r="437">
          <cell r="A437" t="str">
            <v>27</v>
          </cell>
          <cell r="B437" t="str">
            <v>66076</v>
          </cell>
          <cell r="C437" t="str">
            <v>Monterey</v>
          </cell>
          <cell r="D437" t="str">
            <v>Lagunita Elementary</v>
          </cell>
          <cell r="E437">
            <v>93</v>
          </cell>
          <cell r="F437">
            <v>3564</v>
          </cell>
          <cell r="G437">
            <v>1</v>
          </cell>
        </row>
        <row r="438">
          <cell r="A438" t="str">
            <v>27</v>
          </cell>
          <cell r="B438" t="str">
            <v>66084</v>
          </cell>
          <cell r="C438" t="str">
            <v>Monterey</v>
          </cell>
          <cell r="D438" t="str">
            <v>Mission Union Elementary</v>
          </cell>
          <cell r="E438">
            <v>99</v>
          </cell>
          <cell r="F438">
            <v>3564</v>
          </cell>
          <cell r="G438">
            <v>1</v>
          </cell>
        </row>
        <row r="439">
          <cell r="A439" t="str">
            <v>27</v>
          </cell>
          <cell r="B439" t="str">
            <v>66092</v>
          </cell>
          <cell r="C439" t="str">
            <v>Monterey</v>
          </cell>
          <cell r="D439" t="str">
            <v>Monterey Peninsula Unified</v>
          </cell>
          <cell r="E439">
            <v>11192</v>
          </cell>
          <cell r="F439">
            <v>195329</v>
          </cell>
          <cell r="G439">
            <v>21</v>
          </cell>
        </row>
        <row r="440">
          <cell r="A440" t="str">
            <v>27</v>
          </cell>
          <cell r="B440" t="str">
            <v>66134</v>
          </cell>
          <cell r="C440" t="str">
            <v>Monterey</v>
          </cell>
          <cell r="D440" t="str">
            <v>Pacific Grove Unified</v>
          </cell>
          <cell r="E440">
            <v>1692</v>
          </cell>
          <cell r="F440">
            <v>30720</v>
          </cell>
          <cell r="G440">
            <v>5</v>
          </cell>
        </row>
        <row r="441">
          <cell r="A441" t="str">
            <v>27</v>
          </cell>
          <cell r="B441" t="str">
            <v>66142</v>
          </cell>
          <cell r="C441" t="str">
            <v>Monterey</v>
          </cell>
          <cell r="D441" t="str">
            <v>Salinas City Elementary</v>
          </cell>
          <cell r="E441">
            <v>7866</v>
          </cell>
          <cell r="F441">
            <v>136387</v>
          </cell>
          <cell r="G441">
            <v>13</v>
          </cell>
        </row>
        <row r="442">
          <cell r="A442" t="str">
            <v>27</v>
          </cell>
          <cell r="B442" t="str">
            <v>66159</v>
          </cell>
          <cell r="C442" t="str">
            <v>Monterey</v>
          </cell>
          <cell r="D442" t="str">
            <v>Salinas Union High</v>
          </cell>
          <cell r="E442">
            <v>13455</v>
          </cell>
          <cell r="F442">
            <v>230736</v>
          </cell>
          <cell r="G442">
            <v>10</v>
          </cell>
        </row>
        <row r="443">
          <cell r="A443" t="str">
            <v>27</v>
          </cell>
          <cell r="B443" t="str">
            <v>66167</v>
          </cell>
          <cell r="C443" t="str">
            <v>Monterey</v>
          </cell>
          <cell r="D443" t="str">
            <v>San Antonio Union Elementary</v>
          </cell>
          <cell r="E443">
            <v>190</v>
          </cell>
          <cell r="F443">
            <v>3564</v>
          </cell>
          <cell r="G443">
            <v>1</v>
          </cell>
        </row>
        <row r="444">
          <cell r="A444" t="str">
            <v>27</v>
          </cell>
          <cell r="B444" t="str">
            <v>66175</v>
          </cell>
          <cell r="C444" t="str">
            <v>Monterey</v>
          </cell>
          <cell r="D444" t="str">
            <v>San Ardo Union Elementary</v>
          </cell>
          <cell r="E444">
            <v>119</v>
          </cell>
          <cell r="F444">
            <v>3564</v>
          </cell>
          <cell r="G444">
            <v>1</v>
          </cell>
        </row>
        <row r="445">
          <cell r="A445" t="str">
            <v>27</v>
          </cell>
          <cell r="B445" t="str">
            <v>66183</v>
          </cell>
          <cell r="C445" t="str">
            <v>Monterey</v>
          </cell>
          <cell r="D445" t="str">
            <v>San Lucas Union Elementary</v>
          </cell>
          <cell r="E445">
            <v>64</v>
          </cell>
          <cell r="F445">
            <v>3564</v>
          </cell>
          <cell r="G445">
            <v>1</v>
          </cell>
        </row>
        <row r="446">
          <cell r="A446" t="str">
            <v>27</v>
          </cell>
          <cell r="B446" t="str">
            <v>66191</v>
          </cell>
          <cell r="C446" t="str">
            <v>Monterey</v>
          </cell>
          <cell r="D446" t="str">
            <v>Santa Rita Union Elementary</v>
          </cell>
          <cell r="E446">
            <v>3094</v>
          </cell>
          <cell r="F446">
            <v>52599</v>
          </cell>
          <cell r="G446">
            <v>5</v>
          </cell>
        </row>
        <row r="447">
          <cell r="A447" t="str">
            <v>27</v>
          </cell>
          <cell r="B447" t="str">
            <v>66225</v>
          </cell>
          <cell r="C447" t="str">
            <v>Monterey</v>
          </cell>
          <cell r="D447" t="str">
            <v>Spreckels Union Elementary</v>
          </cell>
          <cell r="E447">
            <v>903</v>
          </cell>
          <cell r="F447">
            <v>15351</v>
          </cell>
          <cell r="G447">
            <v>2</v>
          </cell>
        </row>
        <row r="448">
          <cell r="A448" t="str">
            <v>27</v>
          </cell>
          <cell r="B448" t="str">
            <v>66233</v>
          </cell>
          <cell r="C448" t="str">
            <v>Monterey</v>
          </cell>
          <cell r="D448" t="str">
            <v>Washington Union Elementary</v>
          </cell>
          <cell r="E448">
            <v>949</v>
          </cell>
          <cell r="F448">
            <v>16133</v>
          </cell>
          <cell r="G448">
            <v>3</v>
          </cell>
        </row>
        <row r="449">
          <cell r="A449" t="str">
            <v>27</v>
          </cell>
          <cell r="B449" t="str">
            <v>73825</v>
          </cell>
          <cell r="C449" t="str">
            <v>Monterey</v>
          </cell>
          <cell r="D449" t="str">
            <v>North Monterey County Unified</v>
          </cell>
          <cell r="E449">
            <v>4632</v>
          </cell>
          <cell r="F449">
            <v>81555</v>
          </cell>
          <cell r="G449">
            <v>8</v>
          </cell>
        </row>
        <row r="450">
          <cell r="A450" t="str">
            <v>27</v>
          </cell>
          <cell r="B450" t="str">
            <v>75150</v>
          </cell>
          <cell r="C450" t="str">
            <v>Monterey</v>
          </cell>
          <cell r="D450" t="str">
            <v>Pacific Unified</v>
          </cell>
          <cell r="E450">
            <v>15</v>
          </cell>
          <cell r="F450">
            <v>2228</v>
          </cell>
          <cell r="G450">
            <v>1</v>
          </cell>
        </row>
        <row r="451">
          <cell r="A451" t="str">
            <v>27</v>
          </cell>
          <cell r="B451" t="str">
            <v>75440</v>
          </cell>
          <cell r="C451" t="str">
            <v>Monterey</v>
          </cell>
          <cell r="D451" t="str">
            <v>Soledad Unified</v>
          </cell>
          <cell r="E451">
            <v>4259</v>
          </cell>
          <cell r="F451">
            <v>77016</v>
          </cell>
          <cell r="G451">
            <v>9</v>
          </cell>
        </row>
        <row r="452">
          <cell r="A452" t="str">
            <v>27</v>
          </cell>
          <cell r="B452" t="str">
            <v>75473</v>
          </cell>
          <cell r="C452" t="str">
            <v>Monterey</v>
          </cell>
          <cell r="D452" t="str">
            <v>Gonzales Unified</v>
          </cell>
          <cell r="E452">
            <v>2296</v>
          </cell>
          <cell r="F452">
            <v>41985</v>
          </cell>
          <cell r="G452">
            <v>4</v>
          </cell>
        </row>
        <row r="453">
          <cell r="A453" t="str">
            <v>28</v>
          </cell>
          <cell r="B453" t="str">
            <v>10280</v>
          </cell>
          <cell r="C453" t="str">
            <v>Napa</v>
          </cell>
          <cell r="D453" t="str">
            <v>Napa County Office of Education</v>
          </cell>
          <cell r="E453">
            <v>201</v>
          </cell>
          <cell r="F453">
            <v>11584</v>
          </cell>
          <cell r="G453">
            <v>4</v>
          </cell>
        </row>
        <row r="454">
          <cell r="A454" t="str">
            <v>28</v>
          </cell>
          <cell r="B454" t="str">
            <v>66241</v>
          </cell>
          <cell r="C454" t="str">
            <v>Napa</v>
          </cell>
          <cell r="D454" t="str">
            <v>Calistoga Joint Unified</v>
          </cell>
          <cell r="E454">
            <v>868</v>
          </cell>
          <cell r="F454">
            <v>16814</v>
          </cell>
          <cell r="G454">
            <v>3</v>
          </cell>
        </row>
        <row r="455">
          <cell r="A455" t="str">
            <v>28</v>
          </cell>
          <cell r="B455" t="str">
            <v>66258</v>
          </cell>
          <cell r="C455" t="str">
            <v>Napa</v>
          </cell>
          <cell r="D455" t="str">
            <v>Howell Mountain Elementary</v>
          </cell>
          <cell r="E455">
            <v>109</v>
          </cell>
          <cell r="F455">
            <v>3564</v>
          </cell>
          <cell r="G455">
            <v>1</v>
          </cell>
        </row>
        <row r="456">
          <cell r="A456" t="str">
            <v>28</v>
          </cell>
          <cell r="B456" t="str">
            <v>66266</v>
          </cell>
          <cell r="C456" t="str">
            <v>Napa</v>
          </cell>
          <cell r="D456" t="str">
            <v>Napa Valley Unified</v>
          </cell>
          <cell r="E456">
            <v>17498</v>
          </cell>
          <cell r="F456">
            <v>312695</v>
          </cell>
          <cell r="G456">
            <v>36</v>
          </cell>
        </row>
        <row r="457">
          <cell r="A457" t="str">
            <v>28</v>
          </cell>
          <cell r="B457" t="str">
            <v>66282</v>
          </cell>
          <cell r="C457" t="str">
            <v>Napa</v>
          </cell>
          <cell r="D457" t="str">
            <v>Pope Valley Union Elementary</v>
          </cell>
          <cell r="E457">
            <v>65</v>
          </cell>
          <cell r="F457">
            <v>3564</v>
          </cell>
          <cell r="G457">
            <v>1</v>
          </cell>
        </row>
        <row r="458">
          <cell r="A458" t="str">
            <v>28</v>
          </cell>
          <cell r="B458" t="str">
            <v>66290</v>
          </cell>
          <cell r="C458" t="str">
            <v>Napa</v>
          </cell>
          <cell r="D458" t="str">
            <v>Saint Helena Unified</v>
          </cell>
          <cell r="E458">
            <v>1351</v>
          </cell>
          <cell r="F458">
            <v>22967</v>
          </cell>
          <cell r="G458">
            <v>4</v>
          </cell>
        </row>
        <row r="459">
          <cell r="A459" t="str">
            <v>29</v>
          </cell>
          <cell r="B459" t="str">
            <v>10298</v>
          </cell>
          <cell r="C459" t="str">
            <v>Nevada</v>
          </cell>
          <cell r="D459" t="str">
            <v>Nevada County Office of Education</v>
          </cell>
          <cell r="E459">
            <v>1458</v>
          </cell>
          <cell r="F459">
            <v>39470</v>
          </cell>
          <cell r="G459">
            <v>10</v>
          </cell>
        </row>
        <row r="460">
          <cell r="A460" t="str">
            <v>29</v>
          </cell>
          <cell r="B460" t="str">
            <v>66316</v>
          </cell>
          <cell r="C460" t="str">
            <v>Nevada</v>
          </cell>
          <cell r="D460" t="str">
            <v>Chicago Park Elementary</v>
          </cell>
          <cell r="E460">
            <v>148</v>
          </cell>
          <cell r="F460">
            <v>3564</v>
          </cell>
          <cell r="G460">
            <v>1</v>
          </cell>
        </row>
        <row r="461">
          <cell r="A461" t="str">
            <v>29</v>
          </cell>
          <cell r="B461" t="str">
            <v>66324</v>
          </cell>
          <cell r="C461" t="str">
            <v>Nevada</v>
          </cell>
          <cell r="D461" t="str">
            <v>Clear Creek Elementary</v>
          </cell>
          <cell r="E461">
            <v>130</v>
          </cell>
          <cell r="F461">
            <v>3564</v>
          </cell>
          <cell r="G461">
            <v>1</v>
          </cell>
        </row>
        <row r="462">
          <cell r="A462" t="str">
            <v>29</v>
          </cell>
          <cell r="B462" t="str">
            <v>66332</v>
          </cell>
          <cell r="C462" t="str">
            <v>Nevada</v>
          </cell>
          <cell r="D462" t="str">
            <v>Grass Valley Elementary</v>
          </cell>
          <cell r="E462">
            <v>1676</v>
          </cell>
          <cell r="F462">
            <v>32761</v>
          </cell>
          <cell r="G462">
            <v>6</v>
          </cell>
        </row>
        <row r="463">
          <cell r="A463" t="str">
            <v>29</v>
          </cell>
          <cell r="B463" t="str">
            <v>66340</v>
          </cell>
          <cell r="C463" t="str">
            <v>Nevada</v>
          </cell>
          <cell r="D463" t="str">
            <v>Nevada City Elementary</v>
          </cell>
          <cell r="E463">
            <v>1237</v>
          </cell>
          <cell r="F463">
            <v>27234</v>
          </cell>
          <cell r="G463">
            <v>6</v>
          </cell>
        </row>
        <row r="464">
          <cell r="A464" t="str">
            <v>29</v>
          </cell>
          <cell r="B464" t="str">
            <v>66357</v>
          </cell>
          <cell r="C464" t="str">
            <v>Nevada</v>
          </cell>
          <cell r="D464" t="str">
            <v>Nevada Joint Union High</v>
          </cell>
          <cell r="E464">
            <v>3853</v>
          </cell>
          <cell r="F464">
            <v>76940</v>
          </cell>
          <cell r="G464">
            <v>8</v>
          </cell>
        </row>
        <row r="465">
          <cell r="A465" t="str">
            <v>29</v>
          </cell>
          <cell r="B465" t="str">
            <v>66373</v>
          </cell>
          <cell r="C465" t="str">
            <v>Nevada</v>
          </cell>
          <cell r="D465" t="str">
            <v>Pleasant Ridge Union Elementary</v>
          </cell>
          <cell r="E465">
            <v>1676</v>
          </cell>
          <cell r="F465">
            <v>30652</v>
          </cell>
          <cell r="G465">
            <v>5</v>
          </cell>
        </row>
        <row r="466">
          <cell r="A466" t="str">
            <v>29</v>
          </cell>
          <cell r="B466" t="str">
            <v>66381</v>
          </cell>
          <cell r="C466" t="str">
            <v>Nevada</v>
          </cell>
          <cell r="D466" t="str">
            <v>Pleasant Valley Elementary</v>
          </cell>
          <cell r="E466">
            <v>552</v>
          </cell>
          <cell r="F466">
            <v>11561</v>
          </cell>
          <cell r="G466">
            <v>3</v>
          </cell>
        </row>
        <row r="467">
          <cell r="A467" t="str">
            <v>29</v>
          </cell>
          <cell r="B467" t="str">
            <v>66399</v>
          </cell>
          <cell r="C467" t="str">
            <v>Nevada</v>
          </cell>
          <cell r="D467" t="str">
            <v>Ready Springs Union Elementary</v>
          </cell>
          <cell r="E467">
            <v>299</v>
          </cell>
          <cell r="F467">
            <v>7525</v>
          </cell>
          <cell r="G467">
            <v>2</v>
          </cell>
        </row>
        <row r="468">
          <cell r="A468" t="str">
            <v>29</v>
          </cell>
          <cell r="B468" t="str">
            <v>66407</v>
          </cell>
          <cell r="C468" t="str">
            <v>Nevada</v>
          </cell>
          <cell r="D468" t="str">
            <v>Union Hill Elementary</v>
          </cell>
          <cell r="E468">
            <v>773</v>
          </cell>
          <cell r="F468">
            <v>17845</v>
          </cell>
          <cell r="G468">
            <v>3</v>
          </cell>
        </row>
        <row r="469">
          <cell r="A469" t="str">
            <v>29</v>
          </cell>
          <cell r="B469" t="str">
            <v>66415</v>
          </cell>
          <cell r="C469" t="str">
            <v>Nevada</v>
          </cell>
          <cell r="D469" t="str">
            <v>Twin Ridges Elementary</v>
          </cell>
          <cell r="E469">
            <v>97</v>
          </cell>
          <cell r="F469">
            <v>8020</v>
          </cell>
          <cell r="G469">
            <v>3</v>
          </cell>
        </row>
        <row r="470">
          <cell r="A470" t="str">
            <v>30</v>
          </cell>
          <cell r="B470" t="str">
            <v>10306</v>
          </cell>
          <cell r="C470" t="str">
            <v>Orange</v>
          </cell>
          <cell r="D470" t="str">
            <v>Orange County Department of Education</v>
          </cell>
          <cell r="E470">
            <v>8204</v>
          </cell>
          <cell r="F470">
            <v>139473</v>
          </cell>
          <cell r="G470">
            <v>4</v>
          </cell>
        </row>
        <row r="471">
          <cell r="A471" t="str">
            <v>30</v>
          </cell>
          <cell r="B471" t="str">
            <v>66423</v>
          </cell>
          <cell r="C471" t="str">
            <v>Orange</v>
          </cell>
          <cell r="D471" t="str">
            <v>Anaheim City</v>
          </cell>
          <cell r="E471">
            <v>19263</v>
          </cell>
          <cell r="F471">
            <v>327484</v>
          </cell>
          <cell r="G471">
            <v>24</v>
          </cell>
        </row>
        <row r="472">
          <cell r="A472" t="str">
            <v>30</v>
          </cell>
          <cell r="B472" t="str">
            <v>66431</v>
          </cell>
          <cell r="C472" t="str">
            <v>Orange</v>
          </cell>
          <cell r="D472" t="str">
            <v>Anaheim Union High</v>
          </cell>
          <cell r="E472">
            <v>32926</v>
          </cell>
          <cell r="F472">
            <v>564532</v>
          </cell>
          <cell r="G472">
            <v>22</v>
          </cell>
        </row>
        <row r="473">
          <cell r="A473" t="str">
            <v>30</v>
          </cell>
          <cell r="B473" t="str">
            <v>66449</v>
          </cell>
          <cell r="C473" t="str">
            <v>Orange</v>
          </cell>
          <cell r="D473" t="str">
            <v>Brea-Olinda Unified</v>
          </cell>
          <cell r="E473">
            <v>5936</v>
          </cell>
          <cell r="F473">
            <v>103152</v>
          </cell>
          <cell r="G473">
            <v>9</v>
          </cell>
        </row>
        <row r="474">
          <cell r="A474" t="str">
            <v>30</v>
          </cell>
          <cell r="B474" t="str">
            <v>66456</v>
          </cell>
          <cell r="C474" t="str">
            <v>Orange</v>
          </cell>
          <cell r="D474" t="str">
            <v>Buena Park Elementary</v>
          </cell>
          <cell r="E474">
            <v>5564</v>
          </cell>
          <cell r="F474">
            <v>94590</v>
          </cell>
          <cell r="G474">
            <v>7</v>
          </cell>
        </row>
        <row r="475">
          <cell r="A475" t="str">
            <v>30</v>
          </cell>
          <cell r="B475" t="str">
            <v>66464</v>
          </cell>
          <cell r="C475" t="str">
            <v>Orange</v>
          </cell>
          <cell r="D475" t="str">
            <v>Capistrano Unified</v>
          </cell>
          <cell r="E475">
            <v>51683</v>
          </cell>
          <cell r="F475">
            <v>886442</v>
          </cell>
          <cell r="G475">
            <v>58</v>
          </cell>
        </row>
        <row r="476">
          <cell r="A476" t="str">
            <v>30</v>
          </cell>
          <cell r="B476" t="str">
            <v>66472</v>
          </cell>
          <cell r="C476" t="str">
            <v>Orange</v>
          </cell>
          <cell r="D476" t="str">
            <v>Centralia Elementary</v>
          </cell>
          <cell r="E476">
            <v>4745</v>
          </cell>
          <cell r="F476">
            <v>80665</v>
          </cell>
          <cell r="G476">
            <v>9</v>
          </cell>
        </row>
        <row r="477">
          <cell r="A477" t="str">
            <v>30</v>
          </cell>
          <cell r="B477" t="str">
            <v>66480</v>
          </cell>
          <cell r="C477" t="str">
            <v>Orange</v>
          </cell>
          <cell r="D477" t="str">
            <v>Cypress Elementary</v>
          </cell>
          <cell r="E477">
            <v>4077</v>
          </cell>
          <cell r="F477">
            <v>69309</v>
          </cell>
          <cell r="G477">
            <v>9</v>
          </cell>
        </row>
        <row r="478">
          <cell r="A478" t="str">
            <v>30</v>
          </cell>
          <cell r="B478" t="str">
            <v>66498</v>
          </cell>
          <cell r="C478" t="str">
            <v>Orange</v>
          </cell>
          <cell r="D478" t="str">
            <v>Fountain Valley Elementary</v>
          </cell>
          <cell r="E478">
            <v>6142</v>
          </cell>
          <cell r="F478">
            <v>104416</v>
          </cell>
          <cell r="G478">
            <v>11</v>
          </cell>
        </row>
        <row r="479">
          <cell r="A479" t="str">
            <v>30</v>
          </cell>
          <cell r="B479" t="str">
            <v>66506</v>
          </cell>
          <cell r="C479" t="str">
            <v>Orange</v>
          </cell>
          <cell r="D479" t="str">
            <v>Fullerton Elementary</v>
          </cell>
          <cell r="E479">
            <v>13445</v>
          </cell>
          <cell r="F479">
            <v>228572</v>
          </cell>
          <cell r="G479">
            <v>20</v>
          </cell>
        </row>
        <row r="480">
          <cell r="A480" t="str">
            <v>30</v>
          </cell>
          <cell r="B480" t="str">
            <v>66514</v>
          </cell>
          <cell r="C480" t="str">
            <v>Orange</v>
          </cell>
          <cell r="D480" t="str">
            <v>Fullerton Joint Union High</v>
          </cell>
          <cell r="E480">
            <v>16304</v>
          </cell>
          <cell r="F480">
            <v>277177</v>
          </cell>
          <cell r="G480">
            <v>8</v>
          </cell>
        </row>
        <row r="481">
          <cell r="A481" t="str">
            <v>30</v>
          </cell>
          <cell r="B481" t="str">
            <v>66522</v>
          </cell>
          <cell r="C481" t="str">
            <v>Orange</v>
          </cell>
          <cell r="D481" t="str">
            <v>Garden Grove Unified</v>
          </cell>
          <cell r="E481">
            <v>48420</v>
          </cell>
          <cell r="F481">
            <v>830820</v>
          </cell>
          <cell r="G481">
            <v>67</v>
          </cell>
        </row>
        <row r="482">
          <cell r="A482" t="str">
            <v>30</v>
          </cell>
          <cell r="B482" t="str">
            <v>66530</v>
          </cell>
          <cell r="C482" t="str">
            <v>Orange</v>
          </cell>
          <cell r="D482" t="str">
            <v>Huntington Beach City Elementary</v>
          </cell>
          <cell r="E482">
            <v>6674</v>
          </cell>
          <cell r="F482">
            <v>113461</v>
          </cell>
          <cell r="G482">
            <v>9</v>
          </cell>
        </row>
        <row r="483">
          <cell r="A483" t="str">
            <v>30</v>
          </cell>
          <cell r="B483" t="str">
            <v>66548</v>
          </cell>
          <cell r="C483" t="str">
            <v>Orange</v>
          </cell>
          <cell r="D483" t="str">
            <v>Huntington Beach Union High</v>
          </cell>
          <cell r="E483">
            <v>16097</v>
          </cell>
          <cell r="F483">
            <v>276476</v>
          </cell>
          <cell r="G483">
            <v>9</v>
          </cell>
        </row>
        <row r="484">
          <cell r="A484" t="str">
            <v>30</v>
          </cell>
          <cell r="B484" t="str">
            <v>66555</v>
          </cell>
          <cell r="C484" t="str">
            <v>Orange</v>
          </cell>
          <cell r="D484" t="str">
            <v>Laguna Beach Unified</v>
          </cell>
          <cell r="E484">
            <v>2941</v>
          </cell>
          <cell r="F484">
            <v>49998</v>
          </cell>
          <cell r="G484">
            <v>4</v>
          </cell>
        </row>
        <row r="485">
          <cell r="A485" t="str">
            <v>30</v>
          </cell>
          <cell r="B485" t="str">
            <v>66563</v>
          </cell>
          <cell r="C485" t="str">
            <v>Orange</v>
          </cell>
          <cell r="D485" t="str">
            <v>La Habra City Elementary</v>
          </cell>
          <cell r="E485">
            <v>5625</v>
          </cell>
          <cell r="F485">
            <v>95627</v>
          </cell>
          <cell r="G485">
            <v>9</v>
          </cell>
        </row>
        <row r="486">
          <cell r="A486" t="str">
            <v>30</v>
          </cell>
          <cell r="B486" t="str">
            <v>66589</v>
          </cell>
          <cell r="C486" t="str">
            <v>Orange</v>
          </cell>
          <cell r="D486" t="str">
            <v>Magnolia Elementary</v>
          </cell>
          <cell r="E486">
            <v>6313</v>
          </cell>
          <cell r="F486">
            <v>107324</v>
          </cell>
          <cell r="G486">
            <v>9</v>
          </cell>
        </row>
        <row r="487">
          <cell r="A487" t="str">
            <v>30</v>
          </cell>
          <cell r="B487" t="str">
            <v>66597</v>
          </cell>
          <cell r="C487" t="str">
            <v>Orange</v>
          </cell>
          <cell r="D487" t="str">
            <v>Newport-Mesa Unified</v>
          </cell>
          <cell r="E487">
            <v>21488</v>
          </cell>
          <cell r="F487">
            <v>370180</v>
          </cell>
          <cell r="G487">
            <v>32</v>
          </cell>
        </row>
        <row r="488">
          <cell r="A488" t="str">
            <v>30</v>
          </cell>
          <cell r="B488" t="str">
            <v>66613</v>
          </cell>
          <cell r="C488" t="str">
            <v>Orange</v>
          </cell>
          <cell r="D488" t="str">
            <v>Ocean View</v>
          </cell>
          <cell r="E488">
            <v>9503</v>
          </cell>
          <cell r="F488">
            <v>161556</v>
          </cell>
          <cell r="G488">
            <v>15</v>
          </cell>
        </row>
        <row r="489">
          <cell r="A489" t="str">
            <v>30</v>
          </cell>
          <cell r="B489" t="str">
            <v>66621</v>
          </cell>
          <cell r="C489" t="str">
            <v>Orange</v>
          </cell>
          <cell r="D489" t="str">
            <v>Orange Unified</v>
          </cell>
          <cell r="E489">
            <v>29103</v>
          </cell>
          <cell r="F489">
            <v>504490</v>
          </cell>
          <cell r="G489">
            <v>43</v>
          </cell>
        </row>
        <row r="490">
          <cell r="A490" t="str">
            <v>30</v>
          </cell>
          <cell r="B490" t="str">
            <v>66647</v>
          </cell>
          <cell r="C490" t="str">
            <v>Orange</v>
          </cell>
          <cell r="D490" t="str">
            <v>Placentia-Yorba Linda Unified</v>
          </cell>
          <cell r="E490">
            <v>26100</v>
          </cell>
          <cell r="F490">
            <v>448308</v>
          </cell>
          <cell r="G490">
            <v>33</v>
          </cell>
        </row>
        <row r="491">
          <cell r="A491" t="str">
            <v>30</v>
          </cell>
          <cell r="B491" t="str">
            <v>66670</v>
          </cell>
          <cell r="C491" t="str">
            <v>Orange</v>
          </cell>
          <cell r="D491" t="str">
            <v>Santa Ana Unified</v>
          </cell>
          <cell r="E491">
            <v>54584</v>
          </cell>
          <cell r="F491">
            <v>929591</v>
          </cell>
          <cell r="G491">
            <v>55</v>
          </cell>
        </row>
        <row r="492">
          <cell r="A492" t="str">
            <v>30</v>
          </cell>
          <cell r="B492" t="str">
            <v>66696</v>
          </cell>
          <cell r="C492" t="str">
            <v>Orange</v>
          </cell>
          <cell r="D492" t="str">
            <v>Savanna Elementary</v>
          </cell>
          <cell r="E492">
            <v>2468</v>
          </cell>
          <cell r="F492">
            <v>41956</v>
          </cell>
          <cell r="G492">
            <v>4</v>
          </cell>
        </row>
        <row r="493">
          <cell r="A493" t="str">
            <v>30</v>
          </cell>
          <cell r="B493" t="str">
            <v>66746</v>
          </cell>
          <cell r="C493" t="str">
            <v>Orange</v>
          </cell>
          <cell r="D493" t="str">
            <v>Westminster Elementary</v>
          </cell>
          <cell r="E493">
            <v>9875</v>
          </cell>
          <cell r="F493">
            <v>167879</v>
          </cell>
          <cell r="G493">
            <v>15</v>
          </cell>
        </row>
        <row r="494">
          <cell r="A494" t="str">
            <v>30</v>
          </cell>
          <cell r="B494" t="str">
            <v>73635</v>
          </cell>
          <cell r="C494" t="str">
            <v>Orange</v>
          </cell>
          <cell r="D494" t="str">
            <v>Saddleback Valley Unified</v>
          </cell>
          <cell r="E494">
            <v>32903</v>
          </cell>
          <cell r="F494">
            <v>565873</v>
          </cell>
          <cell r="G494">
            <v>37</v>
          </cell>
        </row>
        <row r="495">
          <cell r="A495" t="str">
            <v>30</v>
          </cell>
          <cell r="B495" t="str">
            <v>73643</v>
          </cell>
          <cell r="C495" t="str">
            <v>Orange</v>
          </cell>
          <cell r="D495" t="str">
            <v>Tustin Unified</v>
          </cell>
          <cell r="E495">
            <v>21668</v>
          </cell>
          <cell r="F495">
            <v>370961</v>
          </cell>
          <cell r="G495">
            <v>28</v>
          </cell>
        </row>
        <row r="496">
          <cell r="A496" t="str">
            <v>30</v>
          </cell>
          <cell r="B496" t="str">
            <v>73650</v>
          </cell>
          <cell r="C496" t="str">
            <v>Orange</v>
          </cell>
          <cell r="D496" t="str">
            <v>Irvine Unified</v>
          </cell>
          <cell r="E496">
            <v>26534</v>
          </cell>
          <cell r="F496">
            <v>457280</v>
          </cell>
          <cell r="G496">
            <v>35</v>
          </cell>
        </row>
        <row r="497">
          <cell r="A497" t="str">
            <v>30</v>
          </cell>
          <cell r="B497" t="str">
            <v>73924</v>
          </cell>
          <cell r="C497" t="str">
            <v>Orange</v>
          </cell>
          <cell r="D497" t="str">
            <v>Los Alamitos Unified</v>
          </cell>
          <cell r="E497">
            <v>9461</v>
          </cell>
          <cell r="F497">
            <v>162416</v>
          </cell>
          <cell r="G497">
            <v>10</v>
          </cell>
        </row>
        <row r="498">
          <cell r="A498" t="str">
            <v>31</v>
          </cell>
          <cell r="B498" t="str">
            <v>10314</v>
          </cell>
          <cell r="C498" t="str">
            <v>Placer</v>
          </cell>
          <cell r="D498" t="str">
            <v>Placer County Office of Education</v>
          </cell>
          <cell r="E498">
            <v>644</v>
          </cell>
          <cell r="F498">
            <v>19016</v>
          </cell>
          <cell r="G498">
            <v>5</v>
          </cell>
        </row>
        <row r="499">
          <cell r="A499" t="str">
            <v>31</v>
          </cell>
          <cell r="B499" t="str">
            <v>66761</v>
          </cell>
          <cell r="C499" t="str">
            <v>Placer</v>
          </cell>
          <cell r="D499" t="str">
            <v>Ackerman Elementary</v>
          </cell>
          <cell r="E499">
            <v>508</v>
          </cell>
          <cell r="F499">
            <v>8636</v>
          </cell>
          <cell r="G499">
            <v>1</v>
          </cell>
        </row>
        <row r="500">
          <cell r="A500" t="str">
            <v>31</v>
          </cell>
          <cell r="B500" t="str">
            <v>66779</v>
          </cell>
          <cell r="C500" t="str">
            <v>Placer</v>
          </cell>
          <cell r="D500" t="str">
            <v>Alta-Dutch Flat Union Elementary</v>
          </cell>
          <cell r="E500">
            <v>118</v>
          </cell>
          <cell r="F500">
            <v>5792</v>
          </cell>
          <cell r="G500">
            <v>2</v>
          </cell>
        </row>
        <row r="501">
          <cell r="A501" t="str">
            <v>31</v>
          </cell>
          <cell r="B501" t="str">
            <v>66787</v>
          </cell>
          <cell r="C501" t="str">
            <v>Placer</v>
          </cell>
          <cell r="D501" t="str">
            <v>Auburn Union Elementary</v>
          </cell>
          <cell r="E501">
            <v>2134</v>
          </cell>
          <cell r="F501">
            <v>36278</v>
          </cell>
          <cell r="G501">
            <v>4</v>
          </cell>
        </row>
        <row r="502">
          <cell r="A502" t="str">
            <v>31</v>
          </cell>
          <cell r="B502" t="str">
            <v>66795</v>
          </cell>
          <cell r="C502" t="str">
            <v>Placer</v>
          </cell>
          <cell r="D502" t="str">
            <v>Colfax Elementary</v>
          </cell>
          <cell r="E502">
            <v>388</v>
          </cell>
          <cell r="F502">
            <v>8790</v>
          </cell>
          <cell r="G502">
            <v>2</v>
          </cell>
        </row>
        <row r="503">
          <cell r="A503" t="str">
            <v>31</v>
          </cell>
          <cell r="B503" t="str">
            <v>66803</v>
          </cell>
          <cell r="C503" t="str">
            <v>Placer</v>
          </cell>
          <cell r="D503" t="str">
            <v>Dry Creek Joint Elementary</v>
          </cell>
          <cell r="E503">
            <v>7276</v>
          </cell>
          <cell r="F503">
            <v>123696</v>
          </cell>
          <cell r="G503">
            <v>10</v>
          </cell>
        </row>
        <row r="504">
          <cell r="A504" t="str">
            <v>31</v>
          </cell>
          <cell r="B504" t="str">
            <v>66829</v>
          </cell>
          <cell r="C504" t="str">
            <v>Placer</v>
          </cell>
          <cell r="D504" t="str">
            <v>Eureka Union</v>
          </cell>
          <cell r="E504">
            <v>3700</v>
          </cell>
          <cell r="F504">
            <v>62900</v>
          </cell>
          <cell r="G504">
            <v>8</v>
          </cell>
        </row>
        <row r="505">
          <cell r="A505" t="str">
            <v>31</v>
          </cell>
          <cell r="B505" t="str">
            <v>66837</v>
          </cell>
          <cell r="C505" t="str">
            <v>Placer</v>
          </cell>
          <cell r="D505" t="str">
            <v>Foresthill Union Elementary</v>
          </cell>
          <cell r="E505">
            <v>522</v>
          </cell>
          <cell r="F505">
            <v>8874</v>
          </cell>
          <cell r="G505">
            <v>2</v>
          </cell>
        </row>
        <row r="506">
          <cell r="A506" t="str">
            <v>31</v>
          </cell>
          <cell r="B506" t="str">
            <v>66845</v>
          </cell>
          <cell r="C506" t="str">
            <v>Placer</v>
          </cell>
          <cell r="D506" t="str">
            <v>Loomis Union Elementary</v>
          </cell>
          <cell r="E506">
            <v>2432</v>
          </cell>
          <cell r="F506">
            <v>42199</v>
          </cell>
          <cell r="G506">
            <v>7</v>
          </cell>
        </row>
        <row r="507">
          <cell r="A507" t="str">
            <v>31</v>
          </cell>
          <cell r="B507" t="str">
            <v>66852</v>
          </cell>
          <cell r="C507" t="str">
            <v>Placer</v>
          </cell>
          <cell r="D507" t="str">
            <v>Newcastle Elementary</v>
          </cell>
          <cell r="E507">
            <v>361</v>
          </cell>
          <cell r="F507">
            <v>7128</v>
          </cell>
          <cell r="G507">
            <v>2</v>
          </cell>
        </row>
        <row r="508">
          <cell r="A508" t="str">
            <v>31</v>
          </cell>
          <cell r="B508" t="str">
            <v>66886</v>
          </cell>
          <cell r="C508" t="str">
            <v>Placer</v>
          </cell>
          <cell r="D508" t="str">
            <v>Placer Hills Union Elementary</v>
          </cell>
          <cell r="E508">
            <v>1133</v>
          </cell>
          <cell r="F508">
            <v>19261</v>
          </cell>
          <cell r="G508">
            <v>2</v>
          </cell>
        </row>
        <row r="509">
          <cell r="A509" t="str">
            <v>31</v>
          </cell>
          <cell r="B509" t="str">
            <v>66894</v>
          </cell>
          <cell r="C509" t="str">
            <v>Placer</v>
          </cell>
          <cell r="D509" t="str">
            <v>Placer Union High</v>
          </cell>
          <cell r="E509">
            <v>4527</v>
          </cell>
          <cell r="F509">
            <v>78514</v>
          </cell>
          <cell r="G509">
            <v>6</v>
          </cell>
        </row>
        <row r="510">
          <cell r="A510" t="str">
            <v>31</v>
          </cell>
          <cell r="B510" t="str">
            <v>66910</v>
          </cell>
          <cell r="C510" t="str">
            <v>Placer</v>
          </cell>
          <cell r="D510" t="str">
            <v>Roseville City Elementary</v>
          </cell>
          <cell r="E510">
            <v>9265</v>
          </cell>
          <cell r="F510">
            <v>157507</v>
          </cell>
          <cell r="G510">
            <v>17</v>
          </cell>
        </row>
        <row r="511">
          <cell r="A511" t="str">
            <v>31</v>
          </cell>
          <cell r="B511" t="str">
            <v>66928</v>
          </cell>
          <cell r="C511" t="str">
            <v>Placer</v>
          </cell>
          <cell r="D511" t="str">
            <v>Roseville Joint Union High</v>
          </cell>
          <cell r="E511">
            <v>9472</v>
          </cell>
          <cell r="F511">
            <v>161244</v>
          </cell>
          <cell r="G511">
            <v>7</v>
          </cell>
        </row>
        <row r="512">
          <cell r="A512" t="str">
            <v>31</v>
          </cell>
          <cell r="B512" t="str">
            <v>66944</v>
          </cell>
          <cell r="C512" t="str">
            <v>Placer</v>
          </cell>
          <cell r="D512" t="str">
            <v>Tahoe-Truckee Joint Unified</v>
          </cell>
          <cell r="E512">
            <v>4114</v>
          </cell>
          <cell r="F512">
            <v>77945</v>
          </cell>
          <cell r="G512">
            <v>11</v>
          </cell>
        </row>
        <row r="513">
          <cell r="A513" t="str">
            <v>31</v>
          </cell>
          <cell r="B513" t="str">
            <v>66951</v>
          </cell>
          <cell r="C513" t="str">
            <v>Placer</v>
          </cell>
          <cell r="D513" t="str">
            <v>Western Placer Unified</v>
          </cell>
          <cell r="E513">
            <v>6383</v>
          </cell>
          <cell r="F513">
            <v>112802</v>
          </cell>
          <cell r="G513">
            <v>11</v>
          </cell>
        </row>
        <row r="514">
          <cell r="A514" t="str">
            <v>31</v>
          </cell>
          <cell r="B514" t="str">
            <v>75085</v>
          </cell>
          <cell r="C514" t="str">
            <v>Placer</v>
          </cell>
          <cell r="D514" t="str">
            <v>Rocklin Unified</v>
          </cell>
          <cell r="E514">
            <v>10356</v>
          </cell>
          <cell r="F514">
            <v>179903</v>
          </cell>
          <cell r="G514">
            <v>16</v>
          </cell>
        </row>
        <row r="515">
          <cell r="A515" t="str">
            <v>32</v>
          </cell>
          <cell r="B515" t="str">
            <v>10322</v>
          </cell>
          <cell r="C515" t="str">
            <v>Plumas</v>
          </cell>
          <cell r="D515" t="str">
            <v>Plumas County Office of Education</v>
          </cell>
          <cell r="E515">
            <v>31</v>
          </cell>
          <cell r="F515">
            <v>6684</v>
          </cell>
          <cell r="G515">
            <v>3</v>
          </cell>
        </row>
        <row r="516">
          <cell r="A516" t="str">
            <v>32</v>
          </cell>
          <cell r="B516" t="str">
            <v>66969</v>
          </cell>
          <cell r="C516" t="str">
            <v>Plumas</v>
          </cell>
          <cell r="D516" t="str">
            <v>Plumas Unified</v>
          </cell>
          <cell r="E516">
            <v>2326</v>
          </cell>
          <cell r="F516">
            <v>49029</v>
          </cell>
          <cell r="G516">
            <v>11</v>
          </cell>
        </row>
        <row r="517">
          <cell r="A517" t="str">
            <v>33</v>
          </cell>
          <cell r="B517" t="str">
            <v>10330</v>
          </cell>
          <cell r="C517" t="str">
            <v>Riverside</v>
          </cell>
          <cell r="D517" t="str">
            <v>Riverside County Office of Education</v>
          </cell>
          <cell r="E517">
            <v>2961</v>
          </cell>
          <cell r="F517">
            <v>50339</v>
          </cell>
          <cell r="G517">
            <v>4</v>
          </cell>
        </row>
        <row r="518">
          <cell r="A518" t="str">
            <v>33</v>
          </cell>
          <cell r="B518" t="str">
            <v>31625</v>
          </cell>
          <cell r="C518" t="str">
            <v>Riverside</v>
          </cell>
          <cell r="D518" t="str">
            <v>California School for the Deaf-Riverside (State Special Schl)</v>
          </cell>
          <cell r="E518">
            <v>413</v>
          </cell>
          <cell r="F518">
            <v>7021</v>
          </cell>
          <cell r="G518">
            <v>1</v>
          </cell>
        </row>
        <row r="519">
          <cell r="A519" t="str">
            <v>33</v>
          </cell>
          <cell r="B519" t="str">
            <v>66977</v>
          </cell>
          <cell r="C519" t="str">
            <v>Riverside</v>
          </cell>
          <cell r="D519" t="str">
            <v>Alvord Unified</v>
          </cell>
          <cell r="E519">
            <v>20010</v>
          </cell>
          <cell r="F519">
            <v>342412</v>
          </cell>
          <cell r="G519">
            <v>22</v>
          </cell>
        </row>
        <row r="520">
          <cell r="A520" t="str">
            <v>33</v>
          </cell>
          <cell r="B520" t="str">
            <v>66985</v>
          </cell>
          <cell r="C520" t="str">
            <v>Riverside</v>
          </cell>
          <cell r="D520" t="str">
            <v>Banning Unified</v>
          </cell>
          <cell r="E520">
            <v>4804</v>
          </cell>
          <cell r="F520">
            <v>85465</v>
          </cell>
          <cell r="G520">
            <v>9</v>
          </cell>
        </row>
        <row r="521">
          <cell r="A521" t="str">
            <v>33</v>
          </cell>
          <cell r="B521" t="str">
            <v>66993</v>
          </cell>
          <cell r="C521" t="str">
            <v>Riverside</v>
          </cell>
          <cell r="D521" t="str">
            <v>Beaumont Unified</v>
          </cell>
          <cell r="E521">
            <v>8047</v>
          </cell>
          <cell r="F521">
            <v>138700</v>
          </cell>
          <cell r="G521">
            <v>10</v>
          </cell>
        </row>
        <row r="522">
          <cell r="A522" t="str">
            <v>33</v>
          </cell>
          <cell r="B522" t="str">
            <v>67033</v>
          </cell>
          <cell r="C522" t="str">
            <v>Riverside</v>
          </cell>
          <cell r="D522" t="str">
            <v>Corona-Norco Unified</v>
          </cell>
          <cell r="E522">
            <v>52095</v>
          </cell>
          <cell r="F522">
            <v>896698</v>
          </cell>
          <cell r="G522">
            <v>50</v>
          </cell>
        </row>
        <row r="523">
          <cell r="A523" t="str">
            <v>33</v>
          </cell>
          <cell r="B523" t="str">
            <v>67041</v>
          </cell>
          <cell r="C523" t="str">
            <v>Riverside</v>
          </cell>
          <cell r="D523" t="str">
            <v>Desert Center Unified</v>
          </cell>
          <cell r="E523">
            <v>14</v>
          </cell>
          <cell r="F523">
            <v>2228</v>
          </cell>
          <cell r="G523">
            <v>1</v>
          </cell>
        </row>
        <row r="524">
          <cell r="A524" t="str">
            <v>33</v>
          </cell>
          <cell r="B524" t="str">
            <v>67058</v>
          </cell>
          <cell r="C524" t="str">
            <v>Riverside</v>
          </cell>
          <cell r="D524" t="str">
            <v>Desert Sands Unified</v>
          </cell>
          <cell r="E524">
            <v>28966</v>
          </cell>
          <cell r="F524">
            <v>492435</v>
          </cell>
          <cell r="G524">
            <v>33</v>
          </cell>
        </row>
        <row r="525">
          <cell r="A525" t="str">
            <v>33</v>
          </cell>
          <cell r="B525" t="str">
            <v>67082</v>
          </cell>
          <cell r="C525" t="str">
            <v>Riverside</v>
          </cell>
          <cell r="D525" t="str">
            <v>Hemet Unified</v>
          </cell>
          <cell r="E525">
            <v>22907</v>
          </cell>
          <cell r="F525">
            <v>392900</v>
          </cell>
          <cell r="G525">
            <v>28</v>
          </cell>
        </row>
        <row r="526">
          <cell r="A526" t="str">
            <v>33</v>
          </cell>
          <cell r="B526" t="str">
            <v>67090</v>
          </cell>
          <cell r="C526" t="str">
            <v>Riverside</v>
          </cell>
          <cell r="D526" t="str">
            <v>Jurupa Unified</v>
          </cell>
          <cell r="E526">
            <v>20430</v>
          </cell>
          <cell r="F526">
            <v>353002</v>
          </cell>
          <cell r="G526">
            <v>25</v>
          </cell>
        </row>
        <row r="527">
          <cell r="A527" t="str">
            <v>33</v>
          </cell>
          <cell r="B527" t="str">
            <v>67116</v>
          </cell>
          <cell r="C527" t="str">
            <v>Riverside</v>
          </cell>
          <cell r="D527" t="str">
            <v>Menifee Union Elementary</v>
          </cell>
          <cell r="E527">
            <v>8698</v>
          </cell>
          <cell r="F527">
            <v>147871</v>
          </cell>
          <cell r="G527">
            <v>10</v>
          </cell>
        </row>
        <row r="528">
          <cell r="A528" t="str">
            <v>33</v>
          </cell>
          <cell r="B528" t="str">
            <v>67124</v>
          </cell>
          <cell r="C528" t="str">
            <v>Riverside</v>
          </cell>
          <cell r="D528" t="str">
            <v>Moreno Valley Unified</v>
          </cell>
          <cell r="E528">
            <v>35992</v>
          </cell>
          <cell r="F528">
            <v>618117</v>
          </cell>
          <cell r="G528">
            <v>38</v>
          </cell>
        </row>
        <row r="529">
          <cell r="A529" t="str">
            <v>33</v>
          </cell>
          <cell r="B529" t="str">
            <v>67157</v>
          </cell>
          <cell r="C529" t="str">
            <v>Riverside</v>
          </cell>
          <cell r="D529" t="str">
            <v>Nuview Union</v>
          </cell>
          <cell r="E529">
            <v>1916</v>
          </cell>
          <cell r="F529">
            <v>32572</v>
          </cell>
          <cell r="G529">
            <v>4</v>
          </cell>
        </row>
        <row r="530">
          <cell r="A530" t="str">
            <v>33</v>
          </cell>
          <cell r="B530" t="str">
            <v>67173</v>
          </cell>
          <cell r="C530" t="str">
            <v>Riverside</v>
          </cell>
          <cell r="D530" t="str">
            <v>Palm Springs Unified</v>
          </cell>
          <cell r="E530">
            <v>24360</v>
          </cell>
          <cell r="F530">
            <v>417990</v>
          </cell>
          <cell r="G530">
            <v>25</v>
          </cell>
        </row>
        <row r="531">
          <cell r="A531" t="str">
            <v>33</v>
          </cell>
          <cell r="B531" t="str">
            <v>67181</v>
          </cell>
          <cell r="C531" t="str">
            <v>Riverside</v>
          </cell>
          <cell r="D531" t="str">
            <v>Palo Verde Unified</v>
          </cell>
          <cell r="E531">
            <v>3610</v>
          </cell>
          <cell r="F531">
            <v>65583</v>
          </cell>
          <cell r="G531">
            <v>7</v>
          </cell>
        </row>
        <row r="532">
          <cell r="A532" t="str">
            <v>33</v>
          </cell>
          <cell r="B532" t="str">
            <v>67199</v>
          </cell>
          <cell r="C532" t="str">
            <v>Riverside</v>
          </cell>
          <cell r="D532" t="str">
            <v>Perris Elementary</v>
          </cell>
          <cell r="E532">
            <v>5700</v>
          </cell>
          <cell r="F532">
            <v>96904</v>
          </cell>
          <cell r="G532">
            <v>8</v>
          </cell>
        </row>
        <row r="533">
          <cell r="A533" t="str">
            <v>33</v>
          </cell>
          <cell r="B533" t="str">
            <v>67207</v>
          </cell>
          <cell r="C533" t="str">
            <v>Riverside</v>
          </cell>
          <cell r="D533" t="str">
            <v>Perris Union High</v>
          </cell>
          <cell r="E533">
            <v>10088</v>
          </cell>
          <cell r="F533">
            <v>172312</v>
          </cell>
          <cell r="G533">
            <v>8</v>
          </cell>
        </row>
        <row r="534">
          <cell r="A534" t="str">
            <v>33</v>
          </cell>
          <cell r="B534" t="str">
            <v>67215</v>
          </cell>
          <cell r="C534" t="str">
            <v>Riverside</v>
          </cell>
          <cell r="D534" t="str">
            <v>Riverside Unified</v>
          </cell>
          <cell r="E534">
            <v>43007</v>
          </cell>
          <cell r="F534">
            <v>736304</v>
          </cell>
          <cell r="G534">
            <v>47</v>
          </cell>
        </row>
        <row r="535">
          <cell r="A535" t="str">
            <v>33</v>
          </cell>
          <cell r="B535" t="str">
            <v>67231</v>
          </cell>
          <cell r="C535" t="str">
            <v>Riverside</v>
          </cell>
          <cell r="D535" t="str">
            <v>Romoland Elementary</v>
          </cell>
          <cell r="E535">
            <v>2754</v>
          </cell>
          <cell r="F535">
            <v>46820</v>
          </cell>
          <cell r="G535">
            <v>4</v>
          </cell>
        </row>
        <row r="536">
          <cell r="A536" t="str">
            <v>33</v>
          </cell>
          <cell r="B536" t="str">
            <v>67249</v>
          </cell>
          <cell r="C536" t="str">
            <v>Riverside</v>
          </cell>
          <cell r="D536" t="str">
            <v>San Jacinto Unified</v>
          </cell>
          <cell r="E536">
            <v>8816</v>
          </cell>
          <cell r="F536">
            <v>152416</v>
          </cell>
          <cell r="G536">
            <v>11</v>
          </cell>
        </row>
        <row r="537">
          <cell r="A537" t="str">
            <v>33</v>
          </cell>
          <cell r="B537" t="str">
            <v>73676</v>
          </cell>
          <cell r="C537" t="str">
            <v>Riverside</v>
          </cell>
          <cell r="D537" t="str">
            <v>Coachella Valley Unified</v>
          </cell>
          <cell r="E537">
            <v>18256</v>
          </cell>
          <cell r="F537">
            <v>311599</v>
          </cell>
          <cell r="G537">
            <v>21</v>
          </cell>
        </row>
        <row r="538">
          <cell r="A538" t="str">
            <v>33</v>
          </cell>
          <cell r="B538" t="str">
            <v>75176</v>
          </cell>
          <cell r="C538" t="str">
            <v>Riverside</v>
          </cell>
          <cell r="D538" t="str">
            <v>Lake Elsinore Unified</v>
          </cell>
          <cell r="E538">
            <v>21726</v>
          </cell>
          <cell r="F538">
            <v>375467</v>
          </cell>
          <cell r="G538">
            <v>26</v>
          </cell>
        </row>
        <row r="539">
          <cell r="A539" t="str">
            <v>33</v>
          </cell>
          <cell r="B539" t="str">
            <v>75192</v>
          </cell>
          <cell r="C539" t="str">
            <v>Riverside</v>
          </cell>
          <cell r="D539" t="str">
            <v>Temecula Valley Unified</v>
          </cell>
          <cell r="E539">
            <v>28488</v>
          </cell>
          <cell r="F539">
            <v>485016</v>
          </cell>
          <cell r="G539">
            <v>29</v>
          </cell>
        </row>
        <row r="540">
          <cell r="A540" t="str">
            <v>33</v>
          </cell>
          <cell r="B540" t="str">
            <v>75200</v>
          </cell>
          <cell r="C540" t="str">
            <v>Riverside</v>
          </cell>
          <cell r="D540" t="str">
            <v>Murrieta Valley Unified</v>
          </cell>
          <cell r="E540">
            <v>21403</v>
          </cell>
          <cell r="F540">
            <v>366137</v>
          </cell>
          <cell r="G540">
            <v>18</v>
          </cell>
        </row>
        <row r="541">
          <cell r="A541" t="str">
            <v>33</v>
          </cell>
          <cell r="B541" t="str">
            <v>75242</v>
          </cell>
          <cell r="C541" t="str">
            <v>Riverside</v>
          </cell>
          <cell r="D541" t="str">
            <v>Val Verde Unified</v>
          </cell>
          <cell r="E541">
            <v>19188</v>
          </cell>
          <cell r="F541">
            <v>326204</v>
          </cell>
          <cell r="G541">
            <v>22</v>
          </cell>
        </row>
        <row r="542">
          <cell r="A542" t="str">
            <v>34</v>
          </cell>
          <cell r="B542" t="str">
            <v>10348</v>
          </cell>
          <cell r="C542" t="str">
            <v>Sacramento</v>
          </cell>
          <cell r="D542" t="str">
            <v>Sacramento County Office of Education</v>
          </cell>
          <cell r="E542">
            <v>1090</v>
          </cell>
          <cell r="F542">
            <v>36536</v>
          </cell>
          <cell r="G542">
            <v>10</v>
          </cell>
        </row>
        <row r="543">
          <cell r="A543" t="str">
            <v>34</v>
          </cell>
          <cell r="B543" t="str">
            <v>67280</v>
          </cell>
          <cell r="C543" t="str">
            <v>Sacramento</v>
          </cell>
          <cell r="D543" t="str">
            <v>Arcohe Union Elementary</v>
          </cell>
          <cell r="E543">
            <v>478</v>
          </cell>
          <cell r="F543">
            <v>8126</v>
          </cell>
          <cell r="G543">
            <v>1</v>
          </cell>
        </row>
        <row r="544">
          <cell r="A544" t="str">
            <v>34</v>
          </cell>
          <cell r="B544" t="str">
            <v>67314</v>
          </cell>
          <cell r="C544" t="str">
            <v>Sacramento</v>
          </cell>
          <cell r="D544" t="str">
            <v>Elk Grove Unified</v>
          </cell>
          <cell r="E544">
            <v>61579</v>
          </cell>
          <cell r="F544">
            <v>1051595</v>
          </cell>
          <cell r="G544">
            <v>65</v>
          </cell>
        </row>
        <row r="545">
          <cell r="A545" t="str">
            <v>34</v>
          </cell>
          <cell r="B545" t="str">
            <v>67322</v>
          </cell>
          <cell r="C545" t="str">
            <v>Sacramento</v>
          </cell>
          <cell r="D545" t="str">
            <v>Elverta Joint Elementary</v>
          </cell>
          <cell r="E545">
            <v>291</v>
          </cell>
          <cell r="F545">
            <v>7128</v>
          </cell>
          <cell r="G545">
            <v>2</v>
          </cell>
        </row>
        <row r="546">
          <cell r="A546" t="str">
            <v>34</v>
          </cell>
          <cell r="B546" t="str">
            <v>67330</v>
          </cell>
          <cell r="C546" t="str">
            <v>Sacramento</v>
          </cell>
          <cell r="D546" t="str">
            <v>Folsom-Cordova Unified</v>
          </cell>
          <cell r="E546">
            <v>19066</v>
          </cell>
          <cell r="F546">
            <v>332368</v>
          </cell>
          <cell r="G546">
            <v>34</v>
          </cell>
        </row>
        <row r="547">
          <cell r="A547" t="str">
            <v>34</v>
          </cell>
          <cell r="B547" t="str">
            <v>67348</v>
          </cell>
          <cell r="C547" t="str">
            <v>Sacramento</v>
          </cell>
          <cell r="D547" t="str">
            <v>Galt Joint Union Elementary</v>
          </cell>
          <cell r="E547">
            <v>4186</v>
          </cell>
          <cell r="F547">
            <v>71163</v>
          </cell>
          <cell r="G547">
            <v>6</v>
          </cell>
        </row>
        <row r="548">
          <cell r="A548" t="str">
            <v>34</v>
          </cell>
          <cell r="B548" t="str">
            <v>67355</v>
          </cell>
          <cell r="C548" t="str">
            <v>Sacramento</v>
          </cell>
          <cell r="D548" t="str">
            <v>Galt Joint Union High</v>
          </cell>
          <cell r="E548">
            <v>2399</v>
          </cell>
          <cell r="F548">
            <v>40863</v>
          </cell>
          <cell r="G548">
            <v>2</v>
          </cell>
        </row>
        <row r="549">
          <cell r="A549" t="str">
            <v>34</v>
          </cell>
          <cell r="B549" t="str">
            <v>67413</v>
          </cell>
          <cell r="C549" t="str">
            <v>Sacramento</v>
          </cell>
          <cell r="D549" t="str">
            <v>River Delta Joint Unified</v>
          </cell>
          <cell r="E549">
            <v>2098</v>
          </cell>
          <cell r="F549">
            <v>44716</v>
          </cell>
          <cell r="G549">
            <v>11</v>
          </cell>
        </row>
        <row r="550">
          <cell r="A550" t="str">
            <v>34</v>
          </cell>
          <cell r="B550" t="str">
            <v>67421</v>
          </cell>
          <cell r="C550" t="str">
            <v>Sacramento</v>
          </cell>
          <cell r="D550" t="str">
            <v>Robla Elementary</v>
          </cell>
          <cell r="E550">
            <v>1944</v>
          </cell>
          <cell r="F550">
            <v>33048</v>
          </cell>
          <cell r="G550">
            <v>5</v>
          </cell>
        </row>
        <row r="551">
          <cell r="A551" t="str">
            <v>34</v>
          </cell>
          <cell r="B551" t="str">
            <v>67439</v>
          </cell>
          <cell r="C551" t="str">
            <v>Sacramento</v>
          </cell>
          <cell r="D551" t="str">
            <v>Sacramento City Unified</v>
          </cell>
          <cell r="E551">
            <v>45620</v>
          </cell>
          <cell r="F551">
            <v>779239</v>
          </cell>
          <cell r="G551">
            <v>82</v>
          </cell>
        </row>
        <row r="552">
          <cell r="A552" t="str">
            <v>34</v>
          </cell>
          <cell r="B552" t="str">
            <v>67447</v>
          </cell>
          <cell r="C552" t="str">
            <v>Sacramento</v>
          </cell>
          <cell r="D552" t="str">
            <v>San Juan Unified</v>
          </cell>
          <cell r="E552">
            <v>44994</v>
          </cell>
          <cell r="F552">
            <v>781011</v>
          </cell>
          <cell r="G552">
            <v>73</v>
          </cell>
        </row>
        <row r="553">
          <cell r="A553" t="str">
            <v>34</v>
          </cell>
          <cell r="B553" t="str">
            <v>73973</v>
          </cell>
          <cell r="C553" t="str">
            <v>Sacramento</v>
          </cell>
          <cell r="D553" t="str">
            <v>Center Joint Unified</v>
          </cell>
          <cell r="E553">
            <v>5320</v>
          </cell>
          <cell r="F553">
            <v>95201</v>
          </cell>
          <cell r="G553">
            <v>9</v>
          </cell>
        </row>
        <row r="554">
          <cell r="A554" t="str">
            <v>34</v>
          </cell>
          <cell r="B554" t="str">
            <v>75283</v>
          </cell>
          <cell r="C554" t="str">
            <v>Sacramento</v>
          </cell>
          <cell r="D554" t="str">
            <v>Natomas Unified</v>
          </cell>
          <cell r="E554">
            <v>12162</v>
          </cell>
          <cell r="F554">
            <v>207963</v>
          </cell>
          <cell r="G554">
            <v>16</v>
          </cell>
        </row>
        <row r="555">
          <cell r="A555" t="str">
            <v>34</v>
          </cell>
          <cell r="B555" t="str">
            <v>76505</v>
          </cell>
          <cell r="C555" t="str">
            <v>Sacramento</v>
          </cell>
          <cell r="D555" t="str">
            <v>Twin Rivers Unified</v>
          </cell>
          <cell r="E555">
            <v>27345</v>
          </cell>
          <cell r="F555">
            <v>478069</v>
          </cell>
          <cell r="G555">
            <v>52</v>
          </cell>
        </row>
        <row r="556">
          <cell r="A556" t="str">
            <v>35</v>
          </cell>
          <cell r="B556" t="str">
            <v>10355</v>
          </cell>
          <cell r="C556" t="str">
            <v>San Benito</v>
          </cell>
          <cell r="D556" t="str">
            <v>San Benito County Office of Education</v>
          </cell>
          <cell r="E556">
            <v>119</v>
          </cell>
          <cell r="F556">
            <v>7128</v>
          </cell>
          <cell r="G556">
            <v>2</v>
          </cell>
        </row>
        <row r="557">
          <cell r="A557" t="str">
            <v>35</v>
          </cell>
          <cell r="B557" t="str">
            <v>67454</v>
          </cell>
          <cell r="C557" t="str">
            <v>San Benito</v>
          </cell>
          <cell r="D557" t="str">
            <v>Bitterwater-Tully Union Elementary</v>
          </cell>
          <cell r="E557">
            <v>29</v>
          </cell>
          <cell r="F557">
            <v>3564</v>
          </cell>
          <cell r="G557">
            <v>1</v>
          </cell>
        </row>
        <row r="558">
          <cell r="A558" t="str">
            <v>35</v>
          </cell>
          <cell r="B558" t="str">
            <v>67462</v>
          </cell>
          <cell r="C558" t="str">
            <v>San Benito</v>
          </cell>
          <cell r="D558" t="str">
            <v>Cienega Union Elementary</v>
          </cell>
          <cell r="E558">
            <v>27</v>
          </cell>
          <cell r="F558">
            <v>3564</v>
          </cell>
          <cell r="G558">
            <v>1</v>
          </cell>
        </row>
        <row r="559">
          <cell r="A559" t="str">
            <v>35</v>
          </cell>
          <cell r="B559" t="str">
            <v>67470</v>
          </cell>
          <cell r="C559" t="str">
            <v>San Benito</v>
          </cell>
          <cell r="D559" t="str">
            <v>Hollister</v>
          </cell>
          <cell r="E559">
            <v>5740</v>
          </cell>
          <cell r="F559">
            <v>99106</v>
          </cell>
          <cell r="G559">
            <v>9</v>
          </cell>
        </row>
        <row r="560">
          <cell r="A560" t="str">
            <v>35</v>
          </cell>
          <cell r="B560" t="str">
            <v>67488</v>
          </cell>
          <cell r="C560" t="str">
            <v>San Benito</v>
          </cell>
          <cell r="D560" t="str">
            <v>Jefferson Elementary</v>
          </cell>
          <cell r="E560">
            <v>22</v>
          </cell>
          <cell r="F560">
            <v>3564</v>
          </cell>
          <cell r="G560">
            <v>1</v>
          </cell>
        </row>
        <row r="561">
          <cell r="A561" t="str">
            <v>35</v>
          </cell>
          <cell r="B561" t="str">
            <v>67504</v>
          </cell>
          <cell r="C561" t="str">
            <v>San Benito</v>
          </cell>
          <cell r="D561" t="str">
            <v>North County Joint Union Elementary</v>
          </cell>
          <cell r="E561">
            <v>674</v>
          </cell>
          <cell r="F561">
            <v>11458</v>
          </cell>
          <cell r="G561">
            <v>1</v>
          </cell>
        </row>
        <row r="562">
          <cell r="A562" t="str">
            <v>35</v>
          </cell>
          <cell r="B562" t="str">
            <v>67520</v>
          </cell>
          <cell r="C562" t="str">
            <v>San Benito</v>
          </cell>
          <cell r="D562" t="str">
            <v>Panoche Elementary</v>
          </cell>
          <cell r="E562">
            <v>10</v>
          </cell>
          <cell r="F562">
            <v>2228</v>
          </cell>
          <cell r="G562">
            <v>1</v>
          </cell>
        </row>
        <row r="563">
          <cell r="A563" t="str">
            <v>35</v>
          </cell>
          <cell r="B563" t="str">
            <v>67538</v>
          </cell>
          <cell r="C563" t="str">
            <v>San Benito</v>
          </cell>
          <cell r="D563" t="str">
            <v>San Benito High</v>
          </cell>
          <cell r="E563">
            <v>3098</v>
          </cell>
          <cell r="F563">
            <v>53206</v>
          </cell>
          <cell r="G563">
            <v>2</v>
          </cell>
        </row>
        <row r="564">
          <cell r="A564" t="str">
            <v>35</v>
          </cell>
          <cell r="B564" t="str">
            <v>67553</v>
          </cell>
          <cell r="C564" t="str">
            <v>San Benito</v>
          </cell>
          <cell r="D564" t="str">
            <v>Southside Elementary</v>
          </cell>
          <cell r="E564">
            <v>249</v>
          </cell>
          <cell r="F564">
            <v>4233</v>
          </cell>
          <cell r="G564">
            <v>1</v>
          </cell>
        </row>
        <row r="565">
          <cell r="A565" t="str">
            <v>35</v>
          </cell>
          <cell r="B565" t="str">
            <v>67561</v>
          </cell>
          <cell r="C565" t="str">
            <v>San Benito</v>
          </cell>
          <cell r="D565" t="str">
            <v>Tres Pinos Union Elementary</v>
          </cell>
          <cell r="E565">
            <v>136</v>
          </cell>
          <cell r="F565">
            <v>3564</v>
          </cell>
          <cell r="G565">
            <v>1</v>
          </cell>
        </row>
        <row r="566">
          <cell r="A566" t="str">
            <v>35</v>
          </cell>
          <cell r="B566" t="str">
            <v>67579</v>
          </cell>
          <cell r="C566" t="str">
            <v>San Benito</v>
          </cell>
          <cell r="D566" t="str">
            <v>Willow Grove Union Elementary</v>
          </cell>
          <cell r="E566">
            <v>24</v>
          </cell>
          <cell r="F566">
            <v>3564</v>
          </cell>
          <cell r="G566">
            <v>1</v>
          </cell>
        </row>
        <row r="567">
          <cell r="A567" t="str">
            <v>35</v>
          </cell>
          <cell r="B567" t="str">
            <v>75259</v>
          </cell>
          <cell r="C567" t="str">
            <v>San Benito</v>
          </cell>
          <cell r="D567" t="str">
            <v>Aromas/San Juan Unified</v>
          </cell>
          <cell r="E567">
            <v>1255</v>
          </cell>
          <cell r="F567">
            <v>21335</v>
          </cell>
          <cell r="G567">
            <v>3</v>
          </cell>
        </row>
        <row r="568">
          <cell r="A568" t="str">
            <v>36</v>
          </cell>
          <cell r="B568" t="str">
            <v>10363</v>
          </cell>
          <cell r="C568" t="str">
            <v>San Bernardino</v>
          </cell>
          <cell r="D568" t="str">
            <v>San Bernardino County Office of Education</v>
          </cell>
          <cell r="E568">
            <v>3736</v>
          </cell>
          <cell r="F568">
            <v>63524</v>
          </cell>
          <cell r="G568">
            <v>6</v>
          </cell>
        </row>
        <row r="569">
          <cell r="A569" t="str">
            <v>36</v>
          </cell>
          <cell r="B569" t="str">
            <v>67587</v>
          </cell>
          <cell r="C569" t="str">
            <v>San Bernardino</v>
          </cell>
          <cell r="D569" t="str">
            <v>Adelanto Elementary</v>
          </cell>
          <cell r="E569">
            <v>8227</v>
          </cell>
          <cell r="F569">
            <v>139861</v>
          </cell>
          <cell r="G569">
            <v>12</v>
          </cell>
        </row>
        <row r="570">
          <cell r="A570" t="str">
            <v>36</v>
          </cell>
          <cell r="B570" t="str">
            <v>67595</v>
          </cell>
          <cell r="C570" t="str">
            <v>San Bernardino</v>
          </cell>
          <cell r="D570" t="str">
            <v>Alta Loma Elementary</v>
          </cell>
          <cell r="E570">
            <v>6557</v>
          </cell>
          <cell r="F570">
            <v>111472</v>
          </cell>
          <cell r="G570">
            <v>10</v>
          </cell>
        </row>
        <row r="571">
          <cell r="A571" t="str">
            <v>36</v>
          </cell>
          <cell r="B571" t="str">
            <v>67611</v>
          </cell>
          <cell r="C571" t="str">
            <v>San Bernardino</v>
          </cell>
          <cell r="D571" t="str">
            <v>Barstow Unified</v>
          </cell>
          <cell r="E571">
            <v>6777</v>
          </cell>
          <cell r="F571">
            <v>117389</v>
          </cell>
          <cell r="G571">
            <v>13</v>
          </cell>
        </row>
        <row r="572">
          <cell r="A572" t="str">
            <v>36</v>
          </cell>
          <cell r="B572" t="str">
            <v>67637</v>
          </cell>
          <cell r="C572" t="str">
            <v>San Bernardino</v>
          </cell>
          <cell r="D572" t="str">
            <v>Bear Valley Unified</v>
          </cell>
          <cell r="E572">
            <v>3090</v>
          </cell>
          <cell r="F572">
            <v>57245</v>
          </cell>
          <cell r="G572">
            <v>7</v>
          </cell>
        </row>
        <row r="573">
          <cell r="A573" t="str">
            <v>36</v>
          </cell>
          <cell r="B573" t="str">
            <v>67645</v>
          </cell>
          <cell r="C573" t="str">
            <v>San Bernardino</v>
          </cell>
          <cell r="D573" t="str">
            <v>Central Elementary</v>
          </cell>
          <cell r="E573">
            <v>4812</v>
          </cell>
          <cell r="F573">
            <v>81806</v>
          </cell>
          <cell r="G573">
            <v>7</v>
          </cell>
        </row>
        <row r="574">
          <cell r="A574" t="str">
            <v>36</v>
          </cell>
          <cell r="B574" t="str">
            <v>67652</v>
          </cell>
          <cell r="C574" t="str">
            <v>San Bernardino</v>
          </cell>
          <cell r="D574" t="str">
            <v>Chaffey Joint Union High</v>
          </cell>
          <cell r="E574">
            <v>25330</v>
          </cell>
          <cell r="F574">
            <v>433545</v>
          </cell>
          <cell r="G574">
            <v>11</v>
          </cell>
        </row>
        <row r="575">
          <cell r="A575" t="str">
            <v>36</v>
          </cell>
          <cell r="B575" t="str">
            <v>67678</v>
          </cell>
          <cell r="C575" t="str">
            <v>San Bernardino</v>
          </cell>
          <cell r="D575" t="str">
            <v>Chino Valley Unified</v>
          </cell>
          <cell r="E575">
            <v>32430</v>
          </cell>
          <cell r="F575">
            <v>554214</v>
          </cell>
          <cell r="G575">
            <v>36</v>
          </cell>
        </row>
        <row r="576">
          <cell r="A576" t="str">
            <v>36</v>
          </cell>
          <cell r="B576" t="str">
            <v>67686</v>
          </cell>
          <cell r="C576" t="str">
            <v>San Bernardino</v>
          </cell>
          <cell r="D576" t="str">
            <v>Colton Joint Unified</v>
          </cell>
          <cell r="E576">
            <v>24239</v>
          </cell>
          <cell r="F576">
            <v>414136</v>
          </cell>
          <cell r="G576">
            <v>27</v>
          </cell>
        </row>
        <row r="577">
          <cell r="A577" t="str">
            <v>36</v>
          </cell>
          <cell r="B577" t="str">
            <v>67694</v>
          </cell>
          <cell r="C577" t="str">
            <v>San Bernardino</v>
          </cell>
          <cell r="D577" t="str">
            <v>Cucamonga Elementary</v>
          </cell>
          <cell r="E577">
            <v>2785</v>
          </cell>
          <cell r="F577">
            <v>47346</v>
          </cell>
          <cell r="G577">
            <v>4</v>
          </cell>
        </row>
        <row r="578">
          <cell r="A578" t="str">
            <v>36</v>
          </cell>
          <cell r="B578" t="str">
            <v>67702</v>
          </cell>
          <cell r="C578" t="str">
            <v>San Bernardino</v>
          </cell>
          <cell r="D578" t="str">
            <v>Etiwanda Elementary</v>
          </cell>
          <cell r="E578">
            <v>12476</v>
          </cell>
          <cell r="F578">
            <v>214208</v>
          </cell>
          <cell r="G578">
            <v>17</v>
          </cell>
        </row>
        <row r="579">
          <cell r="A579" t="str">
            <v>36</v>
          </cell>
          <cell r="B579" t="str">
            <v>67710</v>
          </cell>
          <cell r="C579" t="str">
            <v>San Bernardino</v>
          </cell>
          <cell r="D579" t="str">
            <v>Fontana Unified</v>
          </cell>
          <cell r="E579">
            <v>41073</v>
          </cell>
          <cell r="F579">
            <v>701694</v>
          </cell>
          <cell r="G579">
            <v>44</v>
          </cell>
        </row>
        <row r="580">
          <cell r="A580" t="str">
            <v>36</v>
          </cell>
          <cell r="B580" t="str">
            <v>67736</v>
          </cell>
          <cell r="C580" t="str">
            <v>San Bernardino</v>
          </cell>
          <cell r="D580" t="str">
            <v>Helendale Elementary</v>
          </cell>
          <cell r="E580">
            <v>639</v>
          </cell>
          <cell r="F580">
            <v>13010</v>
          </cell>
          <cell r="G580">
            <v>3</v>
          </cell>
        </row>
        <row r="581">
          <cell r="A581" t="str">
            <v>36</v>
          </cell>
          <cell r="B581" t="str">
            <v>67777</v>
          </cell>
          <cell r="C581" t="str">
            <v>San Bernardino</v>
          </cell>
          <cell r="D581" t="str">
            <v>Morongo Unified</v>
          </cell>
          <cell r="E581">
            <v>9705</v>
          </cell>
          <cell r="F581">
            <v>168319</v>
          </cell>
          <cell r="G581">
            <v>17</v>
          </cell>
        </row>
        <row r="582">
          <cell r="A582" t="str">
            <v>36</v>
          </cell>
          <cell r="B582" t="str">
            <v>67785</v>
          </cell>
          <cell r="C582" t="str">
            <v>San Bernardino</v>
          </cell>
          <cell r="D582" t="str">
            <v>Mountain View Elementary</v>
          </cell>
          <cell r="E582">
            <v>2931</v>
          </cell>
          <cell r="F582">
            <v>49828</v>
          </cell>
          <cell r="G582">
            <v>4</v>
          </cell>
        </row>
        <row r="583">
          <cell r="A583" t="str">
            <v>36</v>
          </cell>
          <cell r="B583" t="str">
            <v>67793</v>
          </cell>
          <cell r="C583" t="str">
            <v>San Bernardino</v>
          </cell>
          <cell r="D583" t="str">
            <v>Mt. Baldy Joint Elementary</v>
          </cell>
          <cell r="E583">
            <v>105</v>
          </cell>
          <cell r="F583">
            <v>3564</v>
          </cell>
          <cell r="G583">
            <v>1</v>
          </cell>
        </row>
        <row r="584">
          <cell r="A584" t="str">
            <v>36</v>
          </cell>
          <cell r="B584" t="str">
            <v>67801</v>
          </cell>
          <cell r="C584" t="str">
            <v>San Bernardino</v>
          </cell>
          <cell r="D584" t="str">
            <v>Needles Unified</v>
          </cell>
          <cell r="E584">
            <v>1026</v>
          </cell>
          <cell r="F584">
            <v>25415</v>
          </cell>
          <cell r="G584">
            <v>7</v>
          </cell>
        </row>
        <row r="585">
          <cell r="A585" t="str">
            <v>36</v>
          </cell>
          <cell r="B585" t="str">
            <v>67819</v>
          </cell>
          <cell r="C585" t="str">
            <v>San Bernardino</v>
          </cell>
          <cell r="D585" t="str">
            <v>Ontario-Montclair Elementary</v>
          </cell>
          <cell r="E585">
            <v>22919</v>
          </cell>
          <cell r="F585">
            <v>391691</v>
          </cell>
          <cell r="G585">
            <v>33</v>
          </cell>
        </row>
        <row r="586">
          <cell r="A586" t="str">
            <v>36</v>
          </cell>
          <cell r="B586" t="str">
            <v>67827</v>
          </cell>
          <cell r="C586" t="str">
            <v>San Bernardino</v>
          </cell>
          <cell r="D586" t="str">
            <v>Oro Grande Elementary</v>
          </cell>
          <cell r="E586">
            <v>1549</v>
          </cell>
          <cell r="F586">
            <v>27858</v>
          </cell>
          <cell r="G586">
            <v>4</v>
          </cell>
        </row>
        <row r="587">
          <cell r="A587" t="str">
            <v>36</v>
          </cell>
          <cell r="B587" t="str">
            <v>67843</v>
          </cell>
          <cell r="C587" t="str">
            <v>San Bernardino</v>
          </cell>
          <cell r="D587" t="str">
            <v>Redlands Unified</v>
          </cell>
          <cell r="E587">
            <v>21183</v>
          </cell>
          <cell r="F587">
            <v>360120</v>
          </cell>
          <cell r="G587">
            <v>22</v>
          </cell>
        </row>
        <row r="588">
          <cell r="A588" t="str">
            <v>36</v>
          </cell>
          <cell r="B588" t="str">
            <v>67850</v>
          </cell>
          <cell r="C588" t="str">
            <v>San Bernardino</v>
          </cell>
          <cell r="D588" t="str">
            <v>Rialto Unified</v>
          </cell>
          <cell r="E588">
            <v>27490</v>
          </cell>
          <cell r="F588">
            <v>469519</v>
          </cell>
          <cell r="G588">
            <v>29</v>
          </cell>
        </row>
        <row r="589">
          <cell r="A589" t="str">
            <v>36</v>
          </cell>
          <cell r="B589" t="str">
            <v>67868</v>
          </cell>
          <cell r="C589" t="str">
            <v>San Bernardino</v>
          </cell>
          <cell r="D589" t="str">
            <v>Rim of the World Unified</v>
          </cell>
          <cell r="E589">
            <v>4886</v>
          </cell>
          <cell r="F589">
            <v>86894</v>
          </cell>
          <cell r="G589">
            <v>9</v>
          </cell>
        </row>
        <row r="590">
          <cell r="A590" t="str">
            <v>36</v>
          </cell>
          <cell r="B590" t="str">
            <v>67876</v>
          </cell>
          <cell r="C590" t="str">
            <v>San Bernardino</v>
          </cell>
          <cell r="D590" t="str">
            <v>San Bernardino City Unified</v>
          </cell>
          <cell r="E590">
            <v>53309</v>
          </cell>
          <cell r="F590">
            <v>918890</v>
          </cell>
          <cell r="G590">
            <v>68</v>
          </cell>
        </row>
        <row r="591">
          <cell r="A591" t="str">
            <v>36</v>
          </cell>
          <cell r="B591" t="str">
            <v>67892</v>
          </cell>
          <cell r="C591" t="str">
            <v>San Bernardino</v>
          </cell>
          <cell r="D591" t="str">
            <v>Trona Joint Unified</v>
          </cell>
          <cell r="E591">
            <v>340</v>
          </cell>
          <cell r="F591">
            <v>9356</v>
          </cell>
          <cell r="G591">
            <v>3</v>
          </cell>
        </row>
        <row r="592">
          <cell r="A592" t="str">
            <v>36</v>
          </cell>
          <cell r="B592" t="str">
            <v>67918</v>
          </cell>
          <cell r="C592" t="str">
            <v>San Bernardino</v>
          </cell>
          <cell r="D592" t="str">
            <v>Victor Elementary</v>
          </cell>
          <cell r="E592">
            <v>11522</v>
          </cell>
          <cell r="F592">
            <v>197806</v>
          </cell>
          <cell r="G592">
            <v>18</v>
          </cell>
        </row>
        <row r="593">
          <cell r="A593" t="str">
            <v>36</v>
          </cell>
          <cell r="B593" t="str">
            <v>67934</v>
          </cell>
          <cell r="C593" t="str">
            <v>San Bernardino</v>
          </cell>
          <cell r="D593" t="str">
            <v>Victor Valley Union High</v>
          </cell>
          <cell r="E593">
            <v>10625</v>
          </cell>
          <cell r="F593">
            <v>182258</v>
          </cell>
          <cell r="G593">
            <v>9</v>
          </cell>
        </row>
        <row r="594">
          <cell r="A594" t="str">
            <v>36</v>
          </cell>
          <cell r="B594" t="str">
            <v>67959</v>
          </cell>
          <cell r="C594" t="str">
            <v>San Bernardino</v>
          </cell>
          <cell r="D594" t="str">
            <v>Yucaipa-Calimesa Joint Unified</v>
          </cell>
          <cell r="E594">
            <v>9607</v>
          </cell>
          <cell r="F594">
            <v>168591</v>
          </cell>
          <cell r="G594">
            <v>15</v>
          </cell>
        </row>
        <row r="595">
          <cell r="A595" t="str">
            <v>36</v>
          </cell>
          <cell r="B595" t="str">
            <v>73858</v>
          </cell>
          <cell r="C595" t="str">
            <v>San Bernardino</v>
          </cell>
          <cell r="D595" t="str">
            <v>Baker Valley Unified</v>
          </cell>
          <cell r="E595">
            <v>203</v>
          </cell>
          <cell r="F595">
            <v>10692</v>
          </cell>
          <cell r="G595">
            <v>3</v>
          </cell>
        </row>
        <row r="596">
          <cell r="A596" t="str">
            <v>36</v>
          </cell>
          <cell r="B596" t="str">
            <v>73890</v>
          </cell>
          <cell r="C596" t="str">
            <v>San Bernardino</v>
          </cell>
          <cell r="D596" t="str">
            <v>Silver Valley Unified</v>
          </cell>
          <cell r="E596">
            <v>2605</v>
          </cell>
          <cell r="F596">
            <v>52836</v>
          </cell>
          <cell r="G596">
            <v>9</v>
          </cell>
        </row>
        <row r="597">
          <cell r="A597" t="str">
            <v>36</v>
          </cell>
          <cell r="B597" t="str">
            <v>73957</v>
          </cell>
          <cell r="C597" t="str">
            <v>San Bernardino</v>
          </cell>
          <cell r="D597" t="str">
            <v>Snowline Joint Unified</v>
          </cell>
          <cell r="E597">
            <v>8774</v>
          </cell>
          <cell r="F597">
            <v>153759</v>
          </cell>
          <cell r="G597">
            <v>12</v>
          </cell>
        </row>
        <row r="598">
          <cell r="A598" t="str">
            <v>36</v>
          </cell>
          <cell r="B598" t="str">
            <v>75044</v>
          </cell>
          <cell r="C598" t="str">
            <v>San Bernardino</v>
          </cell>
          <cell r="D598" t="str">
            <v>Hesperia Unified</v>
          </cell>
          <cell r="E598">
            <v>21217</v>
          </cell>
          <cell r="F598">
            <v>365565</v>
          </cell>
          <cell r="G598">
            <v>25</v>
          </cell>
        </row>
        <row r="599">
          <cell r="A599" t="str">
            <v>36</v>
          </cell>
          <cell r="B599" t="str">
            <v>75051</v>
          </cell>
          <cell r="C599" t="str">
            <v>San Bernardino</v>
          </cell>
          <cell r="D599" t="str">
            <v>Lucerne Valley Unified</v>
          </cell>
          <cell r="E599">
            <v>1062</v>
          </cell>
          <cell r="F599">
            <v>24834</v>
          </cell>
          <cell r="G599">
            <v>6</v>
          </cell>
        </row>
        <row r="600">
          <cell r="A600" t="str">
            <v>36</v>
          </cell>
          <cell r="B600" t="str">
            <v>75069</v>
          </cell>
          <cell r="C600" t="str">
            <v>San Bernardino</v>
          </cell>
          <cell r="D600" t="str">
            <v>Upland Unified</v>
          </cell>
          <cell r="E600">
            <v>12121</v>
          </cell>
          <cell r="F600">
            <v>206062</v>
          </cell>
          <cell r="G600">
            <v>14</v>
          </cell>
        </row>
        <row r="601">
          <cell r="A601" t="str">
            <v>36</v>
          </cell>
          <cell r="B601" t="str">
            <v>75077</v>
          </cell>
          <cell r="C601" t="str">
            <v>San Bernardino</v>
          </cell>
          <cell r="D601" t="str">
            <v>Apple Valley Unified</v>
          </cell>
          <cell r="E601">
            <v>14118</v>
          </cell>
          <cell r="F601">
            <v>241417</v>
          </cell>
          <cell r="G601">
            <v>17</v>
          </cell>
        </row>
        <row r="602">
          <cell r="A602" t="str">
            <v>37</v>
          </cell>
          <cell r="B602" t="str">
            <v>10371</v>
          </cell>
          <cell r="C602" t="str">
            <v>San Diego</v>
          </cell>
          <cell r="D602" t="str">
            <v>San Diego County Office of Education</v>
          </cell>
          <cell r="E602">
            <v>2833</v>
          </cell>
          <cell r="F602">
            <v>77312</v>
          </cell>
          <cell r="G602">
            <v>18</v>
          </cell>
        </row>
        <row r="603">
          <cell r="A603" t="str">
            <v>37</v>
          </cell>
          <cell r="B603" t="str">
            <v>67967</v>
          </cell>
          <cell r="C603" t="str">
            <v>San Diego</v>
          </cell>
          <cell r="D603" t="str">
            <v>Alpine Union Elementary</v>
          </cell>
          <cell r="E603">
            <v>2045</v>
          </cell>
          <cell r="F603">
            <v>40263</v>
          </cell>
          <cell r="G603">
            <v>7</v>
          </cell>
        </row>
        <row r="604">
          <cell r="A604" t="str">
            <v>37</v>
          </cell>
          <cell r="B604" t="str">
            <v>67975</v>
          </cell>
          <cell r="C604" t="str">
            <v>San Diego</v>
          </cell>
          <cell r="D604" t="str">
            <v>Bonsall Union Elementary</v>
          </cell>
          <cell r="E604">
            <v>1881</v>
          </cell>
          <cell r="F604">
            <v>33502</v>
          </cell>
          <cell r="G604">
            <v>4</v>
          </cell>
        </row>
        <row r="605">
          <cell r="A605" t="str">
            <v>37</v>
          </cell>
          <cell r="B605" t="str">
            <v>67983</v>
          </cell>
          <cell r="C605" t="str">
            <v>San Diego</v>
          </cell>
          <cell r="D605" t="str">
            <v>Borrego Springs Unified</v>
          </cell>
          <cell r="E605">
            <v>452</v>
          </cell>
          <cell r="F605">
            <v>15148</v>
          </cell>
          <cell r="G605">
            <v>5</v>
          </cell>
        </row>
        <row r="606">
          <cell r="A606" t="str">
            <v>37</v>
          </cell>
          <cell r="B606" t="str">
            <v>67991</v>
          </cell>
          <cell r="C606" t="str">
            <v>San Diego</v>
          </cell>
          <cell r="D606" t="str">
            <v>Cajon Valley Union Elementary</v>
          </cell>
          <cell r="E606">
            <v>15767</v>
          </cell>
          <cell r="F606">
            <v>275753</v>
          </cell>
          <cell r="G606">
            <v>29</v>
          </cell>
        </row>
        <row r="607">
          <cell r="A607" t="str">
            <v>37</v>
          </cell>
          <cell r="B607" t="str">
            <v>68007</v>
          </cell>
          <cell r="C607" t="str">
            <v>San Diego</v>
          </cell>
          <cell r="D607" t="str">
            <v>Cardiff Elementary</v>
          </cell>
          <cell r="E607">
            <v>739</v>
          </cell>
          <cell r="F607">
            <v>12563</v>
          </cell>
          <cell r="G607">
            <v>2</v>
          </cell>
        </row>
        <row r="608">
          <cell r="A608" t="str">
            <v>37</v>
          </cell>
          <cell r="B608" t="str">
            <v>68023</v>
          </cell>
          <cell r="C608" t="str">
            <v>San Diego</v>
          </cell>
          <cell r="D608" t="str">
            <v>Chula Vista Elementary</v>
          </cell>
          <cell r="E608">
            <v>22402</v>
          </cell>
          <cell r="F608">
            <v>380839</v>
          </cell>
          <cell r="G608">
            <v>38</v>
          </cell>
        </row>
        <row r="609">
          <cell r="A609" t="str">
            <v>37</v>
          </cell>
          <cell r="B609" t="str">
            <v>68031</v>
          </cell>
          <cell r="C609" t="str">
            <v>San Diego</v>
          </cell>
          <cell r="D609" t="str">
            <v>Coronado Unified</v>
          </cell>
          <cell r="E609">
            <v>3035</v>
          </cell>
          <cell r="F609">
            <v>53689</v>
          </cell>
          <cell r="G609">
            <v>5</v>
          </cell>
        </row>
        <row r="610">
          <cell r="A610" t="str">
            <v>37</v>
          </cell>
          <cell r="B610" t="str">
            <v>68049</v>
          </cell>
          <cell r="C610" t="str">
            <v>San Diego</v>
          </cell>
          <cell r="D610" t="str">
            <v>Dehesa Elementary</v>
          </cell>
          <cell r="E610">
            <v>159</v>
          </cell>
          <cell r="F610">
            <v>3564</v>
          </cell>
          <cell r="G610">
            <v>1</v>
          </cell>
        </row>
        <row r="611">
          <cell r="A611" t="str">
            <v>37</v>
          </cell>
          <cell r="B611" t="str">
            <v>68056</v>
          </cell>
          <cell r="C611" t="str">
            <v>San Diego</v>
          </cell>
          <cell r="D611" t="str">
            <v>Del Mar Union Elementary</v>
          </cell>
          <cell r="E611">
            <v>4169</v>
          </cell>
          <cell r="F611">
            <v>70873</v>
          </cell>
          <cell r="G611">
            <v>8</v>
          </cell>
        </row>
        <row r="612">
          <cell r="A612" t="str">
            <v>37</v>
          </cell>
          <cell r="B612" t="str">
            <v>68080</v>
          </cell>
          <cell r="C612" t="str">
            <v>San Diego</v>
          </cell>
          <cell r="D612" t="str">
            <v>Encinitas Union Elementary</v>
          </cell>
          <cell r="E612">
            <v>5561</v>
          </cell>
          <cell r="F612">
            <v>94538</v>
          </cell>
          <cell r="G612">
            <v>9</v>
          </cell>
        </row>
        <row r="613">
          <cell r="A613" t="str">
            <v>37</v>
          </cell>
          <cell r="B613" t="str">
            <v>68098</v>
          </cell>
          <cell r="C613" t="str">
            <v>San Diego</v>
          </cell>
          <cell r="D613" t="str">
            <v>Escondido Union</v>
          </cell>
          <cell r="E613">
            <v>18050</v>
          </cell>
          <cell r="F613">
            <v>309694</v>
          </cell>
          <cell r="G613">
            <v>23</v>
          </cell>
        </row>
        <row r="614">
          <cell r="A614" t="str">
            <v>37</v>
          </cell>
          <cell r="B614" t="str">
            <v>68106</v>
          </cell>
          <cell r="C614" t="str">
            <v>San Diego</v>
          </cell>
          <cell r="D614" t="str">
            <v>Escondido Union High</v>
          </cell>
          <cell r="E614">
            <v>8251</v>
          </cell>
          <cell r="F614">
            <v>141406</v>
          </cell>
          <cell r="G614">
            <v>5</v>
          </cell>
        </row>
        <row r="615">
          <cell r="A615" t="str">
            <v>37</v>
          </cell>
          <cell r="B615" t="str">
            <v>68114</v>
          </cell>
          <cell r="C615" t="str">
            <v>San Diego</v>
          </cell>
          <cell r="D615" t="str">
            <v>Fallbrook Union Elementary</v>
          </cell>
          <cell r="E615">
            <v>5617</v>
          </cell>
          <cell r="F615">
            <v>97567</v>
          </cell>
          <cell r="G615">
            <v>10</v>
          </cell>
        </row>
        <row r="616">
          <cell r="A616" t="str">
            <v>37</v>
          </cell>
          <cell r="B616" t="str">
            <v>68122</v>
          </cell>
          <cell r="C616" t="str">
            <v>San Diego</v>
          </cell>
          <cell r="D616" t="str">
            <v>Fallbrook Union High</v>
          </cell>
          <cell r="E616">
            <v>3114</v>
          </cell>
          <cell r="F616">
            <v>57127</v>
          </cell>
          <cell r="G616">
            <v>3</v>
          </cell>
        </row>
        <row r="617">
          <cell r="A617" t="str">
            <v>37</v>
          </cell>
          <cell r="B617" t="str">
            <v>68130</v>
          </cell>
          <cell r="C617" t="str">
            <v>San Diego</v>
          </cell>
          <cell r="D617" t="str">
            <v>Grossmont Union High</v>
          </cell>
          <cell r="E617">
            <v>20153</v>
          </cell>
          <cell r="F617">
            <v>357247</v>
          </cell>
          <cell r="G617">
            <v>17</v>
          </cell>
        </row>
        <row r="618">
          <cell r="A618" t="str">
            <v>37</v>
          </cell>
          <cell r="B618" t="str">
            <v>68155</v>
          </cell>
          <cell r="C618" t="str">
            <v>San Diego</v>
          </cell>
          <cell r="D618" t="str">
            <v>Jamul-Dulzura Union Elementary</v>
          </cell>
          <cell r="E618">
            <v>919</v>
          </cell>
          <cell r="F618">
            <v>15702</v>
          </cell>
          <cell r="G618">
            <v>3</v>
          </cell>
        </row>
        <row r="619">
          <cell r="A619" t="str">
            <v>37</v>
          </cell>
          <cell r="B619" t="str">
            <v>68163</v>
          </cell>
          <cell r="C619" t="str">
            <v>San Diego</v>
          </cell>
          <cell r="D619" t="str">
            <v>Julian Union Elementary</v>
          </cell>
          <cell r="E619">
            <v>361</v>
          </cell>
          <cell r="F619">
            <v>8256</v>
          </cell>
          <cell r="G619">
            <v>2</v>
          </cell>
        </row>
        <row r="620">
          <cell r="A620" t="str">
            <v>37</v>
          </cell>
          <cell r="B620" t="str">
            <v>68171</v>
          </cell>
          <cell r="C620" t="str">
            <v>San Diego</v>
          </cell>
          <cell r="D620" t="str">
            <v>Julian Union High</v>
          </cell>
          <cell r="E620">
            <v>182</v>
          </cell>
          <cell r="F620">
            <v>5792</v>
          </cell>
          <cell r="G620">
            <v>2</v>
          </cell>
        </row>
        <row r="621">
          <cell r="A621" t="str">
            <v>37</v>
          </cell>
          <cell r="B621" t="str">
            <v>68189</v>
          </cell>
          <cell r="C621" t="str">
            <v>San Diego</v>
          </cell>
          <cell r="D621" t="str">
            <v>Lakeside Union Elementary</v>
          </cell>
          <cell r="E621">
            <v>4230</v>
          </cell>
          <cell r="F621">
            <v>75666</v>
          </cell>
          <cell r="G621">
            <v>10</v>
          </cell>
        </row>
        <row r="622">
          <cell r="A622" t="str">
            <v>37</v>
          </cell>
          <cell r="B622" t="str">
            <v>68197</v>
          </cell>
          <cell r="C622" t="str">
            <v>San Diego</v>
          </cell>
          <cell r="D622" t="str">
            <v>La Mesa-Spring Valley</v>
          </cell>
          <cell r="E622">
            <v>12740</v>
          </cell>
          <cell r="F622">
            <v>218591</v>
          </cell>
          <cell r="G622">
            <v>22</v>
          </cell>
        </row>
        <row r="623">
          <cell r="A623" t="str">
            <v>37</v>
          </cell>
          <cell r="B623" t="str">
            <v>68205</v>
          </cell>
          <cell r="C623" t="str">
            <v>San Diego</v>
          </cell>
          <cell r="D623" t="str">
            <v>Lemon Grove</v>
          </cell>
          <cell r="E623">
            <v>3901</v>
          </cell>
          <cell r="F623">
            <v>66317</v>
          </cell>
          <cell r="G623">
            <v>8</v>
          </cell>
        </row>
        <row r="624">
          <cell r="A624" t="str">
            <v>37</v>
          </cell>
          <cell r="B624" t="str">
            <v>68213</v>
          </cell>
          <cell r="C624" t="str">
            <v>San Diego</v>
          </cell>
          <cell r="D624" t="str">
            <v>Mountain Empire Unified</v>
          </cell>
          <cell r="E624">
            <v>1637</v>
          </cell>
          <cell r="F624">
            <v>47118</v>
          </cell>
          <cell r="G624">
            <v>12</v>
          </cell>
        </row>
        <row r="625">
          <cell r="A625" t="str">
            <v>37</v>
          </cell>
          <cell r="B625" t="str">
            <v>68221</v>
          </cell>
          <cell r="C625" t="str">
            <v>San Diego</v>
          </cell>
          <cell r="D625" t="str">
            <v>National Elementary</v>
          </cell>
          <cell r="E625">
            <v>5613</v>
          </cell>
          <cell r="F625">
            <v>95421</v>
          </cell>
          <cell r="G625">
            <v>10</v>
          </cell>
        </row>
        <row r="626">
          <cell r="A626" t="str">
            <v>37</v>
          </cell>
          <cell r="B626" t="str">
            <v>68296</v>
          </cell>
          <cell r="C626" t="str">
            <v>San Diego</v>
          </cell>
          <cell r="D626" t="str">
            <v>Poway Unified</v>
          </cell>
          <cell r="E626">
            <v>33305</v>
          </cell>
          <cell r="F626">
            <v>566656</v>
          </cell>
          <cell r="G626">
            <v>36</v>
          </cell>
        </row>
        <row r="627">
          <cell r="A627" t="str">
            <v>37</v>
          </cell>
          <cell r="B627" t="str">
            <v>68304</v>
          </cell>
          <cell r="C627" t="str">
            <v>San Diego</v>
          </cell>
          <cell r="D627" t="str">
            <v>Ramona City Unified</v>
          </cell>
          <cell r="E627">
            <v>6575</v>
          </cell>
          <cell r="F627">
            <v>114978</v>
          </cell>
          <cell r="G627">
            <v>10</v>
          </cell>
        </row>
        <row r="628">
          <cell r="A628" t="str">
            <v>37</v>
          </cell>
          <cell r="B628" t="str">
            <v>68312</v>
          </cell>
          <cell r="C628" t="str">
            <v>San Diego</v>
          </cell>
          <cell r="D628" t="str">
            <v>Rancho Santa Fe Elementary</v>
          </cell>
          <cell r="E628">
            <v>753</v>
          </cell>
          <cell r="F628">
            <v>13271</v>
          </cell>
          <cell r="G628">
            <v>2</v>
          </cell>
        </row>
        <row r="629">
          <cell r="A629" t="str">
            <v>37</v>
          </cell>
          <cell r="B629" t="str">
            <v>68338</v>
          </cell>
          <cell r="C629" t="str">
            <v>San Diego</v>
          </cell>
          <cell r="D629" t="str">
            <v>San Diego Unified</v>
          </cell>
          <cell r="E629">
            <v>117644</v>
          </cell>
          <cell r="F629">
            <v>2010388</v>
          </cell>
          <cell r="G629">
            <v>181</v>
          </cell>
        </row>
        <row r="630">
          <cell r="A630" t="str">
            <v>37</v>
          </cell>
          <cell r="B630" t="str">
            <v>68346</v>
          </cell>
          <cell r="C630" t="str">
            <v>San Diego</v>
          </cell>
          <cell r="D630" t="str">
            <v>San Dieguito Union High</v>
          </cell>
          <cell r="E630">
            <v>12575</v>
          </cell>
          <cell r="F630">
            <v>217410</v>
          </cell>
          <cell r="G630">
            <v>10</v>
          </cell>
        </row>
        <row r="631">
          <cell r="A631" t="str">
            <v>37</v>
          </cell>
          <cell r="B631" t="str">
            <v>68353</v>
          </cell>
          <cell r="C631" t="str">
            <v>San Diego</v>
          </cell>
          <cell r="D631" t="str">
            <v>San Pasqual Union Elementary</v>
          </cell>
          <cell r="E631">
            <v>559</v>
          </cell>
          <cell r="F631">
            <v>9503</v>
          </cell>
          <cell r="G631">
            <v>1</v>
          </cell>
        </row>
        <row r="632">
          <cell r="A632" t="str">
            <v>37</v>
          </cell>
          <cell r="B632" t="str">
            <v>68361</v>
          </cell>
          <cell r="C632" t="str">
            <v>San Diego</v>
          </cell>
          <cell r="D632" t="str">
            <v>Santee Elementary</v>
          </cell>
          <cell r="E632">
            <v>6277</v>
          </cell>
          <cell r="F632">
            <v>111706</v>
          </cell>
          <cell r="G632">
            <v>11</v>
          </cell>
        </row>
        <row r="633">
          <cell r="A633" t="str">
            <v>37</v>
          </cell>
          <cell r="B633" t="str">
            <v>68379</v>
          </cell>
          <cell r="C633" t="str">
            <v>San Diego</v>
          </cell>
          <cell r="D633" t="str">
            <v>San Ysidro Elementary</v>
          </cell>
          <cell r="E633">
            <v>4851</v>
          </cell>
          <cell r="F633">
            <v>84444</v>
          </cell>
          <cell r="G633">
            <v>7</v>
          </cell>
        </row>
        <row r="634">
          <cell r="A634" t="str">
            <v>37</v>
          </cell>
          <cell r="B634" t="str">
            <v>68387</v>
          </cell>
          <cell r="C634" t="str">
            <v>San Diego</v>
          </cell>
          <cell r="D634" t="str">
            <v>Solana Beach Elementary</v>
          </cell>
          <cell r="E634">
            <v>2770</v>
          </cell>
          <cell r="F634">
            <v>47090</v>
          </cell>
          <cell r="G634">
            <v>6</v>
          </cell>
        </row>
        <row r="635">
          <cell r="A635" t="str">
            <v>37</v>
          </cell>
          <cell r="B635" t="str">
            <v>68395</v>
          </cell>
          <cell r="C635" t="str">
            <v>San Diego</v>
          </cell>
          <cell r="D635" t="str">
            <v>South Bay Union Elementary</v>
          </cell>
          <cell r="E635">
            <v>8005</v>
          </cell>
          <cell r="F635">
            <v>136088</v>
          </cell>
          <cell r="G635">
            <v>12</v>
          </cell>
        </row>
        <row r="636">
          <cell r="A636" t="str">
            <v>37</v>
          </cell>
          <cell r="B636" t="str">
            <v>68403</v>
          </cell>
          <cell r="C636" t="str">
            <v>San Diego</v>
          </cell>
          <cell r="D636" t="str">
            <v>Spencer Valley Elementary</v>
          </cell>
          <cell r="E636">
            <v>36</v>
          </cell>
          <cell r="F636">
            <v>3564</v>
          </cell>
          <cell r="G636">
            <v>1</v>
          </cell>
        </row>
        <row r="637">
          <cell r="A637" t="str">
            <v>37</v>
          </cell>
          <cell r="B637" t="str">
            <v>68411</v>
          </cell>
          <cell r="C637" t="str">
            <v>San Diego</v>
          </cell>
          <cell r="D637" t="str">
            <v>Sweetwater Union High</v>
          </cell>
          <cell r="E637">
            <v>42768</v>
          </cell>
          <cell r="F637">
            <v>737865</v>
          </cell>
          <cell r="G637">
            <v>31</v>
          </cell>
        </row>
        <row r="638">
          <cell r="A638" t="str">
            <v>37</v>
          </cell>
          <cell r="B638" t="str">
            <v>68437</v>
          </cell>
          <cell r="C638" t="str">
            <v>San Diego</v>
          </cell>
          <cell r="D638" t="str">
            <v>Vallecitos Elementary</v>
          </cell>
          <cell r="E638">
            <v>219</v>
          </cell>
          <cell r="F638">
            <v>3723</v>
          </cell>
          <cell r="G638">
            <v>1</v>
          </cell>
        </row>
        <row r="639">
          <cell r="A639" t="str">
            <v>37</v>
          </cell>
          <cell r="B639" t="str">
            <v>68452</v>
          </cell>
          <cell r="C639" t="str">
            <v>San Diego</v>
          </cell>
          <cell r="D639" t="str">
            <v>Vista Unified</v>
          </cell>
          <cell r="E639">
            <v>23092</v>
          </cell>
          <cell r="F639">
            <v>403509</v>
          </cell>
          <cell r="G639">
            <v>31</v>
          </cell>
        </row>
        <row r="640">
          <cell r="A640" t="str">
            <v>37</v>
          </cell>
          <cell r="B640" t="str">
            <v>73551</v>
          </cell>
          <cell r="C640" t="str">
            <v>San Diego</v>
          </cell>
          <cell r="D640" t="str">
            <v>Carlsbad Unified</v>
          </cell>
          <cell r="E640">
            <v>10678</v>
          </cell>
          <cell r="F640">
            <v>184631</v>
          </cell>
          <cell r="G640">
            <v>15</v>
          </cell>
        </row>
        <row r="641">
          <cell r="A641" t="str">
            <v>37</v>
          </cell>
          <cell r="B641" t="str">
            <v>73569</v>
          </cell>
          <cell r="C641" t="str">
            <v>San Diego</v>
          </cell>
          <cell r="D641" t="str">
            <v>Oceanside Unified</v>
          </cell>
          <cell r="E641">
            <v>20533</v>
          </cell>
          <cell r="F641">
            <v>351264</v>
          </cell>
          <cell r="G641">
            <v>24</v>
          </cell>
        </row>
        <row r="642">
          <cell r="A642" t="str">
            <v>37</v>
          </cell>
          <cell r="B642" t="str">
            <v>73791</v>
          </cell>
          <cell r="C642" t="str">
            <v>San Diego</v>
          </cell>
          <cell r="D642" t="str">
            <v>San Marcos Unified</v>
          </cell>
          <cell r="E642">
            <v>17654</v>
          </cell>
          <cell r="F642">
            <v>302058</v>
          </cell>
          <cell r="G642">
            <v>18</v>
          </cell>
        </row>
        <row r="643">
          <cell r="A643" t="str">
            <v>37</v>
          </cell>
          <cell r="B643" t="str">
            <v>75416</v>
          </cell>
          <cell r="C643" t="str">
            <v>San Diego</v>
          </cell>
          <cell r="D643" t="str">
            <v>Warner Unified</v>
          </cell>
          <cell r="E643">
            <v>214</v>
          </cell>
          <cell r="F643">
            <v>9356</v>
          </cell>
          <cell r="G643">
            <v>3</v>
          </cell>
        </row>
        <row r="644">
          <cell r="A644" t="str">
            <v>37</v>
          </cell>
          <cell r="B644" t="str">
            <v>75614</v>
          </cell>
          <cell r="C644" t="str">
            <v>San Diego</v>
          </cell>
          <cell r="D644" t="str">
            <v>Valley Center-Pauma Unified</v>
          </cell>
          <cell r="E644">
            <v>4364</v>
          </cell>
          <cell r="F644">
            <v>79329</v>
          </cell>
          <cell r="G644">
            <v>8</v>
          </cell>
        </row>
        <row r="645">
          <cell r="A645" t="str">
            <v>37</v>
          </cell>
          <cell r="B645" t="str">
            <v>76471</v>
          </cell>
          <cell r="C645" t="str">
            <v>San Diego</v>
          </cell>
          <cell r="D645" t="str">
            <v>SBC - High Tech High</v>
          </cell>
          <cell r="E645">
            <v>580</v>
          </cell>
          <cell r="F645">
            <v>9860</v>
          </cell>
          <cell r="G645">
            <v>2</v>
          </cell>
        </row>
        <row r="646">
          <cell r="A646" t="str">
            <v>38</v>
          </cell>
          <cell r="B646" t="str">
            <v>10389</v>
          </cell>
          <cell r="C646" t="str">
            <v>San Francisco</v>
          </cell>
          <cell r="D646" t="str">
            <v>San Francisco County Office of Education</v>
          </cell>
          <cell r="E646">
            <v>611</v>
          </cell>
          <cell r="F646">
            <v>14738</v>
          </cell>
          <cell r="G646">
            <v>4</v>
          </cell>
        </row>
        <row r="647">
          <cell r="A647" t="str">
            <v>38</v>
          </cell>
          <cell r="B647" t="str">
            <v>68478</v>
          </cell>
          <cell r="C647" t="str">
            <v>San Francisco</v>
          </cell>
          <cell r="D647" t="str">
            <v>San Francisco Unified</v>
          </cell>
          <cell r="E647">
            <v>52568</v>
          </cell>
          <cell r="F647">
            <v>903694</v>
          </cell>
          <cell r="G647">
            <v>102</v>
          </cell>
        </row>
        <row r="648">
          <cell r="A648" t="str">
            <v>39</v>
          </cell>
          <cell r="B648" t="str">
            <v>10397</v>
          </cell>
          <cell r="C648" t="str">
            <v>San Joaquin</v>
          </cell>
          <cell r="D648" t="str">
            <v>San Joaquin County Office of Education</v>
          </cell>
          <cell r="E648">
            <v>1857</v>
          </cell>
          <cell r="F648">
            <v>31570</v>
          </cell>
          <cell r="G648">
            <v>3</v>
          </cell>
        </row>
        <row r="649">
          <cell r="A649" t="str">
            <v>39</v>
          </cell>
          <cell r="B649" t="str">
            <v>68486</v>
          </cell>
          <cell r="C649" t="str">
            <v>San Joaquin</v>
          </cell>
          <cell r="D649" t="str">
            <v>Banta Elementary</v>
          </cell>
          <cell r="E649">
            <v>297</v>
          </cell>
          <cell r="F649">
            <v>5049</v>
          </cell>
          <cell r="G649">
            <v>1</v>
          </cell>
        </row>
        <row r="650">
          <cell r="A650" t="str">
            <v>39</v>
          </cell>
          <cell r="B650" t="str">
            <v>68502</v>
          </cell>
          <cell r="C650" t="str">
            <v>San Joaquin</v>
          </cell>
          <cell r="D650" t="str">
            <v>Escalon Unified</v>
          </cell>
          <cell r="E650">
            <v>3057</v>
          </cell>
          <cell r="F650">
            <v>57778</v>
          </cell>
          <cell r="G650">
            <v>7</v>
          </cell>
        </row>
        <row r="651">
          <cell r="A651" t="str">
            <v>39</v>
          </cell>
          <cell r="B651" t="str">
            <v>68544</v>
          </cell>
          <cell r="C651" t="str">
            <v>San Joaquin</v>
          </cell>
          <cell r="D651" t="str">
            <v>Jefferson Elementary</v>
          </cell>
          <cell r="E651">
            <v>2416</v>
          </cell>
          <cell r="F651">
            <v>41074</v>
          </cell>
          <cell r="G651">
            <v>4</v>
          </cell>
        </row>
        <row r="652">
          <cell r="A652" t="str">
            <v>39</v>
          </cell>
          <cell r="B652" t="str">
            <v>68551</v>
          </cell>
          <cell r="C652" t="str">
            <v>San Joaquin</v>
          </cell>
          <cell r="D652" t="str">
            <v>Lammersville Elementary</v>
          </cell>
          <cell r="E652">
            <v>1741</v>
          </cell>
          <cell r="F652">
            <v>29598</v>
          </cell>
          <cell r="G652">
            <v>3</v>
          </cell>
        </row>
        <row r="653">
          <cell r="A653" t="str">
            <v>39</v>
          </cell>
          <cell r="B653" t="str">
            <v>68569</v>
          </cell>
          <cell r="C653" t="str">
            <v>San Joaquin</v>
          </cell>
          <cell r="D653" t="str">
            <v>Lincoln Unified</v>
          </cell>
          <cell r="E653">
            <v>8605</v>
          </cell>
          <cell r="F653">
            <v>146469</v>
          </cell>
          <cell r="G653">
            <v>11</v>
          </cell>
        </row>
        <row r="654">
          <cell r="A654" t="str">
            <v>39</v>
          </cell>
          <cell r="B654" t="str">
            <v>68577</v>
          </cell>
          <cell r="C654" t="str">
            <v>San Joaquin</v>
          </cell>
          <cell r="D654" t="str">
            <v>Linden Unified</v>
          </cell>
          <cell r="E654">
            <v>2502</v>
          </cell>
          <cell r="F654">
            <v>49127</v>
          </cell>
          <cell r="G654">
            <v>8</v>
          </cell>
        </row>
        <row r="655">
          <cell r="A655" t="str">
            <v>39</v>
          </cell>
          <cell r="B655" t="str">
            <v>68585</v>
          </cell>
          <cell r="C655" t="str">
            <v>San Joaquin</v>
          </cell>
          <cell r="D655" t="str">
            <v>Lodi Unified</v>
          </cell>
          <cell r="E655">
            <v>29938</v>
          </cell>
          <cell r="F655">
            <v>523493</v>
          </cell>
          <cell r="G655">
            <v>52</v>
          </cell>
        </row>
        <row r="656">
          <cell r="A656" t="str">
            <v>39</v>
          </cell>
          <cell r="B656" t="str">
            <v>68593</v>
          </cell>
          <cell r="C656" t="str">
            <v>San Joaquin</v>
          </cell>
          <cell r="D656" t="str">
            <v>Manteca Unified</v>
          </cell>
          <cell r="E656">
            <v>23077</v>
          </cell>
          <cell r="F656">
            <v>397618</v>
          </cell>
          <cell r="G656">
            <v>29</v>
          </cell>
        </row>
        <row r="657">
          <cell r="A657" t="str">
            <v>39</v>
          </cell>
          <cell r="B657" t="str">
            <v>68619</v>
          </cell>
          <cell r="C657" t="str">
            <v>San Joaquin</v>
          </cell>
          <cell r="D657" t="str">
            <v>New Hope Elementary</v>
          </cell>
          <cell r="E657">
            <v>203</v>
          </cell>
          <cell r="F657">
            <v>3564</v>
          </cell>
          <cell r="G657">
            <v>1</v>
          </cell>
        </row>
        <row r="658">
          <cell r="A658" t="str">
            <v>39</v>
          </cell>
          <cell r="B658" t="str">
            <v>68627</v>
          </cell>
          <cell r="C658" t="str">
            <v>San Joaquin</v>
          </cell>
          <cell r="D658" t="str">
            <v>New Jerusalem Elementary</v>
          </cell>
          <cell r="E658">
            <v>28</v>
          </cell>
          <cell r="F658">
            <v>3564</v>
          </cell>
          <cell r="G658">
            <v>1</v>
          </cell>
        </row>
        <row r="659">
          <cell r="A659" t="str">
            <v>39</v>
          </cell>
          <cell r="B659" t="str">
            <v>68635</v>
          </cell>
          <cell r="C659" t="str">
            <v>San Joaquin</v>
          </cell>
          <cell r="D659" t="str">
            <v>Oak View Union Elementary</v>
          </cell>
          <cell r="E659">
            <v>394</v>
          </cell>
          <cell r="F659">
            <v>6698</v>
          </cell>
          <cell r="G659">
            <v>1</v>
          </cell>
        </row>
        <row r="660">
          <cell r="A660" t="str">
            <v>39</v>
          </cell>
          <cell r="B660" t="str">
            <v>68650</v>
          </cell>
          <cell r="C660" t="str">
            <v>San Joaquin</v>
          </cell>
          <cell r="D660" t="str">
            <v>Ripon Unified</v>
          </cell>
          <cell r="E660">
            <v>3051</v>
          </cell>
          <cell r="F660">
            <v>51868</v>
          </cell>
          <cell r="G660">
            <v>6</v>
          </cell>
        </row>
        <row r="661">
          <cell r="A661" t="str">
            <v>39</v>
          </cell>
          <cell r="B661" t="str">
            <v>68676</v>
          </cell>
          <cell r="C661" t="str">
            <v>San Joaquin</v>
          </cell>
          <cell r="D661" t="str">
            <v>Stockton Unified</v>
          </cell>
          <cell r="E661">
            <v>36784</v>
          </cell>
          <cell r="F661">
            <v>635271</v>
          </cell>
          <cell r="G661">
            <v>53</v>
          </cell>
        </row>
        <row r="662">
          <cell r="A662" t="str">
            <v>39</v>
          </cell>
          <cell r="B662" t="str">
            <v>75499</v>
          </cell>
          <cell r="C662" t="str">
            <v>San Joaquin</v>
          </cell>
          <cell r="D662" t="str">
            <v>Tracy Joint Unified</v>
          </cell>
          <cell r="E662">
            <v>16305</v>
          </cell>
          <cell r="F662">
            <v>288987</v>
          </cell>
          <cell r="G662">
            <v>21</v>
          </cell>
        </row>
        <row r="663">
          <cell r="A663" t="str">
            <v>40</v>
          </cell>
          <cell r="B663" t="str">
            <v>10405</v>
          </cell>
          <cell r="C663" t="str">
            <v>San Luis Obispo</v>
          </cell>
          <cell r="D663" t="str">
            <v>San Luis Obispo County Office of Education</v>
          </cell>
          <cell r="E663">
            <v>697</v>
          </cell>
          <cell r="F663">
            <v>15407</v>
          </cell>
          <cell r="G663">
            <v>4</v>
          </cell>
        </row>
        <row r="664">
          <cell r="A664" t="str">
            <v>40</v>
          </cell>
          <cell r="B664" t="str">
            <v>68700</v>
          </cell>
          <cell r="C664" t="str">
            <v>San Luis Obispo</v>
          </cell>
          <cell r="D664" t="str">
            <v>Atascadero Unified</v>
          </cell>
          <cell r="E664">
            <v>4945</v>
          </cell>
          <cell r="F664">
            <v>93018</v>
          </cell>
          <cell r="G664">
            <v>12</v>
          </cell>
        </row>
        <row r="665">
          <cell r="A665" t="str">
            <v>40</v>
          </cell>
          <cell r="B665" t="str">
            <v>68726</v>
          </cell>
          <cell r="C665" t="str">
            <v>San Luis Obispo</v>
          </cell>
          <cell r="D665" t="str">
            <v>Cayucos Elementary</v>
          </cell>
          <cell r="E665">
            <v>187</v>
          </cell>
          <cell r="F665">
            <v>3564</v>
          </cell>
          <cell r="G665">
            <v>1</v>
          </cell>
        </row>
        <row r="666">
          <cell r="A666" t="str">
            <v>40</v>
          </cell>
          <cell r="B666" t="str">
            <v>68759</v>
          </cell>
          <cell r="C666" t="str">
            <v>San Luis Obispo</v>
          </cell>
          <cell r="D666" t="str">
            <v>Lucia Mar Unified</v>
          </cell>
          <cell r="E666">
            <v>10772</v>
          </cell>
          <cell r="F666">
            <v>184225</v>
          </cell>
          <cell r="G666">
            <v>17</v>
          </cell>
        </row>
        <row r="667">
          <cell r="A667" t="str">
            <v>40</v>
          </cell>
          <cell r="B667" t="str">
            <v>68791</v>
          </cell>
          <cell r="C667" t="str">
            <v>San Luis Obispo</v>
          </cell>
          <cell r="D667" t="str">
            <v>Pleasant Valley Joint Union Elementary</v>
          </cell>
          <cell r="E667">
            <v>134</v>
          </cell>
          <cell r="F667">
            <v>3564</v>
          </cell>
          <cell r="G667">
            <v>1</v>
          </cell>
        </row>
        <row r="668">
          <cell r="A668" t="str">
            <v>40</v>
          </cell>
          <cell r="B668" t="str">
            <v>68809</v>
          </cell>
          <cell r="C668" t="str">
            <v>San Luis Obispo</v>
          </cell>
          <cell r="D668" t="str">
            <v>San Luis Coastal Unified</v>
          </cell>
          <cell r="E668">
            <v>6989</v>
          </cell>
          <cell r="F668">
            <v>123699</v>
          </cell>
          <cell r="G668">
            <v>15</v>
          </cell>
        </row>
        <row r="669">
          <cell r="A669" t="str">
            <v>40</v>
          </cell>
          <cell r="B669" t="str">
            <v>68825</v>
          </cell>
          <cell r="C669" t="str">
            <v>San Luis Obispo</v>
          </cell>
          <cell r="D669" t="str">
            <v>San Miguel Joint Union</v>
          </cell>
          <cell r="E669">
            <v>553</v>
          </cell>
          <cell r="F669">
            <v>12915</v>
          </cell>
          <cell r="G669">
            <v>3</v>
          </cell>
        </row>
        <row r="670">
          <cell r="A670" t="str">
            <v>40</v>
          </cell>
          <cell r="B670" t="str">
            <v>68833</v>
          </cell>
          <cell r="C670" t="str">
            <v>San Luis Obispo</v>
          </cell>
          <cell r="D670" t="str">
            <v>Shandon Joint Unified</v>
          </cell>
          <cell r="E670">
            <v>322</v>
          </cell>
          <cell r="F670">
            <v>11584</v>
          </cell>
          <cell r="G670">
            <v>4</v>
          </cell>
        </row>
        <row r="671">
          <cell r="A671" t="str">
            <v>40</v>
          </cell>
          <cell r="B671" t="str">
            <v>68841</v>
          </cell>
          <cell r="C671" t="str">
            <v>San Luis Obispo</v>
          </cell>
          <cell r="D671" t="str">
            <v>Templeton Unified</v>
          </cell>
          <cell r="E671">
            <v>2371</v>
          </cell>
          <cell r="F671">
            <v>46553</v>
          </cell>
          <cell r="G671">
            <v>7</v>
          </cell>
        </row>
        <row r="672">
          <cell r="A672" t="str">
            <v>40</v>
          </cell>
          <cell r="B672" t="str">
            <v>75457</v>
          </cell>
          <cell r="C672" t="str">
            <v>San Luis Obispo</v>
          </cell>
          <cell r="D672" t="str">
            <v>Paso Robles Joint Unified</v>
          </cell>
          <cell r="E672">
            <v>6875</v>
          </cell>
          <cell r="F672">
            <v>121183</v>
          </cell>
          <cell r="G672">
            <v>12</v>
          </cell>
        </row>
        <row r="673">
          <cell r="A673" t="str">
            <v>40</v>
          </cell>
          <cell r="B673" t="str">
            <v>75465</v>
          </cell>
          <cell r="C673" t="str">
            <v>San Luis Obispo</v>
          </cell>
          <cell r="D673" t="str">
            <v>Coast Unified</v>
          </cell>
          <cell r="E673">
            <v>763</v>
          </cell>
          <cell r="F673">
            <v>19080</v>
          </cell>
          <cell r="G673">
            <v>5</v>
          </cell>
        </row>
        <row r="674">
          <cell r="A674" t="str">
            <v>41</v>
          </cell>
          <cell r="B674" t="str">
            <v>10413</v>
          </cell>
          <cell r="C674" t="str">
            <v>San Mateo</v>
          </cell>
          <cell r="D674" t="str">
            <v>San Mateo County Office of Education</v>
          </cell>
          <cell r="E674">
            <v>581</v>
          </cell>
          <cell r="F674">
            <v>35897</v>
          </cell>
          <cell r="G674">
            <v>12</v>
          </cell>
        </row>
        <row r="675">
          <cell r="A675" t="str">
            <v>41</v>
          </cell>
          <cell r="B675" t="str">
            <v>68858</v>
          </cell>
          <cell r="C675" t="str">
            <v>San Mateo</v>
          </cell>
          <cell r="D675" t="str">
            <v>Bayshore Elementary</v>
          </cell>
          <cell r="E675">
            <v>429</v>
          </cell>
          <cell r="F675">
            <v>7542</v>
          </cell>
          <cell r="G675">
            <v>2</v>
          </cell>
        </row>
        <row r="676">
          <cell r="A676" t="str">
            <v>41</v>
          </cell>
          <cell r="B676" t="str">
            <v>68866</v>
          </cell>
          <cell r="C676" t="str">
            <v>San Mateo</v>
          </cell>
          <cell r="D676" t="str">
            <v>Belmont-Redwood Shores Elementary</v>
          </cell>
          <cell r="E676">
            <v>2749</v>
          </cell>
          <cell r="F676">
            <v>46734</v>
          </cell>
          <cell r="G676">
            <v>6</v>
          </cell>
        </row>
        <row r="677">
          <cell r="A677" t="str">
            <v>41</v>
          </cell>
          <cell r="B677" t="str">
            <v>68874</v>
          </cell>
          <cell r="C677" t="str">
            <v>San Mateo</v>
          </cell>
          <cell r="D677" t="str">
            <v>Brisbane Elementary</v>
          </cell>
          <cell r="E677">
            <v>589</v>
          </cell>
          <cell r="F677">
            <v>10766</v>
          </cell>
          <cell r="G677">
            <v>3</v>
          </cell>
        </row>
        <row r="678">
          <cell r="A678" t="str">
            <v>41</v>
          </cell>
          <cell r="B678" t="str">
            <v>68882</v>
          </cell>
          <cell r="C678" t="str">
            <v>San Mateo</v>
          </cell>
          <cell r="D678" t="str">
            <v>Burlingame Elementary</v>
          </cell>
          <cell r="E678">
            <v>2529</v>
          </cell>
          <cell r="F678">
            <v>42994</v>
          </cell>
          <cell r="G678">
            <v>6</v>
          </cell>
        </row>
        <row r="679">
          <cell r="A679" t="str">
            <v>41</v>
          </cell>
          <cell r="B679" t="str">
            <v>68890</v>
          </cell>
          <cell r="C679" t="str">
            <v>San Mateo</v>
          </cell>
          <cell r="D679" t="str">
            <v>Cabrillo Unified</v>
          </cell>
          <cell r="E679">
            <v>3386</v>
          </cell>
          <cell r="F679">
            <v>62634</v>
          </cell>
          <cell r="G679">
            <v>7</v>
          </cell>
        </row>
        <row r="680">
          <cell r="A680" t="str">
            <v>41</v>
          </cell>
          <cell r="B680" t="str">
            <v>68908</v>
          </cell>
          <cell r="C680" t="str">
            <v>San Mateo</v>
          </cell>
          <cell r="D680" t="str">
            <v>Hillsborough City Elementary</v>
          </cell>
          <cell r="E680">
            <v>1462</v>
          </cell>
          <cell r="F680">
            <v>24854</v>
          </cell>
          <cell r="G680">
            <v>4</v>
          </cell>
        </row>
        <row r="681">
          <cell r="A681" t="str">
            <v>41</v>
          </cell>
          <cell r="B681" t="str">
            <v>68916</v>
          </cell>
          <cell r="C681" t="str">
            <v>San Mateo</v>
          </cell>
          <cell r="D681" t="str">
            <v>Jefferson Elementary</v>
          </cell>
          <cell r="E681">
            <v>5993</v>
          </cell>
          <cell r="F681">
            <v>101881</v>
          </cell>
          <cell r="G681">
            <v>14</v>
          </cell>
        </row>
        <row r="682">
          <cell r="A682" t="str">
            <v>41</v>
          </cell>
          <cell r="B682" t="str">
            <v>68924</v>
          </cell>
          <cell r="C682" t="str">
            <v>San Mateo</v>
          </cell>
          <cell r="D682" t="str">
            <v>Jefferson Union High</v>
          </cell>
          <cell r="E682">
            <v>5150</v>
          </cell>
          <cell r="F682">
            <v>87938</v>
          </cell>
          <cell r="G682">
            <v>5</v>
          </cell>
        </row>
        <row r="683">
          <cell r="A683" t="str">
            <v>41</v>
          </cell>
          <cell r="B683" t="str">
            <v>68932</v>
          </cell>
          <cell r="C683" t="str">
            <v>San Mateo</v>
          </cell>
          <cell r="D683" t="str">
            <v>Pacifica</v>
          </cell>
          <cell r="E683">
            <v>3103</v>
          </cell>
          <cell r="F683">
            <v>55652</v>
          </cell>
          <cell r="G683">
            <v>7</v>
          </cell>
        </row>
        <row r="684">
          <cell r="A684" t="str">
            <v>41</v>
          </cell>
          <cell r="B684" t="str">
            <v>68940</v>
          </cell>
          <cell r="C684" t="str">
            <v>San Mateo</v>
          </cell>
          <cell r="D684" t="str">
            <v>La Honda-Pescadero Unified</v>
          </cell>
          <cell r="E684">
            <v>371</v>
          </cell>
          <cell r="F684">
            <v>10692</v>
          </cell>
          <cell r="G684">
            <v>3</v>
          </cell>
        </row>
        <row r="685">
          <cell r="A685" t="str">
            <v>41</v>
          </cell>
          <cell r="B685" t="str">
            <v>68957</v>
          </cell>
          <cell r="C685" t="str">
            <v>San Mateo</v>
          </cell>
          <cell r="D685" t="str">
            <v>Las Lomitas Elementary</v>
          </cell>
          <cell r="E685">
            <v>1191</v>
          </cell>
          <cell r="F685">
            <v>20247</v>
          </cell>
          <cell r="G685">
            <v>2</v>
          </cell>
        </row>
        <row r="686">
          <cell r="A686" t="str">
            <v>41</v>
          </cell>
          <cell r="B686" t="str">
            <v>68965</v>
          </cell>
          <cell r="C686" t="str">
            <v>San Mateo</v>
          </cell>
          <cell r="D686" t="str">
            <v>Menlo Park City Elementary</v>
          </cell>
          <cell r="E686">
            <v>2407</v>
          </cell>
          <cell r="F686">
            <v>40919</v>
          </cell>
          <cell r="G686">
            <v>4</v>
          </cell>
        </row>
        <row r="687">
          <cell r="A687" t="str">
            <v>41</v>
          </cell>
          <cell r="B687" t="str">
            <v>68973</v>
          </cell>
          <cell r="C687" t="str">
            <v>San Mateo</v>
          </cell>
          <cell r="D687" t="str">
            <v>Millbrae Elementary</v>
          </cell>
          <cell r="E687">
            <v>2135</v>
          </cell>
          <cell r="F687">
            <v>36296</v>
          </cell>
          <cell r="G687">
            <v>5</v>
          </cell>
        </row>
        <row r="688">
          <cell r="A688" t="str">
            <v>41</v>
          </cell>
          <cell r="B688" t="str">
            <v>68981</v>
          </cell>
          <cell r="C688" t="str">
            <v>San Mateo</v>
          </cell>
          <cell r="D688" t="str">
            <v>Portola Valley Elementary</v>
          </cell>
          <cell r="E688">
            <v>737</v>
          </cell>
          <cell r="F688">
            <v>12529</v>
          </cell>
          <cell r="G688">
            <v>2</v>
          </cell>
        </row>
        <row r="689">
          <cell r="A689" t="str">
            <v>41</v>
          </cell>
          <cell r="B689" t="str">
            <v>68999</v>
          </cell>
          <cell r="C689" t="str">
            <v>San Mateo</v>
          </cell>
          <cell r="D689" t="str">
            <v>Ravenswood City Elementary</v>
          </cell>
          <cell r="E689">
            <v>3594</v>
          </cell>
          <cell r="F689">
            <v>61098</v>
          </cell>
          <cell r="G689">
            <v>8</v>
          </cell>
        </row>
        <row r="690">
          <cell r="A690" t="str">
            <v>41</v>
          </cell>
          <cell r="B690" t="str">
            <v>69005</v>
          </cell>
          <cell r="C690" t="str">
            <v>San Mateo</v>
          </cell>
          <cell r="D690" t="str">
            <v>Redwood City Elementary</v>
          </cell>
          <cell r="E690">
            <v>8180</v>
          </cell>
          <cell r="F690">
            <v>141618</v>
          </cell>
          <cell r="G690">
            <v>16</v>
          </cell>
        </row>
        <row r="691">
          <cell r="A691" t="str">
            <v>41</v>
          </cell>
          <cell r="B691" t="str">
            <v>69013</v>
          </cell>
          <cell r="C691" t="str">
            <v>San Mateo</v>
          </cell>
          <cell r="D691" t="str">
            <v>San Bruno Park Elementary</v>
          </cell>
          <cell r="E691">
            <v>2619</v>
          </cell>
          <cell r="F691">
            <v>44523</v>
          </cell>
          <cell r="G691">
            <v>8</v>
          </cell>
        </row>
        <row r="692">
          <cell r="A692" t="str">
            <v>41</v>
          </cell>
          <cell r="B692" t="str">
            <v>69021</v>
          </cell>
          <cell r="C692" t="str">
            <v>San Mateo</v>
          </cell>
          <cell r="D692" t="str">
            <v>San Carlos Elementary</v>
          </cell>
          <cell r="E692">
            <v>2686</v>
          </cell>
          <cell r="F692">
            <v>45662</v>
          </cell>
          <cell r="G692">
            <v>6</v>
          </cell>
        </row>
        <row r="693">
          <cell r="A693" t="str">
            <v>41</v>
          </cell>
          <cell r="B693" t="str">
            <v>69039</v>
          </cell>
          <cell r="C693" t="str">
            <v>San Mateo</v>
          </cell>
          <cell r="D693" t="str">
            <v>San Mateo-Foster City Elementary</v>
          </cell>
          <cell r="E693">
            <v>10329</v>
          </cell>
          <cell r="F693">
            <v>175596</v>
          </cell>
          <cell r="G693">
            <v>20</v>
          </cell>
        </row>
        <row r="694">
          <cell r="A694" t="str">
            <v>41</v>
          </cell>
          <cell r="B694" t="str">
            <v>69047</v>
          </cell>
          <cell r="C694" t="str">
            <v>San Mateo</v>
          </cell>
          <cell r="D694" t="str">
            <v>San Mateo Union High</v>
          </cell>
          <cell r="E694">
            <v>8549</v>
          </cell>
          <cell r="F694">
            <v>145339</v>
          </cell>
          <cell r="G694">
            <v>7</v>
          </cell>
        </row>
        <row r="695">
          <cell r="A695" t="str">
            <v>41</v>
          </cell>
          <cell r="B695" t="str">
            <v>69062</v>
          </cell>
          <cell r="C695" t="str">
            <v>San Mateo</v>
          </cell>
          <cell r="D695" t="str">
            <v>Sequoia Union High</v>
          </cell>
          <cell r="E695">
            <v>8252</v>
          </cell>
          <cell r="F695">
            <v>140288</v>
          </cell>
          <cell r="G695">
            <v>5</v>
          </cell>
        </row>
        <row r="696">
          <cell r="A696" t="str">
            <v>41</v>
          </cell>
          <cell r="B696" t="str">
            <v>69070</v>
          </cell>
          <cell r="C696" t="str">
            <v>San Mateo</v>
          </cell>
          <cell r="D696" t="str">
            <v>South San Francisco Unified</v>
          </cell>
          <cell r="E696">
            <v>9349</v>
          </cell>
          <cell r="F696">
            <v>160290</v>
          </cell>
          <cell r="G696">
            <v>15</v>
          </cell>
        </row>
        <row r="697">
          <cell r="A697" t="str">
            <v>41</v>
          </cell>
          <cell r="B697" t="str">
            <v>69088</v>
          </cell>
          <cell r="C697" t="str">
            <v>San Mateo</v>
          </cell>
          <cell r="D697" t="str">
            <v>Woodside Elementary</v>
          </cell>
          <cell r="E697">
            <v>458</v>
          </cell>
          <cell r="F697">
            <v>7786</v>
          </cell>
          <cell r="G697">
            <v>1</v>
          </cell>
        </row>
        <row r="698">
          <cell r="A698" t="str">
            <v>42</v>
          </cell>
          <cell r="B698" t="str">
            <v>10421</v>
          </cell>
          <cell r="C698" t="str">
            <v>Santa Barbara</v>
          </cell>
          <cell r="D698" t="str">
            <v>Santa Barbara County Office of Education</v>
          </cell>
          <cell r="E698">
            <v>837</v>
          </cell>
          <cell r="F698">
            <v>18866</v>
          </cell>
          <cell r="G698">
            <v>5</v>
          </cell>
        </row>
        <row r="699">
          <cell r="A699" t="str">
            <v>42</v>
          </cell>
          <cell r="B699" t="str">
            <v>69104</v>
          </cell>
          <cell r="C699" t="str">
            <v>Santa Barbara</v>
          </cell>
          <cell r="D699" t="str">
            <v>Ballard Elementary</v>
          </cell>
          <cell r="E699">
            <v>108</v>
          </cell>
          <cell r="F699">
            <v>3564</v>
          </cell>
          <cell r="G699">
            <v>1</v>
          </cell>
        </row>
        <row r="700">
          <cell r="A700" t="str">
            <v>42</v>
          </cell>
          <cell r="B700" t="str">
            <v>69112</v>
          </cell>
          <cell r="C700" t="str">
            <v>Santa Barbara</v>
          </cell>
          <cell r="D700" t="str">
            <v>Blochman Union Elementary</v>
          </cell>
          <cell r="E700">
            <v>475</v>
          </cell>
          <cell r="F700">
            <v>10075</v>
          </cell>
          <cell r="G700">
            <v>2</v>
          </cell>
        </row>
        <row r="701">
          <cell r="A701" t="str">
            <v>42</v>
          </cell>
          <cell r="B701" t="str">
            <v>69120</v>
          </cell>
          <cell r="C701" t="str">
            <v>Santa Barbara</v>
          </cell>
          <cell r="D701" t="str">
            <v>Santa Maria-Bonita</v>
          </cell>
          <cell r="E701">
            <v>13226</v>
          </cell>
          <cell r="F701">
            <v>224850</v>
          </cell>
          <cell r="G701">
            <v>19</v>
          </cell>
        </row>
        <row r="702">
          <cell r="A702" t="str">
            <v>42</v>
          </cell>
          <cell r="B702" t="str">
            <v>69138</v>
          </cell>
          <cell r="C702" t="str">
            <v>Santa Barbara</v>
          </cell>
          <cell r="D702" t="str">
            <v>Buellton Union Elementary</v>
          </cell>
          <cell r="E702">
            <v>693</v>
          </cell>
          <cell r="F702">
            <v>11781</v>
          </cell>
          <cell r="G702">
            <v>2</v>
          </cell>
        </row>
        <row r="703">
          <cell r="A703" t="str">
            <v>42</v>
          </cell>
          <cell r="B703" t="str">
            <v>69146</v>
          </cell>
          <cell r="C703" t="str">
            <v>Santa Barbara</v>
          </cell>
          <cell r="D703" t="str">
            <v>Carpinteria Unified</v>
          </cell>
          <cell r="E703">
            <v>2463</v>
          </cell>
          <cell r="F703">
            <v>52524</v>
          </cell>
          <cell r="G703">
            <v>8</v>
          </cell>
        </row>
        <row r="704">
          <cell r="A704" t="str">
            <v>42</v>
          </cell>
          <cell r="B704" t="str">
            <v>69161</v>
          </cell>
          <cell r="C704" t="str">
            <v>Santa Barbara</v>
          </cell>
          <cell r="D704" t="str">
            <v>Cold Spring Elementary</v>
          </cell>
          <cell r="E704">
            <v>198</v>
          </cell>
          <cell r="F704">
            <v>3564</v>
          </cell>
          <cell r="G704">
            <v>1</v>
          </cell>
        </row>
        <row r="705">
          <cell r="A705" t="str">
            <v>42</v>
          </cell>
          <cell r="B705" t="str">
            <v>69179</v>
          </cell>
          <cell r="C705" t="str">
            <v>Santa Barbara</v>
          </cell>
          <cell r="D705" t="str">
            <v>College Elementary</v>
          </cell>
          <cell r="E705">
            <v>208</v>
          </cell>
          <cell r="F705">
            <v>7128</v>
          </cell>
          <cell r="G705">
            <v>2</v>
          </cell>
        </row>
        <row r="706">
          <cell r="A706" t="str">
            <v>42</v>
          </cell>
          <cell r="B706" t="str">
            <v>69195</v>
          </cell>
          <cell r="C706" t="str">
            <v>Santa Barbara</v>
          </cell>
          <cell r="D706" t="str">
            <v>Goleta Union Elementary</v>
          </cell>
          <cell r="E706">
            <v>3608</v>
          </cell>
          <cell r="F706">
            <v>61336</v>
          </cell>
          <cell r="G706">
            <v>9</v>
          </cell>
        </row>
        <row r="707">
          <cell r="A707" t="str">
            <v>42</v>
          </cell>
          <cell r="B707" t="str">
            <v>69203</v>
          </cell>
          <cell r="C707" t="str">
            <v>Santa Barbara</v>
          </cell>
          <cell r="D707" t="str">
            <v>Guadalupe Union Elementary</v>
          </cell>
          <cell r="E707">
            <v>1127</v>
          </cell>
          <cell r="F707">
            <v>19160</v>
          </cell>
          <cell r="G707">
            <v>2</v>
          </cell>
        </row>
        <row r="708">
          <cell r="A708" t="str">
            <v>42</v>
          </cell>
          <cell r="B708" t="str">
            <v>69211</v>
          </cell>
          <cell r="C708" t="str">
            <v>Santa Barbara</v>
          </cell>
          <cell r="D708" t="str">
            <v>Hope Elementary</v>
          </cell>
          <cell r="E708">
            <v>980</v>
          </cell>
          <cell r="F708">
            <v>16660</v>
          </cell>
          <cell r="G708">
            <v>3</v>
          </cell>
        </row>
        <row r="709">
          <cell r="A709" t="str">
            <v>42</v>
          </cell>
          <cell r="B709" t="str">
            <v>69229</v>
          </cell>
          <cell r="C709" t="str">
            <v>Santa Barbara</v>
          </cell>
          <cell r="D709" t="str">
            <v>Lompoc Unified</v>
          </cell>
          <cell r="E709">
            <v>10083</v>
          </cell>
          <cell r="F709">
            <v>177943</v>
          </cell>
          <cell r="G709">
            <v>16</v>
          </cell>
        </row>
        <row r="710">
          <cell r="A710" t="str">
            <v>42</v>
          </cell>
          <cell r="B710" t="str">
            <v>69237</v>
          </cell>
          <cell r="C710" t="str">
            <v>Santa Barbara</v>
          </cell>
          <cell r="D710" t="str">
            <v>Los Alamos Elementary</v>
          </cell>
          <cell r="E710">
            <v>221</v>
          </cell>
          <cell r="F710">
            <v>3757</v>
          </cell>
          <cell r="G710">
            <v>1</v>
          </cell>
        </row>
        <row r="711">
          <cell r="A711" t="str">
            <v>42</v>
          </cell>
          <cell r="B711" t="str">
            <v>69245</v>
          </cell>
          <cell r="C711" t="str">
            <v>Santa Barbara</v>
          </cell>
          <cell r="D711" t="str">
            <v>Los Olivos Elementary</v>
          </cell>
          <cell r="E711">
            <v>670</v>
          </cell>
          <cell r="F711">
            <v>11390</v>
          </cell>
          <cell r="G711">
            <v>2</v>
          </cell>
        </row>
        <row r="712">
          <cell r="A712" t="str">
            <v>42</v>
          </cell>
          <cell r="B712" t="str">
            <v>69252</v>
          </cell>
          <cell r="C712" t="str">
            <v>Santa Barbara</v>
          </cell>
          <cell r="D712" t="str">
            <v>Montecito Union Elementary</v>
          </cell>
          <cell r="E712">
            <v>399</v>
          </cell>
          <cell r="F712">
            <v>6783</v>
          </cell>
          <cell r="G712">
            <v>1</v>
          </cell>
        </row>
        <row r="713">
          <cell r="A713" t="str">
            <v>42</v>
          </cell>
          <cell r="B713" t="str">
            <v>69260</v>
          </cell>
          <cell r="C713" t="str">
            <v>Santa Barbara</v>
          </cell>
          <cell r="D713" t="str">
            <v>Orcutt Union Elementary</v>
          </cell>
          <cell r="E713">
            <v>4655</v>
          </cell>
          <cell r="F713">
            <v>79135</v>
          </cell>
          <cell r="G713">
            <v>9</v>
          </cell>
        </row>
        <row r="714">
          <cell r="A714" t="str">
            <v>42</v>
          </cell>
          <cell r="B714" t="str">
            <v>69278</v>
          </cell>
          <cell r="C714" t="str">
            <v>Santa Barbara</v>
          </cell>
          <cell r="D714" t="str">
            <v>Santa Barbara Elementary</v>
          </cell>
          <cell r="E714">
            <v>5045</v>
          </cell>
          <cell r="F714">
            <v>88643</v>
          </cell>
          <cell r="G714">
            <v>13</v>
          </cell>
        </row>
        <row r="715">
          <cell r="A715" t="str">
            <v>42</v>
          </cell>
          <cell r="B715" t="str">
            <v>69286</v>
          </cell>
          <cell r="C715" t="str">
            <v>Santa Barbara</v>
          </cell>
          <cell r="D715" t="str">
            <v>Santa Barbara High</v>
          </cell>
          <cell r="E715">
            <v>9905</v>
          </cell>
          <cell r="F715">
            <v>183434</v>
          </cell>
          <cell r="G715">
            <v>13</v>
          </cell>
        </row>
        <row r="716">
          <cell r="A716" t="str">
            <v>42</v>
          </cell>
          <cell r="B716" t="str">
            <v>69310</v>
          </cell>
          <cell r="C716" t="str">
            <v>Santa Barbara</v>
          </cell>
          <cell r="D716" t="str">
            <v>Santa Maria Joint Union High</v>
          </cell>
          <cell r="E716">
            <v>7752</v>
          </cell>
          <cell r="F716">
            <v>131790</v>
          </cell>
          <cell r="G716">
            <v>4</v>
          </cell>
        </row>
        <row r="717">
          <cell r="A717" t="str">
            <v>42</v>
          </cell>
          <cell r="B717" t="str">
            <v>69328</v>
          </cell>
          <cell r="C717" t="str">
            <v>Santa Barbara</v>
          </cell>
          <cell r="D717" t="str">
            <v>Santa Ynez Valley Union High</v>
          </cell>
          <cell r="E717">
            <v>1162</v>
          </cell>
          <cell r="F717">
            <v>22605</v>
          </cell>
          <cell r="G717">
            <v>2</v>
          </cell>
        </row>
        <row r="718">
          <cell r="A718" t="str">
            <v>42</v>
          </cell>
          <cell r="B718" t="str">
            <v>69336</v>
          </cell>
          <cell r="C718" t="str">
            <v>Santa Barbara</v>
          </cell>
          <cell r="D718" t="str">
            <v>Solvang Elementary</v>
          </cell>
          <cell r="E718">
            <v>597</v>
          </cell>
          <cell r="F718">
            <v>10149</v>
          </cell>
          <cell r="G718">
            <v>1</v>
          </cell>
        </row>
        <row r="719">
          <cell r="A719" t="str">
            <v>42</v>
          </cell>
          <cell r="B719" t="str">
            <v>69344</v>
          </cell>
          <cell r="C719" t="str">
            <v>Santa Barbara</v>
          </cell>
          <cell r="D719" t="str">
            <v>Vista del Mar Union</v>
          </cell>
          <cell r="E719">
            <v>89</v>
          </cell>
          <cell r="F719">
            <v>3564</v>
          </cell>
          <cell r="G719">
            <v>1</v>
          </cell>
        </row>
        <row r="720">
          <cell r="A720" t="str">
            <v>42</v>
          </cell>
          <cell r="B720" t="str">
            <v>75010</v>
          </cell>
          <cell r="C720" t="str">
            <v>Santa Barbara</v>
          </cell>
          <cell r="D720" t="str">
            <v>Cuyama Joint Unified</v>
          </cell>
          <cell r="E720">
            <v>275</v>
          </cell>
          <cell r="F720">
            <v>9356</v>
          </cell>
          <cell r="G720">
            <v>3</v>
          </cell>
        </row>
        <row r="721">
          <cell r="A721" t="str">
            <v>43</v>
          </cell>
          <cell r="B721" t="str">
            <v>10439</v>
          </cell>
          <cell r="C721" t="str">
            <v>Santa Clara</v>
          </cell>
          <cell r="D721" t="str">
            <v>Santa Clara County Office of Education</v>
          </cell>
          <cell r="E721">
            <v>2252</v>
          </cell>
          <cell r="F721">
            <v>46529</v>
          </cell>
          <cell r="G721">
            <v>6</v>
          </cell>
        </row>
        <row r="722">
          <cell r="A722" t="str">
            <v>43</v>
          </cell>
          <cell r="B722" t="str">
            <v>69369</v>
          </cell>
          <cell r="C722" t="str">
            <v>Santa Clara</v>
          </cell>
          <cell r="D722" t="str">
            <v>Alum Rock Union Elementary</v>
          </cell>
          <cell r="E722">
            <v>13454</v>
          </cell>
          <cell r="F722">
            <v>228718</v>
          </cell>
          <cell r="G722">
            <v>27</v>
          </cell>
        </row>
        <row r="723">
          <cell r="A723" t="str">
            <v>43</v>
          </cell>
          <cell r="B723" t="str">
            <v>69377</v>
          </cell>
          <cell r="C723" t="str">
            <v>Santa Clara</v>
          </cell>
          <cell r="D723" t="str">
            <v>Berryessa Union Elementary</v>
          </cell>
          <cell r="E723">
            <v>8342</v>
          </cell>
          <cell r="F723">
            <v>143943</v>
          </cell>
          <cell r="G723">
            <v>14</v>
          </cell>
        </row>
        <row r="724">
          <cell r="A724" t="str">
            <v>43</v>
          </cell>
          <cell r="B724" t="str">
            <v>69385</v>
          </cell>
          <cell r="C724" t="str">
            <v>Santa Clara</v>
          </cell>
          <cell r="D724" t="str">
            <v>Cambrian</v>
          </cell>
          <cell r="E724">
            <v>3139</v>
          </cell>
          <cell r="F724">
            <v>55388</v>
          </cell>
          <cell r="G724">
            <v>6</v>
          </cell>
        </row>
        <row r="725">
          <cell r="A725" t="str">
            <v>43</v>
          </cell>
          <cell r="B725" t="str">
            <v>69393</v>
          </cell>
          <cell r="C725" t="str">
            <v>Santa Clara</v>
          </cell>
          <cell r="D725" t="str">
            <v>Campbell Union Elementary</v>
          </cell>
          <cell r="E725">
            <v>7269</v>
          </cell>
          <cell r="F725">
            <v>125701</v>
          </cell>
          <cell r="G725">
            <v>13</v>
          </cell>
        </row>
        <row r="726">
          <cell r="A726" t="str">
            <v>43</v>
          </cell>
          <cell r="B726" t="str">
            <v>69401</v>
          </cell>
          <cell r="C726" t="str">
            <v>Santa Clara</v>
          </cell>
          <cell r="D726" t="str">
            <v>Campbell Union High</v>
          </cell>
          <cell r="E726">
            <v>7763</v>
          </cell>
          <cell r="F726">
            <v>134928</v>
          </cell>
          <cell r="G726">
            <v>7</v>
          </cell>
        </row>
        <row r="727">
          <cell r="A727" t="str">
            <v>43</v>
          </cell>
          <cell r="B727" t="str">
            <v>69419</v>
          </cell>
          <cell r="C727" t="str">
            <v>Santa Clara</v>
          </cell>
          <cell r="D727" t="str">
            <v>Cupertino Union</v>
          </cell>
          <cell r="E727">
            <v>17574</v>
          </cell>
          <cell r="F727">
            <v>298764</v>
          </cell>
          <cell r="G727">
            <v>25</v>
          </cell>
        </row>
        <row r="728">
          <cell r="A728" t="str">
            <v>43</v>
          </cell>
          <cell r="B728" t="str">
            <v>69427</v>
          </cell>
          <cell r="C728" t="str">
            <v>Santa Clara</v>
          </cell>
          <cell r="D728" t="str">
            <v>East Side Union High</v>
          </cell>
          <cell r="E728">
            <v>25052</v>
          </cell>
          <cell r="F728">
            <v>435022</v>
          </cell>
          <cell r="G728">
            <v>16</v>
          </cell>
        </row>
        <row r="729">
          <cell r="A729" t="str">
            <v>43</v>
          </cell>
          <cell r="B729" t="str">
            <v>69435</v>
          </cell>
          <cell r="C729" t="str">
            <v>Santa Clara</v>
          </cell>
          <cell r="D729" t="str">
            <v>Evergreen Elementary</v>
          </cell>
          <cell r="E729">
            <v>13375</v>
          </cell>
          <cell r="F729">
            <v>227383</v>
          </cell>
          <cell r="G729">
            <v>18</v>
          </cell>
        </row>
        <row r="730">
          <cell r="A730" t="str">
            <v>43</v>
          </cell>
          <cell r="B730" t="str">
            <v>69450</v>
          </cell>
          <cell r="C730" t="str">
            <v>Santa Clara</v>
          </cell>
          <cell r="D730" t="str">
            <v>Franklin-McKinley Elementary</v>
          </cell>
          <cell r="E730">
            <v>9899</v>
          </cell>
          <cell r="F730">
            <v>168285</v>
          </cell>
          <cell r="G730">
            <v>16</v>
          </cell>
        </row>
        <row r="731">
          <cell r="A731" t="str">
            <v>43</v>
          </cell>
          <cell r="B731" t="str">
            <v>69468</v>
          </cell>
          <cell r="C731" t="str">
            <v>Santa Clara</v>
          </cell>
          <cell r="D731" t="str">
            <v>Fremont Union High</v>
          </cell>
          <cell r="E731">
            <v>10318</v>
          </cell>
          <cell r="F731">
            <v>177453</v>
          </cell>
          <cell r="G731">
            <v>6</v>
          </cell>
        </row>
        <row r="732">
          <cell r="A732" t="str">
            <v>43</v>
          </cell>
          <cell r="B732" t="str">
            <v>69484</v>
          </cell>
          <cell r="C732" t="str">
            <v>Santa Clara</v>
          </cell>
          <cell r="D732" t="str">
            <v>Gilroy Unified</v>
          </cell>
          <cell r="E732">
            <v>10564</v>
          </cell>
          <cell r="F732">
            <v>182947</v>
          </cell>
          <cell r="G732">
            <v>15</v>
          </cell>
        </row>
        <row r="733">
          <cell r="A733" t="str">
            <v>43</v>
          </cell>
          <cell r="B733" t="str">
            <v>69492</v>
          </cell>
          <cell r="C733" t="str">
            <v>Santa Clara</v>
          </cell>
          <cell r="D733" t="str">
            <v>Lakeside Joint</v>
          </cell>
          <cell r="E733">
            <v>82</v>
          </cell>
          <cell r="F733">
            <v>3564</v>
          </cell>
          <cell r="G733">
            <v>1</v>
          </cell>
        </row>
        <row r="734">
          <cell r="A734" t="str">
            <v>43</v>
          </cell>
          <cell r="B734" t="str">
            <v>69500</v>
          </cell>
          <cell r="C734" t="str">
            <v>Santa Clara</v>
          </cell>
          <cell r="D734" t="str">
            <v>Loma Prieta Joint Union Elementary</v>
          </cell>
          <cell r="E734">
            <v>405</v>
          </cell>
          <cell r="F734">
            <v>7848</v>
          </cell>
          <cell r="G734">
            <v>2</v>
          </cell>
        </row>
        <row r="735">
          <cell r="A735" t="str">
            <v>43</v>
          </cell>
          <cell r="B735" t="str">
            <v>69518</v>
          </cell>
          <cell r="C735" t="str">
            <v>Santa Clara</v>
          </cell>
          <cell r="D735" t="str">
            <v>Los Altos Elementary</v>
          </cell>
          <cell r="E735">
            <v>4245</v>
          </cell>
          <cell r="F735">
            <v>72295</v>
          </cell>
          <cell r="G735">
            <v>9</v>
          </cell>
        </row>
        <row r="736">
          <cell r="A736" t="str">
            <v>43</v>
          </cell>
          <cell r="B736" t="str">
            <v>69526</v>
          </cell>
          <cell r="C736" t="str">
            <v>Santa Clara</v>
          </cell>
          <cell r="D736" t="str">
            <v>Los Gatos Union Elementary</v>
          </cell>
          <cell r="E736">
            <v>2822</v>
          </cell>
          <cell r="F736">
            <v>48683</v>
          </cell>
          <cell r="G736">
            <v>5</v>
          </cell>
        </row>
        <row r="737">
          <cell r="A737" t="str">
            <v>43</v>
          </cell>
          <cell r="B737" t="str">
            <v>69534</v>
          </cell>
          <cell r="C737" t="str">
            <v>Santa Clara</v>
          </cell>
          <cell r="D737" t="str">
            <v>Los Gatos-Saratoga Joint Union High</v>
          </cell>
          <cell r="E737">
            <v>3182</v>
          </cell>
          <cell r="F737">
            <v>54096</v>
          </cell>
          <cell r="G737">
            <v>2</v>
          </cell>
        </row>
        <row r="738">
          <cell r="A738" t="str">
            <v>43</v>
          </cell>
          <cell r="B738" t="str">
            <v>69542</v>
          </cell>
          <cell r="C738" t="str">
            <v>Santa Clara</v>
          </cell>
          <cell r="D738" t="str">
            <v>Luther Burbank</v>
          </cell>
          <cell r="E738">
            <v>576</v>
          </cell>
          <cell r="F738">
            <v>9792</v>
          </cell>
          <cell r="G738">
            <v>1</v>
          </cell>
        </row>
        <row r="739">
          <cell r="A739" t="str">
            <v>43</v>
          </cell>
          <cell r="B739" t="str">
            <v>69567</v>
          </cell>
          <cell r="C739" t="str">
            <v>Santa Clara</v>
          </cell>
          <cell r="D739" t="str">
            <v>Montebello Elementary</v>
          </cell>
          <cell r="E739">
            <v>10</v>
          </cell>
          <cell r="F739">
            <v>2228</v>
          </cell>
          <cell r="G739">
            <v>1</v>
          </cell>
        </row>
        <row r="740">
          <cell r="A740" t="str">
            <v>43</v>
          </cell>
          <cell r="B740" t="str">
            <v>69575</v>
          </cell>
          <cell r="C740" t="str">
            <v>Santa Clara</v>
          </cell>
          <cell r="D740" t="str">
            <v>Moreland Elementary</v>
          </cell>
          <cell r="E740">
            <v>4001</v>
          </cell>
          <cell r="F740">
            <v>68018</v>
          </cell>
          <cell r="G740">
            <v>6</v>
          </cell>
        </row>
        <row r="741">
          <cell r="A741" t="str">
            <v>43</v>
          </cell>
          <cell r="B741" t="str">
            <v>69583</v>
          </cell>
          <cell r="C741" t="str">
            <v>Santa Clara</v>
          </cell>
          <cell r="D741" t="str">
            <v>Morgan Hill Unified</v>
          </cell>
          <cell r="E741">
            <v>9198</v>
          </cell>
          <cell r="F741">
            <v>157195</v>
          </cell>
          <cell r="G741">
            <v>14</v>
          </cell>
        </row>
        <row r="742">
          <cell r="A742" t="str">
            <v>43</v>
          </cell>
          <cell r="B742" t="str">
            <v>69591</v>
          </cell>
          <cell r="C742" t="str">
            <v>Santa Clara</v>
          </cell>
          <cell r="D742" t="str">
            <v>Mountain View Whisman</v>
          </cell>
          <cell r="E742">
            <v>4458</v>
          </cell>
          <cell r="F742">
            <v>75786</v>
          </cell>
          <cell r="G742">
            <v>8</v>
          </cell>
        </row>
        <row r="743">
          <cell r="A743" t="str">
            <v>43</v>
          </cell>
          <cell r="B743" t="str">
            <v>69609</v>
          </cell>
          <cell r="C743" t="str">
            <v>Santa Clara</v>
          </cell>
          <cell r="D743" t="str">
            <v>Mountain View-Los Altos Union High</v>
          </cell>
          <cell r="E743">
            <v>3656</v>
          </cell>
          <cell r="F743">
            <v>63049</v>
          </cell>
          <cell r="G743">
            <v>3</v>
          </cell>
        </row>
        <row r="744">
          <cell r="A744" t="str">
            <v>43</v>
          </cell>
          <cell r="B744" t="str">
            <v>69617</v>
          </cell>
          <cell r="C744" t="str">
            <v>Santa Clara</v>
          </cell>
          <cell r="D744" t="str">
            <v>Mt. Pleasant Elementary</v>
          </cell>
          <cell r="E744">
            <v>2963</v>
          </cell>
          <cell r="F744">
            <v>50372</v>
          </cell>
          <cell r="G744">
            <v>5</v>
          </cell>
        </row>
        <row r="745">
          <cell r="A745" t="str">
            <v>43</v>
          </cell>
          <cell r="B745" t="str">
            <v>69625</v>
          </cell>
          <cell r="C745" t="str">
            <v>Santa Clara</v>
          </cell>
          <cell r="D745" t="str">
            <v>Oak Grove Elementary</v>
          </cell>
          <cell r="E745">
            <v>11748</v>
          </cell>
          <cell r="F745">
            <v>201692</v>
          </cell>
          <cell r="G745">
            <v>20</v>
          </cell>
        </row>
        <row r="746">
          <cell r="A746" t="str">
            <v>43</v>
          </cell>
          <cell r="B746" t="str">
            <v>69633</v>
          </cell>
          <cell r="C746" t="str">
            <v>Santa Clara</v>
          </cell>
          <cell r="D746" t="str">
            <v>Orchard Elementary</v>
          </cell>
          <cell r="E746">
            <v>832</v>
          </cell>
          <cell r="F746">
            <v>14145</v>
          </cell>
          <cell r="G746">
            <v>1</v>
          </cell>
        </row>
        <row r="747">
          <cell r="A747" t="str">
            <v>43</v>
          </cell>
          <cell r="B747" t="str">
            <v>69641</v>
          </cell>
          <cell r="C747" t="str">
            <v>Santa Clara</v>
          </cell>
          <cell r="D747" t="str">
            <v>Palo Alto Unified</v>
          </cell>
          <cell r="E747">
            <v>11382</v>
          </cell>
          <cell r="F747">
            <v>199385</v>
          </cell>
          <cell r="G747">
            <v>19</v>
          </cell>
        </row>
        <row r="748">
          <cell r="A748" t="str">
            <v>43</v>
          </cell>
          <cell r="B748" t="str">
            <v>69666</v>
          </cell>
          <cell r="C748" t="str">
            <v>Santa Clara</v>
          </cell>
          <cell r="D748" t="str">
            <v>San Jose Unified</v>
          </cell>
          <cell r="E748">
            <v>31459</v>
          </cell>
          <cell r="F748">
            <v>562238</v>
          </cell>
          <cell r="G748">
            <v>51</v>
          </cell>
        </row>
        <row r="749">
          <cell r="A749" t="str">
            <v>43</v>
          </cell>
          <cell r="B749" t="str">
            <v>69674</v>
          </cell>
          <cell r="C749" t="str">
            <v>Santa Clara</v>
          </cell>
          <cell r="D749" t="str">
            <v>Santa Clara Unified</v>
          </cell>
          <cell r="E749">
            <v>14637</v>
          </cell>
          <cell r="F749">
            <v>249729</v>
          </cell>
          <cell r="G749">
            <v>24</v>
          </cell>
        </row>
        <row r="750">
          <cell r="A750" t="str">
            <v>43</v>
          </cell>
          <cell r="B750" t="str">
            <v>69682</v>
          </cell>
          <cell r="C750" t="str">
            <v>Santa Clara</v>
          </cell>
          <cell r="D750" t="str">
            <v>Saratoga Union Elementary</v>
          </cell>
          <cell r="E750">
            <v>2261</v>
          </cell>
          <cell r="F750">
            <v>38438</v>
          </cell>
          <cell r="G750">
            <v>4</v>
          </cell>
        </row>
        <row r="751">
          <cell r="A751" t="str">
            <v>43</v>
          </cell>
          <cell r="B751" t="str">
            <v>69690</v>
          </cell>
          <cell r="C751" t="str">
            <v>Santa Clara</v>
          </cell>
          <cell r="D751" t="str">
            <v>Sunnyvale</v>
          </cell>
          <cell r="E751">
            <v>6170</v>
          </cell>
          <cell r="F751">
            <v>107035</v>
          </cell>
          <cell r="G751">
            <v>11</v>
          </cell>
        </row>
        <row r="752">
          <cell r="A752" t="str">
            <v>43</v>
          </cell>
          <cell r="B752" t="str">
            <v>69708</v>
          </cell>
          <cell r="C752" t="str">
            <v>Santa Clara</v>
          </cell>
          <cell r="D752" t="str">
            <v>Union Elementary</v>
          </cell>
          <cell r="E752">
            <v>4564</v>
          </cell>
          <cell r="F752">
            <v>77590</v>
          </cell>
          <cell r="G752">
            <v>8</v>
          </cell>
        </row>
        <row r="753">
          <cell r="A753" t="str">
            <v>43</v>
          </cell>
          <cell r="B753" t="str">
            <v>73387</v>
          </cell>
          <cell r="C753" t="str">
            <v>Santa Clara</v>
          </cell>
          <cell r="D753" t="str">
            <v>Milpitas Unified</v>
          </cell>
          <cell r="E753">
            <v>9649</v>
          </cell>
          <cell r="F753">
            <v>167662</v>
          </cell>
          <cell r="G753">
            <v>14</v>
          </cell>
        </row>
        <row r="754">
          <cell r="A754" t="str">
            <v>44</v>
          </cell>
          <cell r="B754" t="str">
            <v>10447</v>
          </cell>
          <cell r="C754" t="str">
            <v>Santa Cruz</v>
          </cell>
          <cell r="D754" t="str">
            <v>Santa Cruz County Office of Education</v>
          </cell>
          <cell r="E754">
            <v>810</v>
          </cell>
          <cell r="F754">
            <v>17158</v>
          </cell>
          <cell r="G754">
            <v>3</v>
          </cell>
        </row>
        <row r="755">
          <cell r="A755" t="str">
            <v>44</v>
          </cell>
          <cell r="B755" t="str">
            <v>69732</v>
          </cell>
          <cell r="C755" t="str">
            <v>Santa Cruz</v>
          </cell>
          <cell r="D755" t="str">
            <v>Bonny Doon Union Elementary</v>
          </cell>
          <cell r="E755">
            <v>125</v>
          </cell>
          <cell r="F755">
            <v>3564</v>
          </cell>
          <cell r="G755">
            <v>1</v>
          </cell>
        </row>
        <row r="756">
          <cell r="A756" t="str">
            <v>44</v>
          </cell>
          <cell r="B756" t="str">
            <v>69757</v>
          </cell>
          <cell r="C756" t="str">
            <v>Santa Cruz</v>
          </cell>
          <cell r="D756" t="str">
            <v>Happy Valley Elementary</v>
          </cell>
          <cell r="E756">
            <v>129</v>
          </cell>
          <cell r="F756">
            <v>3564</v>
          </cell>
          <cell r="G756">
            <v>1</v>
          </cell>
        </row>
        <row r="757">
          <cell r="A757" t="str">
            <v>44</v>
          </cell>
          <cell r="B757" t="str">
            <v>69765</v>
          </cell>
          <cell r="C757" t="str">
            <v>Santa Cruz</v>
          </cell>
          <cell r="D757" t="str">
            <v>Live Oak Elementary</v>
          </cell>
          <cell r="E757">
            <v>2161</v>
          </cell>
          <cell r="F757">
            <v>41717</v>
          </cell>
          <cell r="G757">
            <v>7</v>
          </cell>
        </row>
        <row r="758">
          <cell r="A758" t="str">
            <v>44</v>
          </cell>
          <cell r="B758" t="str">
            <v>69773</v>
          </cell>
          <cell r="C758" t="str">
            <v>Santa Cruz</v>
          </cell>
          <cell r="D758" t="str">
            <v>Mountain Elementary</v>
          </cell>
          <cell r="E758">
            <v>159</v>
          </cell>
          <cell r="F758">
            <v>3564</v>
          </cell>
          <cell r="G758">
            <v>1</v>
          </cell>
        </row>
        <row r="759">
          <cell r="A759" t="str">
            <v>44</v>
          </cell>
          <cell r="B759" t="str">
            <v>69781</v>
          </cell>
          <cell r="C759" t="str">
            <v>Santa Cruz</v>
          </cell>
          <cell r="D759" t="str">
            <v>Pacific Elementary</v>
          </cell>
          <cell r="E759">
            <v>106</v>
          </cell>
          <cell r="F759">
            <v>3564</v>
          </cell>
          <cell r="G759">
            <v>1</v>
          </cell>
        </row>
        <row r="760">
          <cell r="A760" t="str">
            <v>44</v>
          </cell>
          <cell r="B760" t="str">
            <v>69799</v>
          </cell>
          <cell r="C760" t="str">
            <v>Santa Cruz</v>
          </cell>
          <cell r="D760" t="str">
            <v>Pajaro Valley Unified</v>
          </cell>
          <cell r="E760">
            <v>19334</v>
          </cell>
          <cell r="F760">
            <v>333797</v>
          </cell>
          <cell r="G760">
            <v>32</v>
          </cell>
        </row>
        <row r="761">
          <cell r="A761" t="str">
            <v>44</v>
          </cell>
          <cell r="B761" t="str">
            <v>69807</v>
          </cell>
          <cell r="C761" t="str">
            <v>Santa Cruz</v>
          </cell>
          <cell r="D761" t="str">
            <v>San Lorenzo Valley Unified</v>
          </cell>
          <cell r="E761">
            <v>2725</v>
          </cell>
          <cell r="F761">
            <v>49516</v>
          </cell>
          <cell r="G761">
            <v>6</v>
          </cell>
        </row>
        <row r="762">
          <cell r="A762" t="str">
            <v>44</v>
          </cell>
          <cell r="B762" t="str">
            <v>69815</v>
          </cell>
          <cell r="C762" t="str">
            <v>Santa Cruz</v>
          </cell>
          <cell r="D762" t="str">
            <v>Santa Cruz City Elementary</v>
          </cell>
          <cell r="E762">
            <v>2165</v>
          </cell>
          <cell r="F762">
            <v>38890</v>
          </cell>
          <cell r="G762">
            <v>5</v>
          </cell>
        </row>
        <row r="763">
          <cell r="A763" t="str">
            <v>44</v>
          </cell>
          <cell r="B763" t="str">
            <v>69823</v>
          </cell>
          <cell r="C763" t="str">
            <v>Santa Cruz</v>
          </cell>
          <cell r="D763" t="str">
            <v>Santa Cruz City High</v>
          </cell>
          <cell r="E763">
            <v>4759</v>
          </cell>
          <cell r="F763">
            <v>86866</v>
          </cell>
          <cell r="G763">
            <v>9</v>
          </cell>
        </row>
        <row r="764">
          <cell r="A764" t="str">
            <v>44</v>
          </cell>
          <cell r="B764" t="str">
            <v>69849</v>
          </cell>
          <cell r="C764" t="str">
            <v>Santa Cruz</v>
          </cell>
          <cell r="D764" t="str">
            <v>Soquel Union Elementary</v>
          </cell>
          <cell r="E764">
            <v>1773</v>
          </cell>
          <cell r="F764">
            <v>30141</v>
          </cell>
          <cell r="G764">
            <v>4</v>
          </cell>
        </row>
        <row r="765">
          <cell r="A765" t="str">
            <v>44</v>
          </cell>
          <cell r="B765" t="str">
            <v>75432</v>
          </cell>
          <cell r="C765" t="str">
            <v>Santa Cruz</v>
          </cell>
          <cell r="D765" t="str">
            <v>Scotts Valley Unified</v>
          </cell>
          <cell r="E765">
            <v>2591</v>
          </cell>
          <cell r="F765">
            <v>44048</v>
          </cell>
          <cell r="G765">
            <v>4</v>
          </cell>
        </row>
        <row r="766">
          <cell r="A766" t="str">
            <v>45</v>
          </cell>
          <cell r="B766" t="str">
            <v>10454</v>
          </cell>
          <cell r="C766" t="str">
            <v>Shasta</v>
          </cell>
          <cell r="D766" t="str">
            <v>Shasta County Office of Education</v>
          </cell>
          <cell r="E766">
            <v>798</v>
          </cell>
          <cell r="F766">
            <v>20712</v>
          </cell>
          <cell r="G766">
            <v>4</v>
          </cell>
        </row>
        <row r="767">
          <cell r="A767" t="str">
            <v>45</v>
          </cell>
          <cell r="B767" t="str">
            <v>69856</v>
          </cell>
          <cell r="C767" t="str">
            <v>Shasta</v>
          </cell>
          <cell r="D767" t="str">
            <v>Anderson Union High</v>
          </cell>
          <cell r="E767">
            <v>2164</v>
          </cell>
          <cell r="F767">
            <v>43812</v>
          </cell>
          <cell r="G767">
            <v>7</v>
          </cell>
        </row>
        <row r="768">
          <cell r="A768" t="str">
            <v>45</v>
          </cell>
          <cell r="B768" t="str">
            <v>69872</v>
          </cell>
          <cell r="C768" t="str">
            <v>Shasta</v>
          </cell>
          <cell r="D768" t="str">
            <v>Bella Vista Elementary</v>
          </cell>
          <cell r="E768">
            <v>428</v>
          </cell>
          <cell r="F768">
            <v>7276</v>
          </cell>
          <cell r="G768">
            <v>1</v>
          </cell>
        </row>
        <row r="769">
          <cell r="A769" t="str">
            <v>45</v>
          </cell>
          <cell r="B769" t="str">
            <v>69880</v>
          </cell>
          <cell r="C769" t="str">
            <v>Shasta</v>
          </cell>
          <cell r="D769" t="str">
            <v>Black Butte Union Elementary</v>
          </cell>
          <cell r="E769">
            <v>255</v>
          </cell>
          <cell r="F769">
            <v>11584</v>
          </cell>
          <cell r="G769">
            <v>4</v>
          </cell>
        </row>
        <row r="770">
          <cell r="A770" t="str">
            <v>45</v>
          </cell>
          <cell r="B770" t="str">
            <v>69914</v>
          </cell>
          <cell r="C770" t="str">
            <v>Shasta</v>
          </cell>
          <cell r="D770" t="str">
            <v>Cascade Union Elementary</v>
          </cell>
          <cell r="E770">
            <v>1526</v>
          </cell>
          <cell r="F770">
            <v>33027</v>
          </cell>
          <cell r="G770">
            <v>7</v>
          </cell>
        </row>
        <row r="771">
          <cell r="A771" t="str">
            <v>45</v>
          </cell>
          <cell r="B771" t="str">
            <v>69922</v>
          </cell>
          <cell r="C771" t="str">
            <v>Shasta</v>
          </cell>
          <cell r="D771" t="str">
            <v>Castle Rock Union Elementary</v>
          </cell>
          <cell r="E771">
            <v>75</v>
          </cell>
          <cell r="F771">
            <v>3564</v>
          </cell>
          <cell r="G771">
            <v>1</v>
          </cell>
        </row>
        <row r="772">
          <cell r="A772" t="str">
            <v>45</v>
          </cell>
          <cell r="B772" t="str">
            <v>69948</v>
          </cell>
          <cell r="C772" t="str">
            <v>Shasta</v>
          </cell>
          <cell r="D772" t="str">
            <v>Columbia Elementary</v>
          </cell>
          <cell r="E772">
            <v>1023</v>
          </cell>
          <cell r="F772">
            <v>21677</v>
          </cell>
          <cell r="G772">
            <v>4</v>
          </cell>
        </row>
        <row r="773">
          <cell r="A773" t="str">
            <v>45</v>
          </cell>
          <cell r="B773" t="str">
            <v>69955</v>
          </cell>
          <cell r="C773" t="str">
            <v>Shasta</v>
          </cell>
          <cell r="D773" t="str">
            <v>Cottonwood Union Elementary</v>
          </cell>
          <cell r="E773">
            <v>1147</v>
          </cell>
          <cell r="F773">
            <v>21574</v>
          </cell>
          <cell r="G773">
            <v>4</v>
          </cell>
        </row>
        <row r="774">
          <cell r="A774" t="str">
            <v>45</v>
          </cell>
          <cell r="B774" t="str">
            <v>69971</v>
          </cell>
          <cell r="C774" t="str">
            <v>Shasta</v>
          </cell>
          <cell r="D774" t="str">
            <v>Enterprise Elementary</v>
          </cell>
          <cell r="E774">
            <v>3396</v>
          </cell>
          <cell r="F774">
            <v>60888</v>
          </cell>
          <cell r="G774">
            <v>8</v>
          </cell>
        </row>
        <row r="775">
          <cell r="A775" t="str">
            <v>45</v>
          </cell>
          <cell r="B775" t="str">
            <v>69989</v>
          </cell>
          <cell r="C775" t="str">
            <v>Shasta</v>
          </cell>
          <cell r="D775" t="str">
            <v>Fall River Joint Unified</v>
          </cell>
          <cell r="E775">
            <v>1211</v>
          </cell>
          <cell r="F775">
            <v>35265</v>
          </cell>
          <cell r="G775">
            <v>11</v>
          </cell>
        </row>
        <row r="776">
          <cell r="A776" t="str">
            <v>45</v>
          </cell>
          <cell r="B776" t="str">
            <v>69997</v>
          </cell>
          <cell r="C776" t="str">
            <v>Shasta</v>
          </cell>
          <cell r="D776" t="str">
            <v>French Gulch-Whiskeytown Elementary</v>
          </cell>
          <cell r="E776">
            <v>21</v>
          </cell>
          <cell r="F776">
            <v>3564</v>
          </cell>
          <cell r="G776">
            <v>1</v>
          </cell>
        </row>
        <row r="777">
          <cell r="A777" t="str">
            <v>45</v>
          </cell>
          <cell r="B777" t="str">
            <v>70003</v>
          </cell>
          <cell r="C777" t="str">
            <v>Shasta</v>
          </cell>
          <cell r="D777" t="str">
            <v>Grant Elementary</v>
          </cell>
          <cell r="E777">
            <v>612</v>
          </cell>
          <cell r="F777">
            <v>10404</v>
          </cell>
          <cell r="G777">
            <v>1</v>
          </cell>
        </row>
        <row r="778">
          <cell r="A778" t="str">
            <v>45</v>
          </cell>
          <cell r="B778" t="str">
            <v>70011</v>
          </cell>
          <cell r="C778" t="str">
            <v>Shasta</v>
          </cell>
          <cell r="D778" t="str">
            <v>Happy Valley Union Elementary</v>
          </cell>
          <cell r="E778">
            <v>569</v>
          </cell>
          <cell r="F778">
            <v>11748</v>
          </cell>
          <cell r="G778">
            <v>3</v>
          </cell>
        </row>
        <row r="779">
          <cell r="A779" t="str">
            <v>45</v>
          </cell>
          <cell r="B779" t="str">
            <v>70029</v>
          </cell>
          <cell r="C779" t="str">
            <v>Shasta</v>
          </cell>
          <cell r="D779" t="str">
            <v>Igo, Ono, Platina Union Elementary</v>
          </cell>
          <cell r="E779">
            <v>89</v>
          </cell>
          <cell r="F779">
            <v>5792</v>
          </cell>
          <cell r="G779">
            <v>2</v>
          </cell>
        </row>
        <row r="780">
          <cell r="A780" t="str">
            <v>45</v>
          </cell>
          <cell r="B780" t="str">
            <v>70037</v>
          </cell>
          <cell r="C780" t="str">
            <v>Shasta</v>
          </cell>
          <cell r="D780" t="str">
            <v>Indian Springs Elementary</v>
          </cell>
          <cell r="E780">
            <v>14</v>
          </cell>
          <cell r="F780">
            <v>2228</v>
          </cell>
          <cell r="G780">
            <v>1</v>
          </cell>
        </row>
        <row r="781">
          <cell r="A781" t="str">
            <v>45</v>
          </cell>
          <cell r="B781" t="str">
            <v>70045</v>
          </cell>
          <cell r="C781" t="str">
            <v>Shasta</v>
          </cell>
          <cell r="D781" t="str">
            <v>Junction Elementary</v>
          </cell>
          <cell r="E781">
            <v>331</v>
          </cell>
          <cell r="F781">
            <v>7128</v>
          </cell>
          <cell r="G781">
            <v>2</v>
          </cell>
        </row>
        <row r="782">
          <cell r="A782" t="str">
            <v>45</v>
          </cell>
          <cell r="B782" t="str">
            <v>70052</v>
          </cell>
          <cell r="C782" t="str">
            <v>Shasta</v>
          </cell>
          <cell r="D782" t="str">
            <v>Millville Elementary</v>
          </cell>
          <cell r="E782">
            <v>231</v>
          </cell>
          <cell r="F782">
            <v>3927</v>
          </cell>
          <cell r="G782">
            <v>1</v>
          </cell>
        </row>
        <row r="783">
          <cell r="A783" t="str">
            <v>45</v>
          </cell>
          <cell r="B783" t="str">
            <v>70078</v>
          </cell>
          <cell r="C783" t="str">
            <v>Shasta</v>
          </cell>
          <cell r="D783" t="str">
            <v>North Cow Creek Elementary</v>
          </cell>
          <cell r="E783">
            <v>305</v>
          </cell>
          <cell r="F783">
            <v>5185</v>
          </cell>
          <cell r="G783">
            <v>1</v>
          </cell>
        </row>
        <row r="784">
          <cell r="A784" t="str">
            <v>45</v>
          </cell>
          <cell r="B784" t="str">
            <v>70086</v>
          </cell>
          <cell r="C784" t="str">
            <v>Shasta</v>
          </cell>
          <cell r="D784" t="str">
            <v>Oak Run Elementary</v>
          </cell>
          <cell r="E784">
            <v>41</v>
          </cell>
          <cell r="F784">
            <v>3564</v>
          </cell>
          <cell r="G784">
            <v>1</v>
          </cell>
        </row>
        <row r="785">
          <cell r="A785" t="str">
            <v>45</v>
          </cell>
          <cell r="B785" t="str">
            <v>70094</v>
          </cell>
          <cell r="C785" t="str">
            <v>Shasta</v>
          </cell>
          <cell r="D785" t="str">
            <v>Pacheco Union Elementary</v>
          </cell>
          <cell r="E785">
            <v>624</v>
          </cell>
          <cell r="F785">
            <v>12683</v>
          </cell>
          <cell r="G785">
            <v>3</v>
          </cell>
        </row>
        <row r="786">
          <cell r="A786" t="str">
            <v>45</v>
          </cell>
          <cell r="B786" t="str">
            <v>70110</v>
          </cell>
          <cell r="C786" t="str">
            <v>Shasta</v>
          </cell>
          <cell r="D786" t="str">
            <v>Redding Elementary</v>
          </cell>
          <cell r="E786">
            <v>3427</v>
          </cell>
          <cell r="F786">
            <v>64114</v>
          </cell>
          <cell r="G786">
            <v>10</v>
          </cell>
        </row>
        <row r="787">
          <cell r="A787" t="str">
            <v>45</v>
          </cell>
          <cell r="B787" t="str">
            <v>70128</v>
          </cell>
          <cell r="C787" t="str">
            <v>Shasta</v>
          </cell>
          <cell r="D787" t="str">
            <v>Shasta Union Elementary</v>
          </cell>
          <cell r="E787">
            <v>116</v>
          </cell>
          <cell r="F787">
            <v>3564</v>
          </cell>
          <cell r="G787">
            <v>1</v>
          </cell>
        </row>
        <row r="788">
          <cell r="A788" t="str">
            <v>45</v>
          </cell>
          <cell r="B788" t="str">
            <v>70136</v>
          </cell>
          <cell r="C788" t="str">
            <v>Shasta</v>
          </cell>
          <cell r="D788" t="str">
            <v>Shasta Union High</v>
          </cell>
          <cell r="E788">
            <v>5834</v>
          </cell>
          <cell r="F788">
            <v>110745</v>
          </cell>
          <cell r="G788">
            <v>10</v>
          </cell>
        </row>
        <row r="789">
          <cell r="A789" t="str">
            <v>45</v>
          </cell>
          <cell r="B789" t="str">
            <v>70169</v>
          </cell>
          <cell r="C789" t="str">
            <v>Shasta</v>
          </cell>
          <cell r="D789" t="str">
            <v>Whitmore Union Elementary</v>
          </cell>
          <cell r="E789">
            <v>28</v>
          </cell>
          <cell r="F789">
            <v>3564</v>
          </cell>
          <cell r="G789">
            <v>1</v>
          </cell>
        </row>
        <row r="790">
          <cell r="A790" t="str">
            <v>45</v>
          </cell>
          <cell r="B790" t="str">
            <v>73700</v>
          </cell>
          <cell r="C790" t="str">
            <v>Shasta</v>
          </cell>
          <cell r="D790" t="str">
            <v>Mountain Union Elementary</v>
          </cell>
          <cell r="E790">
            <v>68</v>
          </cell>
          <cell r="F790">
            <v>3564</v>
          </cell>
          <cell r="G790">
            <v>1</v>
          </cell>
        </row>
        <row r="791">
          <cell r="A791" t="str">
            <v>45</v>
          </cell>
          <cell r="B791" t="str">
            <v>75267</v>
          </cell>
          <cell r="C791" t="str">
            <v>Shasta</v>
          </cell>
          <cell r="D791" t="str">
            <v>Gateway Unified</v>
          </cell>
          <cell r="E791">
            <v>2796</v>
          </cell>
          <cell r="F791">
            <v>56714</v>
          </cell>
          <cell r="G791">
            <v>8</v>
          </cell>
        </row>
        <row r="792">
          <cell r="A792" t="str">
            <v>46</v>
          </cell>
          <cell r="B792" t="str">
            <v>10462</v>
          </cell>
          <cell r="C792" t="str">
            <v>Sierra</v>
          </cell>
          <cell r="D792" t="str">
            <v>Sierra County Office of Education</v>
          </cell>
          <cell r="E792">
            <v>3</v>
          </cell>
          <cell r="F792">
            <v>2228</v>
          </cell>
          <cell r="G792">
            <v>1</v>
          </cell>
        </row>
        <row r="793">
          <cell r="A793" t="str">
            <v>46</v>
          </cell>
          <cell r="B793" t="str">
            <v>70177</v>
          </cell>
          <cell r="C793" t="str">
            <v>Sierra</v>
          </cell>
          <cell r="D793" t="str">
            <v>Sierra-Plumas Joint Unified</v>
          </cell>
          <cell r="E793">
            <v>470</v>
          </cell>
          <cell r="F793">
            <v>20048</v>
          </cell>
          <cell r="G793">
            <v>6</v>
          </cell>
        </row>
        <row r="794">
          <cell r="A794" t="str">
            <v>47</v>
          </cell>
          <cell r="B794" t="str">
            <v>10470</v>
          </cell>
          <cell r="C794" t="str">
            <v>Siskiyou</v>
          </cell>
          <cell r="D794" t="str">
            <v>Siskiyou County Office of Education</v>
          </cell>
          <cell r="E794">
            <v>114</v>
          </cell>
          <cell r="F794">
            <v>5792</v>
          </cell>
          <cell r="G794">
            <v>2</v>
          </cell>
        </row>
        <row r="795">
          <cell r="A795" t="str">
            <v>47</v>
          </cell>
          <cell r="B795" t="str">
            <v>70185</v>
          </cell>
          <cell r="C795" t="str">
            <v>Siskiyou</v>
          </cell>
          <cell r="D795" t="str">
            <v>Big Springs Union Elementary</v>
          </cell>
          <cell r="E795">
            <v>105</v>
          </cell>
          <cell r="F795">
            <v>3564</v>
          </cell>
          <cell r="G795">
            <v>1</v>
          </cell>
        </row>
        <row r="796">
          <cell r="A796" t="str">
            <v>47</v>
          </cell>
          <cell r="B796" t="str">
            <v>70193</v>
          </cell>
          <cell r="C796" t="str">
            <v>Siskiyou</v>
          </cell>
          <cell r="D796" t="str">
            <v>Bogus Elementary</v>
          </cell>
          <cell r="E796">
            <v>10</v>
          </cell>
          <cell r="F796">
            <v>2228</v>
          </cell>
          <cell r="G796">
            <v>1</v>
          </cell>
        </row>
        <row r="797">
          <cell r="A797" t="str">
            <v>47</v>
          </cell>
          <cell r="B797" t="str">
            <v>70201</v>
          </cell>
          <cell r="C797" t="str">
            <v>Siskiyou</v>
          </cell>
          <cell r="D797" t="str">
            <v>Butteville Union Elementary</v>
          </cell>
          <cell r="E797">
            <v>151</v>
          </cell>
          <cell r="F797">
            <v>3564</v>
          </cell>
          <cell r="G797">
            <v>1</v>
          </cell>
        </row>
        <row r="798">
          <cell r="A798" t="str">
            <v>47</v>
          </cell>
          <cell r="B798" t="str">
            <v>70227</v>
          </cell>
          <cell r="C798" t="str">
            <v>Siskiyou</v>
          </cell>
          <cell r="D798" t="str">
            <v>Delphic Elementary</v>
          </cell>
          <cell r="E798">
            <v>51</v>
          </cell>
          <cell r="F798">
            <v>3564</v>
          </cell>
          <cell r="G798">
            <v>1</v>
          </cell>
        </row>
        <row r="799">
          <cell r="A799" t="str">
            <v>47</v>
          </cell>
          <cell r="B799" t="str">
            <v>70243</v>
          </cell>
          <cell r="C799" t="str">
            <v>Siskiyou</v>
          </cell>
          <cell r="D799" t="str">
            <v>Dunsmuir Elementary</v>
          </cell>
          <cell r="E799">
            <v>181</v>
          </cell>
          <cell r="F799">
            <v>5792</v>
          </cell>
          <cell r="G799">
            <v>2</v>
          </cell>
        </row>
        <row r="800">
          <cell r="A800" t="str">
            <v>47</v>
          </cell>
          <cell r="B800" t="str">
            <v>70250</v>
          </cell>
          <cell r="C800" t="str">
            <v>Siskiyou</v>
          </cell>
          <cell r="D800" t="str">
            <v>Dunsmuir Joint Union High</v>
          </cell>
          <cell r="E800">
            <v>104</v>
          </cell>
          <cell r="F800">
            <v>5792</v>
          </cell>
          <cell r="G800">
            <v>2</v>
          </cell>
        </row>
        <row r="801">
          <cell r="A801" t="str">
            <v>47</v>
          </cell>
          <cell r="B801" t="str">
            <v>70292</v>
          </cell>
          <cell r="C801" t="str">
            <v>Siskiyou</v>
          </cell>
          <cell r="D801" t="str">
            <v>Forks of Salmon Elementary</v>
          </cell>
          <cell r="E801">
            <v>12</v>
          </cell>
          <cell r="F801">
            <v>2228</v>
          </cell>
          <cell r="G801">
            <v>1</v>
          </cell>
        </row>
        <row r="802">
          <cell r="A802" t="str">
            <v>47</v>
          </cell>
          <cell r="B802" t="str">
            <v>70318</v>
          </cell>
          <cell r="C802" t="str">
            <v>Siskiyou</v>
          </cell>
          <cell r="D802" t="str">
            <v>Gazelle Union Elementary</v>
          </cell>
          <cell r="E802">
            <v>51</v>
          </cell>
          <cell r="F802">
            <v>3564</v>
          </cell>
          <cell r="G802">
            <v>1</v>
          </cell>
        </row>
        <row r="803">
          <cell r="A803" t="str">
            <v>47</v>
          </cell>
          <cell r="B803" t="str">
            <v>70326</v>
          </cell>
          <cell r="C803" t="str">
            <v>Siskiyou</v>
          </cell>
          <cell r="D803" t="str">
            <v>Grenada Elementary</v>
          </cell>
          <cell r="E803">
            <v>132</v>
          </cell>
          <cell r="F803">
            <v>5792</v>
          </cell>
          <cell r="G803">
            <v>2</v>
          </cell>
        </row>
        <row r="804">
          <cell r="A804" t="str">
            <v>47</v>
          </cell>
          <cell r="B804" t="str">
            <v>70334</v>
          </cell>
          <cell r="C804" t="str">
            <v>Siskiyou</v>
          </cell>
          <cell r="D804" t="str">
            <v>Happy Camp Union Elementary</v>
          </cell>
          <cell r="E804">
            <v>115</v>
          </cell>
          <cell r="F804">
            <v>8020</v>
          </cell>
          <cell r="G804">
            <v>3</v>
          </cell>
        </row>
        <row r="805">
          <cell r="A805" t="str">
            <v>47</v>
          </cell>
          <cell r="B805" t="str">
            <v>70359</v>
          </cell>
          <cell r="C805" t="str">
            <v>Siskiyou</v>
          </cell>
          <cell r="D805" t="str">
            <v>Hornbrook Elementary</v>
          </cell>
          <cell r="E805">
            <v>37</v>
          </cell>
          <cell r="F805">
            <v>3564</v>
          </cell>
          <cell r="G805">
            <v>1</v>
          </cell>
        </row>
        <row r="806">
          <cell r="A806" t="str">
            <v>47</v>
          </cell>
          <cell r="B806" t="str">
            <v>70367</v>
          </cell>
          <cell r="C806" t="str">
            <v>Siskiyou</v>
          </cell>
          <cell r="D806" t="str">
            <v>Junction Elementary</v>
          </cell>
          <cell r="E806">
            <v>21</v>
          </cell>
          <cell r="F806">
            <v>3564</v>
          </cell>
          <cell r="G806">
            <v>1</v>
          </cell>
        </row>
        <row r="807">
          <cell r="A807" t="str">
            <v>47</v>
          </cell>
          <cell r="B807" t="str">
            <v>70375</v>
          </cell>
          <cell r="C807" t="str">
            <v>Siskiyou</v>
          </cell>
          <cell r="D807" t="str">
            <v>Klamath River Union Elementary</v>
          </cell>
          <cell r="E807">
            <v>23</v>
          </cell>
          <cell r="F807">
            <v>3564</v>
          </cell>
          <cell r="G807">
            <v>1</v>
          </cell>
        </row>
        <row r="808">
          <cell r="A808" t="str">
            <v>47</v>
          </cell>
          <cell r="B808" t="str">
            <v>70383</v>
          </cell>
          <cell r="C808" t="str">
            <v>Siskiyou</v>
          </cell>
          <cell r="D808" t="str">
            <v>Little Shasta Elementary</v>
          </cell>
          <cell r="E808">
            <v>26</v>
          </cell>
          <cell r="F808">
            <v>3564</v>
          </cell>
          <cell r="G808">
            <v>1</v>
          </cell>
        </row>
        <row r="809">
          <cell r="A809" t="str">
            <v>47</v>
          </cell>
          <cell r="B809" t="str">
            <v>70409</v>
          </cell>
          <cell r="C809" t="str">
            <v>Siskiyou</v>
          </cell>
          <cell r="D809" t="str">
            <v>McCloud Union Elementary</v>
          </cell>
          <cell r="E809">
            <v>83</v>
          </cell>
          <cell r="F809">
            <v>3564</v>
          </cell>
          <cell r="G809">
            <v>1</v>
          </cell>
        </row>
        <row r="810">
          <cell r="A810" t="str">
            <v>47</v>
          </cell>
          <cell r="B810" t="str">
            <v>70417</v>
          </cell>
          <cell r="C810" t="str">
            <v>Siskiyou</v>
          </cell>
          <cell r="D810" t="str">
            <v>Montague Elementary</v>
          </cell>
          <cell r="E810">
            <v>146</v>
          </cell>
          <cell r="F810">
            <v>5792</v>
          </cell>
          <cell r="G810">
            <v>2</v>
          </cell>
        </row>
        <row r="811">
          <cell r="A811" t="str">
            <v>47</v>
          </cell>
          <cell r="B811" t="str">
            <v>70425</v>
          </cell>
          <cell r="C811" t="str">
            <v>Siskiyou</v>
          </cell>
          <cell r="D811" t="str">
            <v>Mt. Shasta Union Elementary</v>
          </cell>
          <cell r="E811">
            <v>627</v>
          </cell>
          <cell r="F811">
            <v>12819</v>
          </cell>
          <cell r="G811">
            <v>3</v>
          </cell>
        </row>
        <row r="812">
          <cell r="A812" t="str">
            <v>47</v>
          </cell>
          <cell r="B812" t="str">
            <v>70458</v>
          </cell>
          <cell r="C812" t="str">
            <v>Siskiyou</v>
          </cell>
          <cell r="D812" t="str">
            <v>Seiad Elementary</v>
          </cell>
          <cell r="E812">
            <v>32</v>
          </cell>
          <cell r="F812">
            <v>3564</v>
          </cell>
          <cell r="G812">
            <v>1</v>
          </cell>
        </row>
        <row r="813">
          <cell r="A813" t="str">
            <v>47</v>
          </cell>
          <cell r="B813" t="str">
            <v>70466</v>
          </cell>
          <cell r="C813" t="str">
            <v>Siskiyou</v>
          </cell>
          <cell r="D813" t="str">
            <v>Siskiyou Union High</v>
          </cell>
          <cell r="E813">
            <v>740</v>
          </cell>
          <cell r="F813">
            <v>23265</v>
          </cell>
          <cell r="G813">
            <v>7</v>
          </cell>
        </row>
        <row r="814">
          <cell r="A814" t="str">
            <v>47</v>
          </cell>
          <cell r="B814" t="str">
            <v>70482</v>
          </cell>
          <cell r="C814" t="str">
            <v>Siskiyou</v>
          </cell>
          <cell r="D814" t="str">
            <v>Weed Union Elementary</v>
          </cell>
          <cell r="E814">
            <v>337</v>
          </cell>
          <cell r="F814">
            <v>10083</v>
          </cell>
          <cell r="G814">
            <v>3</v>
          </cell>
        </row>
        <row r="815">
          <cell r="A815" t="str">
            <v>47</v>
          </cell>
          <cell r="B815" t="str">
            <v>70490</v>
          </cell>
          <cell r="C815" t="str">
            <v>Siskiyou</v>
          </cell>
          <cell r="D815" t="str">
            <v>Willow Creek Elementary</v>
          </cell>
          <cell r="E815">
            <v>39</v>
          </cell>
          <cell r="F815">
            <v>3564</v>
          </cell>
          <cell r="G815">
            <v>1</v>
          </cell>
        </row>
        <row r="816">
          <cell r="A816" t="str">
            <v>47</v>
          </cell>
          <cell r="B816" t="str">
            <v>70508</v>
          </cell>
          <cell r="C816" t="str">
            <v>Siskiyou</v>
          </cell>
          <cell r="D816" t="str">
            <v>Yreka Union Elementary</v>
          </cell>
          <cell r="E816">
            <v>1011</v>
          </cell>
          <cell r="F816">
            <v>21467</v>
          </cell>
          <cell r="G816">
            <v>5</v>
          </cell>
        </row>
        <row r="817">
          <cell r="A817" t="str">
            <v>47</v>
          </cell>
          <cell r="B817" t="str">
            <v>70516</v>
          </cell>
          <cell r="C817" t="str">
            <v>Siskiyou</v>
          </cell>
          <cell r="D817" t="str">
            <v>Yreka Union High</v>
          </cell>
          <cell r="E817">
            <v>721</v>
          </cell>
          <cell r="F817">
            <v>16961</v>
          </cell>
          <cell r="G817">
            <v>3</v>
          </cell>
        </row>
        <row r="818">
          <cell r="A818" t="str">
            <v>47</v>
          </cell>
          <cell r="B818" t="str">
            <v>73684</v>
          </cell>
          <cell r="C818" t="str">
            <v>Siskiyou</v>
          </cell>
          <cell r="D818" t="str">
            <v>Butte Valley Unified</v>
          </cell>
          <cell r="E818">
            <v>327</v>
          </cell>
          <cell r="F818">
            <v>17376</v>
          </cell>
          <cell r="G818">
            <v>6</v>
          </cell>
        </row>
        <row r="819">
          <cell r="A819" t="str">
            <v>47</v>
          </cell>
          <cell r="B819" t="str">
            <v>76455</v>
          </cell>
          <cell r="C819" t="str">
            <v>Siskiyou</v>
          </cell>
          <cell r="D819" t="str">
            <v>Scott Valley Unified</v>
          </cell>
          <cell r="E819">
            <v>693</v>
          </cell>
          <cell r="F819">
            <v>28960</v>
          </cell>
          <cell r="G819">
            <v>10</v>
          </cell>
        </row>
        <row r="820">
          <cell r="A820" t="str">
            <v>48</v>
          </cell>
          <cell r="B820" t="str">
            <v>10488</v>
          </cell>
          <cell r="C820" t="str">
            <v>Solano</v>
          </cell>
          <cell r="D820" t="str">
            <v>Solano County Office of Education</v>
          </cell>
          <cell r="E820">
            <v>520</v>
          </cell>
          <cell r="F820">
            <v>12704</v>
          </cell>
          <cell r="G820">
            <v>3</v>
          </cell>
        </row>
        <row r="821">
          <cell r="A821" t="str">
            <v>48</v>
          </cell>
          <cell r="B821" t="str">
            <v>70524</v>
          </cell>
          <cell r="C821" t="str">
            <v>Solano</v>
          </cell>
          <cell r="D821" t="str">
            <v>Benicia Unified</v>
          </cell>
          <cell r="E821">
            <v>4958</v>
          </cell>
          <cell r="F821">
            <v>86526</v>
          </cell>
          <cell r="G821">
            <v>7</v>
          </cell>
        </row>
        <row r="822">
          <cell r="A822" t="str">
            <v>48</v>
          </cell>
          <cell r="B822" t="str">
            <v>70532</v>
          </cell>
          <cell r="C822" t="str">
            <v>Solano</v>
          </cell>
          <cell r="D822" t="str">
            <v>Dixon Unified</v>
          </cell>
          <cell r="E822">
            <v>4082</v>
          </cell>
          <cell r="F822">
            <v>74297</v>
          </cell>
          <cell r="G822">
            <v>8</v>
          </cell>
        </row>
        <row r="823">
          <cell r="A823" t="str">
            <v>48</v>
          </cell>
          <cell r="B823" t="str">
            <v>70540</v>
          </cell>
          <cell r="C823" t="str">
            <v>Solano</v>
          </cell>
          <cell r="D823" t="str">
            <v>Fairfield-Suisun Unified</v>
          </cell>
          <cell r="E823">
            <v>22423</v>
          </cell>
          <cell r="F823">
            <v>385070</v>
          </cell>
          <cell r="G823">
            <v>31</v>
          </cell>
        </row>
        <row r="824">
          <cell r="A824" t="str">
            <v>48</v>
          </cell>
          <cell r="B824" t="str">
            <v>70565</v>
          </cell>
          <cell r="C824" t="str">
            <v>Solano</v>
          </cell>
          <cell r="D824" t="str">
            <v>Travis Unified</v>
          </cell>
          <cell r="E824">
            <v>5296</v>
          </cell>
          <cell r="F824">
            <v>96167</v>
          </cell>
          <cell r="G824">
            <v>10</v>
          </cell>
        </row>
        <row r="825">
          <cell r="A825" t="str">
            <v>48</v>
          </cell>
          <cell r="B825" t="str">
            <v>70573</v>
          </cell>
          <cell r="C825" t="str">
            <v>Solano</v>
          </cell>
          <cell r="D825" t="str">
            <v>Vacaville Unified</v>
          </cell>
          <cell r="E825">
            <v>13146</v>
          </cell>
          <cell r="F825">
            <v>227762</v>
          </cell>
          <cell r="G825">
            <v>17</v>
          </cell>
        </row>
        <row r="826">
          <cell r="A826" t="str">
            <v>48</v>
          </cell>
          <cell r="B826" t="str">
            <v>70581</v>
          </cell>
          <cell r="C826" t="str">
            <v>Solano</v>
          </cell>
          <cell r="D826" t="str">
            <v>Vallejo City Unified</v>
          </cell>
          <cell r="E826">
            <v>16057</v>
          </cell>
          <cell r="F826">
            <v>279411</v>
          </cell>
          <cell r="G826">
            <v>26</v>
          </cell>
        </row>
        <row r="827">
          <cell r="A827" t="str">
            <v>49</v>
          </cell>
          <cell r="B827" t="str">
            <v>10496</v>
          </cell>
          <cell r="C827" t="str">
            <v>Sonoma</v>
          </cell>
          <cell r="D827" t="str">
            <v>Sonoma County Office of Education</v>
          </cell>
          <cell r="E827">
            <v>844</v>
          </cell>
          <cell r="F827">
            <v>15991</v>
          </cell>
          <cell r="G827">
            <v>3</v>
          </cell>
        </row>
        <row r="828">
          <cell r="A828" t="str">
            <v>49</v>
          </cell>
          <cell r="B828" t="str">
            <v>70599</v>
          </cell>
          <cell r="C828" t="str">
            <v>Sonoma</v>
          </cell>
          <cell r="D828" t="str">
            <v>Alexander Valley Union Elementary</v>
          </cell>
          <cell r="E828">
            <v>135</v>
          </cell>
          <cell r="F828">
            <v>3564</v>
          </cell>
          <cell r="G828">
            <v>1</v>
          </cell>
        </row>
        <row r="829">
          <cell r="A829" t="str">
            <v>49</v>
          </cell>
          <cell r="B829" t="str">
            <v>70607</v>
          </cell>
          <cell r="C829" t="str">
            <v>Sonoma</v>
          </cell>
          <cell r="D829" t="str">
            <v>West Sonoma County Union High</v>
          </cell>
          <cell r="E829">
            <v>2318</v>
          </cell>
          <cell r="F829">
            <v>45354</v>
          </cell>
          <cell r="G829">
            <v>5</v>
          </cell>
        </row>
        <row r="830">
          <cell r="A830" t="str">
            <v>49</v>
          </cell>
          <cell r="B830" t="str">
            <v>70615</v>
          </cell>
          <cell r="C830" t="str">
            <v>Sonoma</v>
          </cell>
          <cell r="D830" t="str">
            <v>Bellevue Union Elementary</v>
          </cell>
          <cell r="E830">
            <v>1760</v>
          </cell>
          <cell r="F830">
            <v>29920</v>
          </cell>
          <cell r="G830">
            <v>4</v>
          </cell>
        </row>
        <row r="831">
          <cell r="A831" t="str">
            <v>49</v>
          </cell>
          <cell r="B831" t="str">
            <v>70623</v>
          </cell>
          <cell r="C831" t="str">
            <v>Sonoma</v>
          </cell>
          <cell r="D831" t="str">
            <v>Bennett Valley Union Elementary</v>
          </cell>
          <cell r="E831">
            <v>936</v>
          </cell>
          <cell r="F831">
            <v>15912</v>
          </cell>
          <cell r="G831">
            <v>2</v>
          </cell>
        </row>
        <row r="832">
          <cell r="A832" t="str">
            <v>49</v>
          </cell>
          <cell r="B832" t="str">
            <v>70649</v>
          </cell>
          <cell r="C832" t="str">
            <v>Sonoma</v>
          </cell>
          <cell r="D832" t="str">
            <v>Cinnabar Elementary</v>
          </cell>
          <cell r="E832">
            <v>204</v>
          </cell>
          <cell r="F832">
            <v>3564</v>
          </cell>
          <cell r="G832">
            <v>1</v>
          </cell>
        </row>
        <row r="833">
          <cell r="A833" t="str">
            <v>49</v>
          </cell>
          <cell r="B833" t="str">
            <v>70656</v>
          </cell>
          <cell r="C833" t="str">
            <v>Sonoma</v>
          </cell>
          <cell r="D833" t="str">
            <v>Cloverdale Unified</v>
          </cell>
          <cell r="E833">
            <v>1490</v>
          </cell>
          <cell r="F833">
            <v>30595</v>
          </cell>
          <cell r="G833">
            <v>5</v>
          </cell>
        </row>
        <row r="834">
          <cell r="A834" t="str">
            <v>49</v>
          </cell>
          <cell r="B834" t="str">
            <v>70672</v>
          </cell>
          <cell r="C834" t="str">
            <v>Sonoma</v>
          </cell>
          <cell r="D834" t="str">
            <v>Dunham Elementary</v>
          </cell>
          <cell r="E834">
            <v>180</v>
          </cell>
          <cell r="F834">
            <v>3564</v>
          </cell>
          <cell r="G834">
            <v>1</v>
          </cell>
        </row>
        <row r="835">
          <cell r="A835" t="str">
            <v>49</v>
          </cell>
          <cell r="B835" t="str">
            <v>70680</v>
          </cell>
          <cell r="C835" t="str">
            <v>Sonoma</v>
          </cell>
          <cell r="D835" t="str">
            <v>Forestville Union Elementary</v>
          </cell>
          <cell r="E835">
            <v>448</v>
          </cell>
          <cell r="F835">
            <v>9174</v>
          </cell>
          <cell r="G835">
            <v>2</v>
          </cell>
        </row>
        <row r="836">
          <cell r="A836" t="str">
            <v>49</v>
          </cell>
          <cell r="B836" t="str">
            <v>70698</v>
          </cell>
          <cell r="C836" t="str">
            <v>Sonoma</v>
          </cell>
          <cell r="D836" t="str">
            <v>Fort Ross Elementary</v>
          </cell>
          <cell r="E836">
            <v>45</v>
          </cell>
          <cell r="F836">
            <v>3564</v>
          </cell>
          <cell r="G836">
            <v>1</v>
          </cell>
        </row>
        <row r="837">
          <cell r="A837" t="str">
            <v>49</v>
          </cell>
          <cell r="B837" t="str">
            <v>70706</v>
          </cell>
          <cell r="C837" t="str">
            <v>Sonoma</v>
          </cell>
          <cell r="D837" t="str">
            <v>Geyserville Unified</v>
          </cell>
          <cell r="E837">
            <v>251</v>
          </cell>
          <cell r="F837">
            <v>15148</v>
          </cell>
          <cell r="G837">
            <v>5</v>
          </cell>
        </row>
        <row r="838">
          <cell r="A838" t="str">
            <v>49</v>
          </cell>
          <cell r="B838" t="str">
            <v>70714</v>
          </cell>
          <cell r="C838" t="str">
            <v>Sonoma</v>
          </cell>
          <cell r="D838" t="str">
            <v>Gravenstein Union Elementary</v>
          </cell>
          <cell r="E838">
            <v>561</v>
          </cell>
          <cell r="F838">
            <v>9537</v>
          </cell>
          <cell r="G838">
            <v>2</v>
          </cell>
        </row>
        <row r="839">
          <cell r="A839" t="str">
            <v>49</v>
          </cell>
          <cell r="B839" t="str">
            <v>70722</v>
          </cell>
          <cell r="C839" t="str">
            <v>Sonoma</v>
          </cell>
          <cell r="D839" t="str">
            <v>Guerneville Elementary</v>
          </cell>
          <cell r="E839">
            <v>302</v>
          </cell>
          <cell r="F839">
            <v>7311</v>
          </cell>
          <cell r="G839">
            <v>2</v>
          </cell>
        </row>
        <row r="840">
          <cell r="A840" t="str">
            <v>49</v>
          </cell>
          <cell r="B840" t="str">
            <v>70730</v>
          </cell>
          <cell r="C840" t="str">
            <v>Sonoma</v>
          </cell>
          <cell r="D840" t="str">
            <v>Harmony Union Elementary</v>
          </cell>
          <cell r="E840">
            <v>233</v>
          </cell>
          <cell r="F840">
            <v>7128</v>
          </cell>
          <cell r="G840">
            <v>2</v>
          </cell>
        </row>
        <row r="841">
          <cell r="A841" t="str">
            <v>49</v>
          </cell>
          <cell r="B841" t="str">
            <v>70763</v>
          </cell>
          <cell r="C841" t="str">
            <v>Sonoma</v>
          </cell>
          <cell r="D841" t="str">
            <v>Horicon Elementary</v>
          </cell>
          <cell r="E841">
            <v>92</v>
          </cell>
          <cell r="F841">
            <v>3564</v>
          </cell>
          <cell r="G841">
            <v>1</v>
          </cell>
        </row>
        <row r="842">
          <cell r="A842" t="str">
            <v>49</v>
          </cell>
          <cell r="B842" t="str">
            <v>70789</v>
          </cell>
          <cell r="C842" t="str">
            <v>Sonoma</v>
          </cell>
          <cell r="D842" t="str">
            <v>Kenwood Elementary</v>
          </cell>
          <cell r="E842">
            <v>152</v>
          </cell>
          <cell r="F842">
            <v>3564</v>
          </cell>
          <cell r="G842">
            <v>1</v>
          </cell>
        </row>
        <row r="843">
          <cell r="A843" t="str">
            <v>49</v>
          </cell>
          <cell r="B843" t="str">
            <v>70797</v>
          </cell>
          <cell r="C843" t="str">
            <v>Sonoma</v>
          </cell>
          <cell r="D843" t="str">
            <v>Liberty Elementary</v>
          </cell>
          <cell r="E843">
            <v>193</v>
          </cell>
          <cell r="F843">
            <v>3564</v>
          </cell>
          <cell r="G843">
            <v>1</v>
          </cell>
        </row>
        <row r="844">
          <cell r="A844" t="str">
            <v>49</v>
          </cell>
          <cell r="B844" t="str">
            <v>70805</v>
          </cell>
          <cell r="C844" t="str">
            <v>Sonoma</v>
          </cell>
          <cell r="D844" t="str">
            <v>Mark West Union Elementary</v>
          </cell>
          <cell r="E844">
            <v>1286</v>
          </cell>
          <cell r="F844">
            <v>21862</v>
          </cell>
          <cell r="G844">
            <v>3</v>
          </cell>
        </row>
        <row r="845">
          <cell r="A845" t="str">
            <v>49</v>
          </cell>
          <cell r="B845" t="str">
            <v>70813</v>
          </cell>
          <cell r="C845" t="str">
            <v>Sonoma</v>
          </cell>
          <cell r="D845" t="str">
            <v>Monte Rio Union Elementary</v>
          </cell>
          <cell r="E845">
            <v>97</v>
          </cell>
          <cell r="F845">
            <v>3564</v>
          </cell>
          <cell r="G845">
            <v>1</v>
          </cell>
        </row>
        <row r="846">
          <cell r="A846" t="str">
            <v>49</v>
          </cell>
          <cell r="B846" t="str">
            <v>70821</v>
          </cell>
          <cell r="C846" t="str">
            <v>Sonoma</v>
          </cell>
          <cell r="D846" t="str">
            <v>Montgomery Elementary</v>
          </cell>
          <cell r="E846">
            <v>41</v>
          </cell>
          <cell r="F846">
            <v>3564</v>
          </cell>
          <cell r="G846">
            <v>1</v>
          </cell>
        </row>
        <row r="847">
          <cell r="A847" t="str">
            <v>49</v>
          </cell>
          <cell r="B847" t="str">
            <v>70839</v>
          </cell>
          <cell r="C847" t="str">
            <v>Sonoma</v>
          </cell>
          <cell r="D847" t="str">
            <v>Oak Grove Union Elementary</v>
          </cell>
          <cell r="E847">
            <v>765</v>
          </cell>
          <cell r="F847">
            <v>15668</v>
          </cell>
          <cell r="G847">
            <v>2</v>
          </cell>
        </row>
        <row r="848">
          <cell r="A848" t="str">
            <v>49</v>
          </cell>
          <cell r="B848" t="str">
            <v>70847</v>
          </cell>
          <cell r="C848" t="str">
            <v>Sonoma</v>
          </cell>
          <cell r="D848" t="str">
            <v>Old Adobe Union Elementary</v>
          </cell>
          <cell r="E848">
            <v>1818</v>
          </cell>
          <cell r="F848">
            <v>30906</v>
          </cell>
          <cell r="G848">
            <v>5</v>
          </cell>
        </row>
        <row r="849">
          <cell r="A849" t="str">
            <v>49</v>
          </cell>
          <cell r="B849" t="str">
            <v>70854</v>
          </cell>
          <cell r="C849" t="str">
            <v>Sonoma</v>
          </cell>
          <cell r="D849" t="str">
            <v>Petaluma City Elementary</v>
          </cell>
          <cell r="E849">
            <v>2071</v>
          </cell>
          <cell r="F849">
            <v>37316</v>
          </cell>
          <cell r="G849">
            <v>7</v>
          </cell>
        </row>
        <row r="850">
          <cell r="A850" t="str">
            <v>49</v>
          </cell>
          <cell r="B850" t="str">
            <v>70862</v>
          </cell>
          <cell r="C850" t="str">
            <v>Sonoma</v>
          </cell>
          <cell r="D850" t="str">
            <v>Petaluma Joint Union High</v>
          </cell>
          <cell r="E850">
            <v>5286</v>
          </cell>
          <cell r="F850">
            <v>102721</v>
          </cell>
          <cell r="G850">
            <v>9</v>
          </cell>
        </row>
        <row r="851">
          <cell r="A851" t="str">
            <v>49</v>
          </cell>
          <cell r="B851" t="str">
            <v>70870</v>
          </cell>
          <cell r="C851" t="str">
            <v>Sonoma</v>
          </cell>
          <cell r="D851" t="str">
            <v>Piner-Olivet Union Elementary</v>
          </cell>
          <cell r="E851">
            <v>1377</v>
          </cell>
          <cell r="F851">
            <v>23409</v>
          </cell>
          <cell r="G851">
            <v>4</v>
          </cell>
        </row>
        <row r="852">
          <cell r="A852" t="str">
            <v>49</v>
          </cell>
          <cell r="B852" t="str">
            <v>70888</v>
          </cell>
          <cell r="C852" t="str">
            <v>Sonoma</v>
          </cell>
          <cell r="D852" t="str">
            <v>Kashia Elementary</v>
          </cell>
          <cell r="E852">
            <v>9</v>
          </cell>
          <cell r="F852">
            <v>2228</v>
          </cell>
          <cell r="G852">
            <v>1</v>
          </cell>
        </row>
        <row r="853">
          <cell r="A853" t="str">
            <v>49</v>
          </cell>
          <cell r="B853" t="str">
            <v>70896</v>
          </cell>
          <cell r="C853" t="str">
            <v>Sonoma</v>
          </cell>
          <cell r="D853" t="str">
            <v>Rincon Valley Union Elementary</v>
          </cell>
          <cell r="E853">
            <v>2864</v>
          </cell>
          <cell r="F853">
            <v>48688</v>
          </cell>
          <cell r="G853">
            <v>8</v>
          </cell>
        </row>
        <row r="854">
          <cell r="A854" t="str">
            <v>49</v>
          </cell>
          <cell r="B854" t="str">
            <v>70904</v>
          </cell>
          <cell r="C854" t="str">
            <v>Sonoma</v>
          </cell>
          <cell r="D854" t="str">
            <v>Roseland Elementary</v>
          </cell>
          <cell r="E854">
            <v>1470</v>
          </cell>
          <cell r="F854">
            <v>24991</v>
          </cell>
          <cell r="G854">
            <v>2</v>
          </cell>
        </row>
        <row r="855">
          <cell r="A855" t="str">
            <v>49</v>
          </cell>
          <cell r="B855" t="str">
            <v>70912</v>
          </cell>
          <cell r="C855" t="str">
            <v>Sonoma</v>
          </cell>
          <cell r="D855" t="str">
            <v>Santa Rosa Elementary</v>
          </cell>
          <cell r="E855">
            <v>4682</v>
          </cell>
          <cell r="F855">
            <v>79594</v>
          </cell>
          <cell r="G855">
            <v>11</v>
          </cell>
        </row>
        <row r="856">
          <cell r="A856" t="str">
            <v>49</v>
          </cell>
          <cell r="B856" t="str">
            <v>70920</v>
          </cell>
          <cell r="C856" t="str">
            <v>Sonoma</v>
          </cell>
          <cell r="D856" t="str">
            <v>Santa Rosa High</v>
          </cell>
          <cell r="E856">
            <v>11633</v>
          </cell>
          <cell r="F856">
            <v>213355</v>
          </cell>
          <cell r="G856">
            <v>17</v>
          </cell>
        </row>
        <row r="857">
          <cell r="A857" t="str">
            <v>49</v>
          </cell>
          <cell r="B857" t="str">
            <v>70938</v>
          </cell>
          <cell r="C857" t="str">
            <v>Sonoma</v>
          </cell>
          <cell r="D857" t="str">
            <v>Sebastopol Union Elementary</v>
          </cell>
          <cell r="E857">
            <v>882</v>
          </cell>
          <cell r="F857">
            <v>15039</v>
          </cell>
          <cell r="G857">
            <v>3</v>
          </cell>
        </row>
        <row r="858">
          <cell r="A858" t="str">
            <v>49</v>
          </cell>
          <cell r="B858" t="str">
            <v>70953</v>
          </cell>
          <cell r="C858" t="str">
            <v>Sonoma</v>
          </cell>
          <cell r="D858" t="str">
            <v>Sonoma Valley Unified</v>
          </cell>
          <cell r="E858">
            <v>4310</v>
          </cell>
          <cell r="F858">
            <v>77924</v>
          </cell>
          <cell r="G858">
            <v>10</v>
          </cell>
        </row>
        <row r="859">
          <cell r="A859" t="str">
            <v>49</v>
          </cell>
          <cell r="B859" t="str">
            <v>70961</v>
          </cell>
          <cell r="C859" t="str">
            <v>Sonoma</v>
          </cell>
          <cell r="D859" t="str">
            <v>Twin Hills Union Elementary</v>
          </cell>
          <cell r="E859">
            <v>962</v>
          </cell>
          <cell r="F859">
            <v>16716</v>
          </cell>
          <cell r="G859">
            <v>4</v>
          </cell>
        </row>
        <row r="860">
          <cell r="A860" t="str">
            <v>49</v>
          </cell>
          <cell r="B860" t="str">
            <v>70979</v>
          </cell>
          <cell r="C860" t="str">
            <v>Sonoma</v>
          </cell>
          <cell r="D860" t="str">
            <v>Two Rock Union</v>
          </cell>
          <cell r="E860">
            <v>183</v>
          </cell>
          <cell r="F860">
            <v>3564</v>
          </cell>
          <cell r="G860">
            <v>1</v>
          </cell>
        </row>
        <row r="861">
          <cell r="A861" t="str">
            <v>49</v>
          </cell>
          <cell r="B861" t="str">
            <v>70995</v>
          </cell>
          <cell r="C861" t="str">
            <v>Sonoma</v>
          </cell>
          <cell r="D861" t="str">
            <v>Waugh Elementary</v>
          </cell>
          <cell r="E861">
            <v>917</v>
          </cell>
          <cell r="F861">
            <v>15589</v>
          </cell>
          <cell r="G861">
            <v>2</v>
          </cell>
        </row>
        <row r="862">
          <cell r="A862" t="str">
            <v>49</v>
          </cell>
          <cell r="B862" t="str">
            <v>71001</v>
          </cell>
          <cell r="C862" t="str">
            <v>Sonoma</v>
          </cell>
          <cell r="D862" t="str">
            <v>West Side Union Elementary</v>
          </cell>
          <cell r="E862">
            <v>163</v>
          </cell>
          <cell r="F862">
            <v>3564</v>
          </cell>
          <cell r="G862">
            <v>1</v>
          </cell>
        </row>
        <row r="863">
          <cell r="A863" t="str">
            <v>49</v>
          </cell>
          <cell r="B863" t="str">
            <v>71019</v>
          </cell>
          <cell r="C863" t="str">
            <v>Sonoma</v>
          </cell>
          <cell r="D863" t="str">
            <v>Wilmar Union Elementary</v>
          </cell>
          <cell r="E863">
            <v>230</v>
          </cell>
          <cell r="F863">
            <v>3910</v>
          </cell>
          <cell r="G863">
            <v>1</v>
          </cell>
        </row>
        <row r="864">
          <cell r="A864" t="str">
            <v>49</v>
          </cell>
          <cell r="B864" t="str">
            <v>71035</v>
          </cell>
          <cell r="C864" t="str">
            <v>Sonoma</v>
          </cell>
          <cell r="D864" t="str">
            <v>Wright Elementary</v>
          </cell>
          <cell r="E864">
            <v>1405</v>
          </cell>
          <cell r="F864">
            <v>23885</v>
          </cell>
          <cell r="G864">
            <v>3</v>
          </cell>
        </row>
        <row r="865">
          <cell r="A865" t="str">
            <v>49</v>
          </cell>
          <cell r="B865" t="str">
            <v>73882</v>
          </cell>
          <cell r="C865" t="str">
            <v>Sonoma</v>
          </cell>
          <cell r="D865" t="str">
            <v>Cotati-Rohnert Park Unified</v>
          </cell>
          <cell r="E865">
            <v>6387</v>
          </cell>
          <cell r="F865">
            <v>115516</v>
          </cell>
          <cell r="G865">
            <v>13</v>
          </cell>
        </row>
        <row r="866">
          <cell r="A866" t="str">
            <v>49</v>
          </cell>
          <cell r="B866" t="str">
            <v>75358</v>
          </cell>
          <cell r="C866" t="str">
            <v>Sonoma</v>
          </cell>
          <cell r="D866" t="str">
            <v>Windsor Unified</v>
          </cell>
          <cell r="E866">
            <v>5245</v>
          </cell>
          <cell r="F866">
            <v>91491</v>
          </cell>
          <cell r="G866">
            <v>7</v>
          </cell>
        </row>
        <row r="867">
          <cell r="A867" t="str">
            <v>49</v>
          </cell>
          <cell r="B867" t="str">
            <v>75390</v>
          </cell>
          <cell r="C867" t="str">
            <v>Sonoma</v>
          </cell>
          <cell r="D867" t="str">
            <v>Healdsburg Unified</v>
          </cell>
          <cell r="E867">
            <v>2154</v>
          </cell>
          <cell r="F867">
            <v>39418</v>
          </cell>
          <cell r="G867">
            <v>4</v>
          </cell>
        </row>
        <row r="868">
          <cell r="A868" t="str">
            <v>50</v>
          </cell>
          <cell r="B868" t="str">
            <v>10504</v>
          </cell>
          <cell r="C868" t="str">
            <v>Stanislaus</v>
          </cell>
          <cell r="D868" t="str">
            <v>Stanislaus County Office of Education</v>
          </cell>
          <cell r="E868">
            <v>1275</v>
          </cell>
          <cell r="F868">
            <v>23250</v>
          </cell>
          <cell r="G868">
            <v>4</v>
          </cell>
        </row>
        <row r="869">
          <cell r="A869" t="str">
            <v>50</v>
          </cell>
          <cell r="B869" t="str">
            <v>71043</v>
          </cell>
          <cell r="C869" t="str">
            <v>Stanislaus</v>
          </cell>
          <cell r="D869" t="str">
            <v>Ceres Unified</v>
          </cell>
          <cell r="E869">
            <v>11977</v>
          </cell>
          <cell r="F869">
            <v>209528</v>
          </cell>
          <cell r="G869">
            <v>20</v>
          </cell>
        </row>
        <row r="870">
          <cell r="A870" t="str">
            <v>50</v>
          </cell>
          <cell r="B870" t="str">
            <v>71050</v>
          </cell>
          <cell r="C870" t="str">
            <v>Stanislaus</v>
          </cell>
          <cell r="D870" t="str">
            <v>Chatom Union Elementary</v>
          </cell>
          <cell r="E870">
            <v>674</v>
          </cell>
          <cell r="F870">
            <v>11554</v>
          </cell>
          <cell r="G870">
            <v>2</v>
          </cell>
        </row>
        <row r="871">
          <cell r="A871" t="str">
            <v>50</v>
          </cell>
          <cell r="B871" t="str">
            <v>71068</v>
          </cell>
          <cell r="C871" t="str">
            <v>Stanislaus</v>
          </cell>
          <cell r="D871" t="str">
            <v>Denair Unified</v>
          </cell>
          <cell r="E871">
            <v>1561</v>
          </cell>
          <cell r="F871">
            <v>33051</v>
          </cell>
          <cell r="G871">
            <v>7</v>
          </cell>
        </row>
        <row r="872">
          <cell r="A872" t="str">
            <v>50</v>
          </cell>
          <cell r="B872" t="str">
            <v>71076</v>
          </cell>
          <cell r="C872" t="str">
            <v>Stanislaus</v>
          </cell>
          <cell r="D872" t="str">
            <v>Empire Union Elementary</v>
          </cell>
          <cell r="E872">
            <v>3318</v>
          </cell>
          <cell r="F872">
            <v>56406</v>
          </cell>
          <cell r="G872">
            <v>7</v>
          </cell>
        </row>
        <row r="873">
          <cell r="A873" t="str">
            <v>50</v>
          </cell>
          <cell r="B873" t="str">
            <v>71084</v>
          </cell>
          <cell r="C873" t="str">
            <v>Stanislaus</v>
          </cell>
          <cell r="D873" t="str">
            <v>Gratton Elementary</v>
          </cell>
          <cell r="E873">
            <v>122</v>
          </cell>
          <cell r="F873">
            <v>3564</v>
          </cell>
          <cell r="G873">
            <v>1</v>
          </cell>
        </row>
        <row r="874">
          <cell r="A874" t="str">
            <v>50</v>
          </cell>
          <cell r="B874" t="str">
            <v>71092</v>
          </cell>
          <cell r="C874" t="str">
            <v>Stanislaus</v>
          </cell>
          <cell r="D874" t="str">
            <v>Hart-Ransom Union Elementary</v>
          </cell>
          <cell r="E874">
            <v>974</v>
          </cell>
          <cell r="F874">
            <v>16558</v>
          </cell>
          <cell r="G874">
            <v>2</v>
          </cell>
        </row>
        <row r="875">
          <cell r="A875" t="str">
            <v>50</v>
          </cell>
          <cell r="B875" t="str">
            <v>71100</v>
          </cell>
          <cell r="C875" t="str">
            <v>Stanislaus</v>
          </cell>
          <cell r="D875" t="str">
            <v>Hickman Community Charter</v>
          </cell>
          <cell r="E875">
            <v>1050</v>
          </cell>
          <cell r="F875">
            <v>18405</v>
          </cell>
          <cell r="G875">
            <v>3</v>
          </cell>
        </row>
        <row r="876">
          <cell r="A876" t="str">
            <v>50</v>
          </cell>
          <cell r="B876" t="str">
            <v>71134</v>
          </cell>
          <cell r="C876" t="str">
            <v>Stanislaus</v>
          </cell>
          <cell r="D876" t="str">
            <v>Keyes Union</v>
          </cell>
          <cell r="E876">
            <v>1025</v>
          </cell>
          <cell r="F876">
            <v>17425</v>
          </cell>
          <cell r="G876">
            <v>3</v>
          </cell>
        </row>
        <row r="877">
          <cell r="A877" t="str">
            <v>50</v>
          </cell>
          <cell r="B877" t="str">
            <v>71142</v>
          </cell>
          <cell r="C877" t="str">
            <v>Stanislaus</v>
          </cell>
          <cell r="D877" t="str">
            <v>Knights Ferry Elementary</v>
          </cell>
          <cell r="E877">
            <v>134</v>
          </cell>
          <cell r="F877">
            <v>3564</v>
          </cell>
          <cell r="G877">
            <v>1</v>
          </cell>
        </row>
        <row r="878">
          <cell r="A878" t="str">
            <v>50</v>
          </cell>
          <cell r="B878" t="str">
            <v>71159</v>
          </cell>
          <cell r="C878" t="str">
            <v>Stanislaus</v>
          </cell>
          <cell r="D878" t="str">
            <v>La Grange Elementary</v>
          </cell>
          <cell r="E878">
            <v>11</v>
          </cell>
          <cell r="F878">
            <v>2228</v>
          </cell>
          <cell r="G878">
            <v>1</v>
          </cell>
        </row>
        <row r="879">
          <cell r="A879" t="str">
            <v>50</v>
          </cell>
          <cell r="B879" t="str">
            <v>71167</v>
          </cell>
          <cell r="C879" t="str">
            <v>Stanislaus</v>
          </cell>
          <cell r="D879" t="str">
            <v>Modesto City Elementary</v>
          </cell>
          <cell r="E879">
            <v>15652</v>
          </cell>
          <cell r="F879">
            <v>266091</v>
          </cell>
          <cell r="G879">
            <v>27</v>
          </cell>
        </row>
        <row r="880">
          <cell r="A880" t="str">
            <v>50</v>
          </cell>
          <cell r="B880" t="str">
            <v>71175</v>
          </cell>
          <cell r="C880" t="str">
            <v>Stanislaus</v>
          </cell>
          <cell r="D880" t="str">
            <v>Modesto City High</v>
          </cell>
          <cell r="E880">
            <v>15366</v>
          </cell>
          <cell r="F880">
            <v>261232</v>
          </cell>
          <cell r="G880">
            <v>7</v>
          </cell>
        </row>
        <row r="881">
          <cell r="A881" t="str">
            <v>50</v>
          </cell>
          <cell r="B881" t="str">
            <v>71209</v>
          </cell>
          <cell r="C881" t="str">
            <v>Stanislaus</v>
          </cell>
          <cell r="D881" t="str">
            <v>Paradise Elementary</v>
          </cell>
          <cell r="E881">
            <v>186</v>
          </cell>
          <cell r="F881">
            <v>7128</v>
          </cell>
          <cell r="G881">
            <v>2</v>
          </cell>
        </row>
        <row r="882">
          <cell r="A882" t="str">
            <v>50</v>
          </cell>
          <cell r="B882" t="str">
            <v>71217</v>
          </cell>
          <cell r="C882" t="str">
            <v>Stanislaus</v>
          </cell>
          <cell r="D882" t="str">
            <v>Patterson Joint Unified</v>
          </cell>
          <cell r="E882">
            <v>5531</v>
          </cell>
          <cell r="F882">
            <v>98744</v>
          </cell>
          <cell r="G882">
            <v>8</v>
          </cell>
        </row>
        <row r="883">
          <cell r="A883" t="str">
            <v>50</v>
          </cell>
          <cell r="B883" t="str">
            <v>71233</v>
          </cell>
          <cell r="C883" t="str">
            <v>Stanislaus</v>
          </cell>
          <cell r="D883" t="str">
            <v>Roberts Ferry Union Elementary</v>
          </cell>
          <cell r="E883">
            <v>114</v>
          </cell>
          <cell r="F883">
            <v>5792</v>
          </cell>
          <cell r="G883">
            <v>2</v>
          </cell>
        </row>
        <row r="884">
          <cell r="A884" t="str">
            <v>50</v>
          </cell>
          <cell r="B884" t="str">
            <v>71266</v>
          </cell>
          <cell r="C884" t="str">
            <v>Stanislaus</v>
          </cell>
          <cell r="D884" t="str">
            <v>Salida Union Elementary</v>
          </cell>
          <cell r="E884">
            <v>2961</v>
          </cell>
          <cell r="F884">
            <v>50338</v>
          </cell>
          <cell r="G884">
            <v>5</v>
          </cell>
        </row>
        <row r="885">
          <cell r="A885" t="str">
            <v>50</v>
          </cell>
          <cell r="B885" t="str">
            <v>71274</v>
          </cell>
          <cell r="C885" t="str">
            <v>Stanislaus</v>
          </cell>
          <cell r="D885" t="str">
            <v>Shiloh Elementary</v>
          </cell>
          <cell r="E885">
            <v>129</v>
          </cell>
          <cell r="F885">
            <v>3564</v>
          </cell>
          <cell r="G885">
            <v>1</v>
          </cell>
        </row>
        <row r="886">
          <cell r="A886" t="str">
            <v>50</v>
          </cell>
          <cell r="B886" t="str">
            <v>71282</v>
          </cell>
          <cell r="C886" t="str">
            <v>Stanislaus</v>
          </cell>
          <cell r="D886" t="str">
            <v>Stanislaus Union Elementary</v>
          </cell>
          <cell r="E886">
            <v>3173</v>
          </cell>
          <cell r="F886">
            <v>53941</v>
          </cell>
          <cell r="G886">
            <v>7</v>
          </cell>
        </row>
        <row r="887">
          <cell r="A887" t="str">
            <v>50</v>
          </cell>
          <cell r="B887" t="str">
            <v>71290</v>
          </cell>
          <cell r="C887" t="str">
            <v>Stanislaus</v>
          </cell>
          <cell r="D887" t="str">
            <v>Sylvan Union Elementary</v>
          </cell>
          <cell r="E887">
            <v>8214</v>
          </cell>
          <cell r="F887">
            <v>139642</v>
          </cell>
          <cell r="G887">
            <v>13</v>
          </cell>
        </row>
        <row r="888">
          <cell r="A888" t="str">
            <v>50</v>
          </cell>
          <cell r="B888" t="str">
            <v>71324</v>
          </cell>
          <cell r="C888" t="str">
            <v>Stanislaus</v>
          </cell>
          <cell r="D888" t="str">
            <v>Valley Home Joint Elementary</v>
          </cell>
          <cell r="E888">
            <v>190</v>
          </cell>
          <cell r="F888">
            <v>3564</v>
          </cell>
          <cell r="G888">
            <v>1</v>
          </cell>
        </row>
        <row r="889">
          <cell r="A889" t="str">
            <v>50</v>
          </cell>
          <cell r="B889" t="str">
            <v>73601</v>
          </cell>
          <cell r="C889" t="str">
            <v>Stanislaus</v>
          </cell>
          <cell r="D889" t="str">
            <v>Newman-Crows Landing Unified</v>
          </cell>
          <cell r="E889">
            <v>2701</v>
          </cell>
          <cell r="F889">
            <v>54400</v>
          </cell>
          <cell r="G889">
            <v>8</v>
          </cell>
        </row>
        <row r="890">
          <cell r="A890" t="str">
            <v>50</v>
          </cell>
          <cell r="B890" t="str">
            <v>75549</v>
          </cell>
          <cell r="C890" t="str">
            <v>Stanislaus</v>
          </cell>
          <cell r="D890" t="str">
            <v>Hughson Unified</v>
          </cell>
          <cell r="E890">
            <v>2157</v>
          </cell>
          <cell r="F890">
            <v>43992</v>
          </cell>
          <cell r="G890">
            <v>7</v>
          </cell>
        </row>
        <row r="891">
          <cell r="A891" t="str">
            <v>50</v>
          </cell>
          <cell r="B891" t="str">
            <v>75556</v>
          </cell>
          <cell r="C891" t="str">
            <v>Stanislaus</v>
          </cell>
          <cell r="D891" t="str">
            <v>Riverbank Unified</v>
          </cell>
          <cell r="E891">
            <v>2801</v>
          </cell>
          <cell r="F891">
            <v>50178</v>
          </cell>
          <cell r="G891">
            <v>6</v>
          </cell>
        </row>
        <row r="892">
          <cell r="A892" t="str">
            <v>50</v>
          </cell>
          <cell r="B892" t="str">
            <v>75564</v>
          </cell>
          <cell r="C892" t="str">
            <v>Stanislaus</v>
          </cell>
          <cell r="D892" t="str">
            <v>Oakdale Joint Unified</v>
          </cell>
          <cell r="E892">
            <v>5312</v>
          </cell>
          <cell r="F892">
            <v>97259</v>
          </cell>
          <cell r="G892">
            <v>9</v>
          </cell>
        </row>
        <row r="893">
          <cell r="A893" t="str">
            <v>50</v>
          </cell>
          <cell r="B893" t="str">
            <v>75572</v>
          </cell>
          <cell r="C893" t="str">
            <v>Stanislaus</v>
          </cell>
          <cell r="D893" t="str">
            <v>Waterford Unified</v>
          </cell>
          <cell r="E893">
            <v>1895</v>
          </cell>
          <cell r="F893">
            <v>35184</v>
          </cell>
          <cell r="G893">
            <v>5</v>
          </cell>
        </row>
        <row r="894">
          <cell r="A894" t="str">
            <v>50</v>
          </cell>
          <cell r="B894" t="str">
            <v>75739</v>
          </cell>
          <cell r="C894" t="str">
            <v>Stanislaus</v>
          </cell>
          <cell r="D894" t="str">
            <v>Turlock Unified</v>
          </cell>
          <cell r="E894">
            <v>13833</v>
          </cell>
          <cell r="F894">
            <v>238438</v>
          </cell>
          <cell r="G894">
            <v>16</v>
          </cell>
        </row>
        <row r="895">
          <cell r="A895" t="str">
            <v>51</v>
          </cell>
          <cell r="B895" t="str">
            <v>10512</v>
          </cell>
          <cell r="C895" t="str">
            <v>Sutter</v>
          </cell>
          <cell r="D895" t="str">
            <v>Sutter County Office of Education</v>
          </cell>
          <cell r="E895">
            <v>424</v>
          </cell>
          <cell r="F895">
            <v>10212</v>
          </cell>
          <cell r="G895">
            <v>3</v>
          </cell>
        </row>
        <row r="896">
          <cell r="A896" t="str">
            <v>51</v>
          </cell>
          <cell r="B896" t="str">
            <v>71357</v>
          </cell>
          <cell r="C896" t="str">
            <v>Sutter</v>
          </cell>
          <cell r="D896" t="str">
            <v>Brittan Elementary</v>
          </cell>
          <cell r="E896">
            <v>514</v>
          </cell>
          <cell r="F896">
            <v>10898</v>
          </cell>
          <cell r="G896">
            <v>2</v>
          </cell>
        </row>
        <row r="897">
          <cell r="A897" t="str">
            <v>51</v>
          </cell>
          <cell r="B897" t="str">
            <v>71365</v>
          </cell>
          <cell r="C897" t="str">
            <v>Sutter</v>
          </cell>
          <cell r="D897" t="str">
            <v>Browns Elementary</v>
          </cell>
          <cell r="E897">
            <v>154</v>
          </cell>
          <cell r="F897">
            <v>3564</v>
          </cell>
          <cell r="G897">
            <v>1</v>
          </cell>
        </row>
        <row r="898">
          <cell r="A898" t="str">
            <v>51</v>
          </cell>
          <cell r="B898" t="str">
            <v>71373</v>
          </cell>
          <cell r="C898" t="str">
            <v>Sutter</v>
          </cell>
          <cell r="D898" t="str">
            <v>East Nicolaus Joint Union High</v>
          </cell>
          <cell r="E898">
            <v>339</v>
          </cell>
          <cell r="F898">
            <v>7753</v>
          </cell>
          <cell r="G898">
            <v>2</v>
          </cell>
        </row>
        <row r="899">
          <cell r="A899" t="str">
            <v>51</v>
          </cell>
          <cell r="B899" t="str">
            <v>71381</v>
          </cell>
          <cell r="C899" t="str">
            <v>Sutter</v>
          </cell>
          <cell r="D899" t="str">
            <v>Franklin Elementary</v>
          </cell>
          <cell r="E899">
            <v>438</v>
          </cell>
          <cell r="F899">
            <v>7446</v>
          </cell>
          <cell r="G899">
            <v>1</v>
          </cell>
        </row>
        <row r="900">
          <cell r="A900" t="str">
            <v>51</v>
          </cell>
          <cell r="B900" t="str">
            <v>71399</v>
          </cell>
          <cell r="C900" t="str">
            <v>Sutter</v>
          </cell>
          <cell r="D900" t="str">
            <v>Live Oak Unified</v>
          </cell>
          <cell r="E900">
            <v>1896</v>
          </cell>
          <cell r="F900">
            <v>40680</v>
          </cell>
          <cell r="G900">
            <v>6</v>
          </cell>
        </row>
        <row r="901">
          <cell r="A901" t="str">
            <v>51</v>
          </cell>
          <cell r="B901" t="str">
            <v>71407</v>
          </cell>
          <cell r="C901" t="str">
            <v>Sutter</v>
          </cell>
          <cell r="D901" t="str">
            <v>Marcum-Illinois Union Elementary</v>
          </cell>
          <cell r="E901">
            <v>159</v>
          </cell>
          <cell r="F901">
            <v>3564</v>
          </cell>
          <cell r="G901">
            <v>1</v>
          </cell>
        </row>
        <row r="902">
          <cell r="A902" t="str">
            <v>51</v>
          </cell>
          <cell r="B902" t="str">
            <v>71415</v>
          </cell>
          <cell r="C902" t="str">
            <v>Sutter</v>
          </cell>
          <cell r="D902" t="str">
            <v>Meridian Elementary</v>
          </cell>
          <cell r="E902">
            <v>76</v>
          </cell>
          <cell r="F902">
            <v>3564</v>
          </cell>
          <cell r="G902">
            <v>1</v>
          </cell>
        </row>
        <row r="903">
          <cell r="A903" t="str">
            <v>51</v>
          </cell>
          <cell r="B903" t="str">
            <v>71423</v>
          </cell>
          <cell r="C903" t="str">
            <v>Sutter</v>
          </cell>
          <cell r="D903" t="str">
            <v>Nuestro Elementary</v>
          </cell>
          <cell r="E903">
            <v>129</v>
          </cell>
          <cell r="F903">
            <v>3564</v>
          </cell>
          <cell r="G903">
            <v>1</v>
          </cell>
        </row>
        <row r="904">
          <cell r="A904" t="str">
            <v>51</v>
          </cell>
          <cell r="B904" t="str">
            <v>71431</v>
          </cell>
          <cell r="C904" t="str">
            <v>Sutter</v>
          </cell>
          <cell r="D904" t="str">
            <v>Pleasant Grove Joint Union</v>
          </cell>
          <cell r="E904">
            <v>169</v>
          </cell>
          <cell r="F904">
            <v>3564</v>
          </cell>
          <cell r="G904">
            <v>1</v>
          </cell>
        </row>
        <row r="905">
          <cell r="A905" t="str">
            <v>51</v>
          </cell>
          <cell r="B905" t="str">
            <v>71449</v>
          </cell>
          <cell r="C905" t="str">
            <v>Sutter</v>
          </cell>
          <cell r="D905" t="str">
            <v>Sutter Union High</v>
          </cell>
          <cell r="E905">
            <v>745</v>
          </cell>
          <cell r="F905">
            <v>14553</v>
          </cell>
          <cell r="G905">
            <v>2</v>
          </cell>
        </row>
        <row r="906">
          <cell r="A906" t="str">
            <v>51</v>
          </cell>
          <cell r="B906" t="str">
            <v>71456</v>
          </cell>
          <cell r="C906" t="str">
            <v>Sutter</v>
          </cell>
          <cell r="D906" t="str">
            <v>Winship-Robbins</v>
          </cell>
          <cell r="E906">
            <v>116</v>
          </cell>
          <cell r="F906">
            <v>7128</v>
          </cell>
          <cell r="G906">
            <v>2</v>
          </cell>
        </row>
        <row r="907">
          <cell r="A907" t="str">
            <v>51</v>
          </cell>
          <cell r="B907" t="str">
            <v>71464</v>
          </cell>
          <cell r="C907" t="str">
            <v>Sutter</v>
          </cell>
          <cell r="D907" t="str">
            <v>Yuba City Unified</v>
          </cell>
          <cell r="E907">
            <v>12885</v>
          </cell>
          <cell r="F907">
            <v>221004</v>
          </cell>
          <cell r="G907">
            <v>18</v>
          </cell>
        </row>
        <row r="908">
          <cell r="A908" t="str">
            <v>52</v>
          </cell>
          <cell r="B908" t="str">
            <v>10520</v>
          </cell>
          <cell r="C908" t="str">
            <v>Tehama</v>
          </cell>
          <cell r="D908" t="str">
            <v>Tehama County Office of Education</v>
          </cell>
          <cell r="E908">
            <v>103</v>
          </cell>
          <cell r="F908">
            <v>12920</v>
          </cell>
          <cell r="G908">
            <v>4</v>
          </cell>
        </row>
        <row r="909">
          <cell r="A909" t="str">
            <v>52</v>
          </cell>
          <cell r="B909" t="str">
            <v>71472</v>
          </cell>
          <cell r="C909" t="str">
            <v>Tehama</v>
          </cell>
          <cell r="D909" t="str">
            <v>Antelope Elementary</v>
          </cell>
          <cell r="E909">
            <v>651</v>
          </cell>
          <cell r="F909">
            <v>13159</v>
          </cell>
          <cell r="G909">
            <v>3</v>
          </cell>
        </row>
        <row r="910">
          <cell r="A910" t="str">
            <v>52</v>
          </cell>
          <cell r="B910" t="str">
            <v>71480</v>
          </cell>
          <cell r="C910" t="str">
            <v>Tehama</v>
          </cell>
          <cell r="D910" t="str">
            <v>Bend Elementary</v>
          </cell>
          <cell r="E910">
            <v>70</v>
          </cell>
          <cell r="F910">
            <v>3564</v>
          </cell>
          <cell r="G910">
            <v>1</v>
          </cell>
        </row>
        <row r="911">
          <cell r="A911" t="str">
            <v>52</v>
          </cell>
          <cell r="B911" t="str">
            <v>71498</v>
          </cell>
          <cell r="C911" t="str">
            <v>Tehama</v>
          </cell>
          <cell r="D911" t="str">
            <v>Corning Union Elementary</v>
          </cell>
          <cell r="E911">
            <v>1947</v>
          </cell>
          <cell r="F911">
            <v>39623</v>
          </cell>
          <cell r="G911">
            <v>7</v>
          </cell>
        </row>
        <row r="912">
          <cell r="A912" t="str">
            <v>52</v>
          </cell>
          <cell r="B912" t="str">
            <v>71506</v>
          </cell>
          <cell r="C912" t="str">
            <v>Tehama</v>
          </cell>
          <cell r="D912" t="str">
            <v>Corning Union High</v>
          </cell>
          <cell r="E912">
            <v>1075</v>
          </cell>
          <cell r="F912">
            <v>23014</v>
          </cell>
          <cell r="G912">
            <v>3</v>
          </cell>
        </row>
        <row r="913">
          <cell r="A913" t="str">
            <v>52</v>
          </cell>
          <cell r="B913" t="str">
            <v>71514</v>
          </cell>
          <cell r="C913" t="str">
            <v>Tehama</v>
          </cell>
          <cell r="D913" t="str">
            <v>Elkins Elementary</v>
          </cell>
          <cell r="E913">
            <v>9</v>
          </cell>
          <cell r="F913">
            <v>2228</v>
          </cell>
          <cell r="G913">
            <v>1</v>
          </cell>
        </row>
        <row r="914">
          <cell r="A914" t="str">
            <v>52</v>
          </cell>
          <cell r="B914" t="str">
            <v>71522</v>
          </cell>
          <cell r="C914" t="str">
            <v>Tehama</v>
          </cell>
          <cell r="D914" t="str">
            <v>Evergreen Union</v>
          </cell>
          <cell r="E914">
            <v>962</v>
          </cell>
          <cell r="F914">
            <v>20623</v>
          </cell>
          <cell r="G914">
            <v>4</v>
          </cell>
        </row>
        <row r="915">
          <cell r="A915" t="str">
            <v>52</v>
          </cell>
          <cell r="B915" t="str">
            <v>71530</v>
          </cell>
          <cell r="C915" t="str">
            <v>Tehama</v>
          </cell>
          <cell r="D915" t="str">
            <v>Flournoy Union Elementary</v>
          </cell>
          <cell r="E915">
            <v>23</v>
          </cell>
          <cell r="F915">
            <v>3564</v>
          </cell>
          <cell r="G915">
            <v>1</v>
          </cell>
        </row>
        <row r="916">
          <cell r="A916" t="str">
            <v>52</v>
          </cell>
          <cell r="B916" t="str">
            <v>71548</v>
          </cell>
          <cell r="C916" t="str">
            <v>Tehama</v>
          </cell>
          <cell r="D916" t="str">
            <v>Gerber Union Elementary</v>
          </cell>
          <cell r="E916">
            <v>411</v>
          </cell>
          <cell r="F916">
            <v>9147</v>
          </cell>
          <cell r="G916">
            <v>2</v>
          </cell>
        </row>
        <row r="917">
          <cell r="A917" t="str">
            <v>52</v>
          </cell>
          <cell r="B917" t="str">
            <v>71555</v>
          </cell>
          <cell r="C917" t="str">
            <v>Tehama</v>
          </cell>
          <cell r="D917" t="str">
            <v>Kirkwood Elementary</v>
          </cell>
          <cell r="E917">
            <v>78</v>
          </cell>
          <cell r="F917">
            <v>3564</v>
          </cell>
          <cell r="G917">
            <v>1</v>
          </cell>
        </row>
        <row r="918">
          <cell r="A918" t="str">
            <v>52</v>
          </cell>
          <cell r="B918" t="str">
            <v>71563</v>
          </cell>
          <cell r="C918" t="str">
            <v>Tehama</v>
          </cell>
          <cell r="D918" t="str">
            <v>Lassen View Union Elementary</v>
          </cell>
          <cell r="E918">
            <v>324</v>
          </cell>
          <cell r="F918">
            <v>7617</v>
          </cell>
          <cell r="G918">
            <v>2</v>
          </cell>
        </row>
        <row r="919">
          <cell r="A919" t="str">
            <v>52</v>
          </cell>
          <cell r="B919" t="str">
            <v>71571</v>
          </cell>
          <cell r="C919" t="str">
            <v>Tehama</v>
          </cell>
          <cell r="D919" t="str">
            <v>Los Molinos Unified</v>
          </cell>
          <cell r="E919">
            <v>569</v>
          </cell>
          <cell r="F919">
            <v>16429</v>
          </cell>
          <cell r="G919">
            <v>5</v>
          </cell>
        </row>
        <row r="920">
          <cell r="A920" t="str">
            <v>52</v>
          </cell>
          <cell r="B920" t="str">
            <v>71589</v>
          </cell>
          <cell r="C920" t="str">
            <v>Tehama</v>
          </cell>
          <cell r="D920" t="str">
            <v>Manton Joint Union Elementary</v>
          </cell>
          <cell r="E920">
            <v>41</v>
          </cell>
          <cell r="F920">
            <v>3564</v>
          </cell>
          <cell r="G920">
            <v>1</v>
          </cell>
        </row>
        <row r="921">
          <cell r="A921" t="str">
            <v>52</v>
          </cell>
          <cell r="B921" t="str">
            <v>71605</v>
          </cell>
          <cell r="C921" t="str">
            <v>Tehama</v>
          </cell>
          <cell r="D921" t="str">
            <v>Mineral Elementary</v>
          </cell>
          <cell r="E921">
            <v>132</v>
          </cell>
          <cell r="F921">
            <v>5792</v>
          </cell>
          <cell r="G921">
            <v>2</v>
          </cell>
        </row>
        <row r="922">
          <cell r="A922" t="str">
            <v>52</v>
          </cell>
          <cell r="B922" t="str">
            <v>71613</v>
          </cell>
          <cell r="C922" t="str">
            <v>Tehama</v>
          </cell>
          <cell r="D922" t="str">
            <v>Plum Valley Elementary</v>
          </cell>
          <cell r="E922">
            <v>20</v>
          </cell>
          <cell r="F922">
            <v>2228</v>
          </cell>
          <cell r="G922">
            <v>1</v>
          </cell>
        </row>
        <row r="923">
          <cell r="A923" t="str">
            <v>52</v>
          </cell>
          <cell r="B923" t="str">
            <v>71621</v>
          </cell>
          <cell r="C923" t="str">
            <v>Tehama</v>
          </cell>
          <cell r="D923" t="str">
            <v>Red Bluff Union Elementary</v>
          </cell>
          <cell r="E923">
            <v>2221</v>
          </cell>
          <cell r="F923">
            <v>41992</v>
          </cell>
          <cell r="G923">
            <v>6</v>
          </cell>
        </row>
        <row r="924">
          <cell r="A924" t="str">
            <v>52</v>
          </cell>
          <cell r="B924" t="str">
            <v>71639</v>
          </cell>
          <cell r="C924" t="str">
            <v>Tehama</v>
          </cell>
          <cell r="D924" t="str">
            <v>Red Bluff Joint Union High</v>
          </cell>
          <cell r="E924">
            <v>1891</v>
          </cell>
          <cell r="F924">
            <v>37492</v>
          </cell>
          <cell r="G924">
            <v>4</v>
          </cell>
        </row>
        <row r="925">
          <cell r="A925" t="str">
            <v>52</v>
          </cell>
          <cell r="B925" t="str">
            <v>71647</v>
          </cell>
          <cell r="C925" t="str">
            <v>Tehama</v>
          </cell>
          <cell r="D925" t="str">
            <v>Reeds Creek Elementary</v>
          </cell>
          <cell r="E925">
            <v>165</v>
          </cell>
          <cell r="F925">
            <v>3564</v>
          </cell>
          <cell r="G925">
            <v>1</v>
          </cell>
        </row>
        <row r="926">
          <cell r="A926" t="str">
            <v>52</v>
          </cell>
          <cell r="B926" t="str">
            <v>71654</v>
          </cell>
          <cell r="C926" t="str">
            <v>Tehama</v>
          </cell>
          <cell r="D926" t="str">
            <v>Richfield Elementary</v>
          </cell>
          <cell r="E926">
            <v>242</v>
          </cell>
          <cell r="F926">
            <v>4114</v>
          </cell>
          <cell r="G926">
            <v>1</v>
          </cell>
        </row>
        <row r="927">
          <cell r="A927" t="str">
            <v>53</v>
          </cell>
          <cell r="B927" t="str">
            <v>10538</v>
          </cell>
          <cell r="C927" t="str">
            <v>Trinity</v>
          </cell>
          <cell r="D927" t="str">
            <v>Trinity County Office of Education</v>
          </cell>
          <cell r="E927">
            <v>53</v>
          </cell>
          <cell r="F927">
            <v>8020</v>
          </cell>
          <cell r="G927">
            <v>3</v>
          </cell>
        </row>
        <row r="928">
          <cell r="A928" t="str">
            <v>53</v>
          </cell>
          <cell r="B928" t="str">
            <v>71662</v>
          </cell>
          <cell r="C928" t="str">
            <v>Trinity</v>
          </cell>
          <cell r="D928" t="str">
            <v>Burnt Ranch Elementary</v>
          </cell>
          <cell r="E928">
            <v>97</v>
          </cell>
          <cell r="F928">
            <v>3564</v>
          </cell>
          <cell r="G928">
            <v>1</v>
          </cell>
        </row>
        <row r="929">
          <cell r="A929" t="str">
            <v>53</v>
          </cell>
          <cell r="B929" t="str">
            <v>71670</v>
          </cell>
          <cell r="C929" t="str">
            <v>Trinity</v>
          </cell>
          <cell r="D929" t="str">
            <v>Coffee Creek Elementary</v>
          </cell>
          <cell r="E929">
            <v>9</v>
          </cell>
          <cell r="F929">
            <v>2228</v>
          </cell>
          <cell r="G929">
            <v>1</v>
          </cell>
        </row>
        <row r="930">
          <cell r="A930" t="str">
            <v>53</v>
          </cell>
          <cell r="B930" t="str">
            <v>71688</v>
          </cell>
          <cell r="C930" t="str">
            <v>Trinity</v>
          </cell>
          <cell r="D930" t="str">
            <v>Cox Bar Elementary</v>
          </cell>
          <cell r="E930">
            <v>9</v>
          </cell>
          <cell r="F930">
            <v>2228</v>
          </cell>
          <cell r="G930">
            <v>1</v>
          </cell>
        </row>
        <row r="931">
          <cell r="A931" t="str">
            <v>53</v>
          </cell>
          <cell r="B931" t="str">
            <v>71696</v>
          </cell>
          <cell r="C931" t="str">
            <v>Trinity</v>
          </cell>
          <cell r="D931" t="str">
            <v>Douglas City Elementary</v>
          </cell>
          <cell r="E931">
            <v>131</v>
          </cell>
          <cell r="F931">
            <v>3564</v>
          </cell>
          <cell r="G931">
            <v>1</v>
          </cell>
        </row>
        <row r="932">
          <cell r="A932" t="str">
            <v>53</v>
          </cell>
          <cell r="B932" t="str">
            <v>71738</v>
          </cell>
          <cell r="C932" t="str">
            <v>Trinity</v>
          </cell>
          <cell r="D932" t="str">
            <v>Junction City Elementary</v>
          </cell>
          <cell r="E932">
            <v>81</v>
          </cell>
          <cell r="F932">
            <v>3564</v>
          </cell>
          <cell r="G932">
            <v>1</v>
          </cell>
        </row>
        <row r="933">
          <cell r="A933" t="str">
            <v>53</v>
          </cell>
          <cell r="B933" t="str">
            <v>71746</v>
          </cell>
          <cell r="C933" t="str">
            <v>Trinity</v>
          </cell>
          <cell r="D933" t="str">
            <v>Lewiston Elementary</v>
          </cell>
          <cell r="E933">
            <v>58</v>
          </cell>
          <cell r="F933">
            <v>3564</v>
          </cell>
          <cell r="G933">
            <v>1</v>
          </cell>
        </row>
        <row r="934">
          <cell r="A934" t="str">
            <v>53</v>
          </cell>
          <cell r="B934" t="str">
            <v>71761</v>
          </cell>
          <cell r="C934" t="str">
            <v>Trinity</v>
          </cell>
          <cell r="D934" t="str">
            <v>Trinity Center Elementary</v>
          </cell>
          <cell r="E934">
            <v>20</v>
          </cell>
          <cell r="F934">
            <v>2228</v>
          </cell>
          <cell r="G934">
            <v>1</v>
          </cell>
        </row>
        <row r="935">
          <cell r="A935" t="str">
            <v>53</v>
          </cell>
          <cell r="B935" t="str">
            <v>73833</v>
          </cell>
          <cell r="C935" t="str">
            <v>Trinity</v>
          </cell>
          <cell r="D935" t="str">
            <v>Southern Trinity Joint Unified</v>
          </cell>
          <cell r="E935">
            <v>135</v>
          </cell>
          <cell r="F935">
            <v>11584</v>
          </cell>
          <cell r="G935">
            <v>4</v>
          </cell>
        </row>
        <row r="936">
          <cell r="A936" t="str">
            <v>53</v>
          </cell>
          <cell r="B936" t="str">
            <v>75028</v>
          </cell>
          <cell r="C936" t="str">
            <v>Trinity</v>
          </cell>
          <cell r="D936" t="str">
            <v>Mountain Valley Unified</v>
          </cell>
          <cell r="E936">
            <v>365</v>
          </cell>
          <cell r="F936">
            <v>14192</v>
          </cell>
          <cell r="G936">
            <v>5</v>
          </cell>
        </row>
        <row r="937">
          <cell r="A937" t="str">
            <v>53</v>
          </cell>
          <cell r="B937" t="str">
            <v>76513</v>
          </cell>
          <cell r="C937" t="str">
            <v>Trinity</v>
          </cell>
          <cell r="D937" t="str">
            <v>Trinity Alps Unified</v>
          </cell>
          <cell r="E937">
            <v>827</v>
          </cell>
          <cell r="F937">
            <v>21484</v>
          </cell>
          <cell r="G937">
            <v>5</v>
          </cell>
        </row>
        <row r="938">
          <cell r="A938" t="str">
            <v>54</v>
          </cell>
          <cell r="B938" t="str">
            <v>10546</v>
          </cell>
          <cell r="C938" t="str">
            <v>Tulare</v>
          </cell>
          <cell r="D938" t="str">
            <v>Tulare County Office of Education</v>
          </cell>
          <cell r="E938">
            <v>1864</v>
          </cell>
          <cell r="F938">
            <v>32385</v>
          </cell>
          <cell r="G938">
            <v>5</v>
          </cell>
        </row>
        <row r="939">
          <cell r="A939" t="str">
            <v>54</v>
          </cell>
          <cell r="B939" t="str">
            <v>71795</v>
          </cell>
          <cell r="C939" t="str">
            <v>Tulare</v>
          </cell>
          <cell r="D939" t="str">
            <v>Allensworth Elementary</v>
          </cell>
          <cell r="E939">
            <v>86</v>
          </cell>
          <cell r="F939">
            <v>3564</v>
          </cell>
          <cell r="G939">
            <v>1</v>
          </cell>
        </row>
        <row r="940">
          <cell r="A940" t="str">
            <v>54</v>
          </cell>
          <cell r="B940" t="str">
            <v>71803</v>
          </cell>
          <cell r="C940" t="str">
            <v>Tulare</v>
          </cell>
          <cell r="D940" t="str">
            <v>Alpaugh Unified</v>
          </cell>
          <cell r="E940">
            <v>337</v>
          </cell>
          <cell r="F940">
            <v>11584</v>
          </cell>
          <cell r="G940">
            <v>4</v>
          </cell>
        </row>
        <row r="941">
          <cell r="A941" t="str">
            <v>54</v>
          </cell>
          <cell r="B941" t="str">
            <v>71811</v>
          </cell>
          <cell r="C941" t="str">
            <v>Tulare</v>
          </cell>
          <cell r="D941" t="str">
            <v>Alta Vista Elementary</v>
          </cell>
          <cell r="E941">
            <v>500</v>
          </cell>
          <cell r="F941">
            <v>8500</v>
          </cell>
          <cell r="G941">
            <v>1</v>
          </cell>
        </row>
        <row r="942">
          <cell r="A942" t="str">
            <v>54</v>
          </cell>
          <cell r="B942" t="str">
            <v>71829</v>
          </cell>
          <cell r="C942" t="str">
            <v>Tulare</v>
          </cell>
          <cell r="D942" t="str">
            <v>Buena Vista Elementary</v>
          </cell>
          <cell r="E942">
            <v>193</v>
          </cell>
          <cell r="F942">
            <v>3564</v>
          </cell>
          <cell r="G942">
            <v>1</v>
          </cell>
        </row>
        <row r="943">
          <cell r="A943" t="str">
            <v>54</v>
          </cell>
          <cell r="B943" t="str">
            <v>71837</v>
          </cell>
          <cell r="C943" t="str">
            <v>Tulare</v>
          </cell>
          <cell r="D943" t="str">
            <v>Burton Elementary</v>
          </cell>
          <cell r="E943">
            <v>3656</v>
          </cell>
          <cell r="F943">
            <v>64279</v>
          </cell>
          <cell r="G943">
            <v>7</v>
          </cell>
        </row>
        <row r="944">
          <cell r="A944" t="str">
            <v>54</v>
          </cell>
          <cell r="B944" t="str">
            <v>71845</v>
          </cell>
          <cell r="C944" t="str">
            <v>Tulare</v>
          </cell>
          <cell r="D944" t="str">
            <v>Citrus South Tule Elementary</v>
          </cell>
          <cell r="E944">
            <v>45</v>
          </cell>
          <cell r="F944">
            <v>3564</v>
          </cell>
          <cell r="G944">
            <v>1</v>
          </cell>
        </row>
        <row r="945">
          <cell r="A945" t="str">
            <v>54</v>
          </cell>
          <cell r="B945" t="str">
            <v>71852</v>
          </cell>
          <cell r="C945" t="str">
            <v>Tulare</v>
          </cell>
          <cell r="D945" t="str">
            <v>Columbine Elementary</v>
          </cell>
          <cell r="E945">
            <v>206</v>
          </cell>
          <cell r="F945">
            <v>3564</v>
          </cell>
          <cell r="G945">
            <v>1</v>
          </cell>
        </row>
        <row r="946">
          <cell r="A946" t="str">
            <v>54</v>
          </cell>
          <cell r="B946" t="str">
            <v>71860</v>
          </cell>
          <cell r="C946" t="str">
            <v>Tulare</v>
          </cell>
          <cell r="D946" t="str">
            <v>Cutler-Orosi Joint Unified</v>
          </cell>
          <cell r="E946">
            <v>4129</v>
          </cell>
          <cell r="F946">
            <v>81620</v>
          </cell>
          <cell r="G946">
            <v>10</v>
          </cell>
        </row>
        <row r="947">
          <cell r="A947" t="str">
            <v>54</v>
          </cell>
          <cell r="B947" t="str">
            <v>71894</v>
          </cell>
          <cell r="C947" t="str">
            <v>Tulare</v>
          </cell>
          <cell r="D947" t="str">
            <v>Ducor Union Elementary</v>
          </cell>
          <cell r="E947">
            <v>185</v>
          </cell>
          <cell r="F947">
            <v>3564</v>
          </cell>
          <cell r="G947">
            <v>1</v>
          </cell>
        </row>
        <row r="948">
          <cell r="A948" t="str">
            <v>54</v>
          </cell>
          <cell r="B948" t="str">
            <v>71902</v>
          </cell>
          <cell r="C948" t="str">
            <v>Tulare</v>
          </cell>
          <cell r="D948" t="str">
            <v>Earlimart Elementary</v>
          </cell>
          <cell r="E948">
            <v>2034</v>
          </cell>
          <cell r="F948">
            <v>36755</v>
          </cell>
          <cell r="G948">
            <v>4</v>
          </cell>
        </row>
        <row r="949">
          <cell r="A949" t="str">
            <v>54</v>
          </cell>
          <cell r="B949" t="str">
            <v>71910</v>
          </cell>
          <cell r="C949" t="str">
            <v>Tulare</v>
          </cell>
          <cell r="D949" t="str">
            <v>Exeter Union Elementary</v>
          </cell>
          <cell r="E949">
            <v>1979</v>
          </cell>
          <cell r="F949">
            <v>35786</v>
          </cell>
          <cell r="G949">
            <v>4</v>
          </cell>
        </row>
        <row r="950">
          <cell r="A950" t="str">
            <v>54</v>
          </cell>
          <cell r="B950" t="str">
            <v>71928</v>
          </cell>
          <cell r="C950" t="str">
            <v>Tulare</v>
          </cell>
          <cell r="D950" t="str">
            <v>Exeter Union High</v>
          </cell>
          <cell r="E950">
            <v>1175</v>
          </cell>
          <cell r="F950">
            <v>27326</v>
          </cell>
          <cell r="G950">
            <v>4</v>
          </cell>
        </row>
        <row r="951">
          <cell r="A951" t="str">
            <v>54</v>
          </cell>
          <cell r="B951" t="str">
            <v>71944</v>
          </cell>
          <cell r="C951" t="str">
            <v>Tulare</v>
          </cell>
          <cell r="D951" t="str">
            <v>Hope Elementary</v>
          </cell>
          <cell r="E951">
            <v>140</v>
          </cell>
          <cell r="F951">
            <v>3564</v>
          </cell>
          <cell r="G951">
            <v>1</v>
          </cell>
        </row>
        <row r="952">
          <cell r="A952" t="str">
            <v>54</v>
          </cell>
          <cell r="B952" t="str">
            <v>71951</v>
          </cell>
          <cell r="C952" t="str">
            <v>Tulare</v>
          </cell>
          <cell r="D952" t="str">
            <v>Hot Springs Elementary</v>
          </cell>
          <cell r="E952">
            <v>26</v>
          </cell>
          <cell r="F952">
            <v>4456</v>
          </cell>
          <cell r="G952">
            <v>2</v>
          </cell>
        </row>
        <row r="953">
          <cell r="A953" t="str">
            <v>54</v>
          </cell>
          <cell r="B953" t="str">
            <v>71969</v>
          </cell>
          <cell r="C953" t="str">
            <v>Tulare</v>
          </cell>
          <cell r="D953" t="str">
            <v>Kings River Union Elementary</v>
          </cell>
          <cell r="E953">
            <v>496</v>
          </cell>
          <cell r="F953">
            <v>8432</v>
          </cell>
          <cell r="G953">
            <v>1</v>
          </cell>
        </row>
        <row r="954">
          <cell r="A954" t="str">
            <v>54</v>
          </cell>
          <cell r="B954" t="str">
            <v>71985</v>
          </cell>
          <cell r="C954" t="str">
            <v>Tulare</v>
          </cell>
          <cell r="D954" t="str">
            <v>Liberty Elementary</v>
          </cell>
          <cell r="E954">
            <v>266</v>
          </cell>
          <cell r="F954">
            <v>4522</v>
          </cell>
          <cell r="G954">
            <v>1</v>
          </cell>
        </row>
        <row r="955">
          <cell r="A955" t="str">
            <v>54</v>
          </cell>
          <cell r="B955" t="str">
            <v>71993</v>
          </cell>
          <cell r="C955" t="str">
            <v>Tulare</v>
          </cell>
          <cell r="D955" t="str">
            <v>Lindsay Unified</v>
          </cell>
          <cell r="E955">
            <v>4046</v>
          </cell>
          <cell r="F955">
            <v>73370</v>
          </cell>
          <cell r="G955">
            <v>7</v>
          </cell>
        </row>
        <row r="956">
          <cell r="A956" t="str">
            <v>54</v>
          </cell>
          <cell r="B956" t="str">
            <v>72009</v>
          </cell>
          <cell r="C956" t="str">
            <v>Tulare</v>
          </cell>
          <cell r="D956" t="str">
            <v>Monson-Sultana Joint Union Elementary</v>
          </cell>
          <cell r="E956">
            <v>440</v>
          </cell>
          <cell r="F956">
            <v>7480</v>
          </cell>
          <cell r="G956">
            <v>1</v>
          </cell>
        </row>
        <row r="957">
          <cell r="A957" t="str">
            <v>54</v>
          </cell>
          <cell r="B957" t="str">
            <v>72017</v>
          </cell>
          <cell r="C957" t="str">
            <v>Tulare</v>
          </cell>
          <cell r="D957" t="str">
            <v>Oak Valley Union Elementary</v>
          </cell>
          <cell r="E957">
            <v>462</v>
          </cell>
          <cell r="F957">
            <v>7854</v>
          </cell>
          <cell r="G957">
            <v>1</v>
          </cell>
        </row>
        <row r="958">
          <cell r="A958" t="str">
            <v>54</v>
          </cell>
          <cell r="B958" t="str">
            <v>72025</v>
          </cell>
          <cell r="C958" t="str">
            <v>Tulare</v>
          </cell>
          <cell r="D958" t="str">
            <v>Outside Creek Elementary</v>
          </cell>
          <cell r="E958">
            <v>138</v>
          </cell>
          <cell r="F958">
            <v>3564</v>
          </cell>
          <cell r="G958">
            <v>1</v>
          </cell>
        </row>
        <row r="959">
          <cell r="A959" t="str">
            <v>54</v>
          </cell>
          <cell r="B959" t="str">
            <v>72033</v>
          </cell>
          <cell r="C959" t="str">
            <v>Tulare</v>
          </cell>
          <cell r="D959" t="str">
            <v>Palo Verde Union Elementary</v>
          </cell>
          <cell r="E959">
            <v>549</v>
          </cell>
          <cell r="F959">
            <v>9333</v>
          </cell>
          <cell r="G959">
            <v>1</v>
          </cell>
        </row>
        <row r="960">
          <cell r="A960" t="str">
            <v>54</v>
          </cell>
          <cell r="B960" t="str">
            <v>72041</v>
          </cell>
          <cell r="C960" t="str">
            <v>Tulare</v>
          </cell>
          <cell r="D960" t="str">
            <v>Pixley Union Elementary</v>
          </cell>
          <cell r="E960">
            <v>917</v>
          </cell>
          <cell r="F960">
            <v>15589</v>
          </cell>
          <cell r="G960">
            <v>2</v>
          </cell>
        </row>
        <row r="961">
          <cell r="A961" t="str">
            <v>54</v>
          </cell>
          <cell r="B961" t="str">
            <v>72058</v>
          </cell>
          <cell r="C961" t="str">
            <v>Tulare</v>
          </cell>
          <cell r="D961" t="str">
            <v>Pleasant View Elementary</v>
          </cell>
          <cell r="E961">
            <v>532</v>
          </cell>
          <cell r="F961">
            <v>11255</v>
          </cell>
          <cell r="G961">
            <v>2</v>
          </cell>
        </row>
        <row r="962">
          <cell r="A962" t="str">
            <v>54</v>
          </cell>
          <cell r="B962" t="str">
            <v>72082</v>
          </cell>
          <cell r="C962" t="str">
            <v>Tulare</v>
          </cell>
          <cell r="D962" t="str">
            <v>Richgrove Elementary</v>
          </cell>
          <cell r="E962">
            <v>717</v>
          </cell>
          <cell r="F962">
            <v>12189</v>
          </cell>
          <cell r="G962">
            <v>1</v>
          </cell>
        </row>
        <row r="963">
          <cell r="A963" t="str">
            <v>54</v>
          </cell>
          <cell r="B963" t="str">
            <v>72090</v>
          </cell>
          <cell r="C963" t="str">
            <v>Tulare</v>
          </cell>
          <cell r="D963" t="str">
            <v>Rockford Elementary</v>
          </cell>
          <cell r="E963">
            <v>354</v>
          </cell>
          <cell r="F963">
            <v>6018</v>
          </cell>
          <cell r="G963">
            <v>1</v>
          </cell>
        </row>
        <row r="964">
          <cell r="A964" t="str">
            <v>54</v>
          </cell>
          <cell r="B964" t="str">
            <v>72108</v>
          </cell>
          <cell r="C964" t="str">
            <v>Tulare</v>
          </cell>
          <cell r="D964" t="str">
            <v>Saucelito Elementary</v>
          </cell>
          <cell r="E964">
            <v>86</v>
          </cell>
          <cell r="F964">
            <v>3564</v>
          </cell>
          <cell r="G964">
            <v>1</v>
          </cell>
        </row>
        <row r="965">
          <cell r="A965" t="str">
            <v>54</v>
          </cell>
          <cell r="B965" t="str">
            <v>72116</v>
          </cell>
          <cell r="C965" t="str">
            <v>Tulare</v>
          </cell>
          <cell r="D965" t="str">
            <v>Sequoia Union Elementary</v>
          </cell>
          <cell r="E965">
            <v>331</v>
          </cell>
          <cell r="F965">
            <v>5627</v>
          </cell>
          <cell r="G965">
            <v>1</v>
          </cell>
        </row>
        <row r="966">
          <cell r="A966" t="str">
            <v>54</v>
          </cell>
          <cell r="B966" t="str">
            <v>72132</v>
          </cell>
          <cell r="C966" t="str">
            <v>Tulare</v>
          </cell>
          <cell r="D966" t="str">
            <v>Springville Union Elementary</v>
          </cell>
          <cell r="E966">
            <v>358</v>
          </cell>
          <cell r="F966">
            <v>6086</v>
          </cell>
          <cell r="G966">
            <v>1</v>
          </cell>
        </row>
        <row r="967">
          <cell r="A967" t="str">
            <v>54</v>
          </cell>
          <cell r="B967" t="str">
            <v>72140</v>
          </cell>
          <cell r="C967" t="str">
            <v>Tulare</v>
          </cell>
          <cell r="D967" t="str">
            <v>Stone Corral Elementary</v>
          </cell>
          <cell r="E967">
            <v>136</v>
          </cell>
          <cell r="F967">
            <v>3564</v>
          </cell>
          <cell r="G967">
            <v>1</v>
          </cell>
        </row>
        <row r="968">
          <cell r="A968" t="str">
            <v>54</v>
          </cell>
          <cell r="B968" t="str">
            <v>72157</v>
          </cell>
          <cell r="C968" t="str">
            <v>Tulare</v>
          </cell>
          <cell r="D968" t="str">
            <v>Strathmore Union Elementary</v>
          </cell>
          <cell r="E968">
            <v>761</v>
          </cell>
          <cell r="F968">
            <v>15012</v>
          </cell>
          <cell r="G968">
            <v>2</v>
          </cell>
        </row>
        <row r="969">
          <cell r="A969" t="str">
            <v>54</v>
          </cell>
          <cell r="B969" t="str">
            <v>72173</v>
          </cell>
          <cell r="C969" t="str">
            <v>Tulare</v>
          </cell>
          <cell r="D969" t="str">
            <v>Sundale Union Elementary</v>
          </cell>
          <cell r="E969">
            <v>702</v>
          </cell>
          <cell r="F969">
            <v>11934</v>
          </cell>
          <cell r="G969">
            <v>1</v>
          </cell>
        </row>
        <row r="970">
          <cell r="A970" t="str">
            <v>54</v>
          </cell>
          <cell r="B970" t="str">
            <v>72181</v>
          </cell>
          <cell r="C970" t="str">
            <v>Tulare</v>
          </cell>
          <cell r="D970" t="str">
            <v>Sunnyside Union Elementary</v>
          </cell>
          <cell r="E970">
            <v>404</v>
          </cell>
          <cell r="F970">
            <v>6868</v>
          </cell>
          <cell r="G970">
            <v>1</v>
          </cell>
        </row>
        <row r="971">
          <cell r="A971" t="str">
            <v>54</v>
          </cell>
          <cell r="B971" t="str">
            <v>72199</v>
          </cell>
          <cell r="C971" t="str">
            <v>Tulare</v>
          </cell>
          <cell r="D971" t="str">
            <v>Terra Bella Union Elementary</v>
          </cell>
          <cell r="E971">
            <v>919</v>
          </cell>
          <cell r="F971">
            <v>15623</v>
          </cell>
          <cell r="G971">
            <v>2</v>
          </cell>
        </row>
        <row r="972">
          <cell r="A972" t="str">
            <v>54</v>
          </cell>
          <cell r="B972" t="str">
            <v>72207</v>
          </cell>
          <cell r="C972" t="str">
            <v>Tulare</v>
          </cell>
          <cell r="D972" t="str">
            <v>Three Rivers Union Elementary</v>
          </cell>
          <cell r="E972">
            <v>162</v>
          </cell>
          <cell r="F972">
            <v>3564</v>
          </cell>
          <cell r="G972">
            <v>1</v>
          </cell>
        </row>
        <row r="973">
          <cell r="A973" t="str">
            <v>54</v>
          </cell>
          <cell r="B973" t="str">
            <v>72215</v>
          </cell>
          <cell r="C973" t="str">
            <v>Tulare</v>
          </cell>
          <cell r="D973" t="str">
            <v>Tipton Elementary</v>
          </cell>
          <cell r="E973">
            <v>621</v>
          </cell>
          <cell r="F973">
            <v>10557</v>
          </cell>
          <cell r="G973">
            <v>1</v>
          </cell>
        </row>
        <row r="974">
          <cell r="A974" t="str">
            <v>54</v>
          </cell>
          <cell r="B974" t="str">
            <v>72223</v>
          </cell>
          <cell r="C974" t="str">
            <v>Tulare</v>
          </cell>
          <cell r="D974" t="str">
            <v>Traver Joint Elementary</v>
          </cell>
          <cell r="E974">
            <v>207</v>
          </cell>
          <cell r="F974">
            <v>3564</v>
          </cell>
          <cell r="G974">
            <v>1</v>
          </cell>
        </row>
        <row r="975">
          <cell r="A975" t="str">
            <v>54</v>
          </cell>
          <cell r="B975" t="str">
            <v>72231</v>
          </cell>
          <cell r="C975" t="str">
            <v>Tulare</v>
          </cell>
          <cell r="D975" t="str">
            <v>Tulare City Elementary</v>
          </cell>
          <cell r="E975">
            <v>8924</v>
          </cell>
          <cell r="F975">
            <v>153886</v>
          </cell>
          <cell r="G975">
            <v>15</v>
          </cell>
        </row>
        <row r="976">
          <cell r="A976" t="str">
            <v>54</v>
          </cell>
          <cell r="B976" t="str">
            <v>72249</v>
          </cell>
          <cell r="C976" t="str">
            <v>Tulare</v>
          </cell>
          <cell r="D976" t="str">
            <v>Tulare Joint Union High</v>
          </cell>
          <cell r="E976">
            <v>5022</v>
          </cell>
          <cell r="F976">
            <v>93376</v>
          </cell>
          <cell r="G976">
            <v>7</v>
          </cell>
        </row>
        <row r="977">
          <cell r="A977" t="str">
            <v>54</v>
          </cell>
          <cell r="B977" t="str">
            <v>72256</v>
          </cell>
          <cell r="C977" t="str">
            <v>Tulare</v>
          </cell>
          <cell r="D977" t="str">
            <v>Visalia Unified</v>
          </cell>
          <cell r="E977">
            <v>27035</v>
          </cell>
          <cell r="F977">
            <v>466403</v>
          </cell>
          <cell r="G977">
            <v>37</v>
          </cell>
        </row>
        <row r="978">
          <cell r="A978" t="str">
            <v>54</v>
          </cell>
          <cell r="B978" t="str">
            <v>72264</v>
          </cell>
          <cell r="C978" t="str">
            <v>Tulare</v>
          </cell>
          <cell r="D978" t="str">
            <v>Waukena Joint Union Elementary</v>
          </cell>
          <cell r="E978">
            <v>222</v>
          </cell>
          <cell r="F978">
            <v>3774</v>
          </cell>
          <cell r="G978">
            <v>1</v>
          </cell>
        </row>
        <row r="979">
          <cell r="A979" t="str">
            <v>54</v>
          </cell>
          <cell r="B979" t="str">
            <v>72272</v>
          </cell>
          <cell r="C979" t="str">
            <v>Tulare</v>
          </cell>
          <cell r="D979" t="str">
            <v>Woodlake Union Elementary</v>
          </cell>
          <cell r="E979">
            <v>1558</v>
          </cell>
          <cell r="F979">
            <v>26486</v>
          </cell>
          <cell r="G979">
            <v>3</v>
          </cell>
        </row>
        <row r="980">
          <cell r="A980" t="str">
            <v>54</v>
          </cell>
          <cell r="B980" t="str">
            <v>72280</v>
          </cell>
          <cell r="C980" t="str">
            <v>Tulare</v>
          </cell>
          <cell r="D980" t="str">
            <v>Woodlake Union High</v>
          </cell>
          <cell r="E980">
            <v>883</v>
          </cell>
          <cell r="F980">
            <v>19988</v>
          </cell>
          <cell r="G980">
            <v>3</v>
          </cell>
        </row>
        <row r="981">
          <cell r="A981" t="str">
            <v>54</v>
          </cell>
          <cell r="B981" t="str">
            <v>72298</v>
          </cell>
          <cell r="C981" t="str">
            <v>Tulare</v>
          </cell>
          <cell r="D981" t="str">
            <v>Woodville Union Elementary</v>
          </cell>
          <cell r="E981">
            <v>594</v>
          </cell>
          <cell r="F981">
            <v>10098</v>
          </cell>
          <cell r="G981">
            <v>1</v>
          </cell>
        </row>
        <row r="982">
          <cell r="A982" t="str">
            <v>54</v>
          </cell>
          <cell r="B982" t="str">
            <v>75325</v>
          </cell>
          <cell r="C982" t="str">
            <v>Tulare</v>
          </cell>
          <cell r="D982" t="str">
            <v>Farmersville Unified</v>
          </cell>
          <cell r="E982">
            <v>2561</v>
          </cell>
          <cell r="F982">
            <v>45826</v>
          </cell>
          <cell r="G982">
            <v>6</v>
          </cell>
        </row>
        <row r="983">
          <cell r="A983" t="str">
            <v>54</v>
          </cell>
          <cell r="B983" t="str">
            <v>75523</v>
          </cell>
          <cell r="C983" t="str">
            <v>Tulare</v>
          </cell>
          <cell r="D983" t="str">
            <v>Porterville Unified</v>
          </cell>
          <cell r="E983">
            <v>13392</v>
          </cell>
          <cell r="F983">
            <v>233123</v>
          </cell>
          <cell r="G983">
            <v>22</v>
          </cell>
        </row>
        <row r="984">
          <cell r="A984" t="str">
            <v>54</v>
          </cell>
          <cell r="B984" t="str">
            <v>75531</v>
          </cell>
          <cell r="C984" t="str">
            <v>Tulare</v>
          </cell>
          <cell r="D984" t="str">
            <v>Dinuba Unified</v>
          </cell>
          <cell r="E984">
            <v>5920</v>
          </cell>
          <cell r="F984">
            <v>102574</v>
          </cell>
          <cell r="G984">
            <v>10</v>
          </cell>
        </row>
        <row r="985">
          <cell r="A985" t="str">
            <v>55</v>
          </cell>
          <cell r="B985" t="str">
            <v>10553</v>
          </cell>
          <cell r="C985" t="str">
            <v>Tuolumne</v>
          </cell>
          <cell r="D985" t="str">
            <v>Tuolumne County Superintendent of Schools</v>
          </cell>
          <cell r="E985">
            <v>110</v>
          </cell>
          <cell r="F985">
            <v>10248</v>
          </cell>
          <cell r="G985">
            <v>4</v>
          </cell>
        </row>
        <row r="986">
          <cell r="A986" t="str">
            <v>55</v>
          </cell>
          <cell r="B986" t="str">
            <v>72306</v>
          </cell>
          <cell r="C986" t="str">
            <v>Tuolumne</v>
          </cell>
          <cell r="D986" t="str">
            <v>Belleview Elementary</v>
          </cell>
          <cell r="E986">
            <v>142</v>
          </cell>
          <cell r="F986">
            <v>3564</v>
          </cell>
          <cell r="G986">
            <v>1</v>
          </cell>
        </row>
        <row r="987">
          <cell r="A987" t="str">
            <v>55</v>
          </cell>
          <cell r="B987" t="str">
            <v>72330</v>
          </cell>
          <cell r="C987" t="str">
            <v>Tuolumne</v>
          </cell>
          <cell r="D987" t="str">
            <v>Chinese Camp Elementary</v>
          </cell>
          <cell r="E987">
            <v>17</v>
          </cell>
          <cell r="F987">
            <v>2228</v>
          </cell>
          <cell r="G987">
            <v>1</v>
          </cell>
        </row>
        <row r="988">
          <cell r="A988" t="str">
            <v>55</v>
          </cell>
          <cell r="B988" t="str">
            <v>72348</v>
          </cell>
          <cell r="C988" t="str">
            <v>Tuolumne</v>
          </cell>
          <cell r="D988" t="str">
            <v>Columbia Union</v>
          </cell>
          <cell r="E988">
            <v>617</v>
          </cell>
          <cell r="F988">
            <v>12683</v>
          </cell>
          <cell r="G988">
            <v>2</v>
          </cell>
        </row>
        <row r="989">
          <cell r="A989" t="str">
            <v>55</v>
          </cell>
          <cell r="B989" t="str">
            <v>72355</v>
          </cell>
          <cell r="C989" t="str">
            <v>Tuolumne</v>
          </cell>
          <cell r="D989" t="str">
            <v>Curtis Creek Elementary</v>
          </cell>
          <cell r="E989">
            <v>620</v>
          </cell>
          <cell r="F989">
            <v>13272</v>
          </cell>
          <cell r="G989">
            <v>3</v>
          </cell>
        </row>
        <row r="990">
          <cell r="A990" t="str">
            <v>55</v>
          </cell>
          <cell r="B990" t="str">
            <v>72363</v>
          </cell>
          <cell r="C990" t="str">
            <v>Tuolumne</v>
          </cell>
          <cell r="D990" t="str">
            <v>Jamestown Elementary</v>
          </cell>
          <cell r="E990">
            <v>462</v>
          </cell>
          <cell r="F990">
            <v>9980</v>
          </cell>
          <cell r="G990">
            <v>2</v>
          </cell>
        </row>
        <row r="991">
          <cell r="A991" t="str">
            <v>55</v>
          </cell>
          <cell r="B991" t="str">
            <v>72371</v>
          </cell>
          <cell r="C991" t="str">
            <v>Tuolumne</v>
          </cell>
          <cell r="D991" t="str">
            <v>Sonora Elementary</v>
          </cell>
          <cell r="E991">
            <v>765</v>
          </cell>
          <cell r="F991">
            <v>15217</v>
          </cell>
          <cell r="G991">
            <v>2</v>
          </cell>
        </row>
        <row r="992">
          <cell r="A992" t="str">
            <v>55</v>
          </cell>
          <cell r="B992" t="str">
            <v>72389</v>
          </cell>
          <cell r="C992" t="str">
            <v>Tuolumne</v>
          </cell>
          <cell r="D992" t="str">
            <v>Sonora Union High</v>
          </cell>
          <cell r="E992">
            <v>1489</v>
          </cell>
          <cell r="F992">
            <v>32290</v>
          </cell>
          <cell r="G992">
            <v>4</v>
          </cell>
        </row>
        <row r="993">
          <cell r="A993" t="str">
            <v>55</v>
          </cell>
          <cell r="B993" t="str">
            <v>72397</v>
          </cell>
          <cell r="C993" t="str">
            <v>Tuolumne</v>
          </cell>
          <cell r="D993" t="str">
            <v>Soulsbyville Elementary</v>
          </cell>
          <cell r="E993">
            <v>519</v>
          </cell>
          <cell r="F993">
            <v>13126</v>
          </cell>
          <cell r="G993">
            <v>3</v>
          </cell>
        </row>
        <row r="994">
          <cell r="A994" t="str">
            <v>55</v>
          </cell>
          <cell r="B994" t="str">
            <v>72405</v>
          </cell>
          <cell r="C994" t="str">
            <v>Tuolumne</v>
          </cell>
          <cell r="D994" t="str">
            <v>Summerville Elementary</v>
          </cell>
          <cell r="E994">
            <v>373</v>
          </cell>
          <cell r="F994">
            <v>8450</v>
          </cell>
          <cell r="G994">
            <v>2</v>
          </cell>
        </row>
        <row r="995">
          <cell r="A995" t="str">
            <v>55</v>
          </cell>
          <cell r="B995" t="str">
            <v>72413</v>
          </cell>
          <cell r="C995" t="str">
            <v>Tuolumne</v>
          </cell>
          <cell r="D995" t="str">
            <v>Summerville Union High</v>
          </cell>
          <cell r="E995">
            <v>695</v>
          </cell>
          <cell r="F995">
            <v>25194</v>
          </cell>
          <cell r="G995">
            <v>8</v>
          </cell>
        </row>
        <row r="996">
          <cell r="A996" t="str">
            <v>55</v>
          </cell>
          <cell r="B996" t="str">
            <v>72421</v>
          </cell>
          <cell r="C996" t="str">
            <v>Tuolumne</v>
          </cell>
          <cell r="D996" t="str">
            <v>Twain Harte-Long Barn Union Elementary</v>
          </cell>
          <cell r="E996">
            <v>374</v>
          </cell>
          <cell r="F996">
            <v>15148</v>
          </cell>
          <cell r="G996">
            <v>5</v>
          </cell>
        </row>
        <row r="997">
          <cell r="A997" t="str">
            <v>55</v>
          </cell>
          <cell r="B997" t="str">
            <v>75184</v>
          </cell>
          <cell r="C997" t="str">
            <v>Tuolumne</v>
          </cell>
          <cell r="D997" t="str">
            <v>Big Oak Flat-Groveland Unified</v>
          </cell>
          <cell r="E997">
            <v>460</v>
          </cell>
          <cell r="F997">
            <v>16412</v>
          </cell>
          <cell r="G997">
            <v>5</v>
          </cell>
        </row>
        <row r="998">
          <cell r="A998" t="str">
            <v>56</v>
          </cell>
          <cell r="B998" t="str">
            <v>10561</v>
          </cell>
          <cell r="C998" t="str">
            <v>Ventura</v>
          </cell>
          <cell r="D998" t="str">
            <v>Ventura County Office of Education</v>
          </cell>
          <cell r="E998">
            <v>768</v>
          </cell>
          <cell r="F998">
            <v>14608</v>
          </cell>
          <cell r="G998">
            <v>3</v>
          </cell>
        </row>
        <row r="999">
          <cell r="A999" t="str">
            <v>56</v>
          </cell>
          <cell r="B999" t="str">
            <v>72447</v>
          </cell>
          <cell r="C999" t="str">
            <v>Ventura</v>
          </cell>
          <cell r="D999" t="str">
            <v>Briggs Elementary</v>
          </cell>
          <cell r="E999">
            <v>449</v>
          </cell>
          <cell r="F999">
            <v>8205</v>
          </cell>
          <cell r="G999">
            <v>2</v>
          </cell>
        </row>
        <row r="1000">
          <cell r="A1000" t="str">
            <v>56</v>
          </cell>
          <cell r="B1000" t="str">
            <v>72454</v>
          </cell>
          <cell r="C1000" t="str">
            <v>Ventura</v>
          </cell>
          <cell r="D1000" t="str">
            <v>Fillmore Unified</v>
          </cell>
          <cell r="E1000">
            <v>3860</v>
          </cell>
          <cell r="F1000">
            <v>67996</v>
          </cell>
          <cell r="G1000">
            <v>7</v>
          </cell>
        </row>
        <row r="1001">
          <cell r="A1001" t="str">
            <v>56</v>
          </cell>
          <cell r="B1001" t="str">
            <v>72462</v>
          </cell>
          <cell r="C1001" t="str">
            <v>Ventura</v>
          </cell>
          <cell r="D1001" t="str">
            <v>Hueneme Elementary</v>
          </cell>
          <cell r="E1001">
            <v>7979</v>
          </cell>
          <cell r="F1001">
            <v>135646</v>
          </cell>
          <cell r="G1001">
            <v>11</v>
          </cell>
        </row>
        <row r="1002">
          <cell r="A1002" t="str">
            <v>56</v>
          </cell>
          <cell r="B1002" t="str">
            <v>72470</v>
          </cell>
          <cell r="C1002" t="str">
            <v>Ventura</v>
          </cell>
          <cell r="D1002" t="str">
            <v>Mesa Union Elementary</v>
          </cell>
          <cell r="E1002">
            <v>584</v>
          </cell>
          <cell r="F1002">
            <v>9928</v>
          </cell>
          <cell r="G1002">
            <v>1</v>
          </cell>
        </row>
        <row r="1003">
          <cell r="A1003" t="str">
            <v>56</v>
          </cell>
          <cell r="B1003" t="str">
            <v>72504</v>
          </cell>
          <cell r="C1003" t="str">
            <v>Ventura</v>
          </cell>
          <cell r="D1003" t="str">
            <v>Mupu Elementary</v>
          </cell>
          <cell r="E1003">
            <v>127</v>
          </cell>
          <cell r="F1003">
            <v>3564</v>
          </cell>
          <cell r="G1003">
            <v>1</v>
          </cell>
        </row>
        <row r="1004">
          <cell r="A1004" t="str">
            <v>56</v>
          </cell>
          <cell r="B1004" t="str">
            <v>72512</v>
          </cell>
          <cell r="C1004" t="str">
            <v>Ventura</v>
          </cell>
          <cell r="D1004" t="str">
            <v>Ocean View Elementary</v>
          </cell>
          <cell r="E1004">
            <v>2508</v>
          </cell>
          <cell r="F1004">
            <v>42637</v>
          </cell>
          <cell r="G1004">
            <v>4</v>
          </cell>
        </row>
        <row r="1005">
          <cell r="A1005" t="str">
            <v>56</v>
          </cell>
          <cell r="B1005" t="str">
            <v>72520</v>
          </cell>
          <cell r="C1005" t="str">
            <v>Ventura</v>
          </cell>
          <cell r="D1005" t="str">
            <v>Ojai Unified</v>
          </cell>
          <cell r="E1005">
            <v>3089</v>
          </cell>
          <cell r="F1005">
            <v>58412</v>
          </cell>
          <cell r="G1005">
            <v>8</v>
          </cell>
        </row>
        <row r="1006">
          <cell r="A1006" t="str">
            <v>56</v>
          </cell>
          <cell r="B1006" t="str">
            <v>72538</v>
          </cell>
          <cell r="C1006" t="str">
            <v>Ventura</v>
          </cell>
          <cell r="D1006" t="str">
            <v>Oxnard Elementary</v>
          </cell>
          <cell r="E1006">
            <v>15400</v>
          </cell>
          <cell r="F1006">
            <v>266992</v>
          </cell>
          <cell r="G1006">
            <v>21</v>
          </cell>
        </row>
        <row r="1007">
          <cell r="A1007" t="str">
            <v>56</v>
          </cell>
          <cell r="B1007" t="str">
            <v>72546</v>
          </cell>
          <cell r="C1007" t="str">
            <v>Ventura</v>
          </cell>
          <cell r="D1007" t="str">
            <v>Oxnard Union High</v>
          </cell>
          <cell r="E1007">
            <v>16442</v>
          </cell>
          <cell r="F1007">
            <v>281474</v>
          </cell>
          <cell r="G1007">
            <v>8</v>
          </cell>
        </row>
        <row r="1008">
          <cell r="A1008" t="str">
            <v>56</v>
          </cell>
          <cell r="B1008" t="str">
            <v>72553</v>
          </cell>
          <cell r="C1008" t="str">
            <v>Ventura</v>
          </cell>
          <cell r="D1008" t="str">
            <v>Pleasant Valley</v>
          </cell>
          <cell r="E1008">
            <v>6647</v>
          </cell>
          <cell r="F1008">
            <v>113001</v>
          </cell>
          <cell r="G1008">
            <v>11</v>
          </cell>
        </row>
        <row r="1009">
          <cell r="A1009" t="str">
            <v>56</v>
          </cell>
          <cell r="B1009" t="str">
            <v>72561</v>
          </cell>
          <cell r="C1009" t="str">
            <v>Ventura</v>
          </cell>
          <cell r="D1009" t="str">
            <v>Rio Elementary</v>
          </cell>
          <cell r="E1009">
            <v>4297</v>
          </cell>
          <cell r="F1009">
            <v>75209</v>
          </cell>
          <cell r="G1009">
            <v>9</v>
          </cell>
        </row>
        <row r="1010">
          <cell r="A1010" t="str">
            <v>56</v>
          </cell>
          <cell r="B1010" t="str">
            <v>72579</v>
          </cell>
          <cell r="C1010" t="str">
            <v>Ventura</v>
          </cell>
          <cell r="D1010" t="str">
            <v>Santa Clara Elementary</v>
          </cell>
          <cell r="E1010">
            <v>55</v>
          </cell>
          <cell r="F1010">
            <v>3564</v>
          </cell>
          <cell r="G1010">
            <v>1</v>
          </cell>
        </row>
        <row r="1011">
          <cell r="A1011" t="str">
            <v>56</v>
          </cell>
          <cell r="B1011" t="str">
            <v>72587</v>
          </cell>
          <cell r="C1011" t="str">
            <v>Ventura</v>
          </cell>
          <cell r="D1011" t="str">
            <v>Santa Paula Elementary</v>
          </cell>
          <cell r="E1011">
            <v>3712</v>
          </cell>
          <cell r="F1011">
            <v>63105</v>
          </cell>
          <cell r="G1011">
            <v>7</v>
          </cell>
        </row>
        <row r="1012">
          <cell r="A1012" t="str">
            <v>56</v>
          </cell>
          <cell r="B1012" t="str">
            <v>72595</v>
          </cell>
          <cell r="C1012" t="str">
            <v>Ventura</v>
          </cell>
          <cell r="D1012" t="str">
            <v>Santa Paula Union High</v>
          </cell>
          <cell r="E1012">
            <v>1645</v>
          </cell>
          <cell r="F1012">
            <v>29541</v>
          </cell>
          <cell r="G1012">
            <v>2</v>
          </cell>
        </row>
        <row r="1013">
          <cell r="A1013" t="str">
            <v>56</v>
          </cell>
          <cell r="B1013" t="str">
            <v>72603</v>
          </cell>
          <cell r="C1013" t="str">
            <v>Ventura</v>
          </cell>
          <cell r="D1013" t="str">
            <v>Simi Valley Unified</v>
          </cell>
          <cell r="E1013">
            <v>20819</v>
          </cell>
          <cell r="F1013">
            <v>354146</v>
          </cell>
          <cell r="G1013">
            <v>29</v>
          </cell>
        </row>
        <row r="1014">
          <cell r="A1014" t="str">
            <v>56</v>
          </cell>
          <cell r="B1014" t="str">
            <v>72611</v>
          </cell>
          <cell r="C1014" t="str">
            <v>Ventura</v>
          </cell>
          <cell r="D1014" t="str">
            <v>Somis Union</v>
          </cell>
          <cell r="E1014">
            <v>309</v>
          </cell>
          <cell r="F1014">
            <v>5253</v>
          </cell>
          <cell r="G1014">
            <v>1</v>
          </cell>
        </row>
        <row r="1015">
          <cell r="A1015" t="str">
            <v>56</v>
          </cell>
          <cell r="B1015" t="str">
            <v>72652</v>
          </cell>
          <cell r="C1015" t="str">
            <v>Ventura</v>
          </cell>
          <cell r="D1015" t="str">
            <v>Ventura Unified</v>
          </cell>
          <cell r="E1015">
            <v>17350</v>
          </cell>
          <cell r="F1015">
            <v>308330</v>
          </cell>
          <cell r="G1015">
            <v>31</v>
          </cell>
        </row>
        <row r="1016">
          <cell r="A1016" t="str">
            <v>56</v>
          </cell>
          <cell r="B1016" t="str">
            <v>73759</v>
          </cell>
          <cell r="C1016" t="str">
            <v>Ventura</v>
          </cell>
          <cell r="D1016" t="str">
            <v>Conejo Valley Unified</v>
          </cell>
          <cell r="E1016">
            <v>21643</v>
          </cell>
          <cell r="F1016">
            <v>370911</v>
          </cell>
          <cell r="G1016">
            <v>29</v>
          </cell>
        </row>
        <row r="1017">
          <cell r="A1017" t="str">
            <v>56</v>
          </cell>
          <cell r="B1017" t="str">
            <v>73874</v>
          </cell>
          <cell r="C1017" t="str">
            <v>Ventura</v>
          </cell>
          <cell r="D1017" t="str">
            <v>Oak Park Unified</v>
          </cell>
          <cell r="E1017">
            <v>3619</v>
          </cell>
          <cell r="F1017">
            <v>66103</v>
          </cell>
          <cell r="G1017">
            <v>7</v>
          </cell>
        </row>
        <row r="1018">
          <cell r="A1018" t="str">
            <v>56</v>
          </cell>
          <cell r="B1018" t="str">
            <v>73940</v>
          </cell>
          <cell r="C1018" t="str">
            <v>Ventura</v>
          </cell>
          <cell r="D1018" t="str">
            <v>Moorpark Unified</v>
          </cell>
          <cell r="E1018">
            <v>7324</v>
          </cell>
          <cell r="F1018">
            <v>127152</v>
          </cell>
          <cell r="G1018">
            <v>11</v>
          </cell>
        </row>
        <row r="1019">
          <cell r="A1019" t="str">
            <v>57</v>
          </cell>
          <cell r="B1019" t="str">
            <v>10579</v>
          </cell>
          <cell r="C1019" t="str">
            <v>Yolo</v>
          </cell>
          <cell r="D1019" t="str">
            <v>Yolo County Office of Education</v>
          </cell>
          <cell r="E1019">
            <v>319</v>
          </cell>
          <cell r="F1019">
            <v>14256</v>
          </cell>
          <cell r="G1019">
            <v>4</v>
          </cell>
        </row>
        <row r="1020">
          <cell r="A1020" t="str">
            <v>57</v>
          </cell>
          <cell r="B1020" t="str">
            <v>72678</v>
          </cell>
          <cell r="C1020" t="str">
            <v>Yolo</v>
          </cell>
          <cell r="D1020" t="str">
            <v>Davis Joint Unified</v>
          </cell>
          <cell r="E1020">
            <v>8536</v>
          </cell>
          <cell r="F1020">
            <v>151165</v>
          </cell>
          <cell r="G1020">
            <v>16</v>
          </cell>
        </row>
        <row r="1021">
          <cell r="A1021" t="str">
            <v>57</v>
          </cell>
          <cell r="B1021" t="str">
            <v>72686</v>
          </cell>
          <cell r="C1021" t="str">
            <v>Yolo</v>
          </cell>
          <cell r="D1021" t="str">
            <v>Esparto Unified</v>
          </cell>
          <cell r="E1021">
            <v>1087</v>
          </cell>
          <cell r="F1021">
            <v>21601</v>
          </cell>
          <cell r="G1021">
            <v>4</v>
          </cell>
        </row>
        <row r="1022">
          <cell r="A1022" t="str">
            <v>57</v>
          </cell>
          <cell r="B1022" t="str">
            <v>72694</v>
          </cell>
          <cell r="C1022" t="str">
            <v>Yolo</v>
          </cell>
          <cell r="D1022" t="str">
            <v>Washington Unified</v>
          </cell>
          <cell r="E1022">
            <v>7164</v>
          </cell>
          <cell r="F1022">
            <v>124398</v>
          </cell>
          <cell r="G1022">
            <v>11</v>
          </cell>
        </row>
        <row r="1023">
          <cell r="A1023" t="str">
            <v>57</v>
          </cell>
          <cell r="B1023" t="str">
            <v>72702</v>
          </cell>
          <cell r="C1023" t="str">
            <v>Yolo</v>
          </cell>
          <cell r="D1023" t="str">
            <v>Winters Joint Unified</v>
          </cell>
          <cell r="E1023">
            <v>1716</v>
          </cell>
          <cell r="F1023">
            <v>31818</v>
          </cell>
          <cell r="G1023">
            <v>5</v>
          </cell>
        </row>
        <row r="1024">
          <cell r="A1024" t="str">
            <v>57</v>
          </cell>
          <cell r="B1024" t="str">
            <v>72710</v>
          </cell>
          <cell r="C1024" t="str">
            <v>Yolo</v>
          </cell>
          <cell r="D1024" t="str">
            <v>Woodland Joint Unified</v>
          </cell>
          <cell r="E1024">
            <v>10573</v>
          </cell>
          <cell r="F1024">
            <v>186026</v>
          </cell>
          <cell r="G1024">
            <v>19</v>
          </cell>
        </row>
        <row r="1025">
          <cell r="A1025" t="str">
            <v>58</v>
          </cell>
          <cell r="B1025" t="str">
            <v>10587</v>
          </cell>
          <cell r="C1025" t="str">
            <v>Yuba</v>
          </cell>
          <cell r="D1025" t="str">
            <v>Yuba County Office of Education</v>
          </cell>
          <cell r="E1025">
            <v>635</v>
          </cell>
          <cell r="F1025">
            <v>19550</v>
          </cell>
          <cell r="G1025">
            <v>5</v>
          </cell>
        </row>
        <row r="1026">
          <cell r="A1026" t="str">
            <v>58</v>
          </cell>
          <cell r="B1026" t="str">
            <v>72728</v>
          </cell>
          <cell r="C1026" t="str">
            <v>Yuba</v>
          </cell>
          <cell r="D1026" t="str">
            <v>Camptonville Elementary</v>
          </cell>
          <cell r="E1026">
            <v>51</v>
          </cell>
          <cell r="F1026">
            <v>3564</v>
          </cell>
          <cell r="G1026">
            <v>1</v>
          </cell>
        </row>
        <row r="1027">
          <cell r="A1027" t="str">
            <v>58</v>
          </cell>
          <cell r="B1027" t="str">
            <v>72736</v>
          </cell>
          <cell r="C1027" t="str">
            <v>Yuba</v>
          </cell>
          <cell r="D1027" t="str">
            <v>Marysville Joint Unified</v>
          </cell>
          <cell r="E1027">
            <v>10087</v>
          </cell>
          <cell r="F1027">
            <v>187120</v>
          </cell>
          <cell r="G1027">
            <v>24</v>
          </cell>
        </row>
        <row r="1028">
          <cell r="A1028" t="str">
            <v>58</v>
          </cell>
          <cell r="B1028" t="str">
            <v>72744</v>
          </cell>
          <cell r="C1028" t="str">
            <v>Yuba</v>
          </cell>
          <cell r="D1028" t="str">
            <v>Plumas Lake Elementary</v>
          </cell>
          <cell r="E1028">
            <v>991</v>
          </cell>
          <cell r="F1028">
            <v>18871</v>
          </cell>
          <cell r="G1028">
            <v>4</v>
          </cell>
        </row>
        <row r="1029">
          <cell r="A1029" t="str">
            <v>58</v>
          </cell>
          <cell r="B1029" t="str">
            <v>72751</v>
          </cell>
          <cell r="C1029" t="str">
            <v>Yuba</v>
          </cell>
          <cell r="D1029" t="str">
            <v>Wheatland</v>
          </cell>
          <cell r="E1029">
            <v>1439</v>
          </cell>
          <cell r="F1029">
            <v>25749</v>
          </cell>
          <cell r="G1029">
            <v>4</v>
          </cell>
        </row>
        <row r="1030">
          <cell r="A1030" t="str">
            <v>58</v>
          </cell>
          <cell r="B1030" t="str">
            <v>72769</v>
          </cell>
          <cell r="C1030" t="str">
            <v>Yuba</v>
          </cell>
          <cell r="D1030" t="str">
            <v>Wheatland Union High</v>
          </cell>
          <cell r="E1030">
            <v>785</v>
          </cell>
          <cell r="F1030">
            <v>16280</v>
          </cell>
          <cell r="G1030">
            <v>2</v>
          </cell>
        </row>
      </sheetData>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 Links"/>
      <sheetName val="Version"/>
      <sheetName val="FY Control"/>
      <sheetName val="Caveats"/>
      <sheetName val="Instructions"/>
      <sheetName val="COE CDS"/>
      <sheetName val="Data Entry"/>
      <sheetName val="PY1 Local Rev"/>
      <sheetName val="PY2 Local Rev"/>
      <sheetName val="PY3 Local Rev"/>
      <sheetName val="PY1 UPP"/>
      <sheetName val="PY2 UPP"/>
      <sheetName val="PY3 UPP"/>
      <sheetName val="PY1 COG"/>
      <sheetName val="PY2 COG"/>
      <sheetName val="PY3 COG"/>
      <sheetName val="PY1 LCFF Calc"/>
      <sheetName val="PY2 LCFF Calc"/>
      <sheetName val="PY3 LCFF Calc"/>
      <sheetName val="Calculator"/>
      <sheetName val="Differentiated Assistance"/>
      <sheetName val="PY1 Diff Asst"/>
      <sheetName val="EPA"/>
      <sheetName val="PY1 EPA"/>
      <sheetName val="PY2 EPA"/>
      <sheetName val="PY3 EPA"/>
      <sheetName val="Summary"/>
      <sheetName val="COE Transfers"/>
      <sheetName val="PY1 TFR ADA"/>
      <sheetName val="Local 1"/>
      <sheetName val="Local 2"/>
      <sheetName val="Local 3"/>
      <sheetName val="Local 4"/>
      <sheetName val="Local 5"/>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8BF71E0-BAC4-4E54-84AF-8259D2CC47D8}" name="Table15" displayName="Table15" ref="A4:B63" totalsRowCount="1" headerRowDxfId="594" dataDxfId="593" totalsRowDxfId="591" tableBorderDxfId="592" totalsRowBorderDxfId="590" headerRowCellStyle="Normal" dataCellStyle="Normal" totalsRowCellStyle="Normal">
  <sortState xmlns:xlrd2="http://schemas.microsoft.com/office/spreadsheetml/2017/richdata2" ref="A5:B62">
    <sortCondition ref="A5:A62"/>
  </sortState>
  <tableColumns count="2">
    <tableColumn id="2" xr3:uid="{9C9EFD9C-5546-4B74-9FD3-9527945A0D82}" name="County Code" dataDxfId="589" totalsRowDxfId="588" dataCellStyle="Normal"/>
    <tableColumn id="7" xr3:uid="{540031C2-537E-499F-9427-6046901BE178}" name="Local Educational Agency" dataDxfId="587" totalsRowDxfId="586" dataCellStyle="Normal"/>
  </tableColumns>
  <tableStyleInfo name="PAS Table" showFirstColumn="0" showLastColumn="0" showRowStripes="0" showColumnStripes="0"/>
  <extLst>
    <ext xmlns:x14="http://schemas.microsoft.com/office/spreadsheetml/2009/9/main" uri="{504A1905-F514-4f6f-8877-14C23A59335A}">
      <x14:table altTextSummary="Education Protection Account Calculation data."/>
    </ext>
  </extLst>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ABD10860-7C62-4731-B54E-CC7A02CB0700}" name="DistrictTransition38182310" displayName="DistrictTransition38182310" ref="A4:W63" totalsRowShown="0" headerRowDxfId="279" dataDxfId="277" headerRowBorderDxfId="278" tableBorderDxfId="276" dataCellStyle="Comma" totalsRowCellStyle="Total">
  <tableColumns count="23">
    <tableColumn id="2" xr3:uid="{E813CBC3-BD62-4CB6-B111-504F33E802EE}" name="County Code" totalsRowDxfId="275" dataCellStyle="Total"/>
    <tableColumn id="39" xr3:uid="{E9CFECF9-C716-4FA9-A6D7-CA748C52E91D}" name="Local Educational Agency" dataDxfId="274" totalsRowDxfId="273"/>
    <tableColumn id="10" xr3:uid="{20A097F6-EC3C-42C8-A9FF-81496FE908F1}" name="County Funded Non-Juvenile Court ADA_x000a_A-2" dataDxfId="272" totalsRowDxfId="271"/>
    <tableColumn id="11" xr3:uid="{96372E1A-B240-4725-B67F-BE02150C1CBB}" name="Charter School County Funded Non-Juvenile Court ADA_x000a_A-3" dataDxfId="270" totalsRowDxfId="269"/>
    <tableColumn id="12" xr3:uid="{9D28943E-B64C-42A6-B91C-57858C2AE8CC}" name="Juvenile Court Schools ADA_x000a_A-5" dataDxfId="268" totalsRowDxfId="267"/>
    <tableColumn id="13" xr3:uid="{15FD13D7-60B2-4E28-9F76-A6BA310C9EC2}" name="Charter School Juvenile Court Schools ADA_x000a_A-6" dataDxfId="266" totalsRowDxfId="265"/>
    <tableColumn id="6" xr3:uid="{E426D1A2-1124-4537-891C-64D97D8677DF}" name="Base Grant Rate _x000a_(A-8 * A-9)_x000a_A-10" dataDxfId="264" totalsRowDxfId="263"/>
    <tableColumn id="7" xr3:uid="{D4E2D227-ACCD-4A20-A455-58893349E6A0}" name="EC Section 2574(e)(1) Add-On (based on 2012-13 Targeted Instructional Improvement Block Grant)_x000a_A-29" dataDxfId="262" totalsRowDxfId="261"/>
    <tableColumn id="9" xr3:uid="{7F65B944-BC90-44DF-BE2B-D539C5373E6A}" name="EC Section 2574(e)(2) Add-On (based on 2012-13 Home-to-School Transportation)_x000a_A-30" dataDxfId="260" totalsRowDxfId="259"/>
    <tableColumn id="14" xr3:uid="{17E342EB-A024-41C9-8F4F-DF287EE12130}" name="EC Section 2574(e)(2) Add-On (based on 2012-13 Small School District Bus Replacement Program)_x000a_A-31" dataDxfId="258" totalsRowDxfId="257"/>
    <tableColumn id="3" xr3:uid="{0C0F1C52-497F-4D4F-BD0E-57CA071CCBBC}" name="Fund on Target Entitlement_x000a_B-2" dataDxfId="256" totalsRowDxfId="255"/>
    <tableColumn id="16" xr3:uid="{62E7F72B-7480-43FB-AC27-90DA0B491D2A}" name="2012-13 County Revenue Limit (funding held constant as of 2012-13 Annual)_x000a_C-1" dataDxfId="254" totalsRowDxfId="253"/>
    <tableColumn id="19" xr3:uid="{02707729-2C02-4255-B35A-4E6CD379C005}" name="2012-13 County Funded Non-Juvenile Court and Juvenile Court Schools Rate per ADA_x000a_C-2" dataDxfId="252" totalsRowDxfId="251" dataCellStyle="Total"/>
    <tableColumn id="1" xr3:uid="{9F1104D6-A8D5-44F5-90BE-B3E869F9603C}" name="2012-13 Categorical Programs_x000a_C-6" dataDxfId="250" totalsRowDxfId="249"/>
    <tableColumn id="35" xr3:uid="{3B38402B-FBE5-4FCF-A09C-5C7A9D86C4D6}" name="Local Revenue for Regional Occupational Centers/Programs (ROC/P)_x000a_2012-13 Annual Excess Taxes Applied for ROC/P_x000a_C-7" dataDxfId="248" totalsRowDxfId="247" dataCellStyle="Total"/>
    <tableColumn id="18" xr3:uid="{C000C778-350F-46C9-8119-FA70B754727C}" name="PLACEHOLDER _x000a__x000a_Total Floor Adjustment for COLA Calculated in LCFF Target (C-8 + C-9 + C-10) _x000a_C-11" dataDxfId="246" totalsRowDxfId="245"/>
    <tableColumn id="20" xr3:uid="{73CAF86D-C6BF-4051-ADE1-20BE5ED3BBDF}" name="Local Revenue_x000a_D-2" dataDxfId="244" totalsRowDxfId="243"/>
    <tableColumn id="24" xr3:uid="{3F96FC39-E740-4B3D-A76D-ECF416826B2A}" name="Education Protection Account Entitlement_x000a_D-5" dataDxfId="242" totalsRowDxfId="241"/>
    <tableColumn id="26" xr3:uid="{33DE9C4A-3A9B-4CDB-8B83-6ECA0FF63E0E}" name="Minimum State Aid Guarantee_x000a_D-7" dataDxfId="240" totalsRowDxfId="239"/>
    <tableColumn id="25" xr3:uid="{913A523D-EA98-40F2-BFC7-4CDA8D8946B0}" name="2022-23  PLACEHOLDER _x000a__x000a_ Total MSA Adjustment for COLA Calculated in LCFF Target (If D-4 &lt; 0, D-8; If D-4 = 0, D-8 + D-9 + D-10) _x000a_D-11  " dataDxfId="238" totalsRowDxfId="237"/>
    <tableColumn id="30" xr3:uid="{287C7297-95DB-4E5D-B0EA-14ECFAB4BAAA}" name="Current Year EC 2575.1 District Allowance _x000a_(A-9 * E-1)_x000a_E-2" dataDxfId="236" totalsRowDxfId="235"/>
    <tableColumn id="32" xr3:uid="{E343A6B8-425C-4A0C-80BB-1377184DA9BE}" name="Current Year EC 2575.1 Minimum Allowance _x000a_(A-9 * E-3)_x000a_E-4" dataDxfId="234" totalsRowDxfId="233"/>
    <tableColumn id="36" xr3:uid="{3E1ED7CD-EF33-4335-A844-370DD7377ADF}" name="State Aid Pursuant to EC 2575.2_x000a_E-7" dataDxfId="232" totalsRowDxfId="231"/>
  </tableColumns>
  <tableStyleInfo showFirstColumn="0" showLastColumn="0" showRowStripes="1" showColumnStripes="0"/>
  <extLst>
    <ext xmlns:x14="http://schemas.microsoft.com/office/spreadsheetml/2009/9/main" uri="{504A1905-F514-4f6f-8877-14C23A59335A}">
      <x14:table altText="School District Transition" altTextSummary="Certified data for the 2017-18 P-1 School District LCFF Transition Calculation exhibit."/>
    </ext>
  </extLst>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9E1BFE7-7B2B-487F-9744-3F214CE17E69}" name="Table1" displayName="Table1" ref="A4:K64" totalsRowCount="1" headerRowDxfId="230" dataDxfId="229" tableBorderDxfId="228" headerRowCellStyle="PAS Table Header" dataCellStyle="Normal" totalsRowCellStyle="Total">
  <tableColumns count="11">
    <tableColumn id="2" xr3:uid="{BDA7CDEC-79C3-4503-BFE4-BC49B1DC15D1}" name="County Code" dataDxfId="227" totalsRowDxfId="226" dataCellStyle="Total"/>
    <tableColumn id="4" xr3:uid="{65323E76-7793-41C8-8FD5-C35F5612ADDE}" name="Local Educational Agency" dataDxfId="225" totalsRowDxfId="224" dataCellStyle="Total"/>
    <tableColumn id="5" xr3:uid="{06264238-FFC6-4D7E-9FB4-18FA75708EE9}" name="Count of Small School Districts (count of all C-1 = SMALL) _x000a_PY2_x000a_D-1" totalsRowFunction="sum" dataDxfId="223" totalsRowDxfId="222" dataCellStyle="Total"/>
    <tableColumn id="6" xr3:uid="{19F71933-2DE9-4CA4-8387-71A678CEE8F1}" name="Count of Small School Districts (count of all C-1 = SMALL) _x000a_PY_x000a_D-1" totalsRowFunction="sum" dataDxfId="221" totalsRowDxfId="220" dataCellStyle="Total"/>
    <tableColumn id="7" xr3:uid="{C2B0ADE9-494C-4218-BD67-CFD5194CD360}" name="Count of Small School Districts (count of all C-1 = SMALL) _x000a_CY_x000a_D-1" totalsRowFunction="sum" dataDxfId="219" totalsRowDxfId="218" dataCellStyle="Total"/>
    <tableColumn id="8" xr3:uid="{27D0E9EC-4C13-4C18-8B8D-BF84638CC025}" name="Count of Small School Districts (count of all C-1 = MEDIUM) _x000a_PY2_x000a_D-2" totalsRowFunction="sum" dataDxfId="217" totalsRowDxfId="216" dataCellStyle="Total"/>
    <tableColumn id="9" xr3:uid="{9590CD9F-D15B-40BC-ADBE-A8EFD34EA6C0}" name="Count of Small School Districts (count of all C-1 = MEDIUM) _x000a_PY_x000a_D-2" totalsRowFunction="sum" dataDxfId="215" totalsRowDxfId="214" dataCellStyle="Total"/>
    <tableColumn id="10" xr3:uid="{B373A2C1-8FB2-4C76-A29C-7E3B41ED0097}" name="Count of Small School Districts (count of all C-1 = MEDIUM) _x000a_CY_x000a_D-2" totalsRowFunction="sum" dataDxfId="213" totalsRowDxfId="212" dataCellStyle="Total"/>
    <tableColumn id="11" xr3:uid="{E1B53813-76A5-4402-B70E-B93928445669}" name="Count of Small School Districts (count of all C-1 = LARGE) _x000a_PY2_x000a_D-3" totalsRowFunction="sum" dataDxfId="211" totalsRowDxfId="210" dataCellStyle="Total"/>
    <tableColumn id="12" xr3:uid="{644442E9-0814-47E4-8C92-4794790EEE0F}" name="Count of Small School Districts (count of all C-1 = LARGE) _x000a_PY_x000a_D-3" totalsRowFunction="sum" dataDxfId="209" totalsRowDxfId="208" dataCellStyle="Total"/>
    <tableColumn id="13" xr3:uid="{2AC7B6D0-45F9-407F-9CBE-8D6C71C05EE8}" name="Count of Small School Districts (count of all C-1 = LARGE) _x000a_CY_x000a_D-3" totalsRowFunction="sum" dataDxfId="207" totalsRowDxfId="206" dataCellStyle="Total"/>
  </tableColumns>
  <tableStyleInfo name="PAS Table" showFirstColumn="0" showLastColumn="0" showRowStripes="0" showColumnStripes="0"/>
  <extLst>
    <ext xmlns:x14="http://schemas.microsoft.com/office/spreadsheetml/2009/9/main" uri="{504A1905-F514-4f6f-8877-14C23A59335A}">
      <x14:table altTextSummary="County Funding Based on Districts Identified for Differentiated Assistance (County Funding) data"/>
    </ext>
  </extLst>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3B3D0C39-F52E-4CC1-80A5-708F05BFDDDB}" name="Table132121758" displayName="Table132121758" ref="A4:M63" totalsRowShown="0" headerRowDxfId="205" dataDxfId="203" headerRowBorderDxfId="204" tableBorderDxfId="202" dataCellStyle="Normal" totalsRowCellStyle="Total">
  <sortState xmlns:xlrd2="http://schemas.microsoft.com/office/spreadsheetml/2017/richdata2" ref="A5:M63">
    <sortCondition ref="A6:A63"/>
  </sortState>
  <tableColumns count="13">
    <tableColumn id="2" xr3:uid="{6749B16E-3BA7-43C1-BBD1-E57D9A4AB632}" name="County Code" dataDxfId="201" totalsRowDxfId="200" dataCellStyle="Total"/>
    <tableColumn id="30" xr3:uid="{95362ADC-11AB-456F-87EE-EDF495AB2D96}" name="Local Educational Agency" dataDxfId="199" totalsRowDxfId="198" dataCellStyle="Normal 94"/>
    <tableColumn id="9" xr3:uid="{4AABC36A-D8FC-4338-82EB-F004EC43C433}" name="Total ADA for EPA Minimum_x000a_A-1" dataDxfId="197" totalsRowDxfId="196" dataCellStyle="Total"/>
    <tableColumn id="11" xr3:uid="{E0DAF145-530B-4B02-B834-A2E65AEA12CE}" name="EPA Minimum Funding_x000a_(A-1 * A-2)_x000a_A-3" dataDxfId="195" totalsRowDxfId="194" dataCellStyle="Total"/>
    <tableColumn id="12" xr3:uid="{45F3A54F-1D3A-405A-B4DA-6A4BD8BFE60F}" name="Total Adjusted Revenue Limit/Adjusted General Purpose Funding (B-5+ B-9+ B-13+ B-14+B-15)_x000a_B-16_x0009_" dataDxfId="193" totalsRowDxfId="192" dataCellStyle="Total"/>
    <tableColumn id="13" xr3:uid="{10526D95-D3EB-4F57-BDD6-F1C41814502F}" name="Local Revenue/In-lieu of Property Taxes_x000a_B-17" dataDxfId="191" totalsRowDxfId="190" dataCellStyle="Total"/>
    <tableColumn id="14" xr3:uid="{44D472C2-8652-46F2-B6DD-3A002381C70D}" name="EPA Proportionate Share Cap (B-16 - B-17; If less than 0, B-18 = 0)_x000a_B-18" dataDxfId="189" totalsRowDxfId="188" dataCellStyle="Total"/>
    <tableColumn id="16" xr3:uid="{F127B168-9618-4991-BA7C-81E03800F004}" name="Statewide EPA Proportionate Share Ratio_x000a_C-2" dataDxfId="187" totalsRowDxfId="186" dataCellStyle="Total"/>
    <tableColumn id="17" xr3:uid="{53DC36E0-FEBA-4D5A-A7C3-375A12E1C1D5}" name="EPA Proportionate Share _x000a_(C-1 * C-2)_x000a_C-3" dataDxfId="185" totalsRowDxfId="184" dataCellStyle="Total"/>
    <tableColumn id="18" xr3:uid="{B1E16DEC-123C-4CCB-9594-5D7F7DB7159E}" name="EPA Entitlement_x000a_(if C-3 &lt; B-3, then C-3; else greater of A-3 or B-3)_x000a_D-1" dataDxfId="183" totalsRowDxfId="182" dataCellStyle="Total"/>
    <tableColumn id="1" xr3:uid="{A5A8FBEC-0782-4AB7-9F2F-FD65E9BA6CBE}" name="Miscellaneous Adjustments_x000a_D-2" dataDxfId="181" totalsRowDxfId="180"/>
    <tableColumn id="20" xr3:uid="{A092220C-5368-42F4-9705-AB531D41F324}" name="Adjusted EPA Entitlement _x000a_(D-1 + D-2)_x000a_D-3" dataDxfId="179" totalsRowDxfId="178" dataCellStyle="Total"/>
    <tableColumn id="21" xr3:uid="{734314DE-A357-49B0-AF07-026A8A6FD39B}" name="Prior Year Annual Adjustment_x000a_D-4" dataDxfId="177" totalsRowDxfId="176" dataCellStyle="Total"/>
  </tableColumns>
  <tableStyleInfo showFirstColumn="0" showLastColumn="0" showRowStripes="0" showColumnStripes="0"/>
  <extLst>
    <ext xmlns:x14="http://schemas.microsoft.com/office/spreadsheetml/2009/9/main" uri="{504A1905-F514-4f6f-8877-14C23A59335A}">
      <x14:table altTextSummary="Education Protection Account Calculation figures, 16-17 AN, P-1 Certified February 2018"/>
    </ext>
  </extLst>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CEA691E-1494-439C-A6AF-E69AE1AE76DB}" name="Table13212175816" displayName="Table13212175816" ref="A4:M63" totalsRowShown="0" headerRowDxfId="175" dataDxfId="173" headerRowBorderDxfId="174" tableBorderDxfId="172" dataCellStyle="Normal" totalsRowCellStyle="Total">
  <sortState xmlns:xlrd2="http://schemas.microsoft.com/office/spreadsheetml/2017/richdata2" ref="A5:M63">
    <sortCondition ref="A6:A63"/>
  </sortState>
  <tableColumns count="13">
    <tableColumn id="2" xr3:uid="{C499EF6B-1E8B-4DE5-9347-534C08122217}" name="County Code" dataDxfId="171" totalsRowDxfId="170" dataCellStyle="Total"/>
    <tableColumn id="30" xr3:uid="{E18E7D1A-E38B-4478-926D-49EE4AF9A047}" name="Local Educational Agency" dataDxfId="169" totalsRowDxfId="168" dataCellStyle="Normal 94"/>
    <tableColumn id="9" xr3:uid="{26CE5B71-41C8-4021-8DFD-E9BD70C7F200}" name="Total ADA for EPA Minimum_x000a_A-1" dataDxfId="167" totalsRowDxfId="166" dataCellStyle="Total"/>
    <tableColumn id="11" xr3:uid="{FE5EE74A-6298-4F80-98CA-407E506CB76A}" name="EPA Minimum Funding_x000a_(A-1 * A-2)_x000a_A-3" dataDxfId="165" totalsRowDxfId="164" dataCellStyle="Total"/>
    <tableColumn id="12" xr3:uid="{BCC31BE7-BF47-4BA9-BDA5-DBDA32FCA801}" name="Total Adjusted Revenue Limit/ Adjusted General Purpose Funding_x000a_(B-3 + B-6 + B-9 + B-10 + B-11)_x000a_B-12" dataDxfId="163" totalsRowDxfId="162" dataCellStyle="Total"/>
    <tableColumn id="13" xr3:uid="{F81FB60A-CC2A-4B75-B4F2-8406E2BE5EAB}" name="Local Revenue/ In-lieu of Property Taxes_x000a_B-13" dataDxfId="161" totalsRowDxfId="160" dataCellStyle="Total"/>
    <tableColumn id="14" xr3:uid="{FC9E1682-5C53-4335-8F56-32D6FB695622}" name="EPA Proportionate Share Cap_x000a_(B-12 - B-13; If less than 0, B-14 = 0)_x000a_B-14" dataDxfId="159" totalsRowDxfId="158" dataCellStyle="Total"/>
    <tableColumn id="16" xr3:uid="{644BE646-8C81-46A6-8AD7-0ECEF40FD3CA}" name="Statewide EPA Proportionate Share Ratio_x000a_C-2" dataDxfId="157" totalsRowDxfId="156" dataCellStyle="Total"/>
    <tableColumn id="17" xr3:uid="{A44457EB-257F-428F-8805-52A7F6A88FED}" name="EPA Proportionate Share _x000a_(C-1 * C-2)_x000a_C-3" dataDxfId="155" totalsRowDxfId="154" dataCellStyle="Total"/>
    <tableColumn id="18" xr3:uid="{304D4346-8CFF-4F47-B97C-2FA8D2D4C63E}" name="EPA Entitlement_x000a_(if C-3 &lt; B-3, then C-3; else greater of A-3 or B-3)_x000a_D-1" dataDxfId="153" totalsRowDxfId="152" dataCellStyle="Total"/>
    <tableColumn id="1" xr3:uid="{9F3B1432-6E9C-491D-BA68-2FDBC4728B6C}" name="Miscellaneous Adjustments_x000a_D-2" dataDxfId="151" totalsRowDxfId="150"/>
    <tableColumn id="20" xr3:uid="{91D00A95-3BC8-45B2-B32D-73DBD6B2AD22}" name="Adjusted EPA Entitlement _x000a_(D-1 + D-2)_x000a_D-3" dataDxfId="149" totalsRowDxfId="148" dataCellStyle="Total"/>
    <tableColumn id="21" xr3:uid="{9164E08E-004D-41E1-8D9F-F1C1267DEB4B}" name="Prior Year Annual Adjustment_x000a_D-4" dataDxfId="147" totalsRowDxfId="146" dataCellStyle="Total"/>
  </tableColumns>
  <tableStyleInfo showFirstColumn="0" showLastColumn="0" showRowStripes="0" showColumnStripes="0"/>
  <extLst>
    <ext xmlns:x14="http://schemas.microsoft.com/office/spreadsheetml/2009/9/main" uri="{504A1905-F514-4f6f-8877-14C23A59335A}">
      <x14:table altTextSummary="Education Protection Account Calculation figures, 16-17 AN, P-1 Certified February 2018"/>
    </ext>
  </extLst>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C4B74EB2-28D4-4616-8458-B4481395733D}" name="Table1321217515" displayName="Table1321217515" ref="A4:M63" totalsRowShown="0" headerRowDxfId="145" dataDxfId="143" headerRowBorderDxfId="144" tableBorderDxfId="142" dataCellStyle="Normal" totalsRowCellStyle="Total">
  <sortState xmlns:xlrd2="http://schemas.microsoft.com/office/spreadsheetml/2017/richdata2" ref="A5:M63">
    <sortCondition ref="A6:A63"/>
  </sortState>
  <tableColumns count="13">
    <tableColumn id="2" xr3:uid="{0C967EC7-8E43-4DBD-A54B-517FEFCA4E40}" name="CDS Lookup Code" dataDxfId="141" totalsRowDxfId="140" dataCellStyle="Total"/>
    <tableColumn id="30" xr3:uid="{34A0709D-88FC-4993-A1ED-F37BDB128F52}" name="Local Educational Agency" dataDxfId="139" totalsRowDxfId="138" dataCellStyle="Normal 94"/>
    <tableColumn id="9" xr3:uid="{284C4444-D8D3-4B7B-AC88-8CF990F7EF6D}" name="Total ADA for EPA Minimum_x000a_A-1" dataDxfId="137" totalsRowDxfId="136" dataCellStyle="Total"/>
    <tableColumn id="11" xr3:uid="{6772511C-FC64-47B2-8271-57224335E310}" name="EPA Minimum Funding_x000a_(A-1 * A-2)_x000a_A-3" dataDxfId="135" totalsRowDxfId="134" dataCellStyle="Total"/>
    <tableColumn id="12" xr3:uid="{03BFEFC7-3405-4516-9ED5-828624C645F9}" name="Total Adjusted Revenue Limit/ Adjusted General Purpose Funding_x000a_(B-3 + B-6 + B-9 + B-10 + B-11)_x000a_B-12" dataDxfId="133" totalsRowDxfId="132" dataCellStyle="Total"/>
    <tableColumn id="13" xr3:uid="{EA07ACA1-6049-46FA-9FC8-FA0F051352BD}" name="Local Revenue/ In-lieu of Property Taxes_x000a_B-13" dataDxfId="131" totalsRowDxfId="130" dataCellStyle="Total"/>
    <tableColumn id="14" xr3:uid="{171B38F5-E736-4270-ADF8-D0B21654AFC6}" name="EPA Proportionate Share Cap_x000a_(B-12 - B-13; If less than 0, B-14 = 0)_x000a_B-14" dataDxfId="129" totalsRowDxfId="128" dataCellStyle="Total"/>
    <tableColumn id="16" xr3:uid="{3C475E01-3B0F-4A2A-B608-AC3C288EAA96}" name="Statewide EPA Proportionate Share Ratio_x000a_C-2" dataDxfId="127" totalsRowDxfId="126" dataCellStyle="Total"/>
    <tableColumn id="17" xr3:uid="{55A435AE-1553-43EA-B177-6DA652C83ADF}" name="EPA Proportionate Share _x000a_(C-1 * C-2)_x000a_C-3" dataDxfId="125" totalsRowDxfId="124" dataCellStyle="Total"/>
    <tableColumn id="18" xr3:uid="{9EEA980C-5A0F-4B40-8141-5A1A528FE4D3}" name="EPA Entitlement_x000a_(if C-3 &lt; B-3, then C-3; else greater of A-3 or B-3)_x000a_D-1" dataDxfId="123" totalsRowDxfId="122" dataCellStyle="Total"/>
    <tableColumn id="1" xr3:uid="{44268CED-36ED-4683-8264-4C3D95C6D1D7}" name="Miscellaneous Adjustments_x000a_D-2" dataDxfId="121" totalsRowDxfId="120"/>
    <tableColumn id="20" xr3:uid="{BB49AEA0-8100-4F65-A3F7-C6C2CE5B9E0C}" name="Adjusted EPA Entitlement _x000a_(D-1 + D-2)_x000a_D-3" dataDxfId="119" totalsRowDxfId="118" dataCellStyle="Total"/>
    <tableColumn id="21" xr3:uid="{98FE4427-48C8-4D90-940D-B19D0FF70406}" name="Prior Year Annual Adjustment_x000a_D-4" dataDxfId="117" totalsRowDxfId="116" dataCellStyle="Total"/>
  </tableColumns>
  <tableStyleInfo showFirstColumn="0" showLastColumn="0" showRowStripes="0" showColumnStripes="0"/>
  <extLst>
    <ext xmlns:x14="http://schemas.microsoft.com/office/spreadsheetml/2009/9/main" uri="{504A1905-F514-4f6f-8877-14C23A59335A}">
      <x14:table altTextSummary="Education Protection Account Calculation figures, 16-17 AN, P-1 Certified February 2018"/>
    </ext>
  </extLst>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6C8D8CB1-374E-424F-961D-1D18CBBF5661}" name="Table1313" displayName="Table1313" ref="A4:AU839" totalsRowCount="1" headerRowDxfId="115" totalsRowDxfId="114" headerRowCellStyle="Normal" dataCellStyle="Normal" totalsRowCellStyle="Normal">
  <tableColumns count="47">
    <tableColumn id="2" xr3:uid="{DDF0E122-613E-43F4-86A1-869AE28DB114}" name="County Code" dataDxfId="113" totalsRowDxfId="112" dataCellStyle="Normal"/>
    <tableColumn id="4" xr3:uid="{4ED0E29E-B0AE-466B-B839-7D8AA239B5BC}" name="Local Educational Agency" dataDxfId="111" dataCellStyle="Normal"/>
    <tableColumn id="1" xr3:uid="{E0674456-E386-4298-8664-6236271E4FF9}" name="DI Count" dataDxfId="110" totalsRowDxfId="109"/>
    <tableColumn id="36" xr3:uid="{0F45F90D-9DF4-4043-A569-C70AA2731127}" name="County+ District Count" dataDxfId="108" totalsRowDxfId="107"/>
    <tableColumn id="7" xr3:uid="{B9A72237-0663-4CAA-82AD-126B9D1C373B}" name="District of Residence District Code" dataDxfId="106" totalsRowDxfId="105" dataCellStyle="Normal"/>
    <tableColumn id="34" xr3:uid="{D2E94B12-81AB-4C87-A0D7-E1AAB4E6506F}" name="County+ District of Residence Code" dataDxfId="104" totalsRowDxfId="103"/>
    <tableColumn id="8" xr3:uid="{DAF0F6D7-A958-4E9D-AECB-951BF0100F93}" name="District of Residence" dataDxfId="102" totalsRowDxfId="101" dataCellStyle="Normal"/>
    <tableColumn id="10" xr3:uid="{A4B898B6-FFEE-461C-A488-1AFB72850357}" name="Per-ADA Transfer Rates:_x000a_LCFF Rate_x000a_Grades TK/K-3 _x000a_ A-1" totalsRowFunction="custom" dataDxfId="100" totalsRowDxfId="99" dataCellStyle="Normal">
      <totalsRowFormula>SUM(H6:H838)</totalsRowFormula>
    </tableColumn>
    <tableColumn id="11" xr3:uid="{C7F91C42-C948-4CD9-9D75-FB31C9767587}" name="Per-ADA Transfer Rates:_x000a_LCFF Rate_x000a_Grades 4-6_x000a_ A-1" totalsRowFunction="custom" dataDxfId="98" totalsRowDxfId="97" dataCellStyle="Normal">
      <totalsRowFormula>SUM(I6:I838)</totalsRowFormula>
    </tableColumn>
    <tableColumn id="12" xr3:uid="{4DFAEE21-3B14-4E88-8489-D5526F262B5B}" name="Per-ADA Transfer Rates:_x000a_LCFF Rate_x000a_Grades 7-8_x000a_ A-1" totalsRowFunction="custom" dataDxfId="96" totalsRowDxfId="95" dataCellStyle="Normal">
      <totalsRowFormula>SUM(J6:J838)</totalsRowFormula>
    </tableColumn>
    <tableColumn id="13" xr3:uid="{B1C9F0D0-77EB-47D6-B2DC-BC3FBFF10444}" name="Per-ADA Transfer Rates:_x000a_LCFF Rate_x000a_Grades 9-12 _x000a_ A-1" totalsRowFunction="custom" dataDxfId="94" totalsRowDxfId="93" dataCellStyle="Normal">
      <totalsRowFormula>SUM(K6:K838)</totalsRowFormula>
    </tableColumn>
    <tableColumn id="14" xr3:uid="{EA5B8FCD-91DD-4F6E-B166-3912DF44D18C}" name="Per-ADA Transfer Rates:_x000a_Alternative Rate Reported by COE_x000a_Grades TK/K-3 _x000a_ A-2" dataDxfId="92" totalsRowDxfId="91" dataCellStyle="Normal"/>
    <tableColumn id="15" xr3:uid="{B28E9A2D-5E07-49CF-8C11-C96A0020C15D}" name="Per-ADA Transfer Rates:_x000a_Alternative Rate Reported by COE_x000a_Grades 4-6_x000a_ A-2" dataDxfId="90" totalsRowDxfId="89" dataCellStyle="Normal"/>
    <tableColumn id="16" xr3:uid="{2FCF8BC8-9FE2-4697-B3B2-BF559F99D883}" name="Per-ADA Transfer Rates:_x000a_Alternative Rate Reported by COE_x000a_Grades 7-8_x000a_ A-2" dataDxfId="88" totalsRowDxfId="87" dataCellStyle="Normal"/>
    <tableColumn id="17" xr3:uid="{7D8FC7EF-992E-478D-9C72-BE1243BB7ADC}" name="Per-ADA Transfer Rates:_x000a_Alternative Rate Reported by COE_x000a_Grades 9-12_x000a_ A-2" dataDxfId="86" totalsRowDxfId="85" dataCellStyle="Normal"/>
    <tableColumn id="18" xr3:uid="{9B329563-D8F5-407F-90A9-D7B4174001B7}" name="District of Residence ADA for_x000a_County Community Schools_x000a_Grades TK/K-3_x000a_B-1" totalsRowFunction="custom" dataDxfId="84" totalsRowDxfId="83" dataCellStyle="Normal">
      <totalsRowFormula>SUM(P6:P838)</totalsRowFormula>
    </tableColumn>
    <tableColumn id="19" xr3:uid="{77E643A1-B3BF-41D3-8FE3-A7908020FD3A}" name="District of Residence ADA for_x000a_County Community Schools_x000a_Grades 4-6_x000a_B-1" totalsRowFunction="custom" dataDxfId="82" totalsRowDxfId="81" dataCellStyle="Normal">
      <totalsRowFormula>SUM(Q6:Q838)</totalsRowFormula>
    </tableColumn>
    <tableColumn id="20" xr3:uid="{06BB17EF-8CBD-433C-8374-BB6DF72434DE}" name="District of Residence ADA for_x000a_County Community Schools_x000a_Grades 7-8_x000a_B-1" totalsRowFunction="custom" dataDxfId="80" totalsRowDxfId="79" dataCellStyle="Normal">
      <totalsRowFormula>SUM(R6:R838)</totalsRowFormula>
    </tableColumn>
    <tableColumn id="21" xr3:uid="{8BDCABEE-5E6F-451D-8CA0-D466335E755B}" name="District of Residence ADA for_x000a_County Community Schools_x000a_Grades 9-12_x000a_B-1" totalsRowFunction="custom" dataDxfId="78" totalsRowDxfId="77" dataCellStyle="Normal">
      <totalsRowFormula>SUM(S6:S838)</totalsRowFormula>
    </tableColumn>
    <tableColumn id="52" xr3:uid="{C4F838C6-0D19-4EA1-A2E1-EC398C062EBB}" name="District of Residence ADA by Grade Span_x000a_Alternative Rate_x000a_County Community Schools_x000a_B-1" dataDxfId="76" totalsRowDxfId="75" dataCellStyle="Normal"/>
    <tableColumn id="22" xr3:uid="{D5674419-6EF2-4CB7-AF41-D11F5DB3F24A}" name="District of Residence ADA for_x000a_Special Education - Special Day Class_x000a_Grades TK/K-3_x000a_B-2" totalsRowFunction="custom" dataDxfId="74" totalsRowDxfId="73" dataCellStyle="Normal">
      <totalsRowFormula>SUM(U6:U838)</totalsRowFormula>
    </tableColumn>
    <tableColumn id="23" xr3:uid="{2A238DCE-BC88-4E33-B131-014D88B431DF}" name="District of Residence ADA for_x000a_Special Education - Special Day Class_x000a_Grades 4-6_x000a_B-2" totalsRowFunction="custom" dataDxfId="72" totalsRowDxfId="71" dataCellStyle="Normal">
      <totalsRowFormula>SUM(V6:V838)</totalsRowFormula>
    </tableColumn>
    <tableColumn id="24" xr3:uid="{BFF15C44-0489-4A5C-8B8C-5082C8864692}" name="District of Residence ADA for_x000a_Special Education - Special Day Class_x000a_Grades 7-8_x000a_B-2" totalsRowFunction="custom" dataDxfId="70" totalsRowDxfId="69" dataCellStyle="Normal">
      <totalsRowFormula>SUM(W6:W838)</totalsRowFormula>
    </tableColumn>
    <tableColumn id="25" xr3:uid="{9C02AA63-CDEC-445D-AC9E-E998282F16EB}" name="District of Residence ADA for_x000a_Special Education - Special Day Class_x000a_Grades 9-12_x000a_B-2" totalsRowFunction="custom" dataDxfId="68" totalsRowDxfId="67" dataCellStyle="Normal">
      <totalsRowFormula>SUM(X6:X838)</totalsRowFormula>
    </tableColumn>
    <tableColumn id="53" xr3:uid="{267A118D-FC85-432D-8923-2402B9068DD5}" name="District of Residence ADA by Grade Span_x000a_Alternative Rate_x000a_Special Education - Special Day Class_x000a_B-2" dataDxfId="66" totalsRowDxfId="65" dataCellStyle="Normal"/>
    <tableColumn id="26" xr3:uid="{FD5FA8D9-263A-4E85-A6C6-F98456F3FD5F}" name="District of Residence ADA for_x000a_Special Education - NPS/LCI_x000a_Grades TK/K-3_x000a_B-3" totalsRowFunction="custom" dataDxfId="64" totalsRowDxfId="63" dataCellStyle="Normal">
      <totalsRowFormula>SUM(Z6:Z838)</totalsRowFormula>
    </tableColumn>
    <tableColumn id="27" xr3:uid="{E9CE86EC-24EC-4FAE-B3A5-6219807027C5}" name="District of Residence ADA for_x000a_Special Education - NPS/LCI_x000a_Grades 4-6_x000a_B-3" totalsRowFunction="custom" dataDxfId="62" totalsRowDxfId="61" dataCellStyle="Normal">
      <totalsRowFormula>SUM(AA6:AA838)</totalsRowFormula>
    </tableColumn>
    <tableColumn id="28" xr3:uid="{784D26D6-E199-4823-B6C8-9E34682EDE3B}" name="District of Residence ADA for_x000a_Special Education - NPS/LCI_x000a_Grades 7-8_x000a_B-3" totalsRowFunction="custom" dataDxfId="60" totalsRowDxfId="59" dataCellStyle="Normal">
      <totalsRowFormula>SUM(AB6:AB838)</totalsRowFormula>
    </tableColumn>
    <tableColumn id="29" xr3:uid="{2E3C2D50-54AD-4D47-A0C4-80791B765AFF}" name="District of Residence ADA for_x000a_Special Education - NPS/LCI_x000a_Grades 9-12_x000a_B-3" totalsRowFunction="custom" dataDxfId="58" totalsRowDxfId="57" dataCellStyle="Normal">
      <totalsRowFormula>SUM(AC6:AC838)</totalsRowFormula>
    </tableColumn>
    <tableColumn id="54" xr3:uid="{76FCDF5A-9208-4406-82BC-9B1D0C9C75B9}" name="District of Residence ADA by Grade Span_x000a_Alternative Rate_x000a_Special Education - NPS/LCI_x000a_B-3" dataDxfId="56" totalsRowDxfId="55" dataCellStyle="Normal"/>
    <tableColumn id="59" xr3:uid="{7247A503-4377-4261-AABD-451AE6F19CC8}" name="District of Residence ADA for_x000a_Extended Year Special Education_x000a_Grades TK/K-3_x000a_B-4" totalsRowFunction="custom" dataDxfId="54" totalsRowDxfId="53" dataCellStyle="Normal">
      <totalsRowFormula>SUM(AE6:AE838)</totalsRowFormula>
    </tableColumn>
    <tableColumn id="58" xr3:uid="{9D2ECB0C-E4CE-43D1-ABF4-A8B91B9ADD76}" name="District of Residence ADA for_x000a_Extended Year Special Education_x000a_Grades 4-6_x000a_B-4" totalsRowFunction="custom" dataDxfId="52" totalsRowDxfId="51" dataCellStyle="Normal">
      <totalsRowFormula>SUM(AF6:AF838)</totalsRowFormula>
    </tableColumn>
    <tableColumn id="57" xr3:uid="{0541B271-73A6-47F0-89B1-9992F302F3E6}" name="District of Residence ADA for_x000a_Extended Year Special Education_x000a_Grades 7-8_x000a_B-4" totalsRowFunction="custom" dataDxfId="50" totalsRowDxfId="49" dataCellStyle="Normal">
      <totalsRowFormula>SUM(AG6:AG838)</totalsRowFormula>
    </tableColumn>
    <tableColumn id="56" xr3:uid="{79E2997F-C5E3-4B3A-849E-B2DAD2EA6523}" name="District of Residence ADA for_x000a_Extended Year Special Education_x000a_Grades 9-12_x000a_B-4" totalsRowFunction="custom" dataDxfId="48" totalsRowDxfId="47" dataCellStyle="Normal">
      <totalsRowFormula>SUM(AH6:AH838)</totalsRowFormula>
    </tableColumn>
    <tableColumn id="55" xr3:uid="{5A4FF0A0-1B96-485F-84B6-1AE7B00EC739}" name="District of Residence ADA by Grade Span_x000a_Alternative Rate_x000a_Extended Year Special Education_x000a_B-4" dataDxfId="46" totalsRowDxfId="45" dataCellStyle="Normal"/>
    <tableColumn id="64" xr3:uid="{ACD36050-6B5C-4CD5-81BB-FD98254DBC8C}" name="District of Residence ADA for_x000a_Other County Operated Programs_x000a_Grades TK/K-3_x000a_B-5" totalsRowFunction="custom" dataDxfId="44" totalsRowDxfId="43" dataCellStyle="Normal">
      <totalsRowFormula>SUM(AJ6:AJ838)</totalsRowFormula>
    </tableColumn>
    <tableColumn id="63" xr3:uid="{85024C55-E0ED-4E3C-AEE5-4094E59B423D}" name="District of Residence ADA for_x000a_Other County Operated Programs_x000a_Grades 4-6_x000a_B-5" totalsRowFunction="custom" dataDxfId="42" totalsRowDxfId="41" dataCellStyle="Normal">
      <totalsRowFormula>SUM(AK6:AK838)</totalsRowFormula>
    </tableColumn>
    <tableColumn id="62" xr3:uid="{81806579-9DFC-4382-8A81-1F7A9F86C457}" name="District of Residence ADA for_x000a_Other County Operated Programs_x000a_Grades 7-8_x000a_B-5" totalsRowFunction="custom" dataDxfId="40" totalsRowDxfId="39" dataCellStyle="Normal">
      <totalsRowFormula>SUM(AL6:AL838)</totalsRowFormula>
    </tableColumn>
    <tableColumn id="61" xr3:uid="{63F7EEBD-9C55-4D60-A0A9-F0A759D29FF6}" name="District of Residence ADA for_x000a_Other County Operated Programs_x000a_Grades 9-12_x000a_B-5" totalsRowFunction="custom" dataDxfId="38" totalsRowDxfId="37" dataCellStyle="Normal">
      <totalsRowFormula>SUM(AM6:AM838)</totalsRowFormula>
    </tableColumn>
    <tableColumn id="60" xr3:uid="{FC34DA39-8636-46FF-842E-9691D60CDBB6}" name="District of Residence ADA by Grade Span_x000a_Alternative Rate_x000a_Other County Operated Programs_x000a_B-5" dataDxfId="36" totalsRowDxfId="35" dataCellStyle="Normal"/>
    <tableColumn id="69" xr3:uid="{B738774D-8FAD-4CF6-81E6-BD28B4237333}" name="District of Residence ADA for_x000a_County School Tuition Fund (Out-of-State Tuition)_x000a_Grades TK/K-3_x000a_B-6" totalsRowFunction="custom" dataDxfId="34" totalsRowDxfId="33" dataCellStyle="Normal">
      <totalsRowFormula>SUM(AO6:AO838)</totalsRowFormula>
    </tableColumn>
    <tableColumn id="68" xr3:uid="{6EBC4180-DC45-4A8A-947D-1A9419EEA811}" name="District of Residence ADA for_x000a_County School Tuition Fund (Out-of-State Tuition)_x000a_Grades 4-6_x000a_B-6" totalsRowFunction="custom" dataDxfId="32" totalsRowDxfId="31" dataCellStyle="Normal">
      <totalsRowFormula>SUM(AP6:AP838)</totalsRowFormula>
    </tableColumn>
    <tableColumn id="67" xr3:uid="{80CB01FA-4F01-4D9C-A805-E8DB95ED3D18}" name="District of Residence ADA for_x000a_County School Tuition Fund (Out-of-State Tuition)_x000a_Grades 7-8_x000a_B-6" totalsRowFunction="custom" dataDxfId="30" totalsRowDxfId="29" dataCellStyle="Normal">
      <totalsRowFormula>SUM(AQ6:AQ838)</totalsRowFormula>
    </tableColumn>
    <tableColumn id="66" xr3:uid="{1CB82B5D-EA48-42D3-909F-3B90B7129BF6}" name="District of Residence ADA for_x000a_County School Tuition Fund (Out-of-State Tuition)_x000a_Grades 9-12_x000a_B-6" totalsRowFunction="custom" dataDxfId="28" totalsRowDxfId="27" dataCellStyle="Normal">
      <totalsRowFormula>SUM(AR6:AR838)</totalsRowFormula>
    </tableColumn>
    <tableColumn id="65" xr3:uid="{D2BEBDFD-C218-4CBA-BCA3-BEFDA94DF885}" name="District of Residence ADA by Grade Span_x000a_Alternative Rate_x000a_County School Tuition Fund (Out-of-State Tuition)_x000a_B-6" dataDxfId="26" totalsRowDxfId="25" dataCellStyle="Normal"/>
    <tableColumn id="74" xr3:uid="{F289FA18-A0A3-4BC7-8322-510DE129D52F}" name="District of Residence Agrees to Alternative Transfer Rate Reported by COE_x000a_C-1" dataDxfId="24" totalsRowDxfId="23" dataCellStyle="Normal"/>
    <tableColumn id="43" xr3:uid="{B489553F-11DB-42B5-88C6-5090AF6E9BC4}" name="Total Transfer for District of Residence_x000a_(Sum of C-6 for all Grade Spans)_x000a_C-7" totalsRowFunction="custom" dataDxfId="22" totalsRowDxfId="21" dataCellStyle="Normal">
      <totalsRowFormula>SUM(AU6:AU838)</totalsRowFormula>
    </tableColumn>
  </tableColumns>
  <tableStyleInfo name="PAS Table" showFirstColumn="0" showLastColumn="0" showRowStripes="0" showColumnStripes="0"/>
  <extLst>
    <ext xmlns:x14="http://schemas.microsoft.com/office/spreadsheetml/2009/9/main" uri="{504A1905-F514-4f6f-8877-14C23A59335A}">
      <x14:table altText=" " altTextSummary="County Transfer of Funds for County Served District Funded ADA Data "/>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88095E6-9F4C-416C-AFCB-86C4EABC6DF5}" name="Table1312" displayName="Table1312" ref="A4:E63" totalsRowShown="0" headerRowDxfId="585" totalsRowDxfId="582" headerRowBorderDxfId="584" tableBorderDxfId="583" headerRowCellStyle="Normal" dataCellStyle="Normal" totalsRowCellStyle="Normal">
  <tableColumns count="5">
    <tableColumn id="2" xr3:uid="{BB523C8E-7F9B-419C-9960-1D806235F333}" name="County Code" dataDxfId="581" totalsRowDxfId="580" dataCellStyle="Normal"/>
    <tableColumn id="3" xr3:uid="{61B44FEF-E41B-4ABF-90B6-7F73D74A7F38}" name="District Code" dataDxfId="579" totalsRowDxfId="578" dataCellStyle="Normal"/>
    <tableColumn id="4" xr3:uid="{E61A5E0F-CE0E-4342-A3DE-ADDAF8D52945}" name="Local Educational Agency" dataDxfId="577" dataCellStyle="Normal"/>
    <tableColumn id="1" xr3:uid="{CF70AEA6-B751-46C9-B04F-CB81836A777D}" name="Total Property Tax Revenues _x000a_(Sum of A-1 through A-14)_x000a_A-14" dataDxfId="576" totalsRowDxfId="575"/>
    <tableColumn id="20" xr3:uid="{AF777530-95F3-4CFA-8C5F-4197727157A4}" name="Special Education Ratio_x000a_B-1" dataDxfId="574" totalsRowDxfId="573" dataCellStyle="Normal"/>
  </tableColumns>
  <tableStyleInfo name="PAS Table" showFirstColumn="0" showLastColumn="0" showRowStripes="0" showColumnStripes="0"/>
  <extLst>
    <ext xmlns:x14="http://schemas.microsoft.com/office/spreadsheetml/2009/9/main" uri="{504A1905-F514-4f6f-8877-14C23A59335A}">
      <x14:table altTextSummary="County Office Local Revenue data."/>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7E7F2D9-F05A-41D0-A817-03C1A7B51DFC}" name="Table13" displayName="Table13" ref="A4:E63" totalsRowShown="0" headerRowDxfId="572" totalsRowDxfId="569" headerRowBorderDxfId="571" tableBorderDxfId="570" headerRowCellStyle="Normal" dataCellStyle="Normal" totalsRowCellStyle="Normal">
  <tableColumns count="5">
    <tableColumn id="2" xr3:uid="{9AAE7181-D424-4359-8954-D2ADB93F71B7}" name="County Code" dataDxfId="568" totalsRowDxfId="567" dataCellStyle="Normal"/>
    <tableColumn id="3" xr3:uid="{7FD3A067-CD7E-486A-A4C5-2C9A9A042BFF}" name="District Code" dataDxfId="566" totalsRowDxfId="565" dataCellStyle="Normal"/>
    <tableColumn id="4" xr3:uid="{86F511BD-65D1-40E6-BAE4-E48DA84F45C5}" name="Local Educational Agency" dataDxfId="564" dataCellStyle="Normal"/>
    <tableColumn id="1" xr3:uid="{C141F1B4-625E-45C0-851F-DF9A1FF5E17C}" name="Total Property Tax Revenues _x000a_(Sum of A-1 through A-13)_x000a_A-14" dataDxfId="563" totalsRowDxfId="562"/>
    <tableColumn id="20" xr3:uid="{11263CF9-DF84-4EA8-B662-729A81ADFD7B}" name="Special Education Ratio_x000a_B-1" dataDxfId="561" totalsRowDxfId="560" dataCellStyle="Normal"/>
  </tableColumns>
  <tableStyleInfo name="PAS Table" showFirstColumn="0" showLastColumn="0" showRowStripes="0" showColumnStripes="0"/>
  <extLst>
    <ext xmlns:x14="http://schemas.microsoft.com/office/spreadsheetml/2009/9/main" uri="{504A1905-F514-4f6f-8877-14C23A59335A}">
      <x14:table altTextSummary="County Office Local Revenue data."/>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BB0595-9868-4A1A-AF5B-912E0CBEFDF3}" name="Table134" displayName="Table134" ref="A4:E64" totalsRowCount="1" headerRowDxfId="559" totalsRowDxfId="556" headerRowBorderDxfId="558" tableBorderDxfId="557" headerRowCellStyle="PAS Table Header" dataCellStyle="Normal">
  <tableColumns count="5">
    <tableColumn id="2" xr3:uid="{74A31473-8F8F-44D7-9F4E-1F0871FC1642}" name="County Code" dataDxfId="555" totalsRowDxfId="554" dataCellStyle="Normal"/>
    <tableColumn id="3" xr3:uid="{04101407-4EEA-412B-AC88-F4DD1BCA384B}" name="District Code" dataDxfId="553" totalsRowDxfId="552" dataCellStyle="Normal"/>
    <tableColumn id="4" xr3:uid="{845B3EA2-B77F-481B-9570-668E67C4BDC4}" name="Local Educational Agency" dataDxfId="551" dataCellStyle="Normal"/>
    <tableColumn id="19" xr3:uid="{C87DF4B8-3094-4A1F-96CE-ACD4B9536486}" name="Total Property Tax Revenues _x000a_(Sum of A-1 through A-14)_x000a_A-15" totalsRowFunction="sum" dataDxfId="550" totalsRowDxfId="549" dataCellStyle="Normal"/>
    <tableColumn id="20" xr3:uid="{4C843618-BD6A-4E5B-959C-FFC5EBDA30D1}" name="Special Education Ratio_x000a_B-1" totalsRowDxfId="548" dataCellStyle="Normal"/>
  </tableColumns>
  <tableStyleInfo name="PAS Table" showFirstColumn="0" showLastColumn="0" showRowStripes="0" showColumnStripes="0"/>
  <extLst>
    <ext xmlns:x14="http://schemas.microsoft.com/office/spreadsheetml/2009/9/main" uri="{504A1905-F514-4f6f-8877-14C23A59335A}">
      <x14:table altTextSummary="County Office Local Revenue data."/>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69B8294-8636-4934-99D0-E152E7A44615}" name="Table151373" displayName="Table151373" ref="A4:U63" totalsRowShown="0" headerRowDxfId="547" dataDxfId="545" headerRowBorderDxfId="546" tableBorderDxfId="544" totalsRowCellStyle="Total">
  <tableColumns count="21">
    <tableColumn id="2" xr3:uid="{B2C491EC-D1B7-443A-9718-29FF5E8F31A9}" name="County Code" dataDxfId="543" totalsRowDxfId="542" dataCellStyle="Total"/>
    <tableColumn id="3" xr3:uid="{E8C5A7B4-9E7F-457F-B91F-55BDB1BFCF42}" name="District Code" dataDxfId="541" totalsRowDxfId="540" dataCellStyle="Total"/>
    <tableColumn id="58" xr3:uid="{2D8CDE00-5CC1-426B-85D5-572C48F2954E}" name="Local Educational Agency" dataDxfId="539" totalsRowDxfId="538" totalsRowCellStyle="Total"/>
    <tableColumn id="7" xr3:uid="{1E8B4337-DCD9-4081-AD32-9BD02F694586}" name="CALPADS Enrollment Current Year _x000a_CY_x000a_A-1" totalsRowDxfId="537" dataCellStyle="Total"/>
    <tableColumn id="11" xr3:uid="{35AFCC14-2AFE-42BF-B7D9-1FD4C6B7722C}" name="CALPADS Enrollment included in Line A-1 for Juvenile Court School Students _x000a_[EC 2574(c)(4)(B)] _x000a_CY_x000a_A-2" totalsRowDxfId="536" dataCellStyle="Total"/>
    <tableColumn id="15" xr3:uid="{D584432F-E3BB-44EF-8680-42241DF37208}" name="CALPADS Enrollment included in Line A-1 for District Funded County Program Students (do not meet EC 2574(c)(4)(A) or (B))  _x000a_CY_x000a_A-3" totalsRowDxfId="535" dataCellStyle="Total"/>
    <tableColumn id="19" xr3:uid="{35C63491-0382-4519-99E7-A3B2315B93C3}" name="CALPADS Enrollment for Charter Served, County Funded Non-Juvenile Court School Students _x000a_[EC 2574(c)(4)(A)] _x000a_CY_x000a_A-4" totalsRowDxfId="534" dataCellStyle="Total"/>
    <tableColumn id="24" xr3:uid="{C51AC998-4D9B-46ED-8EAB-26A16380BD05}" name="Audit Adjustment to CALPADS Enrollment for County Funded Non-Juvenile Court School Students (Annual only) _x000a_CY_x000a_A-5" totalsRowDxfId="533" dataCellStyle="Total"/>
    <tableColumn id="28" xr3:uid="{C90E48C8-7A39-4E9E-8FF6-268901B3D2BA}" name="Audit Adjustment to CALPADS Enrollment for Charter Served, County Funded Non-Juvenile Court School Students (Annual only) _x000a_CY_x000a_A-6" totalsRowDxfId="532" dataCellStyle="Total"/>
    <tableColumn id="32" xr3:uid="{10F66E8B-28FB-464F-A8D5-08C4A5D23B34}" name="CALPADS Unduplicated Pupil Count_x000a_CY_x000a_B-1" totalsRowDxfId="531" dataCellStyle="Total"/>
    <tableColumn id="36" xr3:uid="{4FCDE414-10A2-4619-BE4E-D3CD11D01F65}" name="CALPADS Unduplicated Pupil Count included in Line B-1 for Juvenile Court School Students [EC 2574(c)(4)(B)] _x000a_CY_x000a_B-2" totalsRowDxfId="530" dataCellStyle="Total"/>
    <tableColumn id="12" xr3:uid="{0A77A70D-8A40-473A-A33D-91A7F13094E3}" name="CALPADS Unduplicated Pupil Count included in Line B-1 for District Funded County Program Students (do not meet EC 2574(c)(4)(A) or (B)) _x000a_CY_x000a_B-3" dataDxfId="529" totalsRowDxfId="528"/>
    <tableColumn id="21" xr3:uid="{6A47FCC1-3C1F-4DF1-A168-C30B7F8AAE32}" name="CALPADS Unduplicated Pupil Count for Charter Served, County Funded Non-Juvenile Court School Students _x000a_[EC 2574(c)(4)(A)] _x000a_CY_x000a_B-4" dataDxfId="527" totalsRowDxfId="526"/>
    <tableColumn id="33" xr3:uid="{A6601860-3D68-4F92-8C6C-3BD676B00BC8}" name="Audit Adjustment to CALPADS Unduplicated Pupil Count for County Funded Non-Juvenile Court School Students (Annual only) _x000a_CY_x000a_B-5" dataDxfId="525" totalsRowDxfId="524" totalsRowCellStyle="Total"/>
    <tableColumn id="39" xr3:uid="{CB267463-061E-489E-A557-AC22A91EFF70}" name="Audit Adjustment to CALPADS Unduplicated Pupil Count for Charter Served, County Funded Non-Juvenile Court School Students (Annual only) _x000a_CY_x000a_B-6" dataDxfId="523" totalsRowDxfId="522" totalsRowCellStyle="Total"/>
    <tableColumn id="42" xr3:uid="{89D6B306-9B9D-4FBA-88DA-B7C5DA0BD780}" name="CALPADS Enrollment for Charter Served, Juvenile Court School Students [EC 2574(c)(4)(B)] _x000a_CY_x000a_D-2" dataDxfId="521" totalsRowDxfId="520" totalsRowCellStyle="Total"/>
    <tableColumn id="45" xr3:uid="{0A3518CB-CC74-4A67-B0F6-9A717F53A457}" name="Audit Adjustment to CALPADS Enrollment for Juvenile Court School Students (Annual only) _x000a_CY_x000a_D-3" dataDxfId="519" totalsRowDxfId="518" totalsRowCellStyle="Total"/>
    <tableColumn id="48" xr3:uid="{725F07A9-3316-409B-893D-806B8A13D411}" name="Audit Adjustment to CALPADS Enrollment for Charter Served, Juvenile Court School Students (Annual only) _x000a_CY_x000a_D-4" dataDxfId="517" totalsRowDxfId="516" totalsRowCellStyle="Total"/>
    <tableColumn id="51" xr3:uid="{4BEC8528-7BD0-4BF0-9D28-4F18659CEA4F}" name="CALPADS Unduplicated Pupil Count for Charter Served, Juvenile Court School Students (meet EC 2574(c)(4)(B)) _x000a_CY_x000a_E-2" dataDxfId="515" totalsRowDxfId="514" totalsRowCellStyle="Total"/>
    <tableColumn id="54" xr3:uid="{2CE0B811-D817-470D-AEEE-172039D463C6}" name="Audit Adjustment to CALPADS Unduplicated Pupil Count for Juvenile Court School Students (Annual only) _x000a_CY_x000a_E-3" dataDxfId="513" totalsRowDxfId="512" totalsRowCellStyle="Total"/>
    <tableColumn id="57" xr3:uid="{625A740A-0863-46D2-95A4-1EFA75BFF2B6}" name="Audit Adjustment to CALPADS Unduplicated Pupil Count for Charter Served, Juvenile Court School Students (Annual only) _x000a_CY_x000a_E-4" dataDxfId="511" totalsRowDxfId="510" totalsRowCellStyle="Total"/>
  </tableColumns>
  <tableStyleInfo showFirstColumn="0" showLastColumn="0" showRowStripes="1" showColumnStripes="0"/>
  <extLst>
    <ext xmlns:x14="http://schemas.microsoft.com/office/spreadsheetml/2009/9/main" uri="{504A1905-F514-4f6f-8877-14C23A59335A}">
      <x14:table altTextSummary="School District Unduplicated Pupil Percentage Exhibit 2017-18 P-1."/>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15137" displayName="Table15137" ref="A4:U63" totalsRowShown="0" headerRowDxfId="509" dataDxfId="507" headerRowBorderDxfId="508" tableBorderDxfId="506" totalsRowCellStyle="Total">
  <tableColumns count="21">
    <tableColumn id="2" xr3:uid="{00000000-0010-0000-0500-000002000000}" name="County Code" dataDxfId="505" totalsRowDxfId="504" dataCellStyle="Total"/>
    <tableColumn id="3" xr3:uid="{00000000-0010-0000-0500-000003000000}" name="District Code" dataDxfId="503" totalsRowDxfId="502" dataCellStyle="Total"/>
    <tableColumn id="58" xr3:uid="{1A7C3D58-A4D7-4A04-A81C-7CE097019D6F}" name="Local Educational Agency" dataDxfId="501" totalsRowDxfId="500" totalsRowCellStyle="Total"/>
    <tableColumn id="7" xr3:uid="{00000000-0010-0000-0500-000007000000}" name="CALPADS Enrollment Current Year _x000a_CY_x000a_A-1" totalsRowDxfId="499" dataCellStyle="Total"/>
    <tableColumn id="11" xr3:uid="{00000000-0010-0000-0500-00000B000000}" name="CALPADS Enrollment included in Line A-1 for Juvenile Court School Students _x000a_[EC 2574(c)(4)(B)] _x000a_CY_x000a_A-2" totalsRowDxfId="498" dataCellStyle="Total"/>
    <tableColumn id="15" xr3:uid="{00000000-0010-0000-0500-00000F000000}" name="CALPADS Enrollment included in Line A-1 for District Funded County Program Students (do not meet EC 2574(c)(4)(A) or (B))  _x000a_CY_x000a_A-3" totalsRowDxfId="497" dataCellStyle="Total"/>
    <tableColumn id="19" xr3:uid="{00000000-0010-0000-0500-000013000000}" name="CALPADS Enrollment for Charter Served, County Funded Non-Juvenile Court School Students _x000a_[EC 2574(c)(4)(A)] _x000a_CY_x000a_A-4" totalsRowDxfId="496" dataCellStyle="Total"/>
    <tableColumn id="24" xr3:uid="{00000000-0010-0000-0500-000018000000}" name="Audit Adjustment to CALPADS Enrollment for County Funded Non-Juvenile Court School Students (Annual only) _x000a_CY_x000a_A-5" totalsRowDxfId="495" dataCellStyle="Total"/>
    <tableColumn id="28" xr3:uid="{00000000-0010-0000-0500-00001C000000}" name="Audit Adjustment to CALPADS Enrollment for Charter Served, County Funded Non-Juvenile Court School Students (Annual only) _x000a_CY_x000a_A-6" totalsRowDxfId="494" dataCellStyle="Total"/>
    <tableColumn id="32" xr3:uid="{00000000-0010-0000-0500-000020000000}" name="CALPADS Unduplicated Pupil Count_x000a_CY_x000a_B-1" totalsRowDxfId="493" dataCellStyle="Total"/>
    <tableColumn id="36" xr3:uid="{00000000-0010-0000-0500-000024000000}" name="CALPADS Unduplicated Pupil Count included in Line B-1 for Juvenile Court School Students [EC 2574(c)(4)(B)] _x000a_CY_x000a_B-2" totalsRowDxfId="492" dataCellStyle="Total"/>
    <tableColumn id="12" xr3:uid="{E19ACDA3-5999-43F3-B841-095E1B88AB09}" name="CALPADS Unduplicated Pupil Count included in Line B-1 for District Funded County Program Students (do not meet EC 2574(c)(4)(A) or (B)) _x000a_CY_x000a_B-3" dataDxfId="491" totalsRowDxfId="490"/>
    <tableColumn id="21" xr3:uid="{1C70FDE2-C0EC-42A0-AA48-21874977EC91}" name="CALPADS Unduplicated Pupil Count for Charter Served, County Funded Non-Juvenile Court School Students _x000a_[EC 2574(c)(4)(A)] _x000a_CY_x000a_B-4" dataDxfId="489" totalsRowDxfId="488"/>
    <tableColumn id="33" xr3:uid="{3334E46B-13A2-4D5E-B9A8-8A0A282F5128}" name="Audit Adjustment to CALPADS Unduplicated Pupil Count for County Funded Non-Juvenile Court School Students (Annual only) _x000a_CY_x000a_B-5" dataDxfId="487" totalsRowDxfId="486" totalsRowCellStyle="Total"/>
    <tableColumn id="39" xr3:uid="{F70ACD8F-7637-474A-ABF4-8B461505289E}" name="Audit Adjustment to CALPADS Unduplicated Pupil Count for Charter Served, County Funded Non-Juvenile Court School Students (Annual only) _x000a_CY_x000a_B-6" dataDxfId="485" totalsRowDxfId="484" totalsRowCellStyle="Total"/>
    <tableColumn id="42" xr3:uid="{F83F4F66-4BE4-434F-A84C-3E9860213109}" name="CALPADS Enrollment for Charter Served, Juvenile Court School Students [EC 2574(c)(4)(B)] _x000a_CY_x000a_D-2" dataDxfId="483" totalsRowDxfId="482" totalsRowCellStyle="Total"/>
    <tableColumn id="45" xr3:uid="{CE5B89EA-2A30-42EE-8614-D25D2DA01A4A}" name="Audit Adjustment to CALPADS Enrollment for Juvenile Court School Students (Annual only) _x000a_CY_x000a_D-3" dataDxfId="481" totalsRowDxfId="480" totalsRowCellStyle="Total"/>
    <tableColumn id="48" xr3:uid="{83FB236B-F35F-48F9-A9B4-635C556674D8}" name="Audit Adjustment to CALPADS Enrollment for Charter Served, Juvenile Court School Students (Annual only) _x000a_CY_x000a_D-4" dataDxfId="479" totalsRowDxfId="478" totalsRowCellStyle="Total"/>
    <tableColumn id="51" xr3:uid="{B6AE9B01-434F-49F5-98E5-919C2E8EB053}" name="CALPADS Unduplicated Pupil Count for Charter Served, Juvenile Court School Students (meet EC 2574(c)(4)(B)) _x000a_CY_x000a_E-2" dataDxfId="477" totalsRowDxfId="476" totalsRowCellStyle="Total"/>
    <tableColumn id="54" xr3:uid="{03822F3A-0AAB-4D15-A4BA-EAECF08D1129}" name="Audit Adjustment to CALPADS Unduplicated Pupil Count for Juvenile Court School Students (Annual only) _x000a_CY_x000a_E-3" dataDxfId="475" totalsRowDxfId="474" totalsRowCellStyle="Total"/>
    <tableColumn id="57" xr3:uid="{2FC8A907-F881-4A71-BA01-A9A3A9F0DD66}" name="Audit Adjustment to CALPADS Unduplicated Pupil Count for Charter Served, Juvenile Court School Students (Annual only) _x000a_CY_x000a_E-4" dataDxfId="473" totalsRowDxfId="472" totalsRowCellStyle="Total"/>
  </tableColumns>
  <tableStyleInfo showFirstColumn="0" showLastColumn="0" showRowStripes="1" showColumnStripes="0"/>
  <extLst>
    <ext xmlns:x14="http://schemas.microsoft.com/office/spreadsheetml/2009/9/main" uri="{504A1905-F514-4f6f-8877-14C23A59335A}">
      <x14:table altTextSummary="School District Unduplicated Pupil Percentage Exhibit 2017-18 P-1."/>
    </ext>
  </extLst>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84DC83A-F5B6-4A60-B05E-2453A2260C1E}" name="Table151379" displayName="Table151379" ref="A4:BE63" totalsRowShown="0" headerRowDxfId="471" dataDxfId="469" headerRowBorderDxfId="470" tableBorderDxfId="468" totalsRowCellStyle="Total">
  <tableColumns count="57">
    <tableColumn id="2" xr3:uid="{E809957A-1FB2-45BB-BFF9-B8D1AB84619B}" name="County Code" dataDxfId="467" totalsRowDxfId="466" dataCellStyle="Total"/>
    <tableColumn id="3" xr3:uid="{70A02065-3CA9-4C4B-A6F5-4AA1A1579C25}" name="District Code" dataDxfId="465" totalsRowDxfId="464" dataCellStyle="Total"/>
    <tableColumn id="58" xr3:uid="{DA78C759-2364-42D6-8375-226A24E9BD8B}" name="Local Educational Agency" dataDxfId="463" totalsRowDxfId="462" totalsRowCellStyle="Total"/>
    <tableColumn id="5" xr3:uid="{151DD731-C48B-4EA1-BE2B-84587C2B1F04}" name="CALPADS Enrollment Second Prior Year _x000a_PY2_x000a_A-1" totalsRowDxfId="461" dataCellStyle="Total"/>
    <tableColumn id="6" xr3:uid="{ECF8E239-E5D9-45AA-A60D-9A87C20A362F}" name="CALPADS Enrollment Prior Year _x000a_PY_x000a_A-1" totalsRowDxfId="460" dataCellStyle="Total"/>
    <tableColumn id="7" xr3:uid="{776337F5-B4AA-406A-8C65-2C09A3E9A3D7}" name="CALPADS Enrollment Current Year _x000a_CY_x000a_A-1" totalsRowDxfId="459" dataCellStyle="Total"/>
    <tableColumn id="9" xr3:uid="{E9D8A7AA-DAB7-4F72-BFE4-C3D29E4B7044}" name="CALPADS Enrollment included in Line A-1 for Juvenile Court School Students _x000a_[EC 2574(c)(4)(B)] _x000a_PY2_x000a_A-2" totalsRowDxfId="458" dataCellStyle="Total"/>
    <tableColumn id="10" xr3:uid="{B8F04F9D-02C1-4DFB-A39B-92652EAD7A02}" name="CALPADS Enrollment included in Line A-1 for Juvenile Court School Students _x000a_[EC 2574(c)(4)(B)] _x000a_PY_x000a_A-2" totalsRowDxfId="457" dataCellStyle="Total"/>
    <tableColumn id="11" xr3:uid="{3383F214-6442-40ED-A7D6-A12470AFE8A8}" name="CALPADS Enrollment included in Line A-1 for Juvenile Court School Students _x000a_[EC 2574(c)(4)(B)] _x000a_CY_x000a_A-2" totalsRowDxfId="456" dataCellStyle="Total"/>
    <tableColumn id="13" xr3:uid="{9F674B03-8D8D-4B3A-8E63-C27EFD58EB7C}" name="CALPADS Enrollment included in Line A-1 for District Funded County Program Students (do not meet EC 2574(c)(4)(A) or (B))_x000a_PY2_x000a_A-3" totalsRowDxfId="455" dataCellStyle="Total"/>
    <tableColumn id="14" xr3:uid="{B75CF28E-F2F2-4D9D-A93B-00B911AB42B7}" name="CALPADS Enrollment included in Line A-1 for District Funded County Program Students (do not meet EC 2574(c)(4)(A) or (B))  _x000a_PY_x000a_A-3" totalsRowDxfId="454" dataCellStyle="Total"/>
    <tableColumn id="15" xr3:uid="{866C1DF9-9D8C-42B8-90D0-DDC80A9E2AF1}" name="CALPADS Enrollment included in Line A-1 for District Funded County Program Students (do not meet EC 2574(c)(4)(A) or (B))  _x000a_CY_x000a_A-3" totalsRowDxfId="453" dataCellStyle="Total"/>
    <tableColumn id="17" xr3:uid="{4C1A14A0-262B-4FE2-BCA9-9CD07FA5FC4A}" name="CALPADS Enrollment for Charter Served, County Funded Non-Juvenile Court School Students [EC 2574(c)(4)(A)] _x000a_PY2_x000a_A-4" totalsRowDxfId="452" dataCellStyle="Total"/>
    <tableColumn id="18" xr3:uid="{03471DEF-1C88-46DD-8127-45A03788ED53}" name="CALPADS Enrollment for Charter Served, County Funded Non-Juvenile Court School Students _x000a_[EC 2574(c)(4)(A)] _x000a_PY_x000a_A-4" totalsRowDxfId="451" dataCellStyle="Total"/>
    <tableColumn id="19" xr3:uid="{2CF7FD83-00FA-478C-8074-8DFDFB51212E}" name="CALPADS Enrollment for Charter Served, County Funded Non-Juvenile Court School Students _x000a_[EC 2574(c)(4)(A)] _x000a_CY_x000a_A-4" totalsRowDxfId="450" dataCellStyle="Total"/>
    <tableColumn id="22" xr3:uid="{D6D86D17-74F7-411D-B388-33DA6C2A0643}" name="Audit Adjustment to CALPADS Enrollment for County Funded Non-Juvenile Court School Students (Annual only) _x000a_PY2_x000a_A-5" totalsRowDxfId="449" dataCellStyle="Total"/>
    <tableColumn id="23" xr3:uid="{FB66BCCD-17D7-483A-B695-A0C0334865C1}" name="Audit Adjustment to CALPADS Enrollment for County Funded Non-Juvenile Court School Students (Annual only) _x000a_PY_x000a_A-5" totalsRowDxfId="448" dataCellStyle="Total"/>
    <tableColumn id="24" xr3:uid="{9BC51495-2B70-4665-93A3-DCEB04B186FE}" name="Audit Adjustment to CALPADS Enrollment for County Funded Non-Juvenile Court School Students (Annual only) _x000a_CY_x000a_A-5" totalsRowDxfId="447" dataCellStyle="Total"/>
    <tableColumn id="26" xr3:uid="{789E5743-9846-4191-9FF2-0C9D0386F162}" name="Audit Adjustment to CALPADS Enrollment for Charter Served, County Funded Non-Juvenile Court School Students (Annual only) _x000a_PY2_x000a_A-6" totalsRowDxfId="446" dataCellStyle="Total"/>
    <tableColumn id="27" xr3:uid="{31A4972D-B34A-4BB2-AF50-240D7B146396}" name="Audit Adjustment to CALPADS Enrollment for Charter Served, County Funded Non-Juvenile Court School Students (Annual only) _x000a_PY_x000a_A-6" totalsRowDxfId="445" dataCellStyle="Total"/>
    <tableColumn id="28" xr3:uid="{59539EFA-8D41-4FA8-BE3C-15CBAE76F2B0}" name="Audit Adjustment to CALPADS Enrollment for Charter Served, County Funded Non-Juvenile Court School Students (Annual only) _x000a_CY_x000a_A-6" totalsRowDxfId="444" dataCellStyle="Total"/>
    <tableColumn id="30" xr3:uid="{68B5B0AE-9469-4B30-AF50-E6B1BEDDD405}" name="CALPADS Unduplicated Pupil Count_x000a_PY2_x000a_B-1" totalsRowDxfId="443" dataCellStyle="Total"/>
    <tableColumn id="31" xr3:uid="{F1EBF3CA-EBB1-4A42-BF7C-8C0ABD4AA3F4}" name="CALPADS Unduplicated Pupil Count_x000a_PY_x000a_B-1" totalsRowDxfId="442" dataCellStyle="Total"/>
    <tableColumn id="32" xr3:uid="{DB73EE0E-94EE-44F7-8BCE-3BAFB7860912}" name="CALPADS Unduplicated Pupil Count_x000a_CY_x000a_B-1" totalsRowDxfId="441" dataCellStyle="Total"/>
    <tableColumn id="34" xr3:uid="{96622D9C-8B14-482E-BE55-C05767BFFC9A}" name="CALPADS Unduplicated Pupil Count included in Line B-1 for Juvenile Court School Students [EC 2574(c)(4)(B)] _x000a_PY2_x000a_B-2" totalsRowDxfId="440" dataCellStyle="Total"/>
    <tableColumn id="35" xr3:uid="{846EC63F-D0A4-46F5-AB1E-DED8CDDD8966}" name="CALPADS Unduplicated Pupil Count included in Line B-1 for Juvenile Court School Students [EC 2574(c)(4)(B)] _x000a_PY_x000a_B-2" totalsRowDxfId="439" dataCellStyle="Total"/>
    <tableColumn id="36" xr3:uid="{E8A59905-3200-4FB4-93AB-ED0FF3183497}" name="CALPADS Unduplicated Pupil Count included in Line B-1 for Juvenile Court School Students [EC 2574(c)(4)(B)] _x000a_CY_x000a_B-2" totalsRowDxfId="438" dataCellStyle="Total"/>
    <tableColumn id="4" xr3:uid="{95B0EDA8-C86C-49C2-9730-59834BA4E5ED}" name="CALPADS Unduplicated Pupil Count included in Line B-1 for District Funded County Program Students (do not meet EC 2574(c)(4)(A) or (B)) _x000a_PY2_x000a_B-3" dataDxfId="437" totalsRowDxfId="436"/>
    <tableColumn id="8" xr3:uid="{0DA7A456-9482-40B4-B24C-4E39586CC158}" name="CALPADS Unduplicated Pupil Count included in Line B-1 for District Funded County Program Students (do not meet EC 2574(c)(4)(A) or (B)) _x000a_PY_x000a_B-3" dataDxfId="435" totalsRowDxfId="434"/>
    <tableColumn id="12" xr3:uid="{167345B9-D4AA-4062-8845-597FE759D75C}" name="CALPADS Unduplicated Pupil Count included in Line B-1 for District Funded County Program Students (do not meet EC 2574(c)(4)(A) or (B)) _x000a_CY_x000a_B-3" dataDxfId="433" totalsRowDxfId="432"/>
    <tableColumn id="16" xr3:uid="{D8A78952-8ED1-479C-AA9F-DA553FD7E7AE}" name="CALPADS Unduplicated Pupil Count for Charter Served, County Funded Non-Juvenile Court School Students _x000a_[EC 2574(c)(4)(A)] _x000a_PY2_x000a_B-4" dataDxfId="431" totalsRowDxfId="430"/>
    <tableColumn id="20" xr3:uid="{2F695ABD-6D11-4000-A7A4-2DE399D0582C}" name="CALPADS Unduplicated Pupil Count for Charter Served, County Funded Non-Juvenile Court School Students_x000a_[EC 2574(c)(4)(A)] _x000a_PY_x000a_B-4" dataDxfId="429" totalsRowDxfId="428"/>
    <tableColumn id="21" xr3:uid="{41AB21D2-3EE1-40DB-8947-A9540AD3EB78}" name="CALPADS Unduplicated Pupil Count for Charter Served, County Funded Non-Juvenile Court School Students _x000a_[EC 2574(c)(4)(A)] _x000a_CY_x000a_B-4" dataDxfId="427" totalsRowDxfId="426"/>
    <tableColumn id="25" xr3:uid="{DC67BAC8-42E0-4830-A089-60837988C1C6}" name="Audit Adjustment to CALPADS Unduplicated Pupil Count for County Funded Non-Juvenile Court School Students (Annual only) _x000a_PY2_x000a_B-5" dataDxfId="425" totalsRowDxfId="424" totalsRowCellStyle="Total"/>
    <tableColumn id="29" xr3:uid="{833A940F-C142-4659-8892-97E9A10AA778}" name="Audit Adjustment to CALPADS Unduplicated Pupil Count for County Funded Non-Juvenile Court School Students (Annual only) _x000a_PY_x000a_B-5" dataDxfId="423" totalsRowDxfId="422" totalsRowCellStyle="Total"/>
    <tableColumn id="33" xr3:uid="{49E8B95E-BC2D-4767-B556-E4E0409573F1}" name="Audit Adjustment to CALPADS Unduplicated Pupil Count for County Funded Non-Juvenile Court School Students (Annual only) _x000a_CY_x000a_B-5" dataDxfId="421" totalsRowDxfId="420" totalsRowCellStyle="Total"/>
    <tableColumn id="37" xr3:uid="{D4B50BCA-E48E-4815-91A2-4B32B8BBD916}" name="Audit Adjustment to CALPADS Unduplicated Pupil Count for Charter Served, County Funded Non-Juvenile Court School Students (Annual only) _x000a_PY2_x000a_B-6" dataDxfId="419" totalsRowDxfId="418" totalsRowCellStyle="Total"/>
    <tableColumn id="38" xr3:uid="{5B78A65A-DC57-4294-AEE5-19374F22E583}" name="Audit Adjustment to CALPADS Unduplicated Pupil Count for Charter Served, County Funded Non-Juvenile Court School Students (Annual only) _x000a_PY_x000a_B-6" dataDxfId="417" totalsRowDxfId="416" totalsRowCellStyle="Total"/>
    <tableColumn id="39" xr3:uid="{003C9A42-0192-4F5E-B831-C6A753F0652B}" name="Audit Adjustment to CALPADS Unduplicated Pupil Count for Charter Served, County Funded Non-Juvenile Court School Students (Annual only) _x000a_CY_x000a_B-6" dataDxfId="415" totalsRowDxfId="414" totalsRowCellStyle="Total"/>
    <tableColumn id="40" xr3:uid="{0B3539CE-BE5D-4B74-8C07-F07308C0041D}" name="CALPADS Enrollment for Charter Served, Juvenile Court School Students [EC 2574(c)(4)(B)] _x000a_PY2_x000a_D-2" dataDxfId="413" totalsRowDxfId="412" totalsRowCellStyle="Total"/>
    <tableColumn id="41" xr3:uid="{60FBC191-B5BE-460D-8540-939BDF84F57D}" name="CALPADS Enrollment for Charter Served, Juvenile Court School Students [EC 2574(c)(4)(B)] _x000a_PY_x000a_D-2" dataDxfId="411" totalsRowDxfId="410" totalsRowCellStyle="Total"/>
    <tableColumn id="42" xr3:uid="{FFA0A69B-DA08-4B64-A1E0-43CFF0DEC80C}" name="CALPADS Enrollment for Charter Served, Juvenile Court School Students [EC 2574(c)(4)(B)] _x000a_CY_x000a_D-2" dataDxfId="409" totalsRowDxfId="408" totalsRowCellStyle="Total"/>
    <tableColumn id="43" xr3:uid="{10237DD5-2BAC-4732-B87B-A32278327984}" name="Audit Adjustment to CALPADS Enrollment for Juvenile Court School Students (Annual only) _x000a_PY2_x000a_D-3" dataDxfId="407" totalsRowDxfId="406" totalsRowCellStyle="Total"/>
    <tableColumn id="44" xr3:uid="{9D4F0CBB-0156-4107-B294-7CF6FD722537}" name="Audit Adjustment to CALPADS Enrollment for Juvenile Court School Students (Annual only) _x000a_PY_x000a_D-3" dataDxfId="405" totalsRowDxfId="404" totalsRowCellStyle="Total"/>
    <tableColumn id="45" xr3:uid="{3FAA5156-638A-4C93-ABC2-75C38036E1BE}" name="Audit Adjustment to CALPADS Enrollment for Juvenile Court School Students (Annual only) _x000a_CY_x000a_D-3" dataDxfId="403" totalsRowDxfId="402" totalsRowCellStyle="Total"/>
    <tableColumn id="46" xr3:uid="{C437CA6D-DAEF-4AA7-B439-247B52299970}" name="Audit Adjustment to CALPADS Enrollment for Charter Served, Juvenile Court School Students (Annual only) _x000a_PY2_x000a_D-4" dataDxfId="401" totalsRowDxfId="400" totalsRowCellStyle="Total"/>
    <tableColumn id="47" xr3:uid="{136B879A-8111-44CC-8096-7CEBF7420BA0}" name="Audit Adjustment to CALPADS Enrollment for Charter Served, Juvenile Court School Students (Annual only) _x000a_PY_x000a_D-4" dataDxfId="399" totalsRowDxfId="398" totalsRowCellStyle="Total"/>
    <tableColumn id="48" xr3:uid="{4D0AD2C1-FBA9-42BA-A953-EF02547F7637}" name="Audit Adjustment to CALPADS Enrollment for Charter Served, Juvenile Court School Students (Annual only) _x000a_CY_x000a_D-4" dataDxfId="397" totalsRowDxfId="396" totalsRowCellStyle="Total"/>
    <tableColumn id="49" xr3:uid="{92AC2A8D-F959-4E20-9EE5-1A37E062247C}" name="CALPADS Unduplicated Pupil Count for Charter Served, Juvenile Court School Students (meet EC 2574(c)(4)(B)) _x000a_PY2_x000a_E-2" dataDxfId="395" totalsRowDxfId="394" totalsRowCellStyle="Total"/>
    <tableColumn id="50" xr3:uid="{AFC391A8-C957-4890-AA57-BC6798942EFE}" name="CALPADS Unduplicated Pupil Count for Charter Served, Juvenile Court School Students (meet EC 2574(c)(4)(B))_x000a_PY_x000a_E-2" dataDxfId="393" totalsRowDxfId="392" totalsRowCellStyle="Total"/>
    <tableColumn id="51" xr3:uid="{DA3DC803-D6DB-4707-876D-34F8329BDC03}" name="CALPADS Unduplicated Pupil Count for Charter Served, Juvenile Court School Students (meet EC 2574(c)(4)(B)) _x000a_CY_x000a_E-2" dataDxfId="391" totalsRowDxfId="390" totalsRowCellStyle="Total"/>
    <tableColumn id="52" xr3:uid="{89E6BD29-73DA-42E0-ABB3-B7C949C5ACD3}" name="Audit Adjustment to CALPADS Unduplicated Pupil Count for Juvenile Court School Students (Annual only) _x000a_PY2_x000a_E-3" dataDxfId="389" totalsRowDxfId="388" totalsRowCellStyle="Total"/>
    <tableColumn id="53" xr3:uid="{495BC87B-271E-4A23-8086-35E7A8A06E5B}" name="Audit Adjustment to CALPADS Unduplicated Pupil Count for Juvenile Court School Students (Annual only) _x000a_PY_x000a_E-3" dataDxfId="387" totalsRowDxfId="386" totalsRowCellStyle="Total"/>
    <tableColumn id="54" xr3:uid="{4BBEB7D9-84D6-4854-8432-EAACDF314DD5}" name="Audit Adjustment to CALPADS Unduplicated Pupil Count for Juvenile Court School Students (Annual only) _x000a_CY_x000a_E-3" dataDxfId="385" totalsRowDxfId="384" totalsRowCellStyle="Total"/>
    <tableColumn id="55" xr3:uid="{3C2BB638-DECA-4929-B3B5-B425F159EA7D}" name="Audit Adjustment to CALPADS Unduplicated Pupil Count for Charter Served, Juvenile Court School Students (Annual only) _x000a_PY2_x000a_E-4" dataDxfId="383" totalsRowDxfId="382" totalsRowCellStyle="Total"/>
    <tableColumn id="56" xr3:uid="{002222FD-6693-4B6C-A624-C19A647B7AC4}" name="Audit Adjustment to CALPADS Unduplicated Pupil Count for Charter Served, Juvenile Court School Students (Annual only) _x000a_PY_x000a_E-4" dataDxfId="381" totalsRowDxfId="380" totalsRowCellStyle="Total"/>
    <tableColumn id="57" xr3:uid="{CB24CE7C-CCEE-431B-BB46-4C48D31EE07F}" name="Audit Adjustment to CALPADS Unduplicated Pupil Count for Charter Served, Juvenile Court School Students (Annual only) _x000a_CY_x000a_E-4" dataDxfId="379" totalsRowDxfId="378" totalsRowCellStyle="Total"/>
  </tableColumns>
  <tableStyleInfo showFirstColumn="0" showLastColumn="0" showRowStripes="1" showColumnStripes="0"/>
  <extLst>
    <ext xmlns:x14="http://schemas.microsoft.com/office/spreadsheetml/2009/9/main" uri="{504A1905-F514-4f6f-8877-14C23A59335A}">
      <x14:table altTextSummary="School District Unduplicated Pupil Percentage Exhibit 2017-18 P-1."/>
    </ext>
  </extLst>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E99A7E-4748-412C-9A67-0527EDA35C87}" name="DistrictTransition38182311" displayName="DistrictTransition38182311" ref="A4:W63" totalsRowShown="0" headerRowDxfId="377" dataDxfId="375" headerRowBorderDxfId="376" tableBorderDxfId="374" dataCellStyle="Comma" totalsRowCellStyle="Total">
  <tableColumns count="23">
    <tableColumn id="2" xr3:uid="{6B1B103D-9436-4B05-96CB-E02684595FA5}" name="County Code" totalsRowDxfId="373" dataCellStyle="Total"/>
    <tableColumn id="39" xr3:uid="{72932AC4-6E02-42D9-B426-AA0E30A1BCFD}" name="Local Educational Agency" dataDxfId="372" totalsRowDxfId="371"/>
    <tableColumn id="10" xr3:uid="{3CDDAE8C-3AC9-4069-A582-834BE5AE1493}" name="County Funded Non-Juvenile Court ADA_x000a_A-2" dataDxfId="370" totalsRowDxfId="369"/>
    <tableColumn id="11" xr3:uid="{2A257377-A5E8-4A87-8088-7D8FB116367A}" name="Charter School County Funded Non-Juvenile Court ADA_x000a_A-3" dataDxfId="368" totalsRowDxfId="367"/>
    <tableColumn id="12" xr3:uid="{D64925A0-B6C4-42C4-A26E-8535121E7615}" name="Juvenile Court Schools ADA_x000a_A-5" dataDxfId="366" totalsRowDxfId="365"/>
    <tableColumn id="13" xr3:uid="{5A2C6989-619C-42FB-85BD-19690028C8C8}" name="Charter School Juvenile Court Schools ADA_x000a_A-6" dataDxfId="364" totalsRowDxfId="363"/>
    <tableColumn id="6" xr3:uid="{F33CB589-C0EA-4FB9-879A-F0377E3E0FC5}" name="Base Grant Rate _x000a_(A-8 * A-9)_x000a_A-10" dataDxfId="362" totalsRowDxfId="361"/>
    <tableColumn id="7" xr3:uid="{7B20130B-C293-42DD-B45B-49403ED05BEB}" name="EC Section 2574(e)(1) Add-On (based on 2012-13 Targeted Instructional Improvement Block Grant)_x000a_A-29" dataDxfId="360" totalsRowDxfId="359"/>
    <tableColumn id="17" xr3:uid="{6FEA323F-9362-4AE9-925C-1DC911738331}" name="EC Section 2574(e)(2) Add-On (based on 2012-13 Home-to-School Transportation)_x000a_A-31" dataDxfId="358" totalsRowDxfId="357"/>
    <tableColumn id="18" xr3:uid="{22199CF4-C7A6-4259-A29E-A614BEC852B2}" name="EC Section 2574(e)(2) Add-On (based on 2012–13 Small School District Bus Replacement Program) _x000a_A-33  " dataDxfId="356" totalsRowDxfId="355"/>
    <tableColumn id="3" xr3:uid="{25789AD6-8F90-4D4D-9F3D-75EF0E1A134C}" name="Fund on Target Entitlement" dataDxfId="354" totalsRowDxfId="353"/>
    <tableColumn id="16" xr3:uid="{C2BF0A46-59F6-4AC6-A4D8-0AAF781F4F40}" name="2012-13 County Revenue Limit (funding held constant as of 2012-13 Annual)_x000a_C-1" dataDxfId="352" totalsRowDxfId="351"/>
    <tableColumn id="19" xr3:uid="{83986F30-C3DF-4325-A0B0-4160BCCCC2C8}" name="2012-13 County Funded Non-Juvenile Court and Juvenile Court Schools Rate per ADA_x000a_C-2" dataDxfId="350" totalsRowDxfId="349" dataCellStyle="Total"/>
    <tableColumn id="1" xr3:uid="{37A51175-9D93-442E-BC87-9DD935244895}" name="2012-13 Categorical Programs_x000a_C-6" dataDxfId="348" totalsRowDxfId="347"/>
    <tableColumn id="35" xr3:uid="{375E547C-AC0E-43B5-9260-9F28D34CCAFE}" name="Local Revenue for Regional Occupational Centers/Programs (ROC/P)_x000a_2012-13 Annual Excess Taxes Applied for ROC/P_x000a_C-7" dataDxfId="346" totalsRowDxfId="345" dataCellStyle="Total"/>
    <tableColumn id="15" xr3:uid="{ED588722-52A9-426E-908B-D3462D23731E}" name="Total Floor Adjustment for COLA Calculated in LCFF Target (C-8 + C-9 + C-10) _x000a_C-11  " dataDxfId="344" totalsRowDxfId="343"/>
    <tableColumn id="20" xr3:uid="{97784353-D7B4-4273-936E-0D7EE16688A9}" name="Local Revenue_x000a_D-2" dataDxfId="342" totalsRowDxfId="341"/>
    <tableColumn id="24" xr3:uid="{47E5032A-EAA0-428E-A632-5BB600F8FED0}" name="Education Protection Account Entitlement_x000a_D-5" dataDxfId="340" totalsRowDxfId="339"/>
    <tableColumn id="26" xr3:uid="{C89CC561-4B39-43E0-8ACE-F1302D7E638B}" name="Minimum State Aid Guarantee_x000a_D-7" dataDxfId="338" totalsRowDxfId="337"/>
    <tableColumn id="14" xr3:uid="{347199D3-9363-4FE3-8CDF-39EF80C655A7}" name="Total MSA Adjustment for COLA Calculated in LCFF Target (If D-4 &lt; 0, D-8; If D-4 = 0, D-8 + D-9 + D-10) _x000a_D-11  " dataDxfId="336" totalsRowDxfId="335"/>
    <tableColumn id="30" xr3:uid="{9D54E88B-EACD-4B06-A6A1-937295CE42A7}" name="Current Year EC 2575.1 District Allowance _x000a_(A-9 * E-1)_x000a_E-2" dataDxfId="334" totalsRowDxfId="333"/>
    <tableColumn id="32" xr3:uid="{06F13577-7B77-4E56-BF86-BFE010F98ABB}" name="Current Year EC 2575.1 Minimum Allowance _x000a_(A-9 * E-3)_x000a_E-4" dataDxfId="332" totalsRowDxfId="331"/>
    <tableColumn id="42" xr3:uid="{3FF31565-6900-4748-BF11-B89904E36844}" name="State Aid Pursuant to EC 2575.2_x000a_E-7" dataDxfId="330" totalsRowDxfId="329"/>
  </tableColumns>
  <tableStyleInfo showFirstColumn="0" showLastColumn="0" showRowStripes="1" showColumnStripes="0"/>
  <extLst>
    <ext xmlns:x14="http://schemas.microsoft.com/office/spreadsheetml/2009/9/main" uri="{504A1905-F514-4f6f-8877-14C23A59335A}">
      <x14:table altText="School District Transition" altTextSummary="Certified data for the 2017-18 P-1 School District LCFF Transition Calculation exhibit."/>
    </ext>
  </extLst>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E000000}" name="DistrictTransition381823" displayName="DistrictTransition381823" ref="A4:W63" totalsRowShown="0" headerRowDxfId="328" dataDxfId="326" headerRowBorderDxfId="327" tableBorderDxfId="325" dataCellStyle="Comma" totalsRowCellStyle="Total">
  <tableColumns count="23">
    <tableColumn id="2" xr3:uid="{00000000-0010-0000-0E00-000002000000}" name="County Code" totalsRowDxfId="324" dataCellStyle="Total"/>
    <tableColumn id="39" xr3:uid="{6A47354D-18DC-44D4-AA5C-48D81B04D551}" name="Local Educational Agency" dataDxfId="323" totalsRowDxfId="322"/>
    <tableColumn id="10" xr3:uid="{00000000-0010-0000-0E00-00000A000000}" name="County Funded Non-Juvenile Court ADA_x000a_A-2" dataDxfId="321" totalsRowDxfId="320"/>
    <tableColumn id="11" xr3:uid="{00000000-0010-0000-0E00-00000B000000}" name="Charter School County Funded Non-Juvenile Court ADA_x000a_A-3" dataDxfId="319" totalsRowDxfId="318"/>
    <tableColumn id="12" xr3:uid="{00000000-0010-0000-0E00-00000C000000}" name="Juvenile Court Schools ADA_x000a_A-5" dataDxfId="317" totalsRowDxfId="316"/>
    <tableColumn id="13" xr3:uid="{00000000-0010-0000-0E00-00000D000000}" name="Charter School Juvenile Court Schools ADA_x000a_A-6" dataDxfId="315" totalsRowDxfId="314"/>
    <tableColumn id="6" xr3:uid="{00000000-0010-0000-0E00-000006000000}" name="Base Grant Rate _x000a_(A-8 * A-9)_x000a_A-10" dataDxfId="313" totalsRowDxfId="312"/>
    <tableColumn id="7" xr3:uid="{00000000-0010-0000-0E00-000007000000}" name="EC Section 2574(e)(1) Add-On (based on 2012-13 Targeted Instructional Improvement Block Grant)_x000a_A-29" dataDxfId="311" totalsRowDxfId="310"/>
    <tableColumn id="9" xr3:uid="{00000000-0010-0000-0E00-000009000000}" name="EC Section 2574(e)(2) Add-On (based on 2012-13 Home-to-School Transportation)_x000a_A-30" dataDxfId="309" totalsRowDxfId="308"/>
    <tableColumn id="14" xr3:uid="{A9D24EE8-A494-4340-AC81-9806F9250D38}" name="EC Section 2574(e)(2) Add-On (based on 2012-13 Small School District Bus Replacement Program)_x000a_A-31" dataDxfId="307" totalsRowDxfId="306"/>
    <tableColumn id="3" xr3:uid="{54644D91-D0A5-4820-BE56-7707668C2955}" name="Fund on Target Entitlement_x000a_B-2" dataDxfId="305" totalsRowDxfId="304"/>
    <tableColumn id="16" xr3:uid="{00000000-0010-0000-0E00-000010000000}" name="2012-13 County Revenue Limit (funding held constant as of 2012-13 Annual)_x000a_C-1" dataDxfId="303" totalsRowDxfId="302"/>
    <tableColumn id="19" xr3:uid="{00000000-0010-0000-0E00-000013000000}" name="2012-13 County Funded Non-Juvenile Court and Juvenile Court Schools Rate per ADA_x000a_C-2" dataDxfId="301" totalsRowDxfId="300" dataCellStyle="Total"/>
    <tableColumn id="1" xr3:uid="{00000000-0010-0000-0E00-000001000000}" name="2012-13 Categorical Programs_x000a_C-6" dataDxfId="299" totalsRowDxfId="298"/>
    <tableColumn id="35" xr3:uid="{00000000-0010-0000-0E00-000023000000}" name="Local Revenue for Regional Occupational Centers/Programs (ROC/P)_x000a_2012-13 Annual Excess Taxes Applied for ROC/P_x000a_C-7" dataDxfId="297" totalsRowDxfId="296" dataCellStyle="Total"/>
    <tableColumn id="5" xr3:uid="{C2C8554D-21A6-4EDC-AC34-C32EAA4E3D0C}" name="2022-23  PLACEHOLDER _x000a__x000a_Total Floor Adjustment for COLA Calculated in LCFF Target (C-8 + C-9 + C-10) _x000a_C-11  " dataDxfId="295" totalsRowDxfId="294"/>
    <tableColumn id="20" xr3:uid="{3D4FC479-D950-439F-B366-F502442EE697}" name="Local Revenue_x000a_D-2" dataDxfId="293" totalsRowDxfId="292"/>
    <tableColumn id="24" xr3:uid="{B52F1FCB-E42F-4975-86C7-003BEC8B59B3}" name="Education Protection Account Entitlement_x000a_D-5" dataDxfId="291" totalsRowDxfId="290"/>
    <tableColumn id="26" xr3:uid="{1BB61A78-8BC7-49A6-9B90-9F660E4239F3}" name="Minimum State Aid Guarantee_x000a_D-7" dataDxfId="289" totalsRowDxfId="288"/>
    <tableColumn id="28" xr3:uid="{07D4B536-1549-4CBD-BC04-87D50B491AD7}" name="2022-23  PLACEHOLDER _x000a__x000a_ Total MSA Adjustment for COLA Calculated in LCFF Target (If D-4 &lt; 0, D-8; If D-4 = 0, D-8 + D-9 + D-10) _x000a_D-11  2" dataDxfId="287" totalsRowDxfId="286"/>
    <tableColumn id="30" xr3:uid="{D17F9E82-79F4-438B-B9D4-A5ACC49CB9C7}" name="Current Year EC 2575.1 District Allowance _x000a_(A-9 * E-1)_x000a_E-2" dataDxfId="285" totalsRowDxfId="284"/>
    <tableColumn id="32" xr3:uid="{D0D93F26-BE67-49F1-AFE7-CE3960E25AE0}" name="Current Year EC 2575.1 Minimum Allowance _x000a_(A-9 * E-3)_x000a_E-4" dataDxfId="283" totalsRowDxfId="282"/>
    <tableColumn id="42" xr3:uid="{F001422D-738C-48E8-B179-045AE06E3C1C}" name="State Aid Pursuant to EC 2575.2_x000a_E-7" dataDxfId="281" totalsRowDxfId="280"/>
  </tableColumns>
  <tableStyleInfo showFirstColumn="0" showLastColumn="0" showRowStripes="1" showColumnStripes="0"/>
  <extLst>
    <ext xmlns:x14="http://schemas.microsoft.com/office/spreadsheetml/2009/9/main" uri="{504A1905-F514-4f6f-8877-14C23A59335A}">
      <x14:table altText="School District Transition" altTextSummary="Certified data for the 2017-18 P-1 School District LCFF Transition Calculation exhibit."/>
    </ext>
  </extLst>
</table>
</file>

<file path=xl/theme/theme1.xml><?xml version="1.0" encoding="utf-8"?>
<a:theme xmlns:a="http://schemas.openxmlformats.org/drawingml/2006/main" name="Office Theme">
  <a:themeElements>
    <a:clrScheme name="LCFF Calculator">
      <a:dk1>
        <a:srgbClr val="161569"/>
      </a:dk1>
      <a:lt1>
        <a:srgbClr val="F2F2F5"/>
      </a:lt1>
      <a:dk2>
        <a:srgbClr val="324EED"/>
      </a:dk2>
      <a:lt2>
        <a:srgbClr val="DDE5FF"/>
      </a:lt2>
      <a:accent1>
        <a:srgbClr val="2C7389"/>
      </a:accent1>
      <a:accent2>
        <a:srgbClr val="19929B"/>
      </a:accent2>
      <a:accent3>
        <a:srgbClr val="3DC1BD"/>
      </a:accent3>
      <a:accent4>
        <a:srgbClr val="E50000"/>
      </a:accent4>
      <a:accent5>
        <a:srgbClr val="FF5543"/>
      </a:accent5>
      <a:accent6>
        <a:srgbClr val="FF715B"/>
      </a:accent6>
      <a:hlink>
        <a:srgbClr val="324EED"/>
      </a:hlink>
      <a:folHlink>
        <a:srgbClr val="7030A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www.cde.ca.gov/fg/aa/pa/exhibitguides.asp" TargetMode="External"/><Relationship Id="rId7" Type="http://schemas.openxmlformats.org/officeDocument/2006/relationships/vmlDrawing" Target="../drawings/vmlDrawing2.vml"/><Relationship Id="rId2" Type="http://schemas.openxmlformats.org/officeDocument/2006/relationships/hyperlink" Target="http://www.cde.ca.gov/fg/aa/pa/lcffcola.asp" TargetMode="External"/><Relationship Id="rId1" Type="http://schemas.openxmlformats.org/officeDocument/2006/relationships/hyperlink" Target="http://www.cde.ca.gov/fg/aa/pa/exhibitguides.asp" TargetMode="External"/><Relationship Id="rId6" Type="http://schemas.openxmlformats.org/officeDocument/2006/relationships/printerSettings" Target="../printerSettings/printerSettings5.bin"/><Relationship Id="rId5" Type="http://schemas.openxmlformats.org/officeDocument/2006/relationships/hyperlink" Target="http://www.cde.ca.gov/fg/aa/pa/lcffcola.asp" TargetMode="External"/><Relationship Id="rId4" Type="http://schemas.openxmlformats.org/officeDocument/2006/relationships/hyperlink" Target="http://www.fcmat.org/lcff" TargetMode="External"/></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cde.ca.gov/fg/aa/pa/epa.asp" TargetMode="External"/><Relationship Id="rId1" Type="http://schemas.openxmlformats.org/officeDocument/2006/relationships/hyperlink" Target="http://www.cde.ca.gov/schooldirectory" TargetMode="External"/><Relationship Id="rId4"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58"/>
  <sheetViews>
    <sheetView zoomScaleNormal="100" workbookViewId="0">
      <pane ySplit="1" topLeftCell="A2" activePane="bottomLeft" state="frozen"/>
      <selection pane="bottomLeft" activeCell="C26" sqref="C26"/>
    </sheetView>
  </sheetViews>
  <sheetFormatPr defaultColWidth="9.109375" defaultRowHeight="13.2"/>
  <cols>
    <col min="1" max="1" width="7.44140625" style="65" customWidth="1"/>
    <col min="2" max="2" width="23.44140625" style="79" customWidth="1"/>
    <col min="3" max="3" width="8.109375" style="79" customWidth="1"/>
    <col min="4" max="4" width="25.33203125" style="79" customWidth="1"/>
    <col min="5" max="5" width="31.6640625" style="79" customWidth="1"/>
    <col min="6" max="6" width="72.88671875" style="120" customWidth="1"/>
    <col min="7" max="16384" width="9.109375" style="65"/>
  </cols>
  <sheetData>
    <row r="1" spans="1:6" ht="51" customHeight="1">
      <c r="A1" s="134" t="s">
        <v>206</v>
      </c>
      <c r="B1" s="112" t="s">
        <v>200</v>
      </c>
      <c r="C1" s="132" t="s">
        <v>220</v>
      </c>
      <c r="D1" s="112" t="s">
        <v>198</v>
      </c>
      <c r="E1" s="112" t="s">
        <v>199</v>
      </c>
      <c r="F1" s="133" t="s">
        <v>208</v>
      </c>
    </row>
    <row r="2" spans="1:6" ht="15" customHeight="1">
      <c r="A2" s="110" t="s">
        <v>205</v>
      </c>
      <c r="B2" s="138" t="s">
        <v>196</v>
      </c>
      <c r="C2" s="128" t="s">
        <v>29</v>
      </c>
      <c r="D2" s="1194" t="s">
        <v>197</v>
      </c>
      <c r="E2" s="1195"/>
      <c r="F2" s="117"/>
    </row>
    <row r="3" spans="1:6">
      <c r="A3" s="1204" t="s">
        <v>205</v>
      </c>
      <c r="B3" s="1196" t="s">
        <v>225</v>
      </c>
      <c r="C3" s="1197"/>
      <c r="D3" s="110"/>
      <c r="E3" s="110"/>
      <c r="F3" s="125" t="s">
        <v>214</v>
      </c>
    </row>
    <row r="4" spans="1:6" s="79" customFormat="1" ht="15.75" customHeight="1">
      <c r="A4" s="1204"/>
      <c r="B4" s="1198"/>
      <c r="C4" s="1199"/>
      <c r="D4" s="110"/>
      <c r="E4" s="111"/>
      <c r="F4" s="126" t="s">
        <v>214</v>
      </c>
    </row>
    <row r="5" spans="1:6">
      <c r="A5" s="1204"/>
      <c r="B5" s="1198"/>
      <c r="C5" s="1199"/>
      <c r="D5" s="110"/>
      <c r="E5" s="110"/>
      <c r="F5" s="126" t="s">
        <v>214</v>
      </c>
    </row>
    <row r="6" spans="1:6">
      <c r="A6" s="1204"/>
      <c r="B6" s="1198"/>
      <c r="C6" s="1199"/>
      <c r="D6" s="110"/>
      <c r="E6" s="110"/>
      <c r="F6" s="126" t="s">
        <v>216</v>
      </c>
    </row>
    <row r="7" spans="1:6">
      <c r="A7" s="1204"/>
      <c r="B7" s="1198"/>
      <c r="C7" s="1199"/>
      <c r="D7" s="110"/>
      <c r="E7" s="111"/>
      <c r="F7" s="126" t="s">
        <v>217</v>
      </c>
    </row>
    <row r="8" spans="1:6">
      <c r="A8" s="1204"/>
      <c r="B8" s="1198"/>
      <c r="C8" s="1199"/>
      <c r="D8" s="110"/>
      <c r="E8" s="110"/>
      <c r="F8" s="126" t="s">
        <v>215</v>
      </c>
    </row>
    <row r="9" spans="1:6">
      <c r="A9" s="1204"/>
      <c r="B9" s="1198"/>
      <c r="C9" s="1199"/>
      <c r="D9" s="110"/>
      <c r="E9" s="110"/>
      <c r="F9" s="126" t="s">
        <v>215</v>
      </c>
    </row>
    <row r="10" spans="1:6">
      <c r="A10" s="1204"/>
      <c r="B10" s="1198"/>
      <c r="C10" s="1199"/>
      <c r="D10" s="110"/>
      <c r="E10" s="110"/>
      <c r="F10" s="126" t="s">
        <v>215</v>
      </c>
    </row>
    <row r="11" spans="1:6">
      <c r="A11" s="1204"/>
      <c r="B11" s="1200"/>
      <c r="C11" s="1201"/>
      <c r="D11" s="110"/>
      <c r="E11" s="110"/>
      <c r="F11" s="127" t="s">
        <v>214</v>
      </c>
    </row>
    <row r="12" spans="1:6" ht="18" customHeight="1">
      <c r="A12" s="115" t="s">
        <v>207</v>
      </c>
      <c r="B12" s="1202" t="s">
        <v>161</v>
      </c>
      <c r="C12" s="1203"/>
      <c r="D12" s="1194" t="s">
        <v>197</v>
      </c>
      <c r="E12" s="1195"/>
      <c r="F12" s="117"/>
    </row>
    <row r="13" spans="1:6">
      <c r="A13" s="1182" t="s">
        <v>207</v>
      </c>
      <c r="B13" s="1184" t="s">
        <v>273</v>
      </c>
      <c r="C13" s="1185"/>
      <c r="D13" s="110" t="s">
        <v>161</v>
      </c>
      <c r="E13" s="110" t="s">
        <v>1559</v>
      </c>
      <c r="F13" s="1174" t="s">
        <v>1568</v>
      </c>
    </row>
    <row r="14" spans="1:6">
      <c r="A14" s="1183"/>
      <c r="B14" s="1186"/>
      <c r="C14" s="1187"/>
      <c r="D14" s="821" t="s">
        <v>201</v>
      </c>
      <c r="E14" s="821" t="s">
        <v>1560</v>
      </c>
      <c r="F14" s="1175"/>
    </row>
    <row r="15" spans="1:6">
      <c r="A15" s="1183"/>
      <c r="B15" s="1186"/>
      <c r="C15" s="1187"/>
      <c r="D15" s="821" t="s">
        <v>1552</v>
      </c>
      <c r="E15" s="821" t="s">
        <v>1561</v>
      </c>
      <c r="F15" s="1175"/>
    </row>
    <row r="16" spans="1:6">
      <c r="A16" s="1183"/>
      <c r="B16" s="1186"/>
      <c r="C16" s="1187"/>
      <c r="D16" s="821" t="s">
        <v>1562</v>
      </c>
      <c r="E16" s="821" t="s">
        <v>1563</v>
      </c>
      <c r="F16" s="1175"/>
    </row>
    <row r="17" spans="1:6">
      <c r="A17" s="1183"/>
      <c r="B17" s="1186"/>
      <c r="C17" s="1187"/>
      <c r="D17" s="821" t="s">
        <v>22</v>
      </c>
      <c r="E17" s="821" t="s">
        <v>1565</v>
      </c>
      <c r="F17" s="1175"/>
    </row>
    <row r="18" spans="1:6">
      <c r="A18" s="1183"/>
      <c r="B18" s="1186"/>
      <c r="C18" s="1187"/>
      <c r="D18" s="821" t="s">
        <v>30</v>
      </c>
      <c r="E18" s="821" t="s">
        <v>1566</v>
      </c>
      <c r="F18" s="1175"/>
    </row>
    <row r="19" spans="1:6">
      <c r="A19" s="1182"/>
      <c r="B19" s="1188"/>
      <c r="C19" s="1189"/>
      <c r="D19" s="110" t="s">
        <v>1564</v>
      </c>
      <c r="E19" s="110" t="s">
        <v>1567</v>
      </c>
      <c r="F19" s="1176"/>
    </row>
    <row r="20" spans="1:6">
      <c r="A20" s="1182" t="s">
        <v>207</v>
      </c>
      <c r="B20" s="1190" t="s">
        <v>201</v>
      </c>
      <c r="C20" s="1191"/>
      <c r="D20" s="110" t="s">
        <v>1552</v>
      </c>
      <c r="E20" s="596" t="s">
        <v>1569</v>
      </c>
      <c r="F20" s="1174"/>
    </row>
    <row r="21" spans="1:6">
      <c r="A21" s="1182"/>
      <c r="B21" s="1192"/>
      <c r="C21" s="1193"/>
      <c r="D21" s="110" t="s">
        <v>1562</v>
      </c>
      <c r="E21" s="114"/>
      <c r="F21" s="1174"/>
    </row>
    <row r="22" spans="1:6">
      <c r="A22" s="1182"/>
      <c r="B22" s="1192"/>
      <c r="C22" s="1193"/>
      <c r="D22" s="110" t="s">
        <v>22</v>
      </c>
      <c r="E22" s="114"/>
      <c r="F22" s="1174"/>
    </row>
    <row r="23" spans="1:6">
      <c r="A23" s="1182"/>
      <c r="B23" s="1192"/>
      <c r="C23" s="1193"/>
      <c r="D23" s="110"/>
      <c r="E23" s="114"/>
      <c r="F23" s="1174"/>
    </row>
    <row r="24" spans="1:6">
      <c r="A24" s="1182"/>
      <c r="B24" s="1192"/>
      <c r="C24" s="1193"/>
      <c r="D24" s="110" t="s">
        <v>1564</v>
      </c>
      <c r="E24" s="114"/>
      <c r="F24" s="1174"/>
    </row>
    <row r="25" spans="1:6" ht="21" customHeight="1">
      <c r="A25" s="610" t="s">
        <v>205</v>
      </c>
      <c r="B25" s="768" t="s">
        <v>528</v>
      </c>
      <c r="C25" s="769" t="str">
        <f>+'COE CDS'!A3</f>
        <v>2022-23</v>
      </c>
      <c r="D25" s="1156" t="s">
        <v>201</v>
      </c>
      <c r="E25" s="110" t="s">
        <v>1324</v>
      </c>
      <c r="F25" s="130"/>
    </row>
    <row r="26" spans="1:6" ht="21" customHeight="1">
      <c r="A26" s="585" t="s">
        <v>205</v>
      </c>
      <c r="B26" s="586" t="s">
        <v>532</v>
      </c>
      <c r="C26" s="769" t="str">
        <f>+'PY1 Local Rev'!A2</f>
        <v>2022-23</v>
      </c>
      <c r="D26" s="1157"/>
      <c r="E26" s="124" t="s">
        <v>1357</v>
      </c>
      <c r="F26" s="590" t="s">
        <v>226</v>
      </c>
    </row>
    <row r="27" spans="1:6" ht="21" customHeight="1">
      <c r="A27" s="585" t="s">
        <v>205</v>
      </c>
      <c r="B27" s="586" t="s">
        <v>533</v>
      </c>
      <c r="C27" s="769" t="str">
        <f>+'PY2 Local Rev'!A2</f>
        <v>2021-22</v>
      </c>
      <c r="D27" s="1157"/>
      <c r="E27" s="124" t="s">
        <v>1356</v>
      </c>
      <c r="F27" s="589" t="s">
        <v>219</v>
      </c>
    </row>
    <row r="28" spans="1:6" ht="21" customHeight="1">
      <c r="A28" s="585" t="s">
        <v>205</v>
      </c>
      <c r="B28" s="586" t="s">
        <v>534</v>
      </c>
      <c r="C28" s="769" t="str">
        <f>+'PY3 Local Rev'!A2</f>
        <v>2020-21</v>
      </c>
      <c r="D28" s="1157"/>
      <c r="E28" s="110" t="s">
        <v>1355</v>
      </c>
      <c r="F28" s="589" t="s">
        <v>218</v>
      </c>
    </row>
    <row r="29" spans="1:6" s="78" customFormat="1" ht="21" customHeight="1">
      <c r="A29" s="110" t="s">
        <v>205</v>
      </c>
      <c r="B29" s="358" t="s">
        <v>535</v>
      </c>
      <c r="C29" s="770" t="s">
        <v>107</v>
      </c>
      <c r="D29" s="1157"/>
      <c r="E29" s="587" t="s">
        <v>1361</v>
      </c>
      <c r="F29" s="123" t="s">
        <v>1411</v>
      </c>
    </row>
    <row r="30" spans="1:6" ht="21" customHeight="1">
      <c r="A30" s="113" t="s">
        <v>205</v>
      </c>
      <c r="B30" s="359" t="s">
        <v>536</v>
      </c>
      <c r="C30" s="116" t="s">
        <v>83</v>
      </c>
      <c r="D30" s="1157"/>
      <c r="E30" s="587" t="s">
        <v>1362</v>
      </c>
      <c r="F30" s="123" t="s">
        <v>1411</v>
      </c>
    </row>
    <row r="31" spans="1:6" ht="21" customHeight="1">
      <c r="A31" s="122" t="s">
        <v>205</v>
      </c>
      <c r="B31" s="360" t="s">
        <v>537</v>
      </c>
      <c r="C31" s="769" t="s">
        <v>95</v>
      </c>
      <c r="D31" s="1157"/>
      <c r="E31" s="587" t="s">
        <v>1360</v>
      </c>
      <c r="F31" s="588" t="s">
        <v>1412</v>
      </c>
    </row>
    <row r="32" spans="1:6" s="78" customFormat="1" ht="21" customHeight="1">
      <c r="A32" s="592" t="s">
        <v>205</v>
      </c>
      <c r="B32" s="593" t="s">
        <v>538</v>
      </c>
      <c r="C32" s="770" t="s">
        <v>107</v>
      </c>
      <c r="D32" s="1157"/>
      <c r="E32" s="596" t="s">
        <v>1459</v>
      </c>
      <c r="F32" s="594"/>
    </row>
    <row r="33" spans="1:6" s="78" customFormat="1" ht="21" customHeight="1">
      <c r="A33" s="592" t="s">
        <v>205</v>
      </c>
      <c r="B33" s="593" t="s">
        <v>539</v>
      </c>
      <c r="C33" s="116" t="s">
        <v>83</v>
      </c>
      <c r="D33" s="1157"/>
      <c r="E33" s="597" t="s">
        <v>1460</v>
      </c>
      <c r="F33" s="594"/>
    </row>
    <row r="34" spans="1:6" ht="21" customHeight="1">
      <c r="A34" s="592" t="s">
        <v>205</v>
      </c>
      <c r="B34" s="139" t="s">
        <v>540</v>
      </c>
      <c r="C34" s="769" t="s">
        <v>95</v>
      </c>
      <c r="D34" s="1157"/>
      <c r="E34" s="597" t="s">
        <v>1461</v>
      </c>
      <c r="F34" s="595"/>
    </row>
    <row r="35" spans="1:6" s="78" customFormat="1" ht="54" customHeight="1">
      <c r="A35" s="122" t="s">
        <v>205</v>
      </c>
      <c r="B35" s="593" t="s">
        <v>529</v>
      </c>
      <c r="C35" s="770" t="s">
        <v>107</v>
      </c>
      <c r="D35" s="812" t="s">
        <v>1542</v>
      </c>
      <c r="E35" s="811" t="s">
        <v>1541</v>
      </c>
      <c r="F35" s="119"/>
    </row>
    <row r="36" spans="1:6" s="78" customFormat="1" ht="54" customHeight="1">
      <c r="A36" s="122" t="s">
        <v>205</v>
      </c>
      <c r="B36" s="593" t="s">
        <v>541</v>
      </c>
      <c r="C36" s="116" t="s">
        <v>83</v>
      </c>
      <c r="D36" s="812" t="s">
        <v>1538</v>
      </c>
      <c r="E36" s="811" t="s">
        <v>1539</v>
      </c>
      <c r="F36" s="119"/>
    </row>
    <row r="37" spans="1:6" ht="54" customHeight="1">
      <c r="A37" s="122" t="s">
        <v>205</v>
      </c>
      <c r="B37" s="593" t="s">
        <v>530</v>
      </c>
      <c r="C37" s="769" t="s">
        <v>95</v>
      </c>
      <c r="D37" s="812" t="s">
        <v>1538</v>
      </c>
      <c r="E37" s="811" t="s">
        <v>1540</v>
      </c>
      <c r="F37" s="118"/>
    </row>
    <row r="38" spans="1:6">
      <c r="A38" s="1149" t="s">
        <v>207</v>
      </c>
      <c r="B38" s="1152" t="s">
        <v>18</v>
      </c>
      <c r="C38" s="1153"/>
      <c r="D38" s="1162" t="s">
        <v>30</v>
      </c>
      <c r="E38" s="1162"/>
      <c r="F38" s="1177"/>
    </row>
    <row r="39" spans="1:6">
      <c r="A39" s="1150"/>
      <c r="B39" s="1154"/>
      <c r="C39" s="1155"/>
      <c r="D39" s="1163"/>
      <c r="E39" s="1163"/>
      <c r="F39" s="1178"/>
    </row>
    <row r="40" spans="1:6">
      <c r="A40" s="1150"/>
      <c r="B40" s="1154"/>
      <c r="C40" s="1155"/>
      <c r="D40" s="1163"/>
      <c r="E40" s="1163"/>
      <c r="F40" s="1178"/>
    </row>
    <row r="41" spans="1:6">
      <c r="A41" s="1150"/>
      <c r="B41" s="1154"/>
      <c r="C41" s="1155"/>
      <c r="D41" s="1163"/>
      <c r="E41" s="1163"/>
      <c r="F41" s="1178"/>
    </row>
    <row r="42" spans="1:6">
      <c r="A42" s="1151"/>
      <c r="B42" s="1180"/>
      <c r="C42" s="1181"/>
      <c r="D42" s="1164"/>
      <c r="E42" s="1164"/>
      <c r="F42" s="1179"/>
    </row>
    <row r="43" spans="1:6">
      <c r="A43" s="1149" t="s">
        <v>207</v>
      </c>
      <c r="B43" s="1152" t="s">
        <v>22</v>
      </c>
      <c r="C43" s="1153"/>
      <c r="D43" s="1162" t="s">
        <v>1552</v>
      </c>
      <c r="E43" s="1159" t="s">
        <v>1553</v>
      </c>
      <c r="F43" s="1171"/>
    </row>
    <row r="44" spans="1:6">
      <c r="A44" s="1150"/>
      <c r="B44" s="1154"/>
      <c r="C44" s="1155"/>
      <c r="D44" s="1163"/>
      <c r="E44" s="1160"/>
      <c r="F44" s="1172"/>
    </row>
    <row r="45" spans="1:6">
      <c r="A45" s="1150"/>
      <c r="B45" s="1154"/>
      <c r="C45" s="1155"/>
      <c r="D45" s="1163"/>
      <c r="E45" s="1160"/>
      <c r="F45" s="1172"/>
    </row>
    <row r="46" spans="1:6">
      <c r="A46" s="1151"/>
      <c r="B46" s="1154"/>
      <c r="C46" s="1155"/>
      <c r="D46" s="1164"/>
      <c r="E46" s="1161"/>
      <c r="F46" s="1173"/>
    </row>
    <row r="47" spans="1:6" ht="15" customHeight="1">
      <c r="A47" s="110" t="s">
        <v>205</v>
      </c>
      <c r="B47" s="138" t="s">
        <v>202</v>
      </c>
      <c r="C47" s="131" t="s">
        <v>107</v>
      </c>
      <c r="D47" s="1156" t="s">
        <v>22</v>
      </c>
      <c r="E47" s="820" t="s">
        <v>1556</v>
      </c>
      <c r="F47" s="121"/>
    </row>
    <row r="48" spans="1:6" ht="15" customHeight="1">
      <c r="A48" s="110" t="s">
        <v>205</v>
      </c>
      <c r="B48" s="138" t="s">
        <v>204</v>
      </c>
      <c r="C48" s="131" t="s">
        <v>83</v>
      </c>
      <c r="D48" s="1157"/>
      <c r="E48" s="820" t="s">
        <v>1555</v>
      </c>
      <c r="F48" s="117"/>
    </row>
    <row r="49" spans="1:6" ht="15" customHeight="1">
      <c r="A49" s="110" t="s">
        <v>205</v>
      </c>
      <c r="B49" s="138" t="s">
        <v>203</v>
      </c>
      <c r="C49" s="131" t="s">
        <v>95</v>
      </c>
      <c r="D49" s="1158"/>
      <c r="E49" s="126" t="s">
        <v>1554</v>
      </c>
      <c r="F49" s="121"/>
    </row>
    <row r="50" spans="1:6">
      <c r="A50" s="1149" t="s">
        <v>207</v>
      </c>
      <c r="B50" s="1152" t="s">
        <v>30</v>
      </c>
      <c r="C50" s="1153"/>
      <c r="D50" s="110"/>
      <c r="E50" s="110"/>
      <c r="F50" s="1171"/>
    </row>
    <row r="51" spans="1:6">
      <c r="A51" s="1150"/>
      <c r="B51" s="1154"/>
      <c r="C51" s="1155"/>
      <c r="D51" s="110"/>
      <c r="E51" s="110"/>
      <c r="F51" s="1172"/>
    </row>
    <row r="52" spans="1:6">
      <c r="A52" s="1150"/>
      <c r="B52" s="1154"/>
      <c r="C52" s="1155"/>
      <c r="D52" s="110"/>
      <c r="E52" s="110"/>
      <c r="F52" s="1172"/>
    </row>
    <row r="53" spans="1:6">
      <c r="A53" s="1150"/>
      <c r="B53" s="1154"/>
      <c r="C53" s="1155"/>
      <c r="D53" s="110"/>
      <c r="E53" s="110"/>
      <c r="F53" s="1172"/>
    </row>
    <row r="54" spans="1:6">
      <c r="A54" s="1149" t="s">
        <v>207</v>
      </c>
      <c r="B54" s="1165" t="s">
        <v>531</v>
      </c>
      <c r="C54" s="1166"/>
      <c r="D54" s="110"/>
      <c r="E54" s="110"/>
      <c r="F54" s="1171"/>
    </row>
    <row r="55" spans="1:6">
      <c r="A55" s="1150"/>
      <c r="B55" s="1167"/>
      <c r="C55" s="1168"/>
      <c r="D55" s="110"/>
      <c r="E55" s="111"/>
      <c r="F55" s="1172"/>
    </row>
    <row r="56" spans="1:6">
      <c r="A56" s="1150"/>
      <c r="B56" s="1167"/>
      <c r="C56" s="1168"/>
      <c r="D56" s="110"/>
      <c r="E56" s="110"/>
      <c r="F56" s="1172"/>
    </row>
    <row r="57" spans="1:6">
      <c r="A57" s="1150"/>
      <c r="B57" s="1167"/>
      <c r="C57" s="1168"/>
      <c r="D57" s="110"/>
      <c r="E57" s="110"/>
      <c r="F57" s="1172"/>
    </row>
    <row r="58" spans="1:6">
      <c r="A58" s="1151"/>
      <c r="B58" s="1169"/>
      <c r="C58" s="1170"/>
      <c r="D58" s="110"/>
      <c r="E58" s="110"/>
      <c r="F58" s="1173"/>
    </row>
  </sheetData>
  <mergeCells count="29">
    <mergeCell ref="D2:E2"/>
    <mergeCell ref="D12:E12"/>
    <mergeCell ref="B3:C11"/>
    <mergeCell ref="B12:C12"/>
    <mergeCell ref="A3:A11"/>
    <mergeCell ref="A13:A19"/>
    <mergeCell ref="B13:C19"/>
    <mergeCell ref="A20:A24"/>
    <mergeCell ref="B20:C24"/>
    <mergeCell ref="A38:A42"/>
    <mergeCell ref="E38:E42"/>
    <mergeCell ref="B54:C58"/>
    <mergeCell ref="F50:F53"/>
    <mergeCell ref="F54:F58"/>
    <mergeCell ref="F13:F19"/>
    <mergeCell ref="F20:F24"/>
    <mergeCell ref="F43:F46"/>
    <mergeCell ref="F38:F42"/>
    <mergeCell ref="B43:C46"/>
    <mergeCell ref="B38:C42"/>
    <mergeCell ref="D25:D34"/>
    <mergeCell ref="D38:D42"/>
    <mergeCell ref="D43:D46"/>
    <mergeCell ref="A54:A58"/>
    <mergeCell ref="A50:A53"/>
    <mergeCell ref="B50:C53"/>
    <mergeCell ref="D47:D49"/>
    <mergeCell ref="E43:E46"/>
    <mergeCell ref="A43:A46"/>
  </mergeCells>
  <phoneticPr fontId="51" type="noConversion"/>
  <pageMargins left="0.25" right="0.25" top="0.5" bottom="0.25" header="0.3" footer="0.3"/>
  <pageSetup scale="57" orientation="landscape"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E481D-7567-4D63-9E35-7FEDCF56F49A}">
  <dimension ref="A1:F66"/>
  <sheetViews>
    <sheetView zoomScaleNormal="100" workbookViewId="0">
      <pane ySplit="5" topLeftCell="A46" activePane="bottomLeft" state="frozen"/>
      <selection activeCell="A2" sqref="A2"/>
      <selection pane="bottomLeft" activeCell="A4" sqref="A4"/>
    </sheetView>
  </sheetViews>
  <sheetFormatPr defaultColWidth="16.44140625" defaultRowHeight="13.2"/>
  <cols>
    <col min="1" max="1" width="9.33203125" style="24" bestFit="1" customWidth="1"/>
    <col min="2" max="2" width="9" style="24" bestFit="1" customWidth="1"/>
    <col min="3" max="3" width="45.6640625" style="5" bestFit="1" customWidth="1"/>
    <col min="4" max="4" width="18.6640625" style="5" bestFit="1" customWidth="1"/>
    <col min="5" max="5" width="12.44140625" style="5" bestFit="1" customWidth="1"/>
    <col min="6" max="6" width="18.6640625" style="5" bestFit="1" customWidth="1"/>
    <col min="7" max="16384" width="16.44140625" style="5"/>
  </cols>
  <sheetData>
    <row r="1" spans="1:6" ht="20.399999999999999" thickBot="1">
      <c r="A1" s="398" t="s">
        <v>570</v>
      </c>
      <c r="D1" s="913" t="s">
        <v>1806</v>
      </c>
    </row>
    <row r="2" spans="1:6" ht="20.25" customHeight="1" thickTop="1">
      <c r="A2" s="393" t="str">
        <f>+'Data Entry'!G10</f>
        <v>2020-21</v>
      </c>
      <c r="D2" s="919" t="s">
        <v>1632</v>
      </c>
    </row>
    <row r="3" spans="1:6" ht="21.75" customHeight="1">
      <c r="A3" s="760" t="s">
        <v>1777</v>
      </c>
      <c r="B3" s="333"/>
      <c r="C3" s="402"/>
      <c r="D3" s="591" t="s">
        <v>1358</v>
      </c>
      <c r="E3" s="23" t="s">
        <v>1359</v>
      </c>
    </row>
    <row r="4" spans="1:6" ht="78">
      <c r="A4" s="399" t="s">
        <v>16</v>
      </c>
      <c r="B4" s="399" t="s">
        <v>17</v>
      </c>
      <c r="C4" s="399" t="s">
        <v>20</v>
      </c>
      <c r="D4" s="400" t="s">
        <v>572</v>
      </c>
      <c r="E4" s="400" t="s">
        <v>571</v>
      </c>
    </row>
    <row r="5" spans="1:6" ht="15.6">
      <c r="A5" s="399"/>
      <c r="B5" s="399"/>
      <c r="C5" s="399"/>
      <c r="D5" s="914" t="s">
        <v>1630</v>
      </c>
      <c r="E5" s="400" t="s">
        <v>100</v>
      </c>
    </row>
    <row r="6" spans="1:6" ht="15">
      <c r="A6" s="1074">
        <v>1</v>
      </c>
      <c r="B6" s="1074">
        <v>10017</v>
      </c>
      <c r="C6" s="392" t="s">
        <v>49</v>
      </c>
      <c r="D6" s="245">
        <v>34844522</v>
      </c>
      <c r="E6" s="917">
        <v>0.43846499999999999</v>
      </c>
      <c r="F6" s="1042"/>
    </row>
    <row r="7" spans="1:6" ht="15">
      <c r="A7" s="1074">
        <v>2</v>
      </c>
      <c r="B7" s="1074">
        <v>10025</v>
      </c>
      <c r="C7" s="392" t="s">
        <v>51</v>
      </c>
      <c r="D7" s="70">
        <v>0</v>
      </c>
      <c r="E7" s="917">
        <v>0</v>
      </c>
    </row>
    <row r="8" spans="1:6" ht="15">
      <c r="A8" s="1074">
        <v>3</v>
      </c>
      <c r="B8" s="1074">
        <v>10033</v>
      </c>
      <c r="C8" s="392" t="s">
        <v>52</v>
      </c>
      <c r="D8" s="70">
        <v>1331210</v>
      </c>
      <c r="E8" s="917">
        <v>0.33527899999999999</v>
      </c>
    </row>
    <row r="9" spans="1:6" ht="15">
      <c r="A9" s="1074">
        <v>4</v>
      </c>
      <c r="B9" s="1074">
        <v>10041</v>
      </c>
      <c r="C9" s="392" t="s">
        <v>53</v>
      </c>
      <c r="D9" s="70">
        <v>10643546</v>
      </c>
      <c r="E9" s="917">
        <v>0.81229700000000005</v>
      </c>
    </row>
    <row r="10" spans="1:6" ht="15">
      <c r="A10" s="1074">
        <v>5</v>
      </c>
      <c r="B10" s="1074">
        <v>10058</v>
      </c>
      <c r="C10" s="392" t="s">
        <v>54</v>
      </c>
      <c r="D10" s="70">
        <v>1486605</v>
      </c>
      <c r="E10" s="917">
        <v>0.503274</v>
      </c>
    </row>
    <row r="11" spans="1:6" ht="15">
      <c r="A11" s="1074">
        <v>6</v>
      </c>
      <c r="B11" s="1074">
        <v>10066</v>
      </c>
      <c r="C11" s="392" t="s">
        <v>55</v>
      </c>
      <c r="D11" s="70">
        <v>509881</v>
      </c>
      <c r="E11" s="917">
        <v>0.81697799999999998</v>
      </c>
    </row>
    <row r="12" spans="1:6" ht="15">
      <c r="A12" s="1074">
        <v>7</v>
      </c>
      <c r="B12" s="1074">
        <v>10074</v>
      </c>
      <c r="C12" s="392" t="s">
        <v>109</v>
      </c>
      <c r="D12" s="70">
        <v>37119586</v>
      </c>
      <c r="E12" s="917">
        <v>0.56153399999999998</v>
      </c>
    </row>
    <row r="13" spans="1:6" ht="15">
      <c r="A13" s="1074">
        <v>8</v>
      </c>
      <c r="B13" s="1074">
        <v>10082</v>
      </c>
      <c r="C13" s="392" t="s">
        <v>56</v>
      </c>
      <c r="D13" s="70">
        <v>49006</v>
      </c>
      <c r="E13" s="917">
        <v>0</v>
      </c>
    </row>
    <row r="14" spans="1:6" ht="15">
      <c r="A14" s="1074">
        <v>9</v>
      </c>
      <c r="B14" s="1074">
        <v>10090</v>
      </c>
      <c r="C14" s="392" t="s">
        <v>37</v>
      </c>
      <c r="D14" s="70">
        <v>8601650</v>
      </c>
      <c r="E14" s="917">
        <v>0.29268100000000002</v>
      </c>
    </row>
    <row r="15" spans="1:6" ht="15">
      <c r="A15" s="1074">
        <v>10</v>
      </c>
      <c r="B15" s="1074">
        <v>10108</v>
      </c>
      <c r="C15" s="392" t="s">
        <v>48</v>
      </c>
      <c r="D15" s="70">
        <v>30542596</v>
      </c>
      <c r="E15" s="917">
        <v>0.475657</v>
      </c>
    </row>
    <row r="16" spans="1:6" ht="15">
      <c r="A16" s="1074">
        <v>11</v>
      </c>
      <c r="B16" s="1074">
        <v>10116</v>
      </c>
      <c r="C16" s="392" t="s">
        <v>47</v>
      </c>
      <c r="D16" s="70">
        <v>1858184</v>
      </c>
      <c r="E16" s="917">
        <v>0.83526800000000001</v>
      </c>
    </row>
    <row r="17" spans="1:5" ht="15">
      <c r="A17" s="1074">
        <v>12</v>
      </c>
      <c r="B17" s="1074">
        <v>10124</v>
      </c>
      <c r="C17" s="392" t="s">
        <v>57</v>
      </c>
      <c r="D17" s="70">
        <v>2306403</v>
      </c>
      <c r="E17" s="917">
        <v>0.44148700000000002</v>
      </c>
    </row>
    <row r="18" spans="1:5" ht="15">
      <c r="A18" s="1074">
        <v>13</v>
      </c>
      <c r="B18" s="1074">
        <v>10132</v>
      </c>
      <c r="C18" s="392" t="s">
        <v>58</v>
      </c>
      <c r="D18" s="70">
        <v>2569650</v>
      </c>
      <c r="E18" s="917">
        <v>0.76000100000000004</v>
      </c>
    </row>
    <row r="19" spans="1:5" ht="15">
      <c r="A19" s="1074">
        <v>14</v>
      </c>
      <c r="B19" s="1074">
        <v>10140</v>
      </c>
      <c r="C19" s="392" t="s">
        <v>36</v>
      </c>
      <c r="D19" s="70">
        <v>2667828</v>
      </c>
      <c r="E19" s="917">
        <v>0</v>
      </c>
    </row>
    <row r="20" spans="1:5" ht="15">
      <c r="A20" s="1074">
        <v>15</v>
      </c>
      <c r="B20" s="1074">
        <v>10157</v>
      </c>
      <c r="C20" s="392" t="s">
        <v>46</v>
      </c>
      <c r="D20" s="70">
        <v>22257453</v>
      </c>
      <c r="E20" s="917">
        <v>0.36963499999999999</v>
      </c>
    </row>
    <row r="21" spans="1:5" ht="15">
      <c r="A21" s="1074">
        <v>16</v>
      </c>
      <c r="B21" s="1074">
        <v>10165</v>
      </c>
      <c r="C21" s="392" t="s">
        <v>59</v>
      </c>
      <c r="D21" s="70">
        <v>3543344</v>
      </c>
      <c r="E21" s="917">
        <v>0.38678099999999999</v>
      </c>
    </row>
    <row r="22" spans="1:5" ht="15">
      <c r="A22" s="1074">
        <v>17</v>
      </c>
      <c r="B22" s="1074">
        <v>10173</v>
      </c>
      <c r="C22" s="392" t="s">
        <v>60</v>
      </c>
      <c r="D22" s="70">
        <v>2608759</v>
      </c>
      <c r="E22" s="917">
        <v>0.243259</v>
      </c>
    </row>
    <row r="23" spans="1:5" ht="15">
      <c r="A23" s="1074">
        <v>18</v>
      </c>
      <c r="B23" s="1074">
        <v>10181</v>
      </c>
      <c r="C23" s="392" t="s">
        <v>61</v>
      </c>
      <c r="D23" s="70">
        <v>1299570</v>
      </c>
      <c r="E23" s="917">
        <v>0.69718000000000002</v>
      </c>
    </row>
    <row r="24" spans="1:5" ht="15">
      <c r="A24" s="1074">
        <v>19</v>
      </c>
      <c r="B24" s="1074">
        <v>10199</v>
      </c>
      <c r="C24" s="392" t="s">
        <v>45</v>
      </c>
      <c r="D24" s="70">
        <v>157975498</v>
      </c>
      <c r="E24" s="917">
        <v>0.466696</v>
      </c>
    </row>
    <row r="25" spans="1:5" ht="15">
      <c r="A25" s="1074">
        <v>20</v>
      </c>
      <c r="B25" s="1074">
        <v>10207</v>
      </c>
      <c r="C25" s="392" t="s">
        <v>124</v>
      </c>
      <c r="D25" s="70">
        <v>9928135</v>
      </c>
      <c r="E25" s="917">
        <v>0.63883800000000002</v>
      </c>
    </row>
    <row r="26" spans="1:5" ht="15">
      <c r="A26" s="1074">
        <v>21</v>
      </c>
      <c r="B26" s="1074">
        <v>10215</v>
      </c>
      <c r="C26" s="392" t="s">
        <v>62</v>
      </c>
      <c r="D26" s="70">
        <v>21784806</v>
      </c>
      <c r="E26" s="917">
        <v>0.55998499999999996</v>
      </c>
    </row>
    <row r="27" spans="1:5" ht="15">
      <c r="A27" s="1074">
        <v>22</v>
      </c>
      <c r="B27" s="1074">
        <v>10223</v>
      </c>
      <c r="C27" s="392" t="s">
        <v>63</v>
      </c>
      <c r="D27" s="70">
        <v>0</v>
      </c>
      <c r="E27" s="917">
        <v>0</v>
      </c>
    </row>
    <row r="28" spans="1:5" ht="15">
      <c r="A28" s="1074">
        <v>23</v>
      </c>
      <c r="B28" s="1074">
        <v>10231</v>
      </c>
      <c r="C28" s="392" t="s">
        <v>64</v>
      </c>
      <c r="D28" s="70">
        <v>5859836</v>
      </c>
      <c r="E28" s="917">
        <v>0.37170500000000001</v>
      </c>
    </row>
    <row r="29" spans="1:5" ht="15">
      <c r="A29" s="1074">
        <v>24</v>
      </c>
      <c r="B29" s="1074">
        <v>10249</v>
      </c>
      <c r="C29" s="392" t="s">
        <v>65</v>
      </c>
      <c r="D29" s="70">
        <v>14398624</v>
      </c>
      <c r="E29" s="917">
        <v>0.37930999999999998</v>
      </c>
    </row>
    <row r="30" spans="1:5" ht="15">
      <c r="A30" s="1074">
        <v>25</v>
      </c>
      <c r="B30" s="1074">
        <v>10256</v>
      </c>
      <c r="C30" s="392" t="s">
        <v>66</v>
      </c>
      <c r="D30" s="70">
        <v>890015</v>
      </c>
      <c r="E30" s="917">
        <v>0.14316100000000001</v>
      </c>
    </row>
    <row r="31" spans="1:5" ht="15">
      <c r="A31" s="1074">
        <v>26</v>
      </c>
      <c r="B31" s="1074">
        <v>10264</v>
      </c>
      <c r="C31" s="392" t="s">
        <v>35</v>
      </c>
      <c r="D31" s="70">
        <v>2342636</v>
      </c>
      <c r="E31" s="917">
        <v>0</v>
      </c>
    </row>
    <row r="32" spans="1:5" ht="15">
      <c r="A32" s="1074">
        <v>27</v>
      </c>
      <c r="B32" s="1074">
        <v>10272</v>
      </c>
      <c r="C32" s="392" t="s">
        <v>44</v>
      </c>
      <c r="D32" s="70">
        <v>22139693</v>
      </c>
      <c r="E32" s="917">
        <v>0.27712799999999999</v>
      </c>
    </row>
    <row r="33" spans="1:5" ht="15">
      <c r="A33" s="1074">
        <v>28</v>
      </c>
      <c r="B33" s="1074">
        <v>10280</v>
      </c>
      <c r="C33" s="392" t="s">
        <v>67</v>
      </c>
      <c r="D33" s="70">
        <v>13853424</v>
      </c>
      <c r="E33" s="917">
        <v>0.39336500000000002</v>
      </c>
    </row>
    <row r="34" spans="1:5" ht="15">
      <c r="A34" s="1074">
        <v>29</v>
      </c>
      <c r="B34" s="1074">
        <v>10298</v>
      </c>
      <c r="C34" s="392" t="s">
        <v>34</v>
      </c>
      <c r="D34" s="70">
        <v>1927660</v>
      </c>
      <c r="E34" s="917">
        <v>0.39983400000000002</v>
      </c>
    </row>
    <row r="35" spans="1:5" ht="15">
      <c r="A35" s="1074">
        <v>30</v>
      </c>
      <c r="B35" s="1074">
        <v>10306</v>
      </c>
      <c r="C35" s="392" t="s">
        <v>68</v>
      </c>
      <c r="D35" s="70">
        <v>121521801</v>
      </c>
      <c r="E35" s="917">
        <v>0.35692400000000002</v>
      </c>
    </row>
    <row r="36" spans="1:5" ht="15">
      <c r="A36" s="1074">
        <v>31</v>
      </c>
      <c r="B36" s="1074">
        <v>10314</v>
      </c>
      <c r="C36" s="392" t="s">
        <v>33</v>
      </c>
      <c r="D36" s="70">
        <v>38100218</v>
      </c>
      <c r="E36" s="917">
        <v>0.40800999999999998</v>
      </c>
    </row>
    <row r="37" spans="1:5" ht="15">
      <c r="A37" s="1074">
        <v>32</v>
      </c>
      <c r="B37" s="1074">
        <v>10322</v>
      </c>
      <c r="C37" s="392" t="s">
        <v>69</v>
      </c>
      <c r="D37" s="70">
        <v>69642</v>
      </c>
      <c r="E37" s="917">
        <v>0</v>
      </c>
    </row>
    <row r="38" spans="1:5" ht="15">
      <c r="A38" s="1074">
        <v>33</v>
      </c>
      <c r="B38" s="1074">
        <v>10330</v>
      </c>
      <c r="C38" s="392" t="s">
        <v>32</v>
      </c>
      <c r="D38" s="70">
        <v>106856232</v>
      </c>
      <c r="E38" s="917">
        <v>0.36376799999999998</v>
      </c>
    </row>
    <row r="39" spans="1:5" ht="15">
      <c r="A39" s="1074">
        <v>34</v>
      </c>
      <c r="B39" s="1074">
        <v>10348</v>
      </c>
      <c r="C39" s="392" t="s">
        <v>43</v>
      </c>
      <c r="D39" s="70">
        <v>27584178</v>
      </c>
      <c r="E39" s="917">
        <v>0.75356999999999996</v>
      </c>
    </row>
    <row r="40" spans="1:5" ht="15">
      <c r="A40" s="1074">
        <v>35</v>
      </c>
      <c r="B40" s="1074">
        <v>10355</v>
      </c>
      <c r="C40" s="392" t="s">
        <v>70</v>
      </c>
      <c r="D40" s="70">
        <v>3223788</v>
      </c>
      <c r="E40" s="917">
        <v>0.356678</v>
      </c>
    </row>
    <row r="41" spans="1:5" ht="15">
      <c r="A41" s="1074">
        <v>36</v>
      </c>
      <c r="B41" s="1074">
        <v>10363</v>
      </c>
      <c r="C41" s="392" t="s">
        <v>110</v>
      </c>
      <c r="D41" s="70">
        <v>21798517</v>
      </c>
      <c r="E41" s="917">
        <v>0.62177199999999999</v>
      </c>
    </row>
    <row r="42" spans="1:5" ht="15">
      <c r="A42" s="1074">
        <v>37</v>
      </c>
      <c r="B42" s="1074">
        <v>10371</v>
      </c>
      <c r="C42" s="392" t="s">
        <v>71</v>
      </c>
      <c r="D42" s="70">
        <v>120302336</v>
      </c>
      <c r="E42" s="917">
        <v>0.247751</v>
      </c>
    </row>
    <row r="43" spans="1:5" ht="15">
      <c r="A43" s="1074">
        <v>38</v>
      </c>
      <c r="B43" s="1074">
        <v>10389</v>
      </c>
      <c r="C43" s="392" t="s">
        <v>111</v>
      </c>
      <c r="D43" s="70">
        <v>2863174</v>
      </c>
      <c r="E43" s="917">
        <v>0</v>
      </c>
    </row>
    <row r="44" spans="1:5" ht="15">
      <c r="A44" s="1074">
        <v>39</v>
      </c>
      <c r="B44" s="1074">
        <v>10397</v>
      </c>
      <c r="C44" s="392" t="s">
        <v>112</v>
      </c>
      <c r="D44" s="70">
        <v>16796007</v>
      </c>
      <c r="E44" s="917">
        <v>0.26467099999999999</v>
      </c>
    </row>
    <row r="45" spans="1:5" ht="15">
      <c r="A45" s="1074">
        <v>40</v>
      </c>
      <c r="B45" s="1074">
        <v>10405</v>
      </c>
      <c r="C45" s="392" t="s">
        <v>113</v>
      </c>
      <c r="D45" s="70">
        <v>25757133</v>
      </c>
      <c r="E45" s="917">
        <v>0.521706</v>
      </c>
    </row>
    <row r="46" spans="1:5" ht="15">
      <c r="A46" s="1074">
        <v>41</v>
      </c>
      <c r="B46" s="1074">
        <v>10413</v>
      </c>
      <c r="C46" s="392" t="s">
        <v>114</v>
      </c>
      <c r="D46" s="70">
        <v>91293858</v>
      </c>
      <c r="E46" s="917">
        <v>0.45572400000000002</v>
      </c>
    </row>
    <row r="47" spans="1:5" ht="15">
      <c r="A47" s="1074">
        <v>42</v>
      </c>
      <c r="B47" s="1074">
        <v>10421</v>
      </c>
      <c r="C47" s="392" t="s">
        <v>115</v>
      </c>
      <c r="D47" s="70">
        <v>36040184</v>
      </c>
      <c r="E47" s="917">
        <v>0.45759699999999998</v>
      </c>
    </row>
    <row r="48" spans="1:5" ht="15">
      <c r="A48" s="1074">
        <v>43</v>
      </c>
      <c r="B48" s="1074">
        <v>10439</v>
      </c>
      <c r="C48" s="392" t="s">
        <v>116</v>
      </c>
      <c r="D48" s="70">
        <v>191474099</v>
      </c>
      <c r="E48" s="917">
        <v>0.62144200000000005</v>
      </c>
    </row>
    <row r="49" spans="1:5" ht="15">
      <c r="A49" s="1074">
        <v>44</v>
      </c>
      <c r="B49" s="1074">
        <v>10447</v>
      </c>
      <c r="C49" s="392" t="s">
        <v>117</v>
      </c>
      <c r="D49" s="70">
        <v>13769432</v>
      </c>
      <c r="E49" s="917">
        <v>0.58984300000000001</v>
      </c>
    </row>
    <row r="50" spans="1:5" ht="15">
      <c r="A50" s="1074">
        <v>45</v>
      </c>
      <c r="B50" s="1074">
        <v>10454</v>
      </c>
      <c r="C50" s="392" t="s">
        <v>72</v>
      </c>
      <c r="D50" s="70">
        <v>5921507</v>
      </c>
      <c r="E50" s="917">
        <v>0.40310699999999999</v>
      </c>
    </row>
    <row r="51" spans="1:5" ht="15">
      <c r="A51" s="1074">
        <v>46</v>
      </c>
      <c r="B51" s="1074">
        <v>10462</v>
      </c>
      <c r="C51" s="392" t="s">
        <v>73</v>
      </c>
      <c r="D51" s="70">
        <v>77598</v>
      </c>
      <c r="E51" s="917">
        <v>0</v>
      </c>
    </row>
    <row r="52" spans="1:5" ht="15">
      <c r="A52" s="1074">
        <v>47</v>
      </c>
      <c r="B52" s="1074">
        <v>10470</v>
      </c>
      <c r="C52" s="392" t="s">
        <v>42</v>
      </c>
      <c r="D52" s="70">
        <v>1232167</v>
      </c>
      <c r="E52" s="917">
        <v>0.13914299999999999</v>
      </c>
    </row>
    <row r="53" spans="1:5" ht="15">
      <c r="A53" s="1074">
        <v>48</v>
      </c>
      <c r="B53" s="1074">
        <v>10488</v>
      </c>
      <c r="C53" s="392" t="s">
        <v>74</v>
      </c>
      <c r="D53" s="70">
        <v>12128625</v>
      </c>
      <c r="E53" s="917">
        <v>0.50108399999999997</v>
      </c>
    </row>
    <row r="54" spans="1:5" ht="15">
      <c r="A54" s="1074">
        <v>49</v>
      </c>
      <c r="B54" s="1074">
        <v>10496</v>
      </c>
      <c r="C54" s="392" t="s">
        <v>75</v>
      </c>
      <c r="D54" s="70">
        <v>24852528</v>
      </c>
      <c r="E54" s="917">
        <v>0.44541900000000001</v>
      </c>
    </row>
    <row r="55" spans="1:5" ht="15">
      <c r="A55" s="1074">
        <v>50</v>
      </c>
      <c r="B55" s="1074">
        <v>10504</v>
      </c>
      <c r="C55" s="392" t="s">
        <v>41</v>
      </c>
      <c r="D55" s="70">
        <v>34951868</v>
      </c>
      <c r="E55" s="917">
        <v>0.490207</v>
      </c>
    </row>
    <row r="56" spans="1:5" ht="15">
      <c r="A56" s="1074">
        <v>51</v>
      </c>
      <c r="B56" s="1074">
        <v>10512</v>
      </c>
      <c r="C56" s="392" t="s">
        <v>76</v>
      </c>
      <c r="D56" s="70">
        <v>1656875</v>
      </c>
      <c r="E56" s="917">
        <v>0.39159300000000002</v>
      </c>
    </row>
    <row r="57" spans="1:5" ht="15">
      <c r="A57" s="1074">
        <v>52</v>
      </c>
      <c r="B57" s="1074">
        <v>10520</v>
      </c>
      <c r="C57" s="392" t="s">
        <v>77</v>
      </c>
      <c r="D57" s="70">
        <v>4045672</v>
      </c>
      <c r="E57" s="917">
        <v>0.62522999999999995</v>
      </c>
    </row>
    <row r="58" spans="1:5" ht="15">
      <c r="A58" s="1074">
        <v>53</v>
      </c>
      <c r="B58" s="1074">
        <v>10538</v>
      </c>
      <c r="C58" s="392" t="s">
        <v>78</v>
      </c>
      <c r="D58" s="70">
        <v>830656</v>
      </c>
      <c r="E58" s="917">
        <v>0.27220800000000001</v>
      </c>
    </row>
    <row r="59" spans="1:5" ht="15">
      <c r="A59" s="1074">
        <v>54</v>
      </c>
      <c r="B59" s="1074">
        <v>10546</v>
      </c>
      <c r="C59" s="392" t="s">
        <v>31</v>
      </c>
      <c r="D59" s="70">
        <v>10014918</v>
      </c>
      <c r="E59" s="917">
        <v>0.54015899999999994</v>
      </c>
    </row>
    <row r="60" spans="1:5" ht="15">
      <c r="A60" s="1074">
        <v>55</v>
      </c>
      <c r="B60" s="1074">
        <v>10553</v>
      </c>
      <c r="C60" s="392" t="s">
        <v>40</v>
      </c>
      <c r="D60" s="70">
        <v>1429544</v>
      </c>
      <c r="E60" s="917">
        <v>0.57528000000000001</v>
      </c>
    </row>
    <row r="61" spans="1:5" ht="15">
      <c r="A61" s="1074">
        <v>56</v>
      </c>
      <c r="B61" s="1074">
        <v>10561</v>
      </c>
      <c r="C61" s="392" t="s">
        <v>39</v>
      </c>
      <c r="D61" s="70">
        <v>25759625</v>
      </c>
      <c r="E61" s="917">
        <v>0.43624400000000002</v>
      </c>
    </row>
    <row r="62" spans="1:5" ht="15">
      <c r="A62" s="1074">
        <v>57</v>
      </c>
      <c r="B62" s="1074">
        <v>10579</v>
      </c>
      <c r="C62" s="392" t="s">
        <v>38</v>
      </c>
      <c r="D62" s="70">
        <v>8846110</v>
      </c>
      <c r="E62" s="917">
        <v>0.75221099999999996</v>
      </c>
    </row>
    <row r="63" spans="1:5" ht="15">
      <c r="A63" s="1074">
        <v>58</v>
      </c>
      <c r="B63" s="1074">
        <v>10587</v>
      </c>
      <c r="C63" s="392" t="s">
        <v>79</v>
      </c>
      <c r="D63" s="70">
        <v>3706536</v>
      </c>
      <c r="E63" s="917">
        <v>0.47647800000000001</v>
      </c>
    </row>
    <row r="64" spans="1:5" ht="15.6">
      <c r="A64" s="394"/>
      <c r="B64" s="394"/>
      <c r="D64" s="395">
        <f>SUBTOTAL(109,Table134[Total Property Tax Revenues 
(Sum of A-1 through A-14)
A-15])</f>
        <v>1368244948</v>
      </c>
      <c r="E64" s="395"/>
    </row>
    <row r="65" spans="3:4" ht="15">
      <c r="D65" s="403" t="s">
        <v>162</v>
      </c>
    </row>
    <row r="66" spans="3:4">
      <c r="C66" s="404"/>
    </row>
  </sheetData>
  <pageMargins left="0.25" right="0.25" top="0.75" bottom="0.75" header="0.3" footer="0.3"/>
  <pageSetup paperSize="5" scale="80" orientation="portrait" horizontalDpi="4294967295" verticalDpi="4294967295" r:id="rId1"/>
  <headerFooter>
    <oddFooter>&amp;R&amp;F
&amp;A</oddFooter>
  </headerFooter>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V70"/>
  <sheetViews>
    <sheetView zoomScale="70" zoomScaleNormal="70" workbookViewId="0">
      <pane ySplit="5" topLeftCell="A34" activePane="bottomLeft" state="frozen"/>
      <selection activeCell="A2" sqref="A2"/>
      <selection pane="bottomLeft" activeCell="A3" sqref="A3"/>
    </sheetView>
  </sheetViews>
  <sheetFormatPr defaultColWidth="10.88671875" defaultRowHeight="15.6"/>
  <cols>
    <col min="1" max="1" width="10.88671875" style="63"/>
    <col min="2" max="2" width="15.6640625" style="75" customWidth="1"/>
    <col min="3" max="3" width="40.44140625" style="33" customWidth="1"/>
    <col min="4" max="4" width="17.6640625" style="34" customWidth="1"/>
    <col min="5" max="5" width="17.5546875" style="34" customWidth="1"/>
    <col min="6" max="6" width="23.6640625" style="34" customWidth="1"/>
    <col min="7" max="8" width="20.6640625" style="34" customWidth="1"/>
    <col min="9" max="9" width="23.6640625" style="34" customWidth="1"/>
    <col min="10" max="10" width="17.6640625" style="34" customWidth="1"/>
    <col min="11" max="12" width="20.6640625" style="34" customWidth="1"/>
    <col min="13" max="15" width="20.6640625" style="33" customWidth="1"/>
    <col min="16" max="17" width="17.6640625" style="33" customWidth="1"/>
    <col min="18" max="18" width="19.5546875" style="33" customWidth="1"/>
    <col min="19" max="19" width="20.6640625" style="33" customWidth="1"/>
    <col min="20" max="20" width="19.5546875" style="33" customWidth="1"/>
    <col min="21" max="21" width="20.6640625" style="33" customWidth="1"/>
    <col min="23" max="16384" width="10.88671875" style="33"/>
  </cols>
  <sheetData>
    <row r="1" spans="1:22" ht="25.5" customHeight="1">
      <c r="A1" s="772" t="s">
        <v>352</v>
      </c>
      <c r="B1" s="74"/>
      <c r="D1" s="242" t="s">
        <v>1633</v>
      </c>
      <c r="E1" s="33"/>
      <c r="G1" s="33"/>
      <c r="H1" s="33"/>
      <c r="I1" s="33"/>
      <c r="J1" s="33"/>
      <c r="K1" s="33"/>
      <c r="L1" s="33"/>
      <c r="V1" s="33"/>
    </row>
    <row r="2" spans="1:22" ht="25.5" customHeight="1">
      <c r="A2" s="765" t="s">
        <v>1773</v>
      </c>
      <c r="B2" s="764"/>
      <c r="C2" s="778"/>
      <c r="E2" s="33"/>
      <c r="F2" s="33"/>
      <c r="G2" s="33"/>
      <c r="H2" s="33"/>
      <c r="J2" s="33"/>
      <c r="K2" s="33"/>
      <c r="L2" s="33"/>
      <c r="V2" s="33"/>
    </row>
    <row r="3" spans="1:22" s="136" customFormat="1" ht="25.5" customHeight="1">
      <c r="A3" s="771" t="str">
        <f>+'Data Entry'!I10</f>
        <v>2022-23</v>
      </c>
      <c r="B3" s="777" t="s">
        <v>1410</v>
      </c>
      <c r="D3" s="774" t="s">
        <v>1391</v>
      </c>
      <c r="E3" s="774" t="s">
        <v>1390</v>
      </c>
      <c r="F3" s="774" t="s">
        <v>1392</v>
      </c>
      <c r="G3" s="774" t="s">
        <v>1393</v>
      </c>
      <c r="H3" s="774" t="s">
        <v>1391</v>
      </c>
      <c r="I3" s="774" t="s">
        <v>1393</v>
      </c>
      <c r="J3" s="774" t="s">
        <v>1394</v>
      </c>
      <c r="K3" s="774" t="s">
        <v>1395</v>
      </c>
      <c r="L3" s="774" t="s">
        <v>1396</v>
      </c>
      <c r="M3" s="774" t="s">
        <v>1397</v>
      </c>
      <c r="N3" s="774" t="s">
        <v>1394</v>
      </c>
      <c r="O3" s="774" t="s">
        <v>1397</v>
      </c>
      <c r="P3" s="774" t="s">
        <v>1398</v>
      </c>
      <c r="Q3" s="774" t="s">
        <v>1390</v>
      </c>
      <c r="R3" s="774" t="s">
        <v>1398</v>
      </c>
      <c r="S3" s="774" t="s">
        <v>1399</v>
      </c>
      <c r="T3" s="774" t="s">
        <v>1395</v>
      </c>
      <c r="U3" s="774" t="s">
        <v>1399</v>
      </c>
    </row>
    <row r="4" spans="1:22" s="39" customFormat="1" ht="206.25" customHeight="1">
      <c r="A4" s="315" t="s">
        <v>16</v>
      </c>
      <c r="B4" s="315" t="s">
        <v>17</v>
      </c>
      <c r="C4" s="325" t="s">
        <v>20</v>
      </c>
      <c r="D4" s="315" t="s">
        <v>387</v>
      </c>
      <c r="E4" s="315" t="s">
        <v>390</v>
      </c>
      <c r="F4" s="315" t="s">
        <v>393</v>
      </c>
      <c r="G4" s="315" t="s">
        <v>396</v>
      </c>
      <c r="H4" s="315" t="s">
        <v>399</v>
      </c>
      <c r="I4" s="315" t="s">
        <v>402</v>
      </c>
      <c r="J4" s="315" t="s">
        <v>405</v>
      </c>
      <c r="K4" s="315" t="s">
        <v>408</v>
      </c>
      <c r="L4" s="315" t="s">
        <v>411</v>
      </c>
      <c r="M4" s="315" t="s">
        <v>414</v>
      </c>
      <c r="N4" s="325" t="s">
        <v>417</v>
      </c>
      <c r="O4" s="325" t="s">
        <v>420</v>
      </c>
      <c r="P4" s="325" t="s">
        <v>423</v>
      </c>
      <c r="Q4" s="325" t="s">
        <v>426</v>
      </c>
      <c r="R4" s="325" t="s">
        <v>429</v>
      </c>
      <c r="S4" s="325" t="s">
        <v>432</v>
      </c>
      <c r="T4" s="325" t="s">
        <v>435</v>
      </c>
      <c r="U4" s="325" t="s">
        <v>438</v>
      </c>
    </row>
    <row r="5" spans="1:22" s="351" customFormat="1">
      <c r="A5" s="319"/>
      <c r="B5" s="319"/>
      <c r="C5" s="350"/>
      <c r="D5" s="319" t="s">
        <v>11</v>
      </c>
      <c r="E5" s="319" t="s">
        <v>13</v>
      </c>
      <c r="F5" s="319" t="s">
        <v>9</v>
      </c>
      <c r="G5" s="318" t="s">
        <v>93</v>
      </c>
      <c r="H5" s="319" t="s">
        <v>92</v>
      </c>
      <c r="I5" s="319" t="s">
        <v>91</v>
      </c>
      <c r="J5" s="319" t="s">
        <v>100</v>
      </c>
      <c r="K5" s="318" t="s">
        <v>99</v>
      </c>
      <c r="L5" s="319" t="s">
        <v>21</v>
      </c>
      <c r="M5" s="319" t="s">
        <v>98</v>
      </c>
      <c r="N5" s="350" t="s">
        <v>28</v>
      </c>
      <c r="O5" s="350" t="s">
        <v>341</v>
      </c>
      <c r="P5" s="350" t="s">
        <v>131</v>
      </c>
      <c r="Q5" s="350" t="s">
        <v>12</v>
      </c>
      <c r="R5" s="350" t="s">
        <v>126</v>
      </c>
      <c r="S5" s="350" t="s">
        <v>10</v>
      </c>
      <c r="T5" s="350" t="s">
        <v>15</v>
      </c>
      <c r="U5" s="350" t="s">
        <v>96</v>
      </c>
    </row>
    <row r="6" spans="1:22" ht="14.4">
      <c r="A6" s="1063">
        <v>1</v>
      </c>
      <c r="B6" s="72">
        <v>10017</v>
      </c>
      <c r="C6" s="86" t="s">
        <v>49</v>
      </c>
      <c r="D6" s="86">
        <v>102</v>
      </c>
      <c r="E6" s="86">
        <v>48</v>
      </c>
      <c r="F6" s="86">
        <v>0</v>
      </c>
      <c r="G6" s="86">
        <v>4</v>
      </c>
      <c r="H6" s="86">
        <v>0</v>
      </c>
      <c r="I6" s="86">
        <v>0</v>
      </c>
      <c r="J6" s="86">
        <v>94</v>
      </c>
      <c r="K6" s="86">
        <v>48</v>
      </c>
      <c r="L6" s="86">
        <v>0</v>
      </c>
      <c r="M6" s="86">
        <v>3</v>
      </c>
      <c r="N6" s="86">
        <v>0</v>
      </c>
      <c r="O6" s="86">
        <v>0</v>
      </c>
      <c r="P6" s="86">
        <v>0</v>
      </c>
      <c r="Q6" s="86">
        <v>0</v>
      </c>
      <c r="R6" s="86">
        <v>0</v>
      </c>
      <c r="S6" s="86">
        <v>0</v>
      </c>
      <c r="T6" s="86">
        <v>0</v>
      </c>
      <c r="U6" s="86">
        <v>0</v>
      </c>
      <c r="V6" s="33"/>
    </row>
    <row r="7" spans="1:22" ht="14.4">
      <c r="A7" s="1063">
        <v>2</v>
      </c>
      <c r="B7" s="72">
        <v>10025</v>
      </c>
      <c r="C7" s="86" t="s">
        <v>51</v>
      </c>
      <c r="D7" s="86">
        <v>0</v>
      </c>
      <c r="E7" s="86">
        <v>0</v>
      </c>
      <c r="F7" s="86">
        <v>0</v>
      </c>
      <c r="G7" s="86">
        <v>0</v>
      </c>
      <c r="H7" s="86">
        <v>0</v>
      </c>
      <c r="I7" s="86">
        <v>0</v>
      </c>
      <c r="J7" s="86">
        <v>0</v>
      </c>
      <c r="K7" s="86">
        <v>0</v>
      </c>
      <c r="L7" s="86">
        <v>0</v>
      </c>
      <c r="M7" s="86">
        <v>0</v>
      </c>
      <c r="N7" s="86">
        <v>0</v>
      </c>
      <c r="O7" s="86">
        <v>0</v>
      </c>
      <c r="P7" s="86">
        <v>0</v>
      </c>
      <c r="Q7" s="86">
        <v>0</v>
      </c>
      <c r="R7" s="86">
        <v>0</v>
      </c>
      <c r="S7" s="86">
        <v>0</v>
      </c>
      <c r="T7" s="86">
        <v>0</v>
      </c>
      <c r="U7" s="86">
        <v>0</v>
      </c>
      <c r="V7" s="33"/>
    </row>
    <row r="8" spans="1:22" ht="14.4">
      <c r="A8" s="1063">
        <v>3</v>
      </c>
      <c r="B8" s="72">
        <v>10033</v>
      </c>
      <c r="C8" s="86" t="s">
        <v>52</v>
      </c>
      <c r="D8" s="86">
        <v>24</v>
      </c>
      <c r="E8" s="86">
        <v>0</v>
      </c>
      <c r="F8" s="86">
        <v>24</v>
      </c>
      <c r="G8" s="86">
        <v>0</v>
      </c>
      <c r="H8" s="86">
        <v>0</v>
      </c>
      <c r="I8" s="86">
        <v>0</v>
      </c>
      <c r="J8" s="86">
        <v>13</v>
      </c>
      <c r="K8" s="86">
        <v>0</v>
      </c>
      <c r="L8" s="86">
        <v>13</v>
      </c>
      <c r="M8" s="86">
        <v>0</v>
      </c>
      <c r="N8" s="86">
        <v>0</v>
      </c>
      <c r="O8" s="86">
        <v>0</v>
      </c>
      <c r="P8" s="86">
        <v>0</v>
      </c>
      <c r="Q8" s="86">
        <v>0</v>
      </c>
      <c r="R8" s="86">
        <v>0</v>
      </c>
      <c r="S8" s="86">
        <v>0</v>
      </c>
      <c r="T8" s="86">
        <v>0</v>
      </c>
      <c r="U8" s="86">
        <v>0</v>
      </c>
      <c r="V8" s="33"/>
    </row>
    <row r="9" spans="1:22" ht="14.4">
      <c r="A9" s="1063">
        <v>4</v>
      </c>
      <c r="B9" s="72">
        <v>10041</v>
      </c>
      <c r="C9" s="86" t="s">
        <v>53</v>
      </c>
      <c r="D9" s="86">
        <v>124</v>
      </c>
      <c r="E9" s="86">
        <v>13</v>
      </c>
      <c r="F9" s="86">
        <v>102</v>
      </c>
      <c r="G9" s="86">
        <v>0</v>
      </c>
      <c r="H9" s="86">
        <v>0</v>
      </c>
      <c r="I9" s="86">
        <v>0</v>
      </c>
      <c r="J9" s="86">
        <v>94</v>
      </c>
      <c r="K9" s="86">
        <v>13</v>
      </c>
      <c r="L9" s="86">
        <v>73</v>
      </c>
      <c r="M9" s="86">
        <v>0</v>
      </c>
      <c r="N9" s="86">
        <v>0</v>
      </c>
      <c r="O9" s="86">
        <v>0</v>
      </c>
      <c r="P9" s="86">
        <v>0</v>
      </c>
      <c r="Q9" s="86">
        <v>0</v>
      </c>
      <c r="R9" s="86">
        <v>0</v>
      </c>
      <c r="S9" s="86">
        <v>0</v>
      </c>
      <c r="T9" s="86">
        <v>0</v>
      </c>
      <c r="U9" s="86">
        <v>0</v>
      </c>
      <c r="V9" s="33"/>
    </row>
    <row r="10" spans="1:22" ht="14.4">
      <c r="A10" s="1063">
        <v>5</v>
      </c>
      <c r="B10" s="72">
        <v>10058</v>
      </c>
      <c r="C10" s="86" t="s">
        <v>54</v>
      </c>
      <c r="D10" s="86">
        <v>47</v>
      </c>
      <c r="E10" s="86">
        <v>0</v>
      </c>
      <c r="F10" s="86">
        <v>26</v>
      </c>
      <c r="G10" s="86">
        <v>0</v>
      </c>
      <c r="H10" s="86">
        <v>0</v>
      </c>
      <c r="I10" s="86">
        <v>0</v>
      </c>
      <c r="J10" s="86">
        <v>35</v>
      </c>
      <c r="K10" s="86">
        <v>0</v>
      </c>
      <c r="L10" s="86">
        <v>18</v>
      </c>
      <c r="M10" s="86">
        <v>0</v>
      </c>
      <c r="N10" s="86">
        <v>0</v>
      </c>
      <c r="O10" s="86">
        <v>0</v>
      </c>
      <c r="P10" s="86">
        <v>0</v>
      </c>
      <c r="Q10" s="86">
        <v>0</v>
      </c>
      <c r="R10" s="86">
        <v>0</v>
      </c>
      <c r="S10" s="86">
        <v>0</v>
      </c>
      <c r="T10" s="86">
        <v>0</v>
      </c>
      <c r="U10" s="86">
        <v>0</v>
      </c>
      <c r="V10" s="33"/>
    </row>
    <row r="11" spans="1:22" ht="14.4">
      <c r="A11" s="1063">
        <v>6</v>
      </c>
      <c r="B11" s="72">
        <v>10066</v>
      </c>
      <c r="C11" s="86" t="s">
        <v>55</v>
      </c>
      <c r="D11" s="86">
        <v>35</v>
      </c>
      <c r="E11" s="86">
        <v>0</v>
      </c>
      <c r="F11" s="86">
        <v>31</v>
      </c>
      <c r="G11" s="86">
        <v>0</v>
      </c>
      <c r="H11" s="86">
        <v>0</v>
      </c>
      <c r="I11" s="86">
        <v>0</v>
      </c>
      <c r="J11" s="86">
        <v>30</v>
      </c>
      <c r="K11" s="86">
        <v>0</v>
      </c>
      <c r="L11" s="86">
        <v>26</v>
      </c>
      <c r="M11" s="86">
        <v>0</v>
      </c>
      <c r="N11" s="86">
        <v>0</v>
      </c>
      <c r="O11" s="86">
        <v>0</v>
      </c>
      <c r="P11" s="86">
        <v>0</v>
      </c>
      <c r="Q11" s="86">
        <v>0</v>
      </c>
      <c r="R11" s="86">
        <v>0</v>
      </c>
      <c r="S11" s="86">
        <v>0</v>
      </c>
      <c r="T11" s="86">
        <v>0</v>
      </c>
      <c r="U11" s="86">
        <v>0</v>
      </c>
      <c r="V11" s="33"/>
    </row>
    <row r="12" spans="1:22" ht="14.4">
      <c r="A12" s="1063">
        <v>7</v>
      </c>
      <c r="B12" s="72">
        <v>10074</v>
      </c>
      <c r="C12" s="86" t="s">
        <v>109</v>
      </c>
      <c r="D12" s="86">
        <v>239</v>
      </c>
      <c r="E12" s="86">
        <v>51</v>
      </c>
      <c r="F12" s="86">
        <v>188</v>
      </c>
      <c r="G12" s="86">
        <v>26</v>
      </c>
      <c r="H12" s="86">
        <v>0</v>
      </c>
      <c r="I12" s="86">
        <v>0</v>
      </c>
      <c r="J12" s="86">
        <v>126</v>
      </c>
      <c r="K12" s="86">
        <v>51</v>
      </c>
      <c r="L12" s="86">
        <v>75</v>
      </c>
      <c r="M12" s="86">
        <v>20</v>
      </c>
      <c r="N12" s="86">
        <v>0</v>
      </c>
      <c r="O12" s="86">
        <v>0</v>
      </c>
      <c r="P12" s="86">
        <v>0</v>
      </c>
      <c r="Q12" s="86">
        <v>0</v>
      </c>
      <c r="R12" s="86">
        <v>0</v>
      </c>
      <c r="S12" s="86">
        <v>0</v>
      </c>
      <c r="T12" s="86">
        <v>0</v>
      </c>
      <c r="U12" s="86">
        <v>0</v>
      </c>
      <c r="V12" s="33"/>
    </row>
    <row r="13" spans="1:22" ht="14.4">
      <c r="A13" s="1063">
        <v>8</v>
      </c>
      <c r="B13" s="72">
        <v>10082</v>
      </c>
      <c r="C13" s="86" t="s">
        <v>56</v>
      </c>
      <c r="D13" s="86">
        <v>29</v>
      </c>
      <c r="E13" s="86">
        <v>2</v>
      </c>
      <c r="F13" s="86">
        <v>11</v>
      </c>
      <c r="G13" s="86">
        <v>3</v>
      </c>
      <c r="H13" s="86">
        <v>0</v>
      </c>
      <c r="I13" s="86">
        <v>0</v>
      </c>
      <c r="J13" s="86">
        <v>29</v>
      </c>
      <c r="K13" s="86">
        <v>2</v>
      </c>
      <c r="L13" s="86">
        <v>11</v>
      </c>
      <c r="M13" s="86">
        <v>2</v>
      </c>
      <c r="N13" s="86">
        <v>0</v>
      </c>
      <c r="O13" s="86">
        <v>0</v>
      </c>
      <c r="P13" s="86">
        <v>0</v>
      </c>
      <c r="Q13" s="86">
        <v>0</v>
      </c>
      <c r="R13" s="86">
        <v>0</v>
      </c>
      <c r="S13" s="86">
        <v>0</v>
      </c>
      <c r="T13" s="86">
        <v>0</v>
      </c>
      <c r="U13" s="86">
        <v>0</v>
      </c>
      <c r="V13" s="33"/>
    </row>
    <row r="14" spans="1:22" ht="14.4">
      <c r="A14" s="1063">
        <v>9</v>
      </c>
      <c r="B14" s="72">
        <v>10090</v>
      </c>
      <c r="C14" s="86" t="s">
        <v>37</v>
      </c>
      <c r="D14" s="86">
        <v>183</v>
      </c>
      <c r="E14" s="86">
        <v>7</v>
      </c>
      <c r="F14" s="86">
        <v>176</v>
      </c>
      <c r="G14" s="86">
        <v>218</v>
      </c>
      <c r="H14" s="86">
        <v>0</v>
      </c>
      <c r="I14" s="86">
        <v>0</v>
      </c>
      <c r="J14" s="86">
        <v>44</v>
      </c>
      <c r="K14" s="86">
        <v>7</v>
      </c>
      <c r="L14" s="86">
        <v>37</v>
      </c>
      <c r="M14" s="86">
        <v>113</v>
      </c>
      <c r="N14" s="86">
        <v>0</v>
      </c>
      <c r="O14" s="86">
        <v>0</v>
      </c>
      <c r="P14" s="86">
        <v>27</v>
      </c>
      <c r="Q14" s="86">
        <v>0</v>
      </c>
      <c r="R14" s="86">
        <v>0</v>
      </c>
      <c r="S14" s="86">
        <v>27</v>
      </c>
      <c r="T14" s="86">
        <v>0</v>
      </c>
      <c r="U14" s="86">
        <v>0</v>
      </c>
      <c r="V14" s="33"/>
    </row>
    <row r="15" spans="1:22" ht="14.4">
      <c r="A15" s="72">
        <v>10</v>
      </c>
      <c r="B15" s="72">
        <v>10108</v>
      </c>
      <c r="C15" s="86" t="s">
        <v>48</v>
      </c>
      <c r="D15" s="86">
        <v>753</v>
      </c>
      <c r="E15" s="86">
        <v>127</v>
      </c>
      <c r="F15" s="86">
        <v>605</v>
      </c>
      <c r="G15" s="86">
        <v>0</v>
      </c>
      <c r="H15" s="86">
        <v>0</v>
      </c>
      <c r="I15" s="86">
        <v>0</v>
      </c>
      <c r="J15" s="86">
        <v>651</v>
      </c>
      <c r="K15" s="86">
        <v>127</v>
      </c>
      <c r="L15" s="86">
        <v>504</v>
      </c>
      <c r="M15" s="86">
        <v>0</v>
      </c>
      <c r="N15" s="86">
        <v>0</v>
      </c>
      <c r="O15" s="86">
        <v>0</v>
      </c>
      <c r="P15" s="86">
        <v>0</v>
      </c>
      <c r="Q15" s="86">
        <v>0</v>
      </c>
      <c r="R15" s="86">
        <v>0</v>
      </c>
      <c r="S15" s="86">
        <v>0</v>
      </c>
      <c r="T15" s="86">
        <v>0</v>
      </c>
      <c r="U15" s="86">
        <v>0</v>
      </c>
      <c r="V15" s="33"/>
    </row>
    <row r="16" spans="1:22" ht="14.4">
      <c r="A16" s="72">
        <v>11</v>
      </c>
      <c r="B16" s="72">
        <v>10116</v>
      </c>
      <c r="C16" s="86" t="s">
        <v>47</v>
      </c>
      <c r="D16" s="86">
        <v>76</v>
      </c>
      <c r="E16" s="86">
        <v>0</v>
      </c>
      <c r="F16" s="86">
        <v>76</v>
      </c>
      <c r="G16" s="86">
        <v>0</v>
      </c>
      <c r="H16" s="86">
        <v>0</v>
      </c>
      <c r="I16" s="86">
        <v>0</v>
      </c>
      <c r="J16" s="86">
        <v>48</v>
      </c>
      <c r="K16" s="86">
        <v>0</v>
      </c>
      <c r="L16" s="86">
        <v>48</v>
      </c>
      <c r="M16" s="86">
        <v>0</v>
      </c>
      <c r="N16" s="86">
        <v>0</v>
      </c>
      <c r="O16" s="86">
        <v>0</v>
      </c>
      <c r="P16" s="86">
        <v>0</v>
      </c>
      <c r="Q16" s="86">
        <v>0</v>
      </c>
      <c r="R16" s="86">
        <v>0</v>
      </c>
      <c r="S16" s="86">
        <v>0</v>
      </c>
      <c r="T16" s="86">
        <v>0</v>
      </c>
      <c r="U16" s="86">
        <v>0</v>
      </c>
      <c r="V16" s="33"/>
    </row>
    <row r="17" spans="1:22" ht="14.4">
      <c r="A17" s="72">
        <v>12</v>
      </c>
      <c r="B17" s="72">
        <v>10124</v>
      </c>
      <c r="C17" s="86" t="s">
        <v>57</v>
      </c>
      <c r="D17" s="86">
        <v>285</v>
      </c>
      <c r="E17" s="86">
        <v>7</v>
      </c>
      <c r="F17" s="86">
        <v>136</v>
      </c>
      <c r="G17" s="86">
        <v>0</v>
      </c>
      <c r="H17" s="86">
        <v>0</v>
      </c>
      <c r="I17" s="86">
        <v>0</v>
      </c>
      <c r="J17" s="86">
        <v>274</v>
      </c>
      <c r="K17" s="86">
        <v>7</v>
      </c>
      <c r="L17" s="86">
        <v>133</v>
      </c>
      <c r="M17" s="86">
        <v>0</v>
      </c>
      <c r="N17" s="86">
        <v>0</v>
      </c>
      <c r="O17" s="86">
        <v>0</v>
      </c>
      <c r="P17" s="86">
        <v>0</v>
      </c>
      <c r="Q17" s="86">
        <v>0</v>
      </c>
      <c r="R17" s="86">
        <v>0</v>
      </c>
      <c r="S17" s="86">
        <v>0</v>
      </c>
      <c r="T17" s="86">
        <v>0</v>
      </c>
      <c r="U17" s="86">
        <v>0</v>
      </c>
      <c r="V17" s="33"/>
    </row>
    <row r="18" spans="1:22" ht="14.4">
      <c r="A18" s="72">
        <v>13</v>
      </c>
      <c r="B18" s="72">
        <v>10132</v>
      </c>
      <c r="C18" s="86" t="s">
        <v>58</v>
      </c>
      <c r="D18" s="86">
        <v>654</v>
      </c>
      <c r="E18" s="86">
        <v>14</v>
      </c>
      <c r="F18" s="86">
        <v>504</v>
      </c>
      <c r="G18" s="86">
        <v>0</v>
      </c>
      <c r="H18" s="86">
        <v>0</v>
      </c>
      <c r="I18" s="86">
        <v>0</v>
      </c>
      <c r="J18" s="86">
        <v>540</v>
      </c>
      <c r="K18" s="86">
        <v>14</v>
      </c>
      <c r="L18" s="86">
        <v>396</v>
      </c>
      <c r="M18" s="86">
        <v>0</v>
      </c>
      <c r="N18" s="86">
        <v>0</v>
      </c>
      <c r="O18" s="86">
        <v>0</v>
      </c>
      <c r="P18" s="86">
        <v>0</v>
      </c>
      <c r="Q18" s="86">
        <v>0</v>
      </c>
      <c r="R18" s="86">
        <v>0</v>
      </c>
      <c r="S18" s="86">
        <v>0</v>
      </c>
      <c r="T18" s="86">
        <v>0</v>
      </c>
      <c r="U18" s="86">
        <v>0</v>
      </c>
      <c r="V18" s="33"/>
    </row>
    <row r="19" spans="1:22" ht="14.4">
      <c r="A19" s="72">
        <v>14</v>
      </c>
      <c r="B19" s="72">
        <v>10140</v>
      </c>
      <c r="C19" s="86" t="s">
        <v>36</v>
      </c>
      <c r="D19" s="86">
        <v>5</v>
      </c>
      <c r="E19" s="86">
        <v>0</v>
      </c>
      <c r="F19" s="86">
        <v>4</v>
      </c>
      <c r="G19" s="86">
        <v>0</v>
      </c>
      <c r="H19" s="86">
        <v>0</v>
      </c>
      <c r="I19" s="86">
        <v>0</v>
      </c>
      <c r="J19" s="86">
        <v>4</v>
      </c>
      <c r="K19" s="86">
        <v>0</v>
      </c>
      <c r="L19" s="86">
        <v>3</v>
      </c>
      <c r="M19" s="86">
        <v>0</v>
      </c>
      <c r="N19" s="86">
        <v>0</v>
      </c>
      <c r="O19" s="86">
        <v>0</v>
      </c>
      <c r="P19" s="86">
        <v>0</v>
      </c>
      <c r="Q19" s="86">
        <v>0</v>
      </c>
      <c r="R19" s="86">
        <v>0</v>
      </c>
      <c r="S19" s="86">
        <v>0</v>
      </c>
      <c r="T19" s="86">
        <v>0</v>
      </c>
      <c r="U19" s="86">
        <v>0</v>
      </c>
      <c r="V19" s="33"/>
    </row>
    <row r="20" spans="1:22" ht="14.4">
      <c r="A20" s="72">
        <v>15</v>
      </c>
      <c r="B20" s="72">
        <v>10157</v>
      </c>
      <c r="C20" s="86" t="s">
        <v>46</v>
      </c>
      <c r="D20" s="86">
        <v>957</v>
      </c>
      <c r="E20" s="86">
        <v>246</v>
      </c>
      <c r="F20" s="86">
        <v>432</v>
      </c>
      <c r="G20" s="86">
        <v>0</v>
      </c>
      <c r="H20" s="86">
        <v>0</v>
      </c>
      <c r="I20" s="86">
        <v>0</v>
      </c>
      <c r="J20" s="86">
        <v>819</v>
      </c>
      <c r="K20" s="86">
        <v>246</v>
      </c>
      <c r="L20" s="86">
        <v>319</v>
      </c>
      <c r="M20" s="86">
        <v>0</v>
      </c>
      <c r="N20" s="86">
        <v>0</v>
      </c>
      <c r="O20" s="86">
        <v>0</v>
      </c>
      <c r="P20" s="86">
        <v>0</v>
      </c>
      <c r="Q20" s="86">
        <v>0</v>
      </c>
      <c r="R20" s="86">
        <v>0</v>
      </c>
      <c r="S20" s="86">
        <v>0</v>
      </c>
      <c r="T20" s="86">
        <v>0</v>
      </c>
      <c r="U20" s="86">
        <v>0</v>
      </c>
      <c r="V20" s="33"/>
    </row>
    <row r="21" spans="1:22" ht="14.4">
      <c r="A21" s="72">
        <v>16</v>
      </c>
      <c r="B21" s="72">
        <v>10165</v>
      </c>
      <c r="C21" s="86" t="s">
        <v>59</v>
      </c>
      <c r="D21" s="86">
        <v>348</v>
      </c>
      <c r="E21" s="86">
        <v>29</v>
      </c>
      <c r="F21" s="86">
        <v>319</v>
      </c>
      <c r="G21" s="86">
        <v>0</v>
      </c>
      <c r="H21" s="86">
        <v>0</v>
      </c>
      <c r="I21" s="86">
        <v>0</v>
      </c>
      <c r="J21" s="86">
        <v>239</v>
      </c>
      <c r="K21" s="86">
        <v>29</v>
      </c>
      <c r="L21" s="86">
        <v>210</v>
      </c>
      <c r="M21" s="86">
        <v>0</v>
      </c>
      <c r="N21" s="86">
        <v>0</v>
      </c>
      <c r="O21" s="86">
        <v>0</v>
      </c>
      <c r="P21" s="86">
        <v>0</v>
      </c>
      <c r="Q21" s="86">
        <v>0</v>
      </c>
      <c r="R21" s="86">
        <v>0</v>
      </c>
      <c r="S21" s="86">
        <v>0</v>
      </c>
      <c r="T21" s="86">
        <v>0</v>
      </c>
      <c r="U21" s="86">
        <v>0</v>
      </c>
      <c r="V21" s="33"/>
    </row>
    <row r="22" spans="1:22" ht="14.4">
      <c r="A22" s="72">
        <v>17</v>
      </c>
      <c r="B22" s="72">
        <v>10173</v>
      </c>
      <c r="C22" s="86" t="s">
        <v>60</v>
      </c>
      <c r="D22" s="86">
        <v>34</v>
      </c>
      <c r="E22" s="86">
        <v>0</v>
      </c>
      <c r="F22" s="86">
        <v>24</v>
      </c>
      <c r="G22" s="86">
        <v>0</v>
      </c>
      <c r="H22" s="86">
        <v>0</v>
      </c>
      <c r="I22" s="86">
        <v>0</v>
      </c>
      <c r="J22" s="86">
        <v>27</v>
      </c>
      <c r="K22" s="86">
        <v>0</v>
      </c>
      <c r="L22" s="86">
        <v>20</v>
      </c>
      <c r="M22" s="86">
        <v>0</v>
      </c>
      <c r="N22" s="86">
        <v>0</v>
      </c>
      <c r="O22" s="86">
        <v>0</v>
      </c>
      <c r="P22" s="86">
        <v>0</v>
      </c>
      <c r="Q22" s="86">
        <v>0</v>
      </c>
      <c r="R22" s="86">
        <v>0</v>
      </c>
      <c r="S22" s="86">
        <v>0</v>
      </c>
      <c r="T22" s="86">
        <v>0</v>
      </c>
      <c r="U22" s="86">
        <v>0</v>
      </c>
      <c r="V22" s="33"/>
    </row>
    <row r="23" spans="1:22" ht="14.4">
      <c r="A23" s="72">
        <v>18</v>
      </c>
      <c r="B23" s="72">
        <v>10181</v>
      </c>
      <c r="C23" s="86" t="s">
        <v>61</v>
      </c>
      <c r="D23" s="86">
        <v>13</v>
      </c>
      <c r="E23" s="86">
        <v>0</v>
      </c>
      <c r="F23" s="86">
        <v>13</v>
      </c>
      <c r="G23" s="86">
        <v>0</v>
      </c>
      <c r="H23" s="86">
        <v>0</v>
      </c>
      <c r="I23" s="86">
        <v>0</v>
      </c>
      <c r="J23" s="86">
        <v>3</v>
      </c>
      <c r="K23" s="86">
        <v>0</v>
      </c>
      <c r="L23" s="86">
        <v>3</v>
      </c>
      <c r="M23" s="86">
        <v>0</v>
      </c>
      <c r="N23" s="86">
        <v>0</v>
      </c>
      <c r="O23" s="86">
        <v>0</v>
      </c>
      <c r="P23" s="86">
        <v>0</v>
      </c>
      <c r="Q23" s="86">
        <v>0</v>
      </c>
      <c r="R23" s="86">
        <v>0</v>
      </c>
      <c r="S23" s="86">
        <v>0</v>
      </c>
      <c r="T23" s="86">
        <v>0</v>
      </c>
      <c r="U23" s="86">
        <v>0</v>
      </c>
      <c r="V23" s="33"/>
    </row>
    <row r="24" spans="1:22" ht="14.4">
      <c r="A24" s="72">
        <v>19</v>
      </c>
      <c r="B24" s="72">
        <v>10199</v>
      </c>
      <c r="C24" s="86" t="s">
        <v>45</v>
      </c>
      <c r="D24" s="86">
        <v>1566</v>
      </c>
      <c r="E24" s="86">
        <v>403</v>
      </c>
      <c r="F24" s="86">
        <v>1139</v>
      </c>
      <c r="G24" s="86">
        <v>0</v>
      </c>
      <c r="H24" s="86">
        <v>0</v>
      </c>
      <c r="I24" s="86">
        <v>0</v>
      </c>
      <c r="J24" s="86">
        <v>738</v>
      </c>
      <c r="K24" s="86">
        <v>403</v>
      </c>
      <c r="L24" s="86">
        <v>317</v>
      </c>
      <c r="M24" s="86">
        <v>0</v>
      </c>
      <c r="N24" s="86">
        <v>0</v>
      </c>
      <c r="O24" s="86">
        <v>0</v>
      </c>
      <c r="P24" s="86">
        <v>0</v>
      </c>
      <c r="Q24" s="86">
        <v>0</v>
      </c>
      <c r="R24" s="86">
        <v>0</v>
      </c>
      <c r="S24" s="86">
        <v>0</v>
      </c>
      <c r="T24" s="86">
        <v>0</v>
      </c>
      <c r="U24" s="86">
        <v>0</v>
      </c>
      <c r="V24" s="33"/>
    </row>
    <row r="25" spans="1:22" ht="14.4">
      <c r="A25" s="72">
        <v>20</v>
      </c>
      <c r="B25" s="72">
        <v>10207</v>
      </c>
      <c r="C25" s="86" t="s">
        <v>124</v>
      </c>
      <c r="D25" s="86">
        <v>380</v>
      </c>
      <c r="E25" s="86">
        <v>24</v>
      </c>
      <c r="F25" s="86">
        <v>356</v>
      </c>
      <c r="G25" s="86">
        <v>18</v>
      </c>
      <c r="H25" s="86">
        <v>0</v>
      </c>
      <c r="I25" s="86">
        <v>0</v>
      </c>
      <c r="J25" s="86">
        <v>314</v>
      </c>
      <c r="K25" s="86">
        <v>24</v>
      </c>
      <c r="L25" s="86">
        <v>290</v>
      </c>
      <c r="M25" s="86">
        <v>17</v>
      </c>
      <c r="N25" s="86">
        <v>0</v>
      </c>
      <c r="O25" s="86">
        <v>0</v>
      </c>
      <c r="P25" s="86">
        <v>0</v>
      </c>
      <c r="Q25" s="86">
        <v>0</v>
      </c>
      <c r="R25" s="86">
        <v>0</v>
      </c>
      <c r="S25" s="86">
        <v>0</v>
      </c>
      <c r="T25" s="86">
        <v>0</v>
      </c>
      <c r="U25" s="86">
        <v>0</v>
      </c>
      <c r="V25" s="33"/>
    </row>
    <row r="26" spans="1:22" ht="14.4">
      <c r="A26" s="72">
        <v>21</v>
      </c>
      <c r="B26" s="72">
        <v>10215</v>
      </c>
      <c r="C26" s="86" t="s">
        <v>62</v>
      </c>
      <c r="D26" s="86">
        <v>258</v>
      </c>
      <c r="E26" s="86">
        <v>8</v>
      </c>
      <c r="F26" s="86">
        <v>213</v>
      </c>
      <c r="G26" s="86">
        <v>11</v>
      </c>
      <c r="H26" s="86">
        <v>0</v>
      </c>
      <c r="I26" s="86">
        <v>0</v>
      </c>
      <c r="J26" s="86">
        <v>123</v>
      </c>
      <c r="K26" s="86">
        <v>8</v>
      </c>
      <c r="L26" s="86">
        <v>85</v>
      </c>
      <c r="M26" s="86">
        <v>7</v>
      </c>
      <c r="N26" s="86">
        <v>0</v>
      </c>
      <c r="O26" s="86">
        <v>0</v>
      </c>
      <c r="P26" s="86">
        <v>0</v>
      </c>
      <c r="Q26" s="86">
        <v>0</v>
      </c>
      <c r="R26" s="86">
        <v>0</v>
      </c>
      <c r="S26" s="86">
        <v>0</v>
      </c>
      <c r="T26" s="86">
        <v>0</v>
      </c>
      <c r="U26" s="86">
        <v>0</v>
      </c>
      <c r="V26" s="33"/>
    </row>
    <row r="27" spans="1:22" ht="14.4">
      <c r="A27" s="72">
        <v>22</v>
      </c>
      <c r="B27" s="72">
        <v>10223</v>
      </c>
      <c r="C27" s="86" t="s">
        <v>63</v>
      </c>
      <c r="D27" s="86">
        <v>48</v>
      </c>
      <c r="E27" s="86">
        <v>0</v>
      </c>
      <c r="F27" s="86">
        <v>47</v>
      </c>
      <c r="G27" s="86">
        <v>0</v>
      </c>
      <c r="H27" s="86">
        <v>0</v>
      </c>
      <c r="I27" s="86">
        <v>0</v>
      </c>
      <c r="J27" s="86">
        <v>38</v>
      </c>
      <c r="K27" s="86">
        <v>0</v>
      </c>
      <c r="L27" s="86">
        <v>37</v>
      </c>
      <c r="M27" s="86">
        <v>0</v>
      </c>
      <c r="N27" s="86">
        <v>0</v>
      </c>
      <c r="O27" s="86">
        <v>0</v>
      </c>
      <c r="P27" s="86">
        <v>0</v>
      </c>
      <c r="Q27" s="86">
        <v>0</v>
      </c>
      <c r="R27" s="86">
        <v>0</v>
      </c>
      <c r="S27" s="86">
        <v>0</v>
      </c>
      <c r="T27" s="86">
        <v>0</v>
      </c>
      <c r="U27" s="86">
        <v>0</v>
      </c>
      <c r="V27" s="33"/>
    </row>
    <row r="28" spans="1:22" ht="14.4">
      <c r="A28" s="72">
        <v>23</v>
      </c>
      <c r="B28" s="72">
        <v>10231</v>
      </c>
      <c r="C28" s="86" t="s">
        <v>64</v>
      </c>
      <c r="D28" s="86">
        <v>88</v>
      </c>
      <c r="E28" s="86">
        <v>9</v>
      </c>
      <c r="F28" s="86">
        <v>68</v>
      </c>
      <c r="G28" s="86">
        <v>0</v>
      </c>
      <c r="H28" s="86">
        <v>0</v>
      </c>
      <c r="I28" s="86">
        <v>0</v>
      </c>
      <c r="J28" s="86">
        <v>72</v>
      </c>
      <c r="K28" s="86">
        <v>9</v>
      </c>
      <c r="L28" s="86">
        <v>52</v>
      </c>
      <c r="M28" s="86">
        <v>0</v>
      </c>
      <c r="N28" s="86">
        <v>0</v>
      </c>
      <c r="O28" s="86">
        <v>0</v>
      </c>
      <c r="P28" s="86">
        <v>0</v>
      </c>
      <c r="Q28" s="86">
        <v>0</v>
      </c>
      <c r="R28" s="86">
        <v>0</v>
      </c>
      <c r="S28" s="86">
        <v>0</v>
      </c>
      <c r="T28" s="86">
        <v>0</v>
      </c>
      <c r="U28" s="86">
        <v>0</v>
      </c>
      <c r="V28" s="33"/>
    </row>
    <row r="29" spans="1:22" ht="14.4">
      <c r="A29" s="72">
        <v>24</v>
      </c>
      <c r="B29" s="72">
        <v>10249</v>
      </c>
      <c r="C29" s="86" t="s">
        <v>65</v>
      </c>
      <c r="D29" s="86">
        <v>1326</v>
      </c>
      <c r="E29" s="86">
        <v>26</v>
      </c>
      <c r="F29" s="86">
        <v>1092</v>
      </c>
      <c r="G29" s="86">
        <v>0</v>
      </c>
      <c r="H29" s="86">
        <v>0</v>
      </c>
      <c r="I29" s="86">
        <v>0</v>
      </c>
      <c r="J29" s="86">
        <v>1038</v>
      </c>
      <c r="K29" s="86">
        <v>26</v>
      </c>
      <c r="L29" s="86">
        <v>819</v>
      </c>
      <c r="M29" s="86">
        <v>0</v>
      </c>
      <c r="N29" s="86">
        <v>0</v>
      </c>
      <c r="O29" s="86">
        <v>0</v>
      </c>
      <c r="P29" s="86">
        <v>0</v>
      </c>
      <c r="Q29" s="86">
        <v>0</v>
      </c>
      <c r="R29" s="86">
        <v>0</v>
      </c>
      <c r="S29" s="86">
        <v>0</v>
      </c>
      <c r="T29" s="86">
        <v>0</v>
      </c>
      <c r="U29" s="86">
        <v>0</v>
      </c>
      <c r="V29" s="33"/>
    </row>
    <row r="30" spans="1:22" ht="14.4">
      <c r="A30" s="72">
        <v>25</v>
      </c>
      <c r="B30" s="72">
        <v>10256</v>
      </c>
      <c r="C30" s="86" t="s">
        <v>66</v>
      </c>
      <c r="D30" s="86">
        <v>0</v>
      </c>
      <c r="E30" s="86">
        <v>0</v>
      </c>
      <c r="F30" s="86">
        <v>0</v>
      </c>
      <c r="G30" s="86">
        <v>0</v>
      </c>
      <c r="H30" s="86">
        <v>0</v>
      </c>
      <c r="I30" s="86">
        <v>0</v>
      </c>
      <c r="J30" s="86">
        <v>0</v>
      </c>
      <c r="K30" s="86">
        <v>0</v>
      </c>
      <c r="L30" s="86">
        <v>0</v>
      </c>
      <c r="M30" s="86">
        <v>0</v>
      </c>
      <c r="N30" s="86">
        <v>0</v>
      </c>
      <c r="O30" s="86">
        <v>0</v>
      </c>
      <c r="P30" s="86">
        <v>0</v>
      </c>
      <c r="Q30" s="86">
        <v>0</v>
      </c>
      <c r="R30" s="86">
        <v>0</v>
      </c>
      <c r="S30" s="86">
        <v>0</v>
      </c>
      <c r="T30" s="86">
        <v>0</v>
      </c>
      <c r="U30" s="86">
        <v>0</v>
      </c>
      <c r="V30" s="33"/>
    </row>
    <row r="31" spans="1:22" ht="14.4">
      <c r="A31" s="72">
        <v>26</v>
      </c>
      <c r="B31" s="72">
        <v>10264</v>
      </c>
      <c r="C31" s="86" t="s">
        <v>35</v>
      </c>
      <c r="D31" s="86">
        <v>17</v>
      </c>
      <c r="E31" s="86">
        <v>0</v>
      </c>
      <c r="F31" s="86">
        <v>17</v>
      </c>
      <c r="G31" s="86">
        <v>0</v>
      </c>
      <c r="H31" s="86">
        <v>0</v>
      </c>
      <c r="I31" s="86">
        <v>0</v>
      </c>
      <c r="J31" s="86">
        <v>13</v>
      </c>
      <c r="K31" s="86">
        <v>0</v>
      </c>
      <c r="L31" s="86">
        <v>13</v>
      </c>
      <c r="M31" s="86">
        <v>0</v>
      </c>
      <c r="N31" s="86">
        <v>0</v>
      </c>
      <c r="O31" s="86">
        <v>0</v>
      </c>
      <c r="P31" s="86">
        <v>0</v>
      </c>
      <c r="Q31" s="86">
        <v>0</v>
      </c>
      <c r="R31" s="86">
        <v>0</v>
      </c>
      <c r="S31" s="86">
        <v>0</v>
      </c>
      <c r="T31" s="86">
        <v>0</v>
      </c>
      <c r="U31" s="86">
        <v>0</v>
      </c>
      <c r="V31" s="33"/>
    </row>
    <row r="32" spans="1:22" ht="14.4">
      <c r="A32" s="72">
        <v>27</v>
      </c>
      <c r="B32" s="72">
        <v>10272</v>
      </c>
      <c r="C32" s="86" t="s">
        <v>44</v>
      </c>
      <c r="D32" s="86">
        <v>399</v>
      </c>
      <c r="E32" s="86">
        <v>36</v>
      </c>
      <c r="F32" s="86">
        <v>317</v>
      </c>
      <c r="G32" s="86">
        <v>0</v>
      </c>
      <c r="H32" s="86">
        <v>0</v>
      </c>
      <c r="I32" s="86">
        <v>0</v>
      </c>
      <c r="J32" s="86">
        <v>324</v>
      </c>
      <c r="K32" s="86">
        <v>36</v>
      </c>
      <c r="L32" s="86">
        <v>248</v>
      </c>
      <c r="M32" s="86">
        <v>0</v>
      </c>
      <c r="N32" s="86">
        <v>0</v>
      </c>
      <c r="O32" s="86">
        <v>0</v>
      </c>
      <c r="P32" s="86">
        <v>0</v>
      </c>
      <c r="Q32" s="86">
        <v>0</v>
      </c>
      <c r="R32" s="86">
        <v>0</v>
      </c>
      <c r="S32" s="86">
        <v>0</v>
      </c>
      <c r="T32" s="86">
        <v>0</v>
      </c>
      <c r="U32" s="86">
        <v>0</v>
      </c>
      <c r="V32" s="33"/>
    </row>
    <row r="33" spans="1:22" ht="14.4">
      <c r="A33" s="72">
        <v>28</v>
      </c>
      <c r="B33" s="72">
        <v>10280</v>
      </c>
      <c r="C33" s="86" t="s">
        <v>67</v>
      </c>
      <c r="D33" s="86">
        <v>99</v>
      </c>
      <c r="E33" s="86">
        <v>12</v>
      </c>
      <c r="F33" s="86">
        <v>0</v>
      </c>
      <c r="G33" s="86">
        <v>0</v>
      </c>
      <c r="H33" s="86">
        <v>0</v>
      </c>
      <c r="I33" s="86">
        <v>0</v>
      </c>
      <c r="J33" s="86">
        <v>86</v>
      </c>
      <c r="K33" s="86">
        <v>12</v>
      </c>
      <c r="L33" s="86">
        <v>0</v>
      </c>
      <c r="M33" s="86">
        <v>0</v>
      </c>
      <c r="N33" s="86">
        <v>0</v>
      </c>
      <c r="O33" s="86">
        <v>0</v>
      </c>
      <c r="P33" s="86">
        <v>0</v>
      </c>
      <c r="Q33" s="86">
        <v>0</v>
      </c>
      <c r="R33" s="86">
        <v>0</v>
      </c>
      <c r="S33" s="86">
        <v>0</v>
      </c>
      <c r="T33" s="86">
        <v>0</v>
      </c>
      <c r="U33" s="86">
        <v>0</v>
      </c>
      <c r="V33" s="33"/>
    </row>
    <row r="34" spans="1:22" ht="14.4">
      <c r="A34" s="72">
        <v>29</v>
      </c>
      <c r="B34" s="72">
        <v>10298</v>
      </c>
      <c r="C34" s="86" t="s">
        <v>34</v>
      </c>
      <c r="D34" s="86">
        <v>65</v>
      </c>
      <c r="E34" s="86">
        <v>0</v>
      </c>
      <c r="F34" s="86">
        <v>61</v>
      </c>
      <c r="G34" s="86">
        <v>1</v>
      </c>
      <c r="H34" s="86">
        <v>0</v>
      </c>
      <c r="I34" s="86">
        <v>0</v>
      </c>
      <c r="J34" s="86">
        <v>27</v>
      </c>
      <c r="K34" s="86">
        <v>0</v>
      </c>
      <c r="L34" s="86">
        <v>24</v>
      </c>
      <c r="M34" s="86">
        <v>0</v>
      </c>
      <c r="N34" s="86">
        <v>0</v>
      </c>
      <c r="O34" s="86">
        <v>0</v>
      </c>
      <c r="P34" s="86">
        <v>0</v>
      </c>
      <c r="Q34" s="86">
        <v>0</v>
      </c>
      <c r="R34" s="86">
        <v>0</v>
      </c>
      <c r="S34" s="86">
        <v>0</v>
      </c>
      <c r="T34" s="86">
        <v>0</v>
      </c>
      <c r="U34" s="86">
        <v>0</v>
      </c>
      <c r="V34" s="33"/>
    </row>
    <row r="35" spans="1:22" ht="14.4">
      <c r="A35" s="72">
        <v>30</v>
      </c>
      <c r="B35" s="72">
        <v>10306</v>
      </c>
      <c r="C35" s="86" t="s">
        <v>68</v>
      </c>
      <c r="D35" s="86">
        <v>2171</v>
      </c>
      <c r="E35" s="86">
        <v>237</v>
      </c>
      <c r="F35" s="86">
        <v>1219</v>
      </c>
      <c r="G35" s="86">
        <v>0</v>
      </c>
      <c r="H35" s="86">
        <v>0</v>
      </c>
      <c r="I35" s="86">
        <v>0</v>
      </c>
      <c r="J35" s="86">
        <v>1636</v>
      </c>
      <c r="K35" s="86">
        <v>237</v>
      </c>
      <c r="L35" s="86">
        <v>792</v>
      </c>
      <c r="M35" s="86">
        <v>0</v>
      </c>
      <c r="N35" s="86">
        <v>0</v>
      </c>
      <c r="O35" s="86">
        <v>0</v>
      </c>
      <c r="P35" s="86">
        <v>0</v>
      </c>
      <c r="Q35" s="86">
        <v>0</v>
      </c>
      <c r="R35" s="86">
        <v>0</v>
      </c>
      <c r="S35" s="86">
        <v>0</v>
      </c>
      <c r="T35" s="86">
        <v>0</v>
      </c>
      <c r="U35" s="86">
        <v>0</v>
      </c>
      <c r="V35" s="33"/>
    </row>
    <row r="36" spans="1:22" ht="14.4">
      <c r="A36" s="72">
        <v>31</v>
      </c>
      <c r="B36" s="72">
        <v>10314</v>
      </c>
      <c r="C36" s="86" t="s">
        <v>33</v>
      </c>
      <c r="D36" s="86">
        <v>110</v>
      </c>
      <c r="E36" s="86">
        <v>19</v>
      </c>
      <c r="F36" s="86">
        <v>90</v>
      </c>
      <c r="G36" s="86">
        <v>43</v>
      </c>
      <c r="H36" s="86">
        <v>0</v>
      </c>
      <c r="I36" s="86">
        <v>0</v>
      </c>
      <c r="J36" s="86">
        <v>62</v>
      </c>
      <c r="K36" s="86">
        <v>19</v>
      </c>
      <c r="L36" s="86">
        <v>42</v>
      </c>
      <c r="M36" s="86">
        <v>31</v>
      </c>
      <c r="N36" s="86">
        <v>0</v>
      </c>
      <c r="O36" s="86">
        <v>0</v>
      </c>
      <c r="P36" s="86">
        <v>0</v>
      </c>
      <c r="Q36" s="86">
        <v>0</v>
      </c>
      <c r="R36" s="86">
        <v>0</v>
      </c>
      <c r="S36" s="86">
        <v>0</v>
      </c>
      <c r="T36" s="86">
        <v>0</v>
      </c>
      <c r="U36" s="86">
        <v>0</v>
      </c>
      <c r="V36" s="33"/>
    </row>
    <row r="37" spans="1:22" ht="14.4">
      <c r="A37" s="72">
        <v>32</v>
      </c>
      <c r="B37" s="72">
        <v>10322</v>
      </c>
      <c r="C37" s="86" t="s">
        <v>69</v>
      </c>
      <c r="D37" s="86">
        <v>5</v>
      </c>
      <c r="E37" s="86">
        <v>0</v>
      </c>
      <c r="F37" s="86">
        <v>5</v>
      </c>
      <c r="G37" s="86">
        <v>0</v>
      </c>
      <c r="H37" s="86">
        <v>0</v>
      </c>
      <c r="I37" s="86">
        <v>0</v>
      </c>
      <c r="J37" s="86">
        <v>5</v>
      </c>
      <c r="K37" s="86">
        <v>0</v>
      </c>
      <c r="L37" s="86">
        <v>5</v>
      </c>
      <c r="M37" s="86">
        <v>0</v>
      </c>
      <c r="N37" s="86">
        <v>0</v>
      </c>
      <c r="O37" s="86">
        <v>0</v>
      </c>
      <c r="P37" s="86">
        <v>0</v>
      </c>
      <c r="Q37" s="86">
        <v>0</v>
      </c>
      <c r="R37" s="86">
        <v>0</v>
      </c>
      <c r="S37" s="86">
        <v>0</v>
      </c>
      <c r="T37" s="86">
        <v>0</v>
      </c>
      <c r="U37" s="86">
        <v>0</v>
      </c>
      <c r="V37" s="33"/>
    </row>
    <row r="38" spans="1:22" ht="14.4">
      <c r="A38" s="72">
        <v>33</v>
      </c>
      <c r="B38" s="72">
        <v>10330</v>
      </c>
      <c r="C38" s="86" t="s">
        <v>32</v>
      </c>
      <c r="D38" s="86">
        <v>860</v>
      </c>
      <c r="E38" s="86">
        <v>88</v>
      </c>
      <c r="F38" s="86">
        <v>701</v>
      </c>
      <c r="G38" s="86">
        <v>5</v>
      </c>
      <c r="H38" s="86">
        <v>0</v>
      </c>
      <c r="I38" s="86">
        <v>0</v>
      </c>
      <c r="J38" s="86">
        <v>649</v>
      </c>
      <c r="K38" s="86">
        <v>88</v>
      </c>
      <c r="L38" s="86">
        <v>496</v>
      </c>
      <c r="M38" s="86">
        <v>4</v>
      </c>
      <c r="N38" s="86">
        <v>0</v>
      </c>
      <c r="O38" s="86">
        <v>0</v>
      </c>
      <c r="P38" s="86">
        <v>0</v>
      </c>
      <c r="Q38" s="86">
        <v>0</v>
      </c>
      <c r="R38" s="86">
        <v>0</v>
      </c>
      <c r="S38" s="86">
        <v>0</v>
      </c>
      <c r="T38" s="86">
        <v>0</v>
      </c>
      <c r="U38" s="86">
        <v>0</v>
      </c>
      <c r="V38" s="33"/>
    </row>
    <row r="39" spans="1:22" ht="14.4">
      <c r="A39" s="72">
        <v>34</v>
      </c>
      <c r="B39" s="72">
        <v>10348</v>
      </c>
      <c r="C39" s="86" t="s">
        <v>43</v>
      </c>
      <c r="D39" s="86">
        <v>956</v>
      </c>
      <c r="E39" s="86">
        <v>87</v>
      </c>
      <c r="F39" s="86">
        <v>841</v>
      </c>
      <c r="G39" s="86">
        <v>0</v>
      </c>
      <c r="H39" s="86">
        <v>0</v>
      </c>
      <c r="I39" s="86">
        <v>0</v>
      </c>
      <c r="J39" s="86">
        <v>654</v>
      </c>
      <c r="K39" s="86">
        <v>87</v>
      </c>
      <c r="L39" s="86">
        <v>545</v>
      </c>
      <c r="M39" s="86">
        <v>0</v>
      </c>
      <c r="N39" s="86">
        <v>0</v>
      </c>
      <c r="O39" s="86">
        <v>0</v>
      </c>
      <c r="P39" s="86">
        <v>0</v>
      </c>
      <c r="Q39" s="86">
        <v>0</v>
      </c>
      <c r="R39" s="86">
        <v>0</v>
      </c>
      <c r="S39" s="86">
        <v>0</v>
      </c>
      <c r="T39" s="86">
        <v>0</v>
      </c>
      <c r="U39" s="86">
        <v>0</v>
      </c>
      <c r="V39" s="33"/>
    </row>
    <row r="40" spans="1:22" ht="14.4">
      <c r="A40" s="72">
        <v>35</v>
      </c>
      <c r="B40" s="72">
        <v>10355</v>
      </c>
      <c r="C40" s="86" t="s">
        <v>70</v>
      </c>
      <c r="D40" s="86">
        <v>34</v>
      </c>
      <c r="E40" s="86">
        <v>0</v>
      </c>
      <c r="F40" s="86">
        <v>25</v>
      </c>
      <c r="G40" s="86">
        <v>0</v>
      </c>
      <c r="H40" s="86">
        <v>0</v>
      </c>
      <c r="I40" s="86">
        <v>0</v>
      </c>
      <c r="J40" s="86">
        <v>30</v>
      </c>
      <c r="K40" s="86">
        <v>0</v>
      </c>
      <c r="L40" s="86">
        <v>23</v>
      </c>
      <c r="M40" s="86">
        <v>0</v>
      </c>
      <c r="N40" s="86">
        <v>0</v>
      </c>
      <c r="O40" s="86">
        <v>0</v>
      </c>
      <c r="P40" s="86">
        <v>0</v>
      </c>
      <c r="Q40" s="86">
        <v>0</v>
      </c>
      <c r="R40" s="86">
        <v>0</v>
      </c>
      <c r="S40" s="86">
        <v>0</v>
      </c>
      <c r="T40" s="86">
        <v>0</v>
      </c>
      <c r="U40" s="86">
        <v>0</v>
      </c>
      <c r="V40" s="33"/>
    </row>
    <row r="41" spans="1:22" ht="14.4">
      <c r="A41" s="72">
        <v>36</v>
      </c>
      <c r="B41" s="72">
        <v>10363</v>
      </c>
      <c r="C41" s="86" t="s">
        <v>110</v>
      </c>
      <c r="D41" s="86">
        <v>2042</v>
      </c>
      <c r="E41" s="86">
        <v>114</v>
      </c>
      <c r="F41" s="86">
        <v>1501</v>
      </c>
      <c r="G41" s="86">
        <v>0</v>
      </c>
      <c r="H41" s="86">
        <v>0</v>
      </c>
      <c r="I41" s="86">
        <v>0</v>
      </c>
      <c r="J41" s="86">
        <v>1690</v>
      </c>
      <c r="K41" s="86">
        <v>114</v>
      </c>
      <c r="L41" s="86">
        <v>1193</v>
      </c>
      <c r="M41" s="86">
        <v>0</v>
      </c>
      <c r="N41" s="86">
        <v>0</v>
      </c>
      <c r="O41" s="86">
        <v>0</v>
      </c>
      <c r="P41" s="86">
        <v>0</v>
      </c>
      <c r="Q41" s="86">
        <v>0</v>
      </c>
      <c r="R41" s="86">
        <v>0</v>
      </c>
      <c r="S41" s="86">
        <v>0</v>
      </c>
      <c r="T41" s="86">
        <v>0</v>
      </c>
      <c r="U41" s="86">
        <v>0</v>
      </c>
      <c r="V41" s="33"/>
    </row>
    <row r="42" spans="1:22" ht="14.4">
      <c r="A42" s="72">
        <v>37</v>
      </c>
      <c r="B42" s="72">
        <v>10371</v>
      </c>
      <c r="C42" s="86" t="s">
        <v>71</v>
      </c>
      <c r="D42" s="86">
        <v>1042</v>
      </c>
      <c r="E42" s="86">
        <v>224</v>
      </c>
      <c r="F42" s="86">
        <v>381</v>
      </c>
      <c r="G42" s="86">
        <v>0</v>
      </c>
      <c r="H42" s="86">
        <v>0</v>
      </c>
      <c r="I42" s="86">
        <v>0</v>
      </c>
      <c r="J42" s="86">
        <v>958</v>
      </c>
      <c r="K42" s="86">
        <v>224</v>
      </c>
      <c r="L42" s="86">
        <v>329</v>
      </c>
      <c r="M42" s="86">
        <v>0</v>
      </c>
      <c r="N42" s="86">
        <v>0</v>
      </c>
      <c r="O42" s="86">
        <v>0</v>
      </c>
      <c r="P42" s="86">
        <v>0</v>
      </c>
      <c r="Q42" s="86">
        <v>0</v>
      </c>
      <c r="R42" s="86">
        <v>0</v>
      </c>
      <c r="S42" s="86">
        <v>0</v>
      </c>
      <c r="T42" s="86">
        <v>0</v>
      </c>
      <c r="U42" s="86">
        <v>0</v>
      </c>
      <c r="V42" s="33"/>
    </row>
    <row r="43" spans="1:22" ht="14.4">
      <c r="A43" s="72">
        <v>38</v>
      </c>
      <c r="B43" s="72">
        <v>10389</v>
      </c>
      <c r="C43" s="86" t="s">
        <v>111</v>
      </c>
      <c r="D43" s="86">
        <v>403</v>
      </c>
      <c r="E43" s="86">
        <v>11</v>
      </c>
      <c r="F43" s="86">
        <v>392</v>
      </c>
      <c r="G43" s="86">
        <v>0</v>
      </c>
      <c r="H43" s="86">
        <v>0</v>
      </c>
      <c r="I43" s="86">
        <v>0</v>
      </c>
      <c r="J43" s="86">
        <v>238</v>
      </c>
      <c r="K43" s="86">
        <v>11</v>
      </c>
      <c r="L43" s="86">
        <v>227</v>
      </c>
      <c r="M43" s="86">
        <v>0</v>
      </c>
      <c r="N43" s="86">
        <v>0</v>
      </c>
      <c r="O43" s="86">
        <v>0</v>
      </c>
      <c r="P43" s="86">
        <v>0</v>
      </c>
      <c r="Q43" s="86">
        <v>0</v>
      </c>
      <c r="R43" s="86">
        <v>0</v>
      </c>
      <c r="S43" s="86">
        <v>0</v>
      </c>
      <c r="T43" s="86">
        <v>0</v>
      </c>
      <c r="U43" s="86">
        <v>0</v>
      </c>
      <c r="V43" s="33"/>
    </row>
    <row r="44" spans="1:22" ht="14.4">
      <c r="A44" s="72">
        <v>39</v>
      </c>
      <c r="B44" s="72">
        <v>10397</v>
      </c>
      <c r="C44" s="86" t="s">
        <v>112</v>
      </c>
      <c r="D44" s="86">
        <v>1780</v>
      </c>
      <c r="E44" s="86">
        <v>45</v>
      </c>
      <c r="F44" s="86">
        <v>971</v>
      </c>
      <c r="G44" s="86">
        <v>176</v>
      </c>
      <c r="H44" s="86">
        <v>0</v>
      </c>
      <c r="I44" s="86">
        <v>0</v>
      </c>
      <c r="J44" s="86">
        <v>1271</v>
      </c>
      <c r="K44" s="86">
        <v>45</v>
      </c>
      <c r="L44" s="86">
        <v>590</v>
      </c>
      <c r="M44" s="86">
        <v>137</v>
      </c>
      <c r="N44" s="86">
        <v>0</v>
      </c>
      <c r="O44" s="86">
        <v>0</v>
      </c>
      <c r="P44" s="86">
        <v>0</v>
      </c>
      <c r="Q44" s="86">
        <v>0</v>
      </c>
      <c r="R44" s="86">
        <v>0</v>
      </c>
      <c r="S44" s="86">
        <v>0</v>
      </c>
      <c r="T44" s="86">
        <v>0</v>
      </c>
      <c r="U44" s="86">
        <v>0</v>
      </c>
      <c r="V44" s="33"/>
    </row>
    <row r="45" spans="1:22" ht="14.4">
      <c r="A45" s="72">
        <v>40</v>
      </c>
      <c r="B45" s="72">
        <v>10405</v>
      </c>
      <c r="C45" s="86" t="s">
        <v>113</v>
      </c>
      <c r="D45" s="86">
        <v>98</v>
      </c>
      <c r="E45" s="86">
        <v>9</v>
      </c>
      <c r="F45" s="86">
        <v>21</v>
      </c>
      <c r="G45" s="86">
        <v>0</v>
      </c>
      <c r="H45" s="86">
        <v>0</v>
      </c>
      <c r="I45" s="86">
        <v>0</v>
      </c>
      <c r="J45" s="86">
        <v>93</v>
      </c>
      <c r="K45" s="86">
        <v>9</v>
      </c>
      <c r="L45" s="86">
        <v>18</v>
      </c>
      <c r="M45" s="86">
        <v>0</v>
      </c>
      <c r="N45" s="86">
        <v>0</v>
      </c>
      <c r="O45" s="86">
        <v>0</v>
      </c>
      <c r="P45" s="86">
        <v>0</v>
      </c>
      <c r="Q45" s="86">
        <v>0</v>
      </c>
      <c r="R45" s="86">
        <v>0</v>
      </c>
      <c r="S45" s="86">
        <v>0</v>
      </c>
      <c r="T45" s="86">
        <v>0</v>
      </c>
      <c r="U45" s="86">
        <v>0</v>
      </c>
      <c r="V45" s="33"/>
    </row>
    <row r="46" spans="1:22" ht="14.4">
      <c r="A46" s="72">
        <v>41</v>
      </c>
      <c r="B46" s="72">
        <v>10413</v>
      </c>
      <c r="C46" s="86" t="s">
        <v>114</v>
      </c>
      <c r="D46" s="86">
        <v>93</v>
      </c>
      <c r="E46" s="86">
        <v>19</v>
      </c>
      <c r="F46" s="86">
        <v>74</v>
      </c>
      <c r="G46" s="86">
        <v>0</v>
      </c>
      <c r="H46" s="86">
        <v>0</v>
      </c>
      <c r="I46" s="86">
        <v>0</v>
      </c>
      <c r="J46" s="86">
        <v>64</v>
      </c>
      <c r="K46" s="86">
        <v>19</v>
      </c>
      <c r="L46" s="86">
        <v>45</v>
      </c>
      <c r="M46" s="86">
        <v>0</v>
      </c>
      <c r="N46" s="86">
        <v>0</v>
      </c>
      <c r="O46" s="86">
        <v>0</v>
      </c>
      <c r="P46" s="86">
        <v>0</v>
      </c>
      <c r="Q46" s="86">
        <v>0</v>
      </c>
      <c r="R46" s="86">
        <v>0</v>
      </c>
      <c r="S46" s="86">
        <v>0</v>
      </c>
      <c r="T46" s="86">
        <v>0</v>
      </c>
      <c r="U46" s="86">
        <v>0</v>
      </c>
      <c r="V46" s="33"/>
    </row>
    <row r="47" spans="1:22" ht="14.4">
      <c r="A47" s="72">
        <v>42</v>
      </c>
      <c r="B47" s="72">
        <v>10421</v>
      </c>
      <c r="C47" s="86" t="s">
        <v>115</v>
      </c>
      <c r="D47" s="86">
        <v>85</v>
      </c>
      <c r="E47" s="86">
        <v>19</v>
      </c>
      <c r="F47" s="86">
        <v>66</v>
      </c>
      <c r="G47" s="86">
        <v>0</v>
      </c>
      <c r="H47" s="86">
        <v>0</v>
      </c>
      <c r="I47" s="86">
        <v>0</v>
      </c>
      <c r="J47" s="86">
        <v>75</v>
      </c>
      <c r="K47" s="86">
        <v>19</v>
      </c>
      <c r="L47" s="86">
        <v>56</v>
      </c>
      <c r="M47" s="86">
        <v>0</v>
      </c>
      <c r="N47" s="86">
        <v>0</v>
      </c>
      <c r="O47" s="86">
        <v>0</v>
      </c>
      <c r="P47" s="86">
        <v>0</v>
      </c>
      <c r="Q47" s="86">
        <v>0</v>
      </c>
      <c r="R47" s="86">
        <v>0</v>
      </c>
      <c r="S47" s="86">
        <v>0</v>
      </c>
      <c r="T47" s="86">
        <v>0</v>
      </c>
      <c r="U47" s="86">
        <v>0</v>
      </c>
      <c r="V47" s="33"/>
    </row>
    <row r="48" spans="1:22" ht="14.4">
      <c r="A48" s="72">
        <v>43</v>
      </c>
      <c r="B48" s="72">
        <v>10439</v>
      </c>
      <c r="C48" s="86" t="s">
        <v>116</v>
      </c>
      <c r="D48" s="86">
        <v>1071</v>
      </c>
      <c r="E48" s="86">
        <v>54</v>
      </c>
      <c r="F48" s="86">
        <v>975</v>
      </c>
      <c r="G48" s="86">
        <v>6</v>
      </c>
      <c r="H48" s="86">
        <v>0</v>
      </c>
      <c r="I48" s="86">
        <v>0</v>
      </c>
      <c r="J48" s="86">
        <v>691</v>
      </c>
      <c r="K48" s="86">
        <v>54</v>
      </c>
      <c r="L48" s="86">
        <v>600</v>
      </c>
      <c r="M48" s="86">
        <v>6</v>
      </c>
      <c r="N48" s="86">
        <v>0</v>
      </c>
      <c r="O48" s="86">
        <v>0</v>
      </c>
      <c r="P48" s="86">
        <v>0</v>
      </c>
      <c r="Q48" s="86">
        <v>0</v>
      </c>
      <c r="R48" s="86">
        <v>0</v>
      </c>
      <c r="S48" s="86">
        <v>0</v>
      </c>
      <c r="T48" s="86">
        <v>0</v>
      </c>
      <c r="U48" s="86">
        <v>0</v>
      </c>
      <c r="V48" s="33"/>
    </row>
    <row r="49" spans="1:22" ht="14.4">
      <c r="A49" s="72">
        <v>44</v>
      </c>
      <c r="B49" s="72">
        <v>10447</v>
      </c>
      <c r="C49" s="86" t="s">
        <v>117</v>
      </c>
      <c r="D49" s="86">
        <v>888</v>
      </c>
      <c r="E49" s="86">
        <v>65</v>
      </c>
      <c r="F49" s="86">
        <v>80</v>
      </c>
      <c r="G49" s="86">
        <v>27</v>
      </c>
      <c r="H49" s="86">
        <v>0</v>
      </c>
      <c r="I49" s="86">
        <v>0</v>
      </c>
      <c r="J49" s="86">
        <v>468</v>
      </c>
      <c r="K49" s="86">
        <v>65</v>
      </c>
      <c r="L49" s="86">
        <v>32</v>
      </c>
      <c r="M49" s="86">
        <v>17</v>
      </c>
      <c r="N49" s="86">
        <v>0</v>
      </c>
      <c r="O49" s="86">
        <v>0</v>
      </c>
      <c r="P49" s="86">
        <v>0</v>
      </c>
      <c r="Q49" s="86">
        <v>0</v>
      </c>
      <c r="R49" s="86">
        <v>0</v>
      </c>
      <c r="S49" s="86">
        <v>0</v>
      </c>
      <c r="T49" s="86">
        <v>0</v>
      </c>
      <c r="U49" s="86">
        <v>0</v>
      </c>
      <c r="V49" s="33"/>
    </row>
    <row r="50" spans="1:22" ht="14.4">
      <c r="A50" s="72">
        <v>45</v>
      </c>
      <c r="B50" s="72">
        <v>10454</v>
      </c>
      <c r="C50" s="86" t="s">
        <v>72</v>
      </c>
      <c r="D50" s="86">
        <v>165</v>
      </c>
      <c r="E50" s="86">
        <v>28</v>
      </c>
      <c r="F50" s="86">
        <v>137</v>
      </c>
      <c r="G50" s="86">
        <v>0</v>
      </c>
      <c r="H50" s="86">
        <v>0</v>
      </c>
      <c r="I50" s="86">
        <v>0</v>
      </c>
      <c r="J50" s="86">
        <v>147</v>
      </c>
      <c r="K50" s="86">
        <v>28</v>
      </c>
      <c r="L50" s="86">
        <v>119</v>
      </c>
      <c r="M50" s="86">
        <v>0</v>
      </c>
      <c r="N50" s="86">
        <v>0</v>
      </c>
      <c r="O50" s="86">
        <v>0</v>
      </c>
      <c r="P50" s="86">
        <v>0</v>
      </c>
      <c r="Q50" s="86">
        <v>0</v>
      </c>
      <c r="R50" s="86">
        <v>0</v>
      </c>
      <c r="S50" s="86">
        <v>0</v>
      </c>
      <c r="T50" s="86">
        <v>0</v>
      </c>
      <c r="U50" s="86">
        <v>0</v>
      </c>
      <c r="V50" s="33"/>
    </row>
    <row r="51" spans="1:22" ht="14.4">
      <c r="A51" s="72">
        <v>46</v>
      </c>
      <c r="B51" s="72">
        <v>10462</v>
      </c>
      <c r="C51" s="86" t="s">
        <v>73</v>
      </c>
      <c r="D51" s="86">
        <v>0</v>
      </c>
      <c r="E51" s="86">
        <v>0</v>
      </c>
      <c r="F51" s="86">
        <v>0</v>
      </c>
      <c r="G51" s="86">
        <v>0</v>
      </c>
      <c r="H51" s="86">
        <v>0</v>
      </c>
      <c r="I51" s="86">
        <v>0</v>
      </c>
      <c r="J51" s="86">
        <v>0</v>
      </c>
      <c r="K51" s="86">
        <v>0</v>
      </c>
      <c r="L51" s="86">
        <v>0</v>
      </c>
      <c r="M51" s="86">
        <v>0</v>
      </c>
      <c r="N51" s="86">
        <v>0</v>
      </c>
      <c r="O51" s="86">
        <v>0</v>
      </c>
      <c r="P51" s="86">
        <v>0</v>
      </c>
      <c r="Q51" s="86">
        <v>0</v>
      </c>
      <c r="R51" s="86">
        <v>0</v>
      </c>
      <c r="S51" s="86">
        <v>0</v>
      </c>
      <c r="T51" s="86">
        <v>0</v>
      </c>
      <c r="U51" s="86">
        <v>0</v>
      </c>
      <c r="V51" s="33"/>
    </row>
    <row r="52" spans="1:22" ht="14.4">
      <c r="A52" s="72">
        <v>47</v>
      </c>
      <c r="B52" s="72">
        <v>10470</v>
      </c>
      <c r="C52" s="86" t="s">
        <v>42</v>
      </c>
      <c r="D52" s="86">
        <v>68</v>
      </c>
      <c r="E52" s="86">
        <v>0</v>
      </c>
      <c r="F52" s="86">
        <v>68</v>
      </c>
      <c r="G52" s="86">
        <v>0</v>
      </c>
      <c r="H52" s="86">
        <v>0</v>
      </c>
      <c r="I52" s="86">
        <v>0</v>
      </c>
      <c r="J52" s="86">
        <v>22</v>
      </c>
      <c r="K52" s="86">
        <v>0</v>
      </c>
      <c r="L52" s="86">
        <v>22</v>
      </c>
      <c r="M52" s="86">
        <v>0</v>
      </c>
      <c r="N52" s="86">
        <v>0</v>
      </c>
      <c r="O52" s="86">
        <v>0</v>
      </c>
      <c r="P52" s="86">
        <v>0</v>
      </c>
      <c r="Q52" s="86">
        <v>0</v>
      </c>
      <c r="R52" s="86">
        <v>0</v>
      </c>
      <c r="S52" s="86">
        <v>0</v>
      </c>
      <c r="T52" s="86">
        <v>0</v>
      </c>
      <c r="U52" s="86">
        <v>0</v>
      </c>
      <c r="V52" s="33"/>
    </row>
    <row r="53" spans="1:22" ht="14.4">
      <c r="A53" s="72">
        <v>48</v>
      </c>
      <c r="B53" s="72">
        <v>10488</v>
      </c>
      <c r="C53" s="86" t="s">
        <v>74</v>
      </c>
      <c r="D53" s="86">
        <v>354</v>
      </c>
      <c r="E53" s="86">
        <v>17</v>
      </c>
      <c r="F53" s="86">
        <v>302</v>
      </c>
      <c r="G53" s="86">
        <v>0</v>
      </c>
      <c r="H53" s="86">
        <v>0</v>
      </c>
      <c r="I53" s="86">
        <v>0</v>
      </c>
      <c r="J53" s="86">
        <v>139</v>
      </c>
      <c r="K53" s="86">
        <v>17</v>
      </c>
      <c r="L53" s="86">
        <v>95</v>
      </c>
      <c r="M53" s="86">
        <v>0</v>
      </c>
      <c r="N53" s="86">
        <v>0</v>
      </c>
      <c r="O53" s="86">
        <v>0</v>
      </c>
      <c r="P53" s="86">
        <v>0</v>
      </c>
      <c r="Q53" s="86">
        <v>0</v>
      </c>
      <c r="R53" s="86">
        <v>0</v>
      </c>
      <c r="S53" s="86">
        <v>0</v>
      </c>
      <c r="T53" s="86">
        <v>0</v>
      </c>
      <c r="U53" s="86">
        <v>0</v>
      </c>
      <c r="V53" s="33"/>
    </row>
    <row r="54" spans="1:22" ht="14.4">
      <c r="A54" s="72">
        <v>49</v>
      </c>
      <c r="B54" s="72">
        <v>10496</v>
      </c>
      <c r="C54" s="86" t="s">
        <v>75</v>
      </c>
      <c r="D54" s="86">
        <v>317</v>
      </c>
      <c r="E54" s="86">
        <v>24</v>
      </c>
      <c r="F54" s="86">
        <v>235</v>
      </c>
      <c r="G54" s="86">
        <v>0</v>
      </c>
      <c r="H54" s="86">
        <v>0</v>
      </c>
      <c r="I54" s="86">
        <v>0</v>
      </c>
      <c r="J54" s="86">
        <v>188</v>
      </c>
      <c r="K54" s="86">
        <v>24</v>
      </c>
      <c r="L54" s="86">
        <v>121</v>
      </c>
      <c r="M54" s="86">
        <v>0</v>
      </c>
      <c r="N54" s="86">
        <v>0</v>
      </c>
      <c r="O54" s="86">
        <v>0</v>
      </c>
      <c r="P54" s="86">
        <v>0</v>
      </c>
      <c r="Q54" s="86">
        <v>0</v>
      </c>
      <c r="R54" s="86">
        <v>0</v>
      </c>
      <c r="S54" s="86">
        <v>0</v>
      </c>
      <c r="T54" s="86">
        <v>0</v>
      </c>
      <c r="U54" s="86">
        <v>0</v>
      </c>
      <c r="V54" s="33"/>
    </row>
    <row r="55" spans="1:22" ht="14.4">
      <c r="A55" s="72">
        <v>50</v>
      </c>
      <c r="B55" s="72">
        <v>10504</v>
      </c>
      <c r="C55" s="86" t="s">
        <v>41</v>
      </c>
      <c r="D55" s="86">
        <v>742</v>
      </c>
      <c r="E55" s="86">
        <v>54</v>
      </c>
      <c r="F55" s="86">
        <v>671</v>
      </c>
      <c r="G55" s="86">
        <v>8</v>
      </c>
      <c r="H55" s="86">
        <v>0</v>
      </c>
      <c r="I55" s="86">
        <v>0</v>
      </c>
      <c r="J55" s="86">
        <v>565</v>
      </c>
      <c r="K55" s="86">
        <v>54</v>
      </c>
      <c r="L55" s="86">
        <v>496</v>
      </c>
      <c r="M55" s="86">
        <v>7</v>
      </c>
      <c r="N55" s="86">
        <v>0</v>
      </c>
      <c r="O55" s="86">
        <v>0</v>
      </c>
      <c r="P55" s="86">
        <v>0</v>
      </c>
      <c r="Q55" s="86">
        <v>0</v>
      </c>
      <c r="R55" s="86">
        <v>0</v>
      </c>
      <c r="S55" s="86">
        <v>0</v>
      </c>
      <c r="T55" s="86">
        <v>0</v>
      </c>
      <c r="U55" s="86">
        <v>0</v>
      </c>
      <c r="V55" s="33"/>
    </row>
    <row r="56" spans="1:22" ht="14.4">
      <c r="A56" s="72">
        <v>51</v>
      </c>
      <c r="B56" s="72">
        <v>10512</v>
      </c>
      <c r="C56" s="86" t="s">
        <v>76</v>
      </c>
      <c r="D56" s="86">
        <v>354</v>
      </c>
      <c r="E56" s="86">
        <v>0</v>
      </c>
      <c r="F56" s="86">
        <v>320</v>
      </c>
      <c r="G56" s="86">
        <v>15</v>
      </c>
      <c r="H56" s="86">
        <v>0</v>
      </c>
      <c r="I56" s="86">
        <v>0</v>
      </c>
      <c r="J56" s="86">
        <v>310</v>
      </c>
      <c r="K56" s="86">
        <v>0</v>
      </c>
      <c r="L56" s="86">
        <v>282</v>
      </c>
      <c r="M56" s="86">
        <v>12</v>
      </c>
      <c r="N56" s="86">
        <v>0</v>
      </c>
      <c r="O56" s="86">
        <v>0</v>
      </c>
      <c r="P56" s="86">
        <v>0</v>
      </c>
      <c r="Q56" s="86">
        <v>0</v>
      </c>
      <c r="R56" s="86">
        <v>0</v>
      </c>
      <c r="S56" s="86">
        <v>0</v>
      </c>
      <c r="T56" s="86">
        <v>0</v>
      </c>
      <c r="U56" s="86">
        <v>0</v>
      </c>
      <c r="V56" s="33"/>
    </row>
    <row r="57" spans="1:22" ht="14.4">
      <c r="A57" s="72">
        <v>52</v>
      </c>
      <c r="B57" s="72">
        <v>10520</v>
      </c>
      <c r="C57" s="86" t="s">
        <v>77</v>
      </c>
      <c r="D57" s="86">
        <v>55</v>
      </c>
      <c r="E57" s="86">
        <v>11</v>
      </c>
      <c r="F57" s="86">
        <v>43</v>
      </c>
      <c r="G57" s="86">
        <v>0</v>
      </c>
      <c r="H57" s="86">
        <v>0</v>
      </c>
      <c r="I57" s="86">
        <v>0</v>
      </c>
      <c r="J57" s="86">
        <v>31</v>
      </c>
      <c r="K57" s="86">
        <v>11</v>
      </c>
      <c r="L57" s="86">
        <v>20</v>
      </c>
      <c r="M57" s="86">
        <v>0</v>
      </c>
      <c r="N57" s="86">
        <v>0</v>
      </c>
      <c r="O57" s="86">
        <v>0</v>
      </c>
      <c r="P57" s="86">
        <v>0</v>
      </c>
      <c r="Q57" s="86">
        <v>0</v>
      </c>
      <c r="R57" s="86">
        <v>0</v>
      </c>
      <c r="S57" s="86">
        <v>0</v>
      </c>
      <c r="T57" s="86">
        <v>0</v>
      </c>
      <c r="U57" s="86">
        <v>0</v>
      </c>
      <c r="V57" s="33"/>
    </row>
    <row r="58" spans="1:22" ht="14.4">
      <c r="A58" s="72">
        <v>53</v>
      </c>
      <c r="B58" s="72">
        <v>10538</v>
      </c>
      <c r="C58" s="86" t="s">
        <v>78</v>
      </c>
      <c r="D58" s="86">
        <v>14</v>
      </c>
      <c r="E58" s="86">
        <v>0</v>
      </c>
      <c r="F58" s="86">
        <v>6</v>
      </c>
      <c r="G58" s="86">
        <v>9</v>
      </c>
      <c r="H58" s="86">
        <v>0</v>
      </c>
      <c r="I58" s="86">
        <v>0</v>
      </c>
      <c r="J58" s="86">
        <v>11</v>
      </c>
      <c r="K58" s="86">
        <v>0</v>
      </c>
      <c r="L58" s="86">
        <v>6</v>
      </c>
      <c r="M58" s="86">
        <v>9</v>
      </c>
      <c r="N58" s="86">
        <v>0</v>
      </c>
      <c r="O58" s="86">
        <v>0</v>
      </c>
      <c r="P58" s="86">
        <v>0</v>
      </c>
      <c r="Q58" s="86">
        <v>0</v>
      </c>
      <c r="R58" s="86">
        <v>0</v>
      </c>
      <c r="S58" s="86">
        <v>0</v>
      </c>
      <c r="T58" s="86">
        <v>0</v>
      </c>
      <c r="U58" s="86">
        <v>0</v>
      </c>
      <c r="V58" s="33"/>
    </row>
    <row r="59" spans="1:22" ht="14.4">
      <c r="A59" s="72">
        <v>54</v>
      </c>
      <c r="B59" s="72">
        <v>10546</v>
      </c>
      <c r="C59" s="86" t="s">
        <v>31</v>
      </c>
      <c r="D59" s="86">
        <v>1151</v>
      </c>
      <c r="E59" s="86">
        <v>59</v>
      </c>
      <c r="F59" s="86">
        <v>1091</v>
      </c>
      <c r="G59" s="86">
        <v>2</v>
      </c>
      <c r="H59" s="86">
        <v>0</v>
      </c>
      <c r="I59" s="86">
        <v>0</v>
      </c>
      <c r="J59" s="86">
        <v>884</v>
      </c>
      <c r="K59" s="86">
        <v>59</v>
      </c>
      <c r="L59" s="86">
        <v>825</v>
      </c>
      <c r="M59" s="86">
        <v>1</v>
      </c>
      <c r="N59" s="86">
        <v>0</v>
      </c>
      <c r="O59" s="86">
        <v>0</v>
      </c>
      <c r="P59" s="86">
        <v>0</v>
      </c>
      <c r="Q59" s="86">
        <v>0</v>
      </c>
      <c r="R59" s="86">
        <v>0</v>
      </c>
      <c r="S59" s="86">
        <v>0</v>
      </c>
      <c r="T59" s="86">
        <v>0</v>
      </c>
      <c r="U59" s="86">
        <v>0</v>
      </c>
      <c r="V59" s="33"/>
    </row>
    <row r="60" spans="1:22" ht="14.4">
      <c r="A60" s="72">
        <v>55</v>
      </c>
      <c r="B60" s="72">
        <v>10553</v>
      </c>
      <c r="C60" s="86" t="s">
        <v>40</v>
      </c>
      <c r="D60" s="86">
        <v>80</v>
      </c>
      <c r="E60" s="86">
        <v>12</v>
      </c>
      <c r="F60" s="86">
        <v>66</v>
      </c>
      <c r="G60" s="86">
        <v>0</v>
      </c>
      <c r="H60" s="86">
        <v>0</v>
      </c>
      <c r="I60" s="86">
        <v>0</v>
      </c>
      <c r="J60" s="86">
        <v>52</v>
      </c>
      <c r="K60" s="86">
        <v>12</v>
      </c>
      <c r="L60" s="86">
        <v>38</v>
      </c>
      <c r="M60" s="86">
        <v>0</v>
      </c>
      <c r="N60" s="86">
        <v>0</v>
      </c>
      <c r="O60" s="86">
        <v>0</v>
      </c>
      <c r="P60" s="86">
        <v>0</v>
      </c>
      <c r="Q60" s="86">
        <v>0</v>
      </c>
      <c r="R60" s="86">
        <v>0</v>
      </c>
      <c r="S60" s="86">
        <v>0</v>
      </c>
      <c r="T60" s="86">
        <v>0</v>
      </c>
      <c r="U60" s="86">
        <v>0</v>
      </c>
      <c r="V60" s="33"/>
    </row>
    <row r="61" spans="1:22" ht="14.4">
      <c r="A61" s="72">
        <v>56</v>
      </c>
      <c r="B61" s="72">
        <v>10561</v>
      </c>
      <c r="C61" s="86" t="s">
        <v>39</v>
      </c>
      <c r="D61" s="86">
        <v>611</v>
      </c>
      <c r="E61" s="86">
        <v>46</v>
      </c>
      <c r="F61" s="86">
        <v>503</v>
      </c>
      <c r="G61" s="86">
        <v>0</v>
      </c>
      <c r="H61" s="86">
        <v>0</v>
      </c>
      <c r="I61" s="86">
        <v>0</v>
      </c>
      <c r="J61" s="86">
        <v>323</v>
      </c>
      <c r="K61" s="86">
        <v>46</v>
      </c>
      <c r="L61" s="86">
        <v>215</v>
      </c>
      <c r="M61" s="86">
        <v>0</v>
      </c>
      <c r="N61" s="86">
        <v>0</v>
      </c>
      <c r="O61" s="86">
        <v>0</v>
      </c>
      <c r="P61" s="86">
        <v>0</v>
      </c>
      <c r="Q61" s="86">
        <v>0</v>
      </c>
      <c r="R61" s="86">
        <v>0</v>
      </c>
      <c r="S61" s="86">
        <v>0</v>
      </c>
      <c r="T61" s="86">
        <v>0</v>
      </c>
      <c r="U61" s="86">
        <v>0</v>
      </c>
      <c r="V61" s="33"/>
    </row>
    <row r="62" spans="1:22" ht="14.4">
      <c r="A62" s="72">
        <v>57</v>
      </c>
      <c r="B62" s="72">
        <v>10579</v>
      </c>
      <c r="C62" s="86" t="s">
        <v>38</v>
      </c>
      <c r="D62" s="86">
        <v>204</v>
      </c>
      <c r="E62" s="86">
        <v>0</v>
      </c>
      <c r="F62" s="86">
        <v>167</v>
      </c>
      <c r="G62" s="86">
        <v>0</v>
      </c>
      <c r="H62" s="86">
        <v>0</v>
      </c>
      <c r="I62" s="86">
        <v>0</v>
      </c>
      <c r="J62" s="86">
        <v>123</v>
      </c>
      <c r="K62" s="86">
        <v>0</v>
      </c>
      <c r="L62" s="86">
        <v>93</v>
      </c>
      <c r="M62" s="86">
        <v>0</v>
      </c>
      <c r="N62" s="86">
        <v>0</v>
      </c>
      <c r="O62" s="86">
        <v>0</v>
      </c>
      <c r="P62" s="86">
        <v>0</v>
      </c>
      <c r="Q62" s="86">
        <v>0</v>
      </c>
      <c r="R62" s="86">
        <v>0</v>
      </c>
      <c r="S62" s="86">
        <v>0</v>
      </c>
      <c r="T62" s="86">
        <v>0</v>
      </c>
      <c r="U62" s="86">
        <v>0</v>
      </c>
      <c r="V62" s="33"/>
    </row>
    <row r="63" spans="1:22" ht="14.4">
      <c r="A63" s="72">
        <v>58</v>
      </c>
      <c r="B63" s="72">
        <v>10587</v>
      </c>
      <c r="C63" s="1064" t="s">
        <v>79</v>
      </c>
      <c r="D63" s="86">
        <v>248</v>
      </c>
      <c r="E63" s="86">
        <v>18</v>
      </c>
      <c r="F63" s="86">
        <v>181</v>
      </c>
      <c r="G63" s="86">
        <v>0</v>
      </c>
      <c r="H63" s="86">
        <v>0</v>
      </c>
      <c r="I63" s="86">
        <v>0</v>
      </c>
      <c r="J63" s="86">
        <v>178</v>
      </c>
      <c r="K63" s="86">
        <v>18</v>
      </c>
      <c r="L63" s="86">
        <v>113</v>
      </c>
      <c r="M63" s="86">
        <v>0</v>
      </c>
      <c r="N63" s="86">
        <v>0</v>
      </c>
      <c r="O63" s="86">
        <v>0</v>
      </c>
      <c r="P63" s="86">
        <v>0</v>
      </c>
      <c r="Q63" s="86">
        <v>0</v>
      </c>
      <c r="R63" s="86">
        <v>0</v>
      </c>
      <c r="S63" s="86">
        <v>0</v>
      </c>
      <c r="T63" s="86">
        <v>0</v>
      </c>
      <c r="U63" s="86">
        <v>0</v>
      </c>
      <c r="V63" s="33"/>
    </row>
    <row r="64" spans="1:22" ht="14.4">
      <c r="A64" s="322"/>
      <c r="B64" s="323"/>
      <c r="D64" s="324">
        <f>SUM(D6:D63)</f>
        <v>24155</v>
      </c>
      <c r="E64" s="324">
        <f t="shared" ref="E64:U64" si="0">SUM(E6:E63)</f>
        <v>2322</v>
      </c>
      <c r="F64" s="324">
        <f t="shared" si="0"/>
        <v>17113</v>
      </c>
      <c r="G64" s="324">
        <f t="shared" si="0"/>
        <v>572</v>
      </c>
      <c r="H64" s="324">
        <f t="shared" si="0"/>
        <v>0</v>
      </c>
      <c r="I64" s="324">
        <f t="shared" si="0"/>
        <v>0</v>
      </c>
      <c r="J64" s="324">
        <f t="shared" si="0"/>
        <v>17400</v>
      </c>
      <c r="K64" s="324">
        <f t="shared" si="0"/>
        <v>2322</v>
      </c>
      <c r="L64" s="324">
        <f t="shared" si="0"/>
        <v>11212</v>
      </c>
      <c r="M64" s="324">
        <f t="shared" si="0"/>
        <v>386</v>
      </c>
      <c r="N64" s="324">
        <f t="shared" si="0"/>
        <v>0</v>
      </c>
      <c r="O64" s="324">
        <f t="shared" si="0"/>
        <v>0</v>
      </c>
      <c r="P64" s="324">
        <f t="shared" si="0"/>
        <v>27</v>
      </c>
      <c r="Q64" s="324">
        <f t="shared" si="0"/>
        <v>0</v>
      </c>
      <c r="R64" s="324">
        <f t="shared" si="0"/>
        <v>0</v>
      </c>
      <c r="S64" s="324">
        <f t="shared" si="0"/>
        <v>27</v>
      </c>
      <c r="T64" s="324">
        <f t="shared" si="0"/>
        <v>0</v>
      </c>
      <c r="U64" s="324">
        <f t="shared" si="0"/>
        <v>0</v>
      </c>
    </row>
    <row r="65" spans="1:21" ht="14.4">
      <c r="A65" s="781"/>
      <c r="B65" s="782"/>
      <c r="D65" s="783"/>
      <c r="E65" s="783"/>
      <c r="F65" s="783"/>
      <c r="G65" s="783"/>
      <c r="H65" s="783"/>
      <c r="I65" s="783"/>
      <c r="J65" s="783"/>
      <c r="K65" s="783"/>
      <c r="L65" s="783"/>
      <c r="M65" s="783"/>
      <c r="N65" s="783"/>
      <c r="O65" s="783"/>
      <c r="P65" s="783"/>
      <c r="Q65" s="783"/>
      <c r="R65" s="783"/>
      <c r="S65" s="783"/>
      <c r="T65" s="783"/>
      <c r="U65" s="783"/>
    </row>
    <row r="66" spans="1:21">
      <c r="A66" s="74"/>
      <c r="D66" s="779">
        <f>SUM(D64:U64)</f>
        <v>75536</v>
      </c>
      <c r="L66" s="38"/>
    </row>
    <row r="67" spans="1:21">
      <c r="A67" s="74"/>
      <c r="D67" s="321" t="s">
        <v>162</v>
      </c>
      <c r="L67" s="37"/>
    </row>
    <row r="68" spans="1:21">
      <c r="A68" s="74"/>
      <c r="L68" s="37"/>
    </row>
    <row r="69" spans="1:21">
      <c r="A69" s="74"/>
      <c r="L69" s="36"/>
    </row>
    <row r="70" spans="1:21">
      <c r="A70" s="74"/>
    </row>
  </sheetData>
  <phoneticPr fontId="181" type="noConversion"/>
  <pageMargins left="0.25" right="0.25" top="0.75" bottom="0.75" header="0.3" footer="0.3"/>
  <pageSetup paperSize="5" scale="42" orientation="landscape" r:id="rId1"/>
  <headerFooter>
    <oddFooter>&amp;R&amp;F
&amp;A</oddFooter>
  </headerFooter>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V69"/>
  <sheetViews>
    <sheetView zoomScale="80" zoomScaleNormal="80" workbookViewId="0">
      <pane ySplit="5" topLeftCell="A53" activePane="bottomLeft" state="frozen"/>
      <selection activeCell="A2" sqref="A2"/>
      <selection pane="bottomLeft" activeCell="D2" sqref="D2"/>
    </sheetView>
  </sheetViews>
  <sheetFormatPr defaultColWidth="10.88671875" defaultRowHeight="15.6"/>
  <cols>
    <col min="1" max="1" width="10.88671875" style="63"/>
    <col min="2" max="2" width="15.6640625" style="75" customWidth="1"/>
    <col min="3" max="3" width="43.6640625" style="33" customWidth="1"/>
    <col min="4" max="5" width="17.5546875" style="34" customWidth="1"/>
    <col min="6" max="6" width="23.6640625" style="34" customWidth="1"/>
    <col min="7" max="8" width="20.6640625" style="34" customWidth="1"/>
    <col min="9" max="9" width="23.6640625" style="34" customWidth="1"/>
    <col min="10" max="10" width="17.5546875" style="34" customWidth="1"/>
    <col min="11" max="11" width="23.6640625" style="34" customWidth="1"/>
    <col min="12" max="12" width="20.6640625" style="34" customWidth="1"/>
    <col min="13" max="15" width="20.6640625" style="33" customWidth="1"/>
    <col min="16" max="17" width="17.6640625" style="33" customWidth="1"/>
    <col min="18" max="18" width="19.33203125" style="33" customWidth="1"/>
    <col min="19" max="19" width="20.6640625" style="33" customWidth="1"/>
    <col min="20" max="20" width="17.6640625" style="33" customWidth="1"/>
    <col min="21" max="21" width="20.6640625" style="33" customWidth="1"/>
    <col min="23" max="16384" width="10.88671875" style="33"/>
  </cols>
  <sheetData>
    <row r="1" spans="1:22" ht="25.5" customHeight="1">
      <c r="A1" s="772" t="s">
        <v>352</v>
      </c>
      <c r="B1" s="74"/>
      <c r="D1" s="242" t="s">
        <v>1633</v>
      </c>
      <c r="E1" s="33"/>
      <c r="G1" s="33"/>
      <c r="H1" s="33"/>
      <c r="I1" s="33"/>
      <c r="J1" s="33"/>
      <c r="K1" s="33"/>
      <c r="L1" s="33"/>
      <c r="V1" s="33"/>
    </row>
    <row r="2" spans="1:22" ht="25.5" customHeight="1">
      <c r="A2" s="765" t="s">
        <v>1776</v>
      </c>
      <c r="B2" s="762"/>
      <c r="C2" s="242"/>
      <c r="E2" s="33"/>
      <c r="F2" s="33"/>
      <c r="G2" s="33"/>
      <c r="H2" s="33"/>
      <c r="I2" s="33"/>
      <c r="J2" s="33"/>
      <c r="K2" s="33"/>
      <c r="L2" s="33"/>
      <c r="V2" s="33"/>
    </row>
    <row r="3" spans="1:22" s="136" customFormat="1" ht="25.5" customHeight="1">
      <c r="A3" s="771" t="str">
        <f>+'Data Entry'!H10</f>
        <v>2021-22</v>
      </c>
      <c r="B3" s="776" t="s">
        <v>1410</v>
      </c>
      <c r="D3" s="774" t="s">
        <v>1400</v>
      </c>
      <c r="E3" s="774" t="s">
        <v>1401</v>
      </c>
      <c r="F3" s="774" t="s">
        <v>1402</v>
      </c>
      <c r="G3" s="774" t="s">
        <v>1403</v>
      </c>
      <c r="H3" s="774" t="s">
        <v>1400</v>
      </c>
      <c r="I3" s="774" t="s">
        <v>1403</v>
      </c>
      <c r="J3" s="774" t="s">
        <v>1404</v>
      </c>
      <c r="K3" s="774" t="s">
        <v>1405</v>
      </c>
      <c r="L3" s="774" t="s">
        <v>1406</v>
      </c>
      <c r="M3" s="774" t="s">
        <v>1407</v>
      </c>
      <c r="N3" s="774" t="s">
        <v>1404</v>
      </c>
      <c r="O3" s="774" t="s">
        <v>1407</v>
      </c>
      <c r="P3" s="774" t="s">
        <v>1408</v>
      </c>
      <c r="Q3" s="774" t="s">
        <v>1401</v>
      </c>
      <c r="R3" s="774" t="s">
        <v>1408</v>
      </c>
      <c r="S3" s="774" t="s">
        <v>1409</v>
      </c>
      <c r="T3" s="774" t="s">
        <v>1405</v>
      </c>
      <c r="U3" s="774" t="s">
        <v>1409</v>
      </c>
    </row>
    <row r="4" spans="1:22" s="39" customFormat="1" ht="192" customHeight="1">
      <c r="A4" s="315" t="s">
        <v>16</v>
      </c>
      <c r="B4" s="315" t="s">
        <v>17</v>
      </c>
      <c r="C4" s="325" t="s">
        <v>20</v>
      </c>
      <c r="D4" s="315" t="s">
        <v>387</v>
      </c>
      <c r="E4" s="315" t="s">
        <v>390</v>
      </c>
      <c r="F4" s="315" t="s">
        <v>393</v>
      </c>
      <c r="G4" s="315" t="s">
        <v>396</v>
      </c>
      <c r="H4" s="315" t="s">
        <v>399</v>
      </c>
      <c r="I4" s="315" t="s">
        <v>402</v>
      </c>
      <c r="J4" s="315" t="s">
        <v>405</v>
      </c>
      <c r="K4" s="922" t="s">
        <v>408</v>
      </c>
      <c r="L4" s="315" t="s">
        <v>411</v>
      </c>
      <c r="M4" s="315" t="s">
        <v>414</v>
      </c>
      <c r="N4" s="325" t="s">
        <v>417</v>
      </c>
      <c r="O4" s="325" t="s">
        <v>420</v>
      </c>
      <c r="P4" s="325" t="s">
        <v>423</v>
      </c>
      <c r="Q4" s="325" t="s">
        <v>426</v>
      </c>
      <c r="R4" s="325" t="s">
        <v>429</v>
      </c>
      <c r="S4" s="325" t="s">
        <v>432</v>
      </c>
      <c r="T4" s="325" t="s">
        <v>435</v>
      </c>
      <c r="U4" s="325" t="s">
        <v>438</v>
      </c>
    </row>
    <row r="5" spans="1:22" s="351" customFormat="1">
      <c r="A5" s="319"/>
      <c r="B5" s="319"/>
      <c r="C5" s="350"/>
      <c r="D5" s="319" t="s">
        <v>11</v>
      </c>
      <c r="E5" s="319" t="s">
        <v>13</v>
      </c>
      <c r="F5" s="319" t="s">
        <v>9</v>
      </c>
      <c r="G5" s="318" t="s">
        <v>93</v>
      </c>
      <c r="H5" s="319" t="s">
        <v>92</v>
      </c>
      <c r="I5" s="319" t="s">
        <v>91</v>
      </c>
      <c r="J5" s="319" t="s">
        <v>100</v>
      </c>
      <c r="K5" s="318" t="s">
        <v>99</v>
      </c>
      <c r="L5" s="319" t="s">
        <v>21</v>
      </c>
      <c r="M5" s="319" t="s">
        <v>98</v>
      </c>
      <c r="N5" s="350" t="s">
        <v>28</v>
      </c>
      <c r="O5" s="350" t="s">
        <v>341</v>
      </c>
      <c r="P5" s="350" t="s">
        <v>131</v>
      </c>
      <c r="Q5" s="350" t="s">
        <v>12</v>
      </c>
      <c r="R5" s="350" t="s">
        <v>126</v>
      </c>
      <c r="S5" s="350" t="s">
        <v>10</v>
      </c>
      <c r="T5" s="350" t="s">
        <v>15</v>
      </c>
      <c r="U5" s="350" t="s">
        <v>96</v>
      </c>
    </row>
    <row r="6" spans="1:22" ht="14.4">
      <c r="A6" s="1063">
        <v>1</v>
      </c>
      <c r="B6" s="72">
        <v>10017</v>
      </c>
      <c r="C6" s="86" t="s">
        <v>49</v>
      </c>
      <c r="D6" s="86">
        <v>121</v>
      </c>
      <c r="E6" s="86">
        <v>64</v>
      </c>
      <c r="F6" s="86">
        <v>0</v>
      </c>
      <c r="G6" s="86">
        <v>0</v>
      </c>
      <c r="H6" s="86">
        <v>0</v>
      </c>
      <c r="I6" s="86">
        <v>0</v>
      </c>
      <c r="J6" s="86">
        <v>113</v>
      </c>
      <c r="K6" s="86">
        <v>64</v>
      </c>
      <c r="L6" s="86">
        <v>0</v>
      </c>
      <c r="M6" s="86">
        <v>0</v>
      </c>
      <c r="N6" s="86">
        <v>0</v>
      </c>
      <c r="O6" s="86">
        <v>0</v>
      </c>
      <c r="P6" s="86">
        <v>0</v>
      </c>
      <c r="Q6" s="86">
        <v>0</v>
      </c>
      <c r="R6" s="86">
        <v>0</v>
      </c>
      <c r="S6" s="86">
        <v>0</v>
      </c>
      <c r="T6" s="86">
        <v>0</v>
      </c>
      <c r="U6" s="86">
        <v>0</v>
      </c>
      <c r="V6" s="33"/>
    </row>
    <row r="7" spans="1:22" ht="14.4">
      <c r="A7" s="1063">
        <v>2</v>
      </c>
      <c r="B7" s="72">
        <v>10025</v>
      </c>
      <c r="C7" s="86" t="s">
        <v>51</v>
      </c>
      <c r="D7" s="86">
        <v>0</v>
      </c>
      <c r="E7" s="86">
        <v>0</v>
      </c>
      <c r="F7" s="86">
        <v>0</v>
      </c>
      <c r="G7" s="86">
        <v>0</v>
      </c>
      <c r="H7" s="86">
        <v>0</v>
      </c>
      <c r="I7" s="86">
        <v>0</v>
      </c>
      <c r="J7" s="86">
        <v>0</v>
      </c>
      <c r="K7" s="86">
        <v>0</v>
      </c>
      <c r="L7" s="86">
        <v>0</v>
      </c>
      <c r="M7" s="86">
        <v>0</v>
      </c>
      <c r="N7" s="86">
        <v>0</v>
      </c>
      <c r="O7" s="86">
        <v>0</v>
      </c>
      <c r="P7" s="86">
        <v>0</v>
      </c>
      <c r="Q7" s="86">
        <v>0</v>
      </c>
      <c r="R7" s="86">
        <v>0</v>
      </c>
      <c r="S7" s="86">
        <v>0</v>
      </c>
      <c r="T7" s="86">
        <v>0</v>
      </c>
      <c r="U7" s="86">
        <v>0</v>
      </c>
      <c r="V7" s="33"/>
    </row>
    <row r="8" spans="1:22" ht="14.4">
      <c r="A8" s="1063">
        <v>3</v>
      </c>
      <c r="B8" s="72">
        <v>10033</v>
      </c>
      <c r="C8" s="86" t="s">
        <v>52</v>
      </c>
      <c r="D8" s="86">
        <v>22</v>
      </c>
      <c r="E8" s="86">
        <v>0</v>
      </c>
      <c r="F8" s="86">
        <v>22</v>
      </c>
      <c r="G8" s="86">
        <v>0</v>
      </c>
      <c r="H8" s="86">
        <v>0</v>
      </c>
      <c r="I8" s="86">
        <v>0</v>
      </c>
      <c r="J8" s="86">
        <v>12</v>
      </c>
      <c r="K8" s="86">
        <v>0</v>
      </c>
      <c r="L8" s="86">
        <v>12</v>
      </c>
      <c r="M8" s="86">
        <v>0</v>
      </c>
      <c r="N8" s="86">
        <v>0</v>
      </c>
      <c r="O8" s="86">
        <v>0</v>
      </c>
      <c r="P8" s="86">
        <v>0</v>
      </c>
      <c r="Q8" s="86">
        <v>0</v>
      </c>
      <c r="R8" s="86">
        <v>0</v>
      </c>
      <c r="S8" s="86">
        <v>0</v>
      </c>
      <c r="T8" s="86">
        <v>0</v>
      </c>
      <c r="U8" s="86">
        <v>0</v>
      </c>
      <c r="V8" s="33"/>
    </row>
    <row r="9" spans="1:22" ht="14.4">
      <c r="A9" s="1063">
        <v>4</v>
      </c>
      <c r="B9" s="72">
        <v>10041</v>
      </c>
      <c r="C9" s="86" t="s">
        <v>53</v>
      </c>
      <c r="D9" s="86">
        <v>120</v>
      </c>
      <c r="E9" s="86">
        <v>9</v>
      </c>
      <c r="F9" s="86">
        <v>106</v>
      </c>
      <c r="G9" s="86">
        <v>0</v>
      </c>
      <c r="H9" s="86">
        <v>0</v>
      </c>
      <c r="I9" s="86">
        <v>0</v>
      </c>
      <c r="J9" s="86">
        <v>93</v>
      </c>
      <c r="K9" s="86">
        <v>9</v>
      </c>
      <c r="L9" s="86">
        <v>80</v>
      </c>
      <c r="M9" s="86">
        <v>0</v>
      </c>
      <c r="N9" s="86">
        <v>0</v>
      </c>
      <c r="O9" s="86">
        <v>0</v>
      </c>
      <c r="P9" s="86">
        <v>0</v>
      </c>
      <c r="Q9" s="86">
        <v>0</v>
      </c>
      <c r="R9" s="86">
        <v>0</v>
      </c>
      <c r="S9" s="86">
        <v>0</v>
      </c>
      <c r="T9" s="86">
        <v>0</v>
      </c>
      <c r="U9" s="86">
        <v>0</v>
      </c>
      <c r="V9" s="33"/>
    </row>
    <row r="10" spans="1:22" ht="14.4">
      <c r="A10" s="1063">
        <v>5</v>
      </c>
      <c r="B10" s="72">
        <v>10058</v>
      </c>
      <c r="C10" s="86" t="s">
        <v>54</v>
      </c>
      <c r="D10" s="86">
        <v>37</v>
      </c>
      <c r="E10" s="86">
        <v>0</v>
      </c>
      <c r="F10" s="86">
        <v>23</v>
      </c>
      <c r="G10" s="86">
        <v>0</v>
      </c>
      <c r="H10" s="86">
        <v>0</v>
      </c>
      <c r="I10" s="86">
        <v>0</v>
      </c>
      <c r="J10" s="86">
        <v>24</v>
      </c>
      <c r="K10" s="86">
        <v>0</v>
      </c>
      <c r="L10" s="86">
        <v>12</v>
      </c>
      <c r="M10" s="86">
        <v>0</v>
      </c>
      <c r="N10" s="86">
        <v>0</v>
      </c>
      <c r="O10" s="86">
        <v>0</v>
      </c>
      <c r="P10" s="86">
        <v>0</v>
      </c>
      <c r="Q10" s="86">
        <v>0</v>
      </c>
      <c r="R10" s="86">
        <v>0</v>
      </c>
      <c r="S10" s="86">
        <v>0</v>
      </c>
      <c r="T10" s="86">
        <v>0</v>
      </c>
      <c r="U10" s="86">
        <v>0</v>
      </c>
      <c r="V10" s="33"/>
    </row>
    <row r="11" spans="1:22" ht="14.4">
      <c r="A11" s="1063">
        <v>6</v>
      </c>
      <c r="B11" s="72">
        <v>10066</v>
      </c>
      <c r="C11" s="86" t="s">
        <v>55</v>
      </c>
      <c r="D11" s="86">
        <v>27</v>
      </c>
      <c r="E11" s="86">
        <v>0</v>
      </c>
      <c r="F11" s="86">
        <v>27</v>
      </c>
      <c r="G11" s="86">
        <v>0</v>
      </c>
      <c r="H11" s="86">
        <v>0</v>
      </c>
      <c r="I11" s="86">
        <v>0</v>
      </c>
      <c r="J11" s="86">
        <v>22</v>
      </c>
      <c r="K11" s="86">
        <v>0</v>
      </c>
      <c r="L11" s="86">
        <v>22</v>
      </c>
      <c r="M11" s="86">
        <v>0</v>
      </c>
      <c r="N11" s="86">
        <v>0</v>
      </c>
      <c r="O11" s="86">
        <v>0</v>
      </c>
      <c r="P11" s="86">
        <v>0</v>
      </c>
      <c r="Q11" s="86">
        <v>0</v>
      </c>
      <c r="R11" s="86">
        <v>0</v>
      </c>
      <c r="S11" s="86">
        <v>0</v>
      </c>
      <c r="T11" s="86">
        <v>0</v>
      </c>
      <c r="U11" s="86">
        <v>0</v>
      </c>
      <c r="V11" s="33"/>
    </row>
    <row r="12" spans="1:22" ht="14.4">
      <c r="A12" s="1063">
        <v>7</v>
      </c>
      <c r="B12" s="72">
        <v>10074</v>
      </c>
      <c r="C12" s="86" t="s">
        <v>109</v>
      </c>
      <c r="D12" s="86">
        <v>248</v>
      </c>
      <c r="E12" s="86">
        <v>49</v>
      </c>
      <c r="F12" s="86">
        <v>199</v>
      </c>
      <c r="G12" s="86">
        <v>10</v>
      </c>
      <c r="H12" s="86">
        <v>0</v>
      </c>
      <c r="I12" s="86">
        <v>0</v>
      </c>
      <c r="J12" s="86">
        <v>137</v>
      </c>
      <c r="K12" s="86">
        <v>49</v>
      </c>
      <c r="L12" s="86">
        <v>88</v>
      </c>
      <c r="M12" s="86">
        <v>9</v>
      </c>
      <c r="N12" s="86">
        <v>0</v>
      </c>
      <c r="O12" s="86">
        <v>0</v>
      </c>
      <c r="P12" s="86">
        <v>0</v>
      </c>
      <c r="Q12" s="86">
        <v>0</v>
      </c>
      <c r="R12" s="86">
        <v>0</v>
      </c>
      <c r="S12" s="86">
        <v>0</v>
      </c>
      <c r="T12" s="86">
        <v>0</v>
      </c>
      <c r="U12" s="86">
        <v>0</v>
      </c>
      <c r="V12" s="33"/>
    </row>
    <row r="13" spans="1:22" ht="14.4">
      <c r="A13" s="1063">
        <v>8</v>
      </c>
      <c r="B13" s="72">
        <v>10082</v>
      </c>
      <c r="C13" s="86" t="s">
        <v>56</v>
      </c>
      <c r="D13" s="86">
        <v>33</v>
      </c>
      <c r="E13" s="86">
        <v>7</v>
      </c>
      <c r="F13" s="86">
        <v>17</v>
      </c>
      <c r="G13" s="86">
        <v>0</v>
      </c>
      <c r="H13" s="86">
        <v>0</v>
      </c>
      <c r="I13" s="86">
        <v>0</v>
      </c>
      <c r="J13" s="86">
        <v>33</v>
      </c>
      <c r="K13" s="86">
        <v>7</v>
      </c>
      <c r="L13" s="86">
        <v>17</v>
      </c>
      <c r="M13" s="86">
        <v>0</v>
      </c>
      <c r="N13" s="86">
        <v>0</v>
      </c>
      <c r="O13" s="86">
        <v>0</v>
      </c>
      <c r="P13" s="86">
        <v>0</v>
      </c>
      <c r="Q13" s="86">
        <v>0</v>
      </c>
      <c r="R13" s="86">
        <v>0</v>
      </c>
      <c r="S13" s="86">
        <v>0</v>
      </c>
      <c r="T13" s="86">
        <v>0</v>
      </c>
      <c r="U13" s="86">
        <v>0</v>
      </c>
      <c r="V13" s="33"/>
    </row>
    <row r="14" spans="1:22" ht="14.4">
      <c r="A14" s="1063">
        <v>9</v>
      </c>
      <c r="B14" s="72">
        <v>10090</v>
      </c>
      <c r="C14" s="86" t="s">
        <v>37</v>
      </c>
      <c r="D14" s="86">
        <v>201</v>
      </c>
      <c r="E14" s="86">
        <v>2</v>
      </c>
      <c r="F14" s="86">
        <v>199</v>
      </c>
      <c r="G14" s="86">
        <v>235</v>
      </c>
      <c r="H14" s="86">
        <v>0</v>
      </c>
      <c r="I14" s="86">
        <v>0</v>
      </c>
      <c r="J14" s="86">
        <v>44</v>
      </c>
      <c r="K14" s="86">
        <v>2</v>
      </c>
      <c r="L14" s="86">
        <v>42</v>
      </c>
      <c r="M14" s="86">
        <v>103</v>
      </c>
      <c r="N14" s="86">
        <v>0</v>
      </c>
      <c r="O14" s="86">
        <v>0</v>
      </c>
      <c r="P14" s="86">
        <v>37</v>
      </c>
      <c r="Q14" s="86">
        <v>0</v>
      </c>
      <c r="R14" s="86">
        <v>0</v>
      </c>
      <c r="S14" s="86">
        <v>37</v>
      </c>
      <c r="T14" s="86">
        <v>0</v>
      </c>
      <c r="U14" s="86">
        <v>0</v>
      </c>
      <c r="V14" s="33"/>
    </row>
    <row r="15" spans="1:22" ht="14.4">
      <c r="A15" s="72">
        <v>10</v>
      </c>
      <c r="B15" s="72">
        <v>10108</v>
      </c>
      <c r="C15" s="86" t="s">
        <v>48</v>
      </c>
      <c r="D15" s="86">
        <v>745</v>
      </c>
      <c r="E15" s="86">
        <v>120</v>
      </c>
      <c r="F15" s="86">
        <v>616</v>
      </c>
      <c r="G15" s="86">
        <v>0</v>
      </c>
      <c r="H15" s="86">
        <v>0</v>
      </c>
      <c r="I15" s="86">
        <v>0</v>
      </c>
      <c r="J15" s="86">
        <v>620</v>
      </c>
      <c r="K15" s="86">
        <v>120</v>
      </c>
      <c r="L15" s="86">
        <v>491</v>
      </c>
      <c r="M15" s="86">
        <v>0</v>
      </c>
      <c r="N15" s="86">
        <v>0</v>
      </c>
      <c r="O15" s="86">
        <v>0</v>
      </c>
      <c r="P15" s="86">
        <v>0</v>
      </c>
      <c r="Q15" s="86">
        <v>0</v>
      </c>
      <c r="R15" s="86">
        <v>0</v>
      </c>
      <c r="S15" s="86">
        <v>0</v>
      </c>
      <c r="T15" s="86">
        <v>0</v>
      </c>
      <c r="U15" s="86">
        <v>0</v>
      </c>
      <c r="V15" s="33"/>
    </row>
    <row r="16" spans="1:22" ht="14.4">
      <c r="A16" s="72">
        <v>11</v>
      </c>
      <c r="B16" s="72">
        <v>10116</v>
      </c>
      <c r="C16" s="86" t="s">
        <v>47</v>
      </c>
      <c r="D16" s="86">
        <v>78</v>
      </c>
      <c r="E16" s="86">
        <v>0</v>
      </c>
      <c r="F16" s="86">
        <v>78</v>
      </c>
      <c r="G16" s="86">
        <v>0</v>
      </c>
      <c r="H16" s="86">
        <v>0</v>
      </c>
      <c r="I16" s="86">
        <v>0</v>
      </c>
      <c r="J16" s="86">
        <v>50</v>
      </c>
      <c r="K16" s="86">
        <v>0</v>
      </c>
      <c r="L16" s="86">
        <v>50</v>
      </c>
      <c r="M16" s="86">
        <v>0</v>
      </c>
      <c r="N16" s="86">
        <v>0</v>
      </c>
      <c r="O16" s="86">
        <v>0</v>
      </c>
      <c r="P16" s="86">
        <v>0</v>
      </c>
      <c r="Q16" s="86">
        <v>0</v>
      </c>
      <c r="R16" s="86">
        <v>0</v>
      </c>
      <c r="S16" s="86">
        <v>0</v>
      </c>
      <c r="T16" s="86">
        <v>0</v>
      </c>
      <c r="U16" s="86">
        <v>0</v>
      </c>
      <c r="V16" s="33"/>
    </row>
    <row r="17" spans="1:22" ht="14.4">
      <c r="A17" s="72">
        <v>12</v>
      </c>
      <c r="B17" s="72">
        <v>10124</v>
      </c>
      <c r="C17" s="86" t="s">
        <v>57</v>
      </c>
      <c r="D17" s="86">
        <v>252</v>
      </c>
      <c r="E17" s="86">
        <v>10</v>
      </c>
      <c r="F17" s="86">
        <v>117</v>
      </c>
      <c r="G17" s="86">
        <v>0</v>
      </c>
      <c r="H17" s="86">
        <v>0</v>
      </c>
      <c r="I17" s="86">
        <v>0</v>
      </c>
      <c r="J17" s="86">
        <v>244</v>
      </c>
      <c r="K17" s="86">
        <v>10</v>
      </c>
      <c r="L17" s="86">
        <v>115</v>
      </c>
      <c r="M17" s="86">
        <v>0</v>
      </c>
      <c r="N17" s="86">
        <v>0</v>
      </c>
      <c r="O17" s="86">
        <v>0</v>
      </c>
      <c r="P17" s="86">
        <v>0</v>
      </c>
      <c r="Q17" s="86">
        <v>0</v>
      </c>
      <c r="R17" s="86">
        <v>0</v>
      </c>
      <c r="S17" s="86">
        <v>0</v>
      </c>
      <c r="T17" s="86">
        <v>0</v>
      </c>
      <c r="U17" s="86">
        <v>0</v>
      </c>
      <c r="V17" s="33"/>
    </row>
    <row r="18" spans="1:22" ht="14.4">
      <c r="A18" s="72">
        <v>13</v>
      </c>
      <c r="B18" s="72">
        <v>10132</v>
      </c>
      <c r="C18" s="86" t="s">
        <v>58</v>
      </c>
      <c r="D18" s="86">
        <v>578</v>
      </c>
      <c r="E18" s="86">
        <v>9</v>
      </c>
      <c r="F18" s="86">
        <v>459</v>
      </c>
      <c r="G18" s="86">
        <v>4</v>
      </c>
      <c r="H18" s="86">
        <v>0</v>
      </c>
      <c r="I18" s="86">
        <v>0</v>
      </c>
      <c r="J18" s="86">
        <v>484</v>
      </c>
      <c r="K18" s="86">
        <v>9</v>
      </c>
      <c r="L18" s="86">
        <v>369</v>
      </c>
      <c r="M18" s="86">
        <v>4</v>
      </c>
      <c r="N18" s="86">
        <v>0</v>
      </c>
      <c r="O18" s="86">
        <v>0</v>
      </c>
      <c r="P18" s="86">
        <v>0</v>
      </c>
      <c r="Q18" s="86">
        <v>0</v>
      </c>
      <c r="R18" s="86">
        <v>0</v>
      </c>
      <c r="S18" s="86">
        <v>0</v>
      </c>
      <c r="T18" s="86">
        <v>0</v>
      </c>
      <c r="U18" s="86">
        <v>0</v>
      </c>
      <c r="V18" s="33"/>
    </row>
    <row r="19" spans="1:22" ht="14.4">
      <c r="A19" s="72">
        <v>14</v>
      </c>
      <c r="B19" s="72">
        <v>10140</v>
      </c>
      <c r="C19" s="86" t="s">
        <v>36</v>
      </c>
      <c r="D19" s="86">
        <v>7</v>
      </c>
      <c r="E19" s="86">
        <v>0</v>
      </c>
      <c r="F19" s="86">
        <v>6</v>
      </c>
      <c r="G19" s="86">
        <v>0</v>
      </c>
      <c r="H19" s="86">
        <v>0</v>
      </c>
      <c r="I19" s="86">
        <v>0</v>
      </c>
      <c r="J19" s="86">
        <v>6</v>
      </c>
      <c r="K19" s="86">
        <v>0</v>
      </c>
      <c r="L19" s="86">
        <v>5</v>
      </c>
      <c r="M19" s="86">
        <v>0</v>
      </c>
      <c r="N19" s="86">
        <v>0</v>
      </c>
      <c r="O19" s="86">
        <v>0</v>
      </c>
      <c r="P19" s="86">
        <v>0</v>
      </c>
      <c r="Q19" s="86">
        <v>0</v>
      </c>
      <c r="R19" s="86">
        <v>0</v>
      </c>
      <c r="S19" s="86">
        <v>0</v>
      </c>
      <c r="T19" s="86">
        <v>0</v>
      </c>
      <c r="U19" s="86">
        <v>0</v>
      </c>
      <c r="V19" s="33"/>
    </row>
    <row r="20" spans="1:22" ht="14.4">
      <c r="A20" s="72">
        <v>15</v>
      </c>
      <c r="B20" s="72">
        <v>10157</v>
      </c>
      <c r="C20" s="86" t="s">
        <v>46</v>
      </c>
      <c r="D20" s="86">
        <v>889</v>
      </c>
      <c r="E20" s="86">
        <v>162</v>
      </c>
      <c r="F20" s="86">
        <v>474</v>
      </c>
      <c r="G20" s="86">
        <v>0</v>
      </c>
      <c r="H20" s="86">
        <v>0</v>
      </c>
      <c r="I20" s="86">
        <v>0</v>
      </c>
      <c r="J20" s="86">
        <v>684</v>
      </c>
      <c r="K20" s="86">
        <v>162</v>
      </c>
      <c r="L20" s="86">
        <v>288</v>
      </c>
      <c r="M20" s="86">
        <v>0</v>
      </c>
      <c r="N20" s="86">
        <v>0</v>
      </c>
      <c r="O20" s="86">
        <v>0</v>
      </c>
      <c r="P20" s="86">
        <v>0</v>
      </c>
      <c r="Q20" s="86">
        <v>0</v>
      </c>
      <c r="R20" s="86">
        <v>0</v>
      </c>
      <c r="S20" s="86">
        <v>0</v>
      </c>
      <c r="T20" s="86">
        <v>0</v>
      </c>
      <c r="U20" s="86">
        <v>0</v>
      </c>
      <c r="V20" s="33"/>
    </row>
    <row r="21" spans="1:22" ht="14.4">
      <c r="A21" s="72">
        <v>16</v>
      </c>
      <c r="B21" s="72">
        <v>10165</v>
      </c>
      <c r="C21" s="86" t="s">
        <v>59</v>
      </c>
      <c r="D21" s="86">
        <v>326</v>
      </c>
      <c r="E21" s="86">
        <v>23</v>
      </c>
      <c r="F21" s="86">
        <v>303</v>
      </c>
      <c r="G21" s="86">
        <v>0</v>
      </c>
      <c r="H21" s="86">
        <v>0</v>
      </c>
      <c r="I21" s="86">
        <v>0</v>
      </c>
      <c r="J21" s="86">
        <v>227</v>
      </c>
      <c r="K21" s="86">
        <v>23</v>
      </c>
      <c r="L21" s="86">
        <v>204</v>
      </c>
      <c r="M21" s="86">
        <v>0</v>
      </c>
      <c r="N21" s="86">
        <v>0</v>
      </c>
      <c r="O21" s="86">
        <v>0</v>
      </c>
      <c r="P21" s="86">
        <v>0</v>
      </c>
      <c r="Q21" s="86">
        <v>0</v>
      </c>
      <c r="R21" s="86">
        <v>0</v>
      </c>
      <c r="S21" s="86">
        <v>0</v>
      </c>
      <c r="T21" s="86">
        <v>0</v>
      </c>
      <c r="U21" s="86">
        <v>0</v>
      </c>
      <c r="V21" s="33"/>
    </row>
    <row r="22" spans="1:22" ht="14.4">
      <c r="A22" s="72">
        <v>17</v>
      </c>
      <c r="B22" s="72">
        <v>10173</v>
      </c>
      <c r="C22" s="86" t="s">
        <v>60</v>
      </c>
      <c r="D22" s="86">
        <v>28</v>
      </c>
      <c r="E22" s="86">
        <v>0</v>
      </c>
      <c r="F22" s="86">
        <v>26</v>
      </c>
      <c r="G22" s="86">
        <v>0</v>
      </c>
      <c r="H22" s="86">
        <v>0</v>
      </c>
      <c r="I22" s="86">
        <v>0</v>
      </c>
      <c r="J22" s="86">
        <v>23</v>
      </c>
      <c r="K22" s="86">
        <v>0</v>
      </c>
      <c r="L22" s="86">
        <v>21</v>
      </c>
      <c r="M22" s="86">
        <v>0</v>
      </c>
      <c r="N22" s="86">
        <v>0</v>
      </c>
      <c r="O22" s="86">
        <v>0</v>
      </c>
      <c r="P22" s="86">
        <v>0</v>
      </c>
      <c r="Q22" s="86">
        <v>0</v>
      </c>
      <c r="R22" s="86">
        <v>0</v>
      </c>
      <c r="S22" s="86">
        <v>0</v>
      </c>
      <c r="T22" s="86">
        <v>0</v>
      </c>
      <c r="U22" s="86">
        <v>0</v>
      </c>
      <c r="V22" s="33"/>
    </row>
    <row r="23" spans="1:22" ht="14.4">
      <c r="A23" s="72">
        <v>18</v>
      </c>
      <c r="B23" s="72">
        <v>10181</v>
      </c>
      <c r="C23" s="86" t="s">
        <v>61</v>
      </c>
      <c r="D23" s="86">
        <v>9</v>
      </c>
      <c r="E23" s="86">
        <v>0</v>
      </c>
      <c r="F23" s="86">
        <v>9</v>
      </c>
      <c r="G23" s="86">
        <v>0</v>
      </c>
      <c r="H23" s="86">
        <v>0</v>
      </c>
      <c r="I23" s="86">
        <v>0</v>
      </c>
      <c r="J23" s="86">
        <v>1</v>
      </c>
      <c r="K23" s="86">
        <v>0</v>
      </c>
      <c r="L23" s="86">
        <v>1</v>
      </c>
      <c r="M23" s="86">
        <v>0</v>
      </c>
      <c r="N23" s="86">
        <v>0</v>
      </c>
      <c r="O23" s="86">
        <v>0</v>
      </c>
      <c r="P23" s="86">
        <v>0</v>
      </c>
      <c r="Q23" s="86">
        <v>0</v>
      </c>
      <c r="R23" s="86">
        <v>0</v>
      </c>
      <c r="S23" s="86">
        <v>0</v>
      </c>
      <c r="T23" s="86">
        <v>0</v>
      </c>
      <c r="U23" s="86">
        <v>0</v>
      </c>
      <c r="V23" s="33"/>
    </row>
    <row r="24" spans="1:22" ht="14.4">
      <c r="A24" s="72">
        <v>19</v>
      </c>
      <c r="B24" s="72">
        <v>10199</v>
      </c>
      <c r="C24" s="86" t="s">
        <v>45</v>
      </c>
      <c r="D24" s="86">
        <v>1457</v>
      </c>
      <c r="E24" s="86">
        <v>333</v>
      </c>
      <c r="F24" s="86">
        <v>1100</v>
      </c>
      <c r="G24" s="86">
        <v>0</v>
      </c>
      <c r="H24" s="86">
        <v>0</v>
      </c>
      <c r="I24" s="86">
        <v>0</v>
      </c>
      <c r="J24" s="86">
        <v>644</v>
      </c>
      <c r="K24" s="86">
        <v>333</v>
      </c>
      <c r="L24" s="86">
        <v>293</v>
      </c>
      <c r="M24" s="86">
        <v>0</v>
      </c>
      <c r="N24" s="86">
        <v>0</v>
      </c>
      <c r="O24" s="86">
        <v>0</v>
      </c>
      <c r="P24" s="86">
        <v>0</v>
      </c>
      <c r="Q24" s="86">
        <v>0</v>
      </c>
      <c r="R24" s="86">
        <v>0</v>
      </c>
      <c r="S24" s="86">
        <v>0</v>
      </c>
      <c r="T24" s="86">
        <v>0</v>
      </c>
      <c r="U24" s="86">
        <v>0</v>
      </c>
      <c r="V24" s="33"/>
    </row>
    <row r="25" spans="1:22" ht="14.4">
      <c r="A25" s="72">
        <v>20</v>
      </c>
      <c r="B25" s="72">
        <v>10207</v>
      </c>
      <c r="C25" s="86" t="s">
        <v>124</v>
      </c>
      <c r="D25" s="86">
        <v>367</v>
      </c>
      <c r="E25" s="86">
        <v>17</v>
      </c>
      <c r="F25" s="86">
        <v>350</v>
      </c>
      <c r="G25" s="86">
        <v>15</v>
      </c>
      <c r="H25" s="86">
        <v>0</v>
      </c>
      <c r="I25" s="86">
        <v>0</v>
      </c>
      <c r="J25" s="86">
        <v>312</v>
      </c>
      <c r="K25" s="86">
        <v>17</v>
      </c>
      <c r="L25" s="86">
        <v>295</v>
      </c>
      <c r="M25" s="86">
        <v>12</v>
      </c>
      <c r="N25" s="86">
        <v>0</v>
      </c>
      <c r="O25" s="86">
        <v>0</v>
      </c>
      <c r="P25" s="86">
        <v>0</v>
      </c>
      <c r="Q25" s="86">
        <v>0</v>
      </c>
      <c r="R25" s="86">
        <v>0</v>
      </c>
      <c r="S25" s="86">
        <v>0</v>
      </c>
      <c r="T25" s="86">
        <v>0</v>
      </c>
      <c r="U25" s="86">
        <v>0</v>
      </c>
      <c r="V25" s="33"/>
    </row>
    <row r="26" spans="1:22" ht="14.4">
      <c r="A26" s="72">
        <v>21</v>
      </c>
      <c r="B26" s="72">
        <v>10215</v>
      </c>
      <c r="C26" s="86" t="s">
        <v>62</v>
      </c>
      <c r="D26" s="86">
        <v>262</v>
      </c>
      <c r="E26" s="86">
        <v>5</v>
      </c>
      <c r="F26" s="86">
        <v>232</v>
      </c>
      <c r="G26" s="86">
        <v>10</v>
      </c>
      <c r="H26" s="86">
        <v>0</v>
      </c>
      <c r="I26" s="86">
        <v>0</v>
      </c>
      <c r="J26" s="86">
        <v>113</v>
      </c>
      <c r="K26" s="86">
        <v>5</v>
      </c>
      <c r="L26" s="86">
        <v>89</v>
      </c>
      <c r="M26" s="86">
        <v>7</v>
      </c>
      <c r="N26" s="86">
        <v>0</v>
      </c>
      <c r="O26" s="86">
        <v>0</v>
      </c>
      <c r="P26" s="86">
        <v>0</v>
      </c>
      <c r="Q26" s="86">
        <v>0</v>
      </c>
      <c r="R26" s="86">
        <v>0</v>
      </c>
      <c r="S26" s="86">
        <v>0</v>
      </c>
      <c r="T26" s="86">
        <v>0</v>
      </c>
      <c r="U26" s="86">
        <v>0</v>
      </c>
      <c r="V26" s="33"/>
    </row>
    <row r="27" spans="1:22" ht="14.4">
      <c r="A27" s="72">
        <v>22</v>
      </c>
      <c r="B27" s="72">
        <v>10223</v>
      </c>
      <c r="C27" s="86" t="s">
        <v>63</v>
      </c>
      <c r="D27" s="86">
        <v>36</v>
      </c>
      <c r="E27" s="86">
        <v>0</v>
      </c>
      <c r="F27" s="86">
        <v>36</v>
      </c>
      <c r="G27" s="86">
        <v>0</v>
      </c>
      <c r="H27" s="86">
        <v>0</v>
      </c>
      <c r="I27" s="86">
        <v>0</v>
      </c>
      <c r="J27" s="86">
        <v>25</v>
      </c>
      <c r="K27" s="86">
        <v>0</v>
      </c>
      <c r="L27" s="86">
        <v>25</v>
      </c>
      <c r="M27" s="86">
        <v>0</v>
      </c>
      <c r="N27" s="86">
        <v>0</v>
      </c>
      <c r="O27" s="86">
        <v>0</v>
      </c>
      <c r="P27" s="86">
        <v>0</v>
      </c>
      <c r="Q27" s="86">
        <v>0</v>
      </c>
      <c r="R27" s="86">
        <v>0</v>
      </c>
      <c r="S27" s="86">
        <v>0</v>
      </c>
      <c r="T27" s="86">
        <v>0</v>
      </c>
      <c r="U27" s="86">
        <v>0</v>
      </c>
      <c r="V27" s="33"/>
    </row>
    <row r="28" spans="1:22" ht="14.4">
      <c r="A28" s="72">
        <v>23</v>
      </c>
      <c r="B28" s="72">
        <v>10231</v>
      </c>
      <c r="C28" s="86" t="s">
        <v>64</v>
      </c>
      <c r="D28" s="86">
        <v>88</v>
      </c>
      <c r="E28" s="86">
        <v>8</v>
      </c>
      <c r="F28" s="86">
        <v>71</v>
      </c>
      <c r="G28" s="86">
        <v>0</v>
      </c>
      <c r="H28" s="86">
        <v>0</v>
      </c>
      <c r="I28" s="86">
        <v>0</v>
      </c>
      <c r="J28" s="86">
        <v>76</v>
      </c>
      <c r="K28" s="86">
        <v>8</v>
      </c>
      <c r="L28" s="86">
        <v>59</v>
      </c>
      <c r="M28" s="86">
        <v>0</v>
      </c>
      <c r="N28" s="86">
        <v>0</v>
      </c>
      <c r="O28" s="86">
        <v>0</v>
      </c>
      <c r="P28" s="86">
        <v>0</v>
      </c>
      <c r="Q28" s="86">
        <v>0</v>
      </c>
      <c r="R28" s="86">
        <v>0</v>
      </c>
      <c r="S28" s="86">
        <v>0</v>
      </c>
      <c r="T28" s="86">
        <v>0</v>
      </c>
      <c r="U28" s="86">
        <v>0</v>
      </c>
      <c r="V28" s="33"/>
    </row>
    <row r="29" spans="1:22" ht="14.4">
      <c r="A29" s="72">
        <v>24</v>
      </c>
      <c r="B29" s="72">
        <v>10249</v>
      </c>
      <c r="C29" s="86" t="s">
        <v>65</v>
      </c>
      <c r="D29" s="86">
        <v>1216</v>
      </c>
      <c r="E29" s="86">
        <v>24</v>
      </c>
      <c r="F29" s="86">
        <v>1027</v>
      </c>
      <c r="G29" s="86">
        <v>0</v>
      </c>
      <c r="H29" s="86">
        <v>0</v>
      </c>
      <c r="I29" s="86">
        <v>0</v>
      </c>
      <c r="J29" s="86">
        <v>981</v>
      </c>
      <c r="K29" s="86">
        <v>24</v>
      </c>
      <c r="L29" s="86">
        <v>801</v>
      </c>
      <c r="M29" s="86">
        <v>0</v>
      </c>
      <c r="N29" s="86">
        <v>0</v>
      </c>
      <c r="O29" s="86">
        <v>0</v>
      </c>
      <c r="P29" s="86">
        <v>0</v>
      </c>
      <c r="Q29" s="86">
        <v>0</v>
      </c>
      <c r="R29" s="86">
        <v>0</v>
      </c>
      <c r="S29" s="86">
        <v>0</v>
      </c>
      <c r="T29" s="86">
        <v>0</v>
      </c>
      <c r="U29" s="86">
        <v>0</v>
      </c>
      <c r="V29" s="33"/>
    </row>
    <row r="30" spans="1:22" ht="14.4">
      <c r="A30" s="72">
        <v>25</v>
      </c>
      <c r="B30" s="72">
        <v>10256</v>
      </c>
      <c r="C30" s="86" t="s">
        <v>66</v>
      </c>
      <c r="D30" s="86">
        <v>0</v>
      </c>
      <c r="E30" s="86">
        <v>0</v>
      </c>
      <c r="F30" s="86">
        <v>0</v>
      </c>
      <c r="G30" s="86">
        <v>0</v>
      </c>
      <c r="H30" s="86">
        <v>0</v>
      </c>
      <c r="I30" s="86">
        <v>0</v>
      </c>
      <c r="J30" s="86">
        <v>0</v>
      </c>
      <c r="K30" s="86">
        <v>0</v>
      </c>
      <c r="L30" s="86">
        <v>0</v>
      </c>
      <c r="M30" s="86">
        <v>0</v>
      </c>
      <c r="N30" s="86">
        <v>0</v>
      </c>
      <c r="O30" s="86">
        <v>0</v>
      </c>
      <c r="P30" s="86">
        <v>0</v>
      </c>
      <c r="Q30" s="86">
        <v>0</v>
      </c>
      <c r="R30" s="86">
        <v>0</v>
      </c>
      <c r="S30" s="86">
        <v>0</v>
      </c>
      <c r="T30" s="86">
        <v>0</v>
      </c>
      <c r="U30" s="86">
        <v>0</v>
      </c>
      <c r="V30" s="33"/>
    </row>
    <row r="31" spans="1:22" ht="14.4">
      <c r="A31" s="72">
        <v>26</v>
      </c>
      <c r="B31" s="72">
        <v>10264</v>
      </c>
      <c r="C31" s="86" t="s">
        <v>35</v>
      </c>
      <c r="D31" s="86">
        <v>14</v>
      </c>
      <c r="E31" s="86">
        <v>0</v>
      </c>
      <c r="F31" s="86">
        <v>14</v>
      </c>
      <c r="G31" s="86">
        <v>0</v>
      </c>
      <c r="H31" s="86">
        <v>0</v>
      </c>
      <c r="I31" s="86">
        <v>0</v>
      </c>
      <c r="J31" s="86">
        <v>10</v>
      </c>
      <c r="K31" s="86">
        <v>0</v>
      </c>
      <c r="L31" s="86">
        <v>10</v>
      </c>
      <c r="M31" s="86">
        <v>0</v>
      </c>
      <c r="N31" s="86">
        <v>0</v>
      </c>
      <c r="O31" s="86">
        <v>0</v>
      </c>
      <c r="P31" s="86">
        <v>0</v>
      </c>
      <c r="Q31" s="86">
        <v>0</v>
      </c>
      <c r="R31" s="86">
        <v>0</v>
      </c>
      <c r="S31" s="86">
        <v>0</v>
      </c>
      <c r="T31" s="86">
        <v>0</v>
      </c>
      <c r="U31" s="86">
        <v>0</v>
      </c>
      <c r="V31" s="33"/>
    </row>
    <row r="32" spans="1:22" ht="14.4">
      <c r="A32" s="72">
        <v>27</v>
      </c>
      <c r="B32" s="72">
        <v>10272</v>
      </c>
      <c r="C32" s="86" t="s">
        <v>44</v>
      </c>
      <c r="D32" s="86">
        <v>424</v>
      </c>
      <c r="E32" s="86">
        <v>43</v>
      </c>
      <c r="F32" s="86">
        <v>358</v>
      </c>
      <c r="G32" s="86">
        <v>0</v>
      </c>
      <c r="H32" s="86">
        <v>0</v>
      </c>
      <c r="I32" s="86">
        <v>0</v>
      </c>
      <c r="J32" s="86">
        <v>361</v>
      </c>
      <c r="K32" s="86">
        <v>43</v>
      </c>
      <c r="L32" s="86">
        <v>296</v>
      </c>
      <c r="M32" s="86">
        <v>0</v>
      </c>
      <c r="N32" s="86">
        <v>0</v>
      </c>
      <c r="O32" s="86">
        <v>0</v>
      </c>
      <c r="P32" s="86">
        <v>0</v>
      </c>
      <c r="Q32" s="86">
        <v>0</v>
      </c>
      <c r="R32" s="86">
        <v>0</v>
      </c>
      <c r="S32" s="86">
        <v>0</v>
      </c>
      <c r="T32" s="86">
        <v>0</v>
      </c>
      <c r="U32" s="86">
        <v>0</v>
      </c>
      <c r="V32" s="33"/>
    </row>
    <row r="33" spans="1:22" ht="14.4">
      <c r="A33" s="72">
        <v>28</v>
      </c>
      <c r="B33" s="72">
        <v>10280</v>
      </c>
      <c r="C33" s="86" t="s">
        <v>67</v>
      </c>
      <c r="D33" s="86">
        <v>84</v>
      </c>
      <c r="E33" s="86">
        <v>5</v>
      </c>
      <c r="F33" s="86">
        <v>0</v>
      </c>
      <c r="G33" s="86">
        <v>0</v>
      </c>
      <c r="H33" s="86">
        <v>0</v>
      </c>
      <c r="I33" s="86">
        <v>0</v>
      </c>
      <c r="J33" s="86">
        <v>74</v>
      </c>
      <c r="K33" s="86">
        <v>5</v>
      </c>
      <c r="L33" s="86">
        <v>0</v>
      </c>
      <c r="M33" s="86">
        <v>0</v>
      </c>
      <c r="N33" s="86">
        <v>0</v>
      </c>
      <c r="O33" s="86">
        <v>0</v>
      </c>
      <c r="P33" s="86">
        <v>0</v>
      </c>
      <c r="Q33" s="86">
        <v>0</v>
      </c>
      <c r="R33" s="86">
        <v>0</v>
      </c>
      <c r="S33" s="86">
        <v>0</v>
      </c>
      <c r="T33" s="86">
        <v>0</v>
      </c>
      <c r="U33" s="86">
        <v>0</v>
      </c>
      <c r="V33" s="33"/>
    </row>
    <row r="34" spans="1:22" ht="14.4">
      <c r="A34" s="72">
        <v>29</v>
      </c>
      <c r="B34" s="72">
        <v>10298</v>
      </c>
      <c r="C34" s="86" t="s">
        <v>34</v>
      </c>
      <c r="D34" s="86">
        <v>59</v>
      </c>
      <c r="E34" s="86">
        <v>0</v>
      </c>
      <c r="F34" s="86">
        <v>58</v>
      </c>
      <c r="G34" s="86">
        <v>1</v>
      </c>
      <c r="H34" s="86">
        <v>0</v>
      </c>
      <c r="I34" s="86">
        <v>0</v>
      </c>
      <c r="J34" s="86">
        <v>27</v>
      </c>
      <c r="K34" s="86">
        <v>0</v>
      </c>
      <c r="L34" s="86">
        <v>27</v>
      </c>
      <c r="M34" s="86">
        <v>1</v>
      </c>
      <c r="N34" s="86">
        <v>0</v>
      </c>
      <c r="O34" s="86">
        <v>0</v>
      </c>
      <c r="P34" s="86">
        <v>0</v>
      </c>
      <c r="Q34" s="86">
        <v>0</v>
      </c>
      <c r="R34" s="86">
        <v>0</v>
      </c>
      <c r="S34" s="86">
        <v>0</v>
      </c>
      <c r="T34" s="86">
        <v>0</v>
      </c>
      <c r="U34" s="86">
        <v>0</v>
      </c>
      <c r="V34" s="33"/>
    </row>
    <row r="35" spans="1:22" ht="14.4">
      <c r="A35" s="72">
        <v>30</v>
      </c>
      <c r="B35" s="72">
        <v>10306</v>
      </c>
      <c r="C35" s="86" t="s">
        <v>68</v>
      </c>
      <c r="D35" s="86">
        <v>2170</v>
      </c>
      <c r="E35" s="86">
        <v>192</v>
      </c>
      <c r="F35" s="86">
        <v>1489</v>
      </c>
      <c r="G35" s="86">
        <v>0</v>
      </c>
      <c r="H35" s="86">
        <v>0</v>
      </c>
      <c r="I35" s="86">
        <v>0</v>
      </c>
      <c r="J35" s="86">
        <v>1500</v>
      </c>
      <c r="K35" s="86">
        <v>192</v>
      </c>
      <c r="L35" s="86">
        <v>885</v>
      </c>
      <c r="M35" s="86">
        <v>0</v>
      </c>
      <c r="N35" s="86">
        <v>0</v>
      </c>
      <c r="O35" s="86">
        <v>0</v>
      </c>
      <c r="P35" s="86">
        <v>0</v>
      </c>
      <c r="Q35" s="86">
        <v>0</v>
      </c>
      <c r="R35" s="86">
        <v>0</v>
      </c>
      <c r="S35" s="86">
        <v>0</v>
      </c>
      <c r="T35" s="86">
        <v>0</v>
      </c>
      <c r="U35" s="86">
        <v>0</v>
      </c>
      <c r="V35" s="33"/>
    </row>
    <row r="36" spans="1:22" ht="14.4">
      <c r="A36" s="72">
        <v>31</v>
      </c>
      <c r="B36" s="72">
        <v>10314</v>
      </c>
      <c r="C36" s="86" t="s">
        <v>33</v>
      </c>
      <c r="D36" s="86">
        <v>110</v>
      </c>
      <c r="E36" s="86">
        <v>10</v>
      </c>
      <c r="F36" s="86">
        <v>96</v>
      </c>
      <c r="G36" s="86">
        <v>20</v>
      </c>
      <c r="H36" s="86">
        <v>0</v>
      </c>
      <c r="I36" s="86">
        <v>0</v>
      </c>
      <c r="J36" s="86">
        <v>55</v>
      </c>
      <c r="K36" s="86">
        <v>10</v>
      </c>
      <c r="L36" s="86">
        <v>42</v>
      </c>
      <c r="M36" s="86">
        <v>13</v>
      </c>
      <c r="N36" s="86">
        <v>0</v>
      </c>
      <c r="O36" s="86">
        <v>0</v>
      </c>
      <c r="P36" s="86">
        <v>0</v>
      </c>
      <c r="Q36" s="86">
        <v>0</v>
      </c>
      <c r="R36" s="86">
        <v>0</v>
      </c>
      <c r="S36" s="86">
        <v>0</v>
      </c>
      <c r="T36" s="86">
        <v>0</v>
      </c>
      <c r="U36" s="86">
        <v>0</v>
      </c>
      <c r="V36" s="33"/>
    </row>
    <row r="37" spans="1:22" ht="14.4">
      <c r="A37" s="72">
        <v>32</v>
      </c>
      <c r="B37" s="72">
        <v>10322</v>
      </c>
      <c r="C37" s="86" t="s">
        <v>69</v>
      </c>
      <c r="D37" s="86">
        <v>18</v>
      </c>
      <c r="E37" s="86">
        <v>0</v>
      </c>
      <c r="F37" s="86">
        <v>18</v>
      </c>
      <c r="G37" s="86">
        <v>0</v>
      </c>
      <c r="H37" s="86">
        <v>0</v>
      </c>
      <c r="I37" s="86">
        <v>0</v>
      </c>
      <c r="J37" s="86">
        <v>10</v>
      </c>
      <c r="K37" s="86">
        <v>0</v>
      </c>
      <c r="L37" s="86">
        <v>10</v>
      </c>
      <c r="M37" s="86">
        <v>0</v>
      </c>
      <c r="N37" s="86">
        <v>0</v>
      </c>
      <c r="O37" s="86">
        <v>0</v>
      </c>
      <c r="P37" s="86">
        <v>0</v>
      </c>
      <c r="Q37" s="86">
        <v>0</v>
      </c>
      <c r="R37" s="86">
        <v>0</v>
      </c>
      <c r="S37" s="86">
        <v>0</v>
      </c>
      <c r="T37" s="86">
        <v>0</v>
      </c>
      <c r="U37" s="86">
        <v>0</v>
      </c>
      <c r="V37" s="33"/>
    </row>
    <row r="38" spans="1:22" ht="14.4">
      <c r="A38" s="72">
        <v>33</v>
      </c>
      <c r="B38" s="72">
        <v>10330</v>
      </c>
      <c r="C38" s="86" t="s">
        <v>32</v>
      </c>
      <c r="D38" s="86">
        <v>724</v>
      </c>
      <c r="E38" s="86">
        <v>91</v>
      </c>
      <c r="F38" s="86">
        <v>591</v>
      </c>
      <c r="G38" s="86">
        <v>8</v>
      </c>
      <c r="H38" s="86">
        <v>0</v>
      </c>
      <c r="I38" s="86">
        <v>0</v>
      </c>
      <c r="J38" s="86">
        <v>572</v>
      </c>
      <c r="K38" s="86">
        <v>91</v>
      </c>
      <c r="L38" s="86">
        <v>440</v>
      </c>
      <c r="M38" s="86">
        <v>7</v>
      </c>
      <c r="N38" s="86">
        <v>0</v>
      </c>
      <c r="O38" s="86">
        <v>0</v>
      </c>
      <c r="P38" s="86">
        <v>0</v>
      </c>
      <c r="Q38" s="86">
        <v>0</v>
      </c>
      <c r="R38" s="86">
        <v>0</v>
      </c>
      <c r="S38" s="86">
        <v>0</v>
      </c>
      <c r="T38" s="86">
        <v>0</v>
      </c>
      <c r="U38" s="86">
        <v>0</v>
      </c>
      <c r="V38" s="33"/>
    </row>
    <row r="39" spans="1:22" ht="14.4">
      <c r="A39" s="72">
        <v>34</v>
      </c>
      <c r="B39" s="72">
        <v>10348</v>
      </c>
      <c r="C39" s="86" t="s">
        <v>43</v>
      </c>
      <c r="D39" s="86">
        <v>923</v>
      </c>
      <c r="E39" s="86">
        <v>70</v>
      </c>
      <c r="F39" s="86">
        <v>843</v>
      </c>
      <c r="G39" s="86">
        <v>0</v>
      </c>
      <c r="H39" s="86">
        <v>0</v>
      </c>
      <c r="I39" s="86">
        <v>0</v>
      </c>
      <c r="J39" s="86">
        <v>604</v>
      </c>
      <c r="K39" s="86">
        <v>70</v>
      </c>
      <c r="L39" s="86">
        <v>524</v>
      </c>
      <c r="M39" s="86">
        <v>0</v>
      </c>
      <c r="N39" s="86">
        <v>0</v>
      </c>
      <c r="O39" s="86">
        <v>0</v>
      </c>
      <c r="P39" s="86">
        <v>0</v>
      </c>
      <c r="Q39" s="86">
        <v>0</v>
      </c>
      <c r="R39" s="86">
        <v>0</v>
      </c>
      <c r="S39" s="86">
        <v>0</v>
      </c>
      <c r="T39" s="86">
        <v>0</v>
      </c>
      <c r="U39" s="86">
        <v>0</v>
      </c>
      <c r="V39" s="33"/>
    </row>
    <row r="40" spans="1:22" ht="14.4">
      <c r="A40" s="72">
        <v>35</v>
      </c>
      <c r="B40" s="72">
        <v>10355</v>
      </c>
      <c r="C40" s="86" t="s">
        <v>70</v>
      </c>
      <c r="D40" s="86">
        <v>30</v>
      </c>
      <c r="E40" s="86">
        <v>4</v>
      </c>
      <c r="F40" s="86">
        <v>26</v>
      </c>
      <c r="G40" s="86">
        <v>0</v>
      </c>
      <c r="H40" s="86">
        <v>0</v>
      </c>
      <c r="I40" s="86">
        <v>0</v>
      </c>
      <c r="J40" s="86">
        <v>29</v>
      </c>
      <c r="K40" s="86">
        <v>4</v>
      </c>
      <c r="L40" s="86">
        <v>25</v>
      </c>
      <c r="M40" s="86">
        <v>0</v>
      </c>
      <c r="N40" s="86">
        <v>0</v>
      </c>
      <c r="O40" s="86">
        <v>0</v>
      </c>
      <c r="P40" s="86">
        <v>0</v>
      </c>
      <c r="Q40" s="86">
        <v>0</v>
      </c>
      <c r="R40" s="86">
        <v>0</v>
      </c>
      <c r="S40" s="86">
        <v>0</v>
      </c>
      <c r="T40" s="86">
        <v>0</v>
      </c>
      <c r="U40" s="86">
        <v>0</v>
      </c>
      <c r="V40" s="33"/>
    </row>
    <row r="41" spans="1:22" ht="14.4">
      <c r="A41" s="72">
        <v>36</v>
      </c>
      <c r="B41" s="72">
        <v>10363</v>
      </c>
      <c r="C41" s="86" t="s">
        <v>110</v>
      </c>
      <c r="D41" s="86">
        <v>1902</v>
      </c>
      <c r="E41" s="86">
        <v>92</v>
      </c>
      <c r="F41" s="86">
        <v>1456</v>
      </c>
      <c r="G41" s="86">
        <v>0</v>
      </c>
      <c r="H41" s="86">
        <v>0</v>
      </c>
      <c r="I41" s="86">
        <v>0</v>
      </c>
      <c r="J41" s="86">
        <v>1484</v>
      </c>
      <c r="K41" s="86">
        <v>92</v>
      </c>
      <c r="L41" s="86">
        <v>1090</v>
      </c>
      <c r="M41" s="86">
        <v>0</v>
      </c>
      <c r="N41" s="86">
        <v>0</v>
      </c>
      <c r="O41" s="86">
        <v>0</v>
      </c>
      <c r="P41" s="86">
        <v>0</v>
      </c>
      <c r="Q41" s="86">
        <v>0</v>
      </c>
      <c r="R41" s="86">
        <v>0</v>
      </c>
      <c r="S41" s="86">
        <v>0</v>
      </c>
      <c r="T41" s="86">
        <v>0</v>
      </c>
      <c r="U41" s="86">
        <v>0</v>
      </c>
      <c r="V41" s="33"/>
    </row>
    <row r="42" spans="1:22" ht="14.4">
      <c r="A42" s="72">
        <v>37</v>
      </c>
      <c r="B42" s="72">
        <v>10371</v>
      </c>
      <c r="C42" s="86" t="s">
        <v>71</v>
      </c>
      <c r="D42" s="86">
        <v>955</v>
      </c>
      <c r="E42" s="86">
        <v>178</v>
      </c>
      <c r="F42" s="86">
        <v>375</v>
      </c>
      <c r="G42" s="86">
        <v>0</v>
      </c>
      <c r="H42" s="86">
        <v>0</v>
      </c>
      <c r="I42" s="86">
        <v>0</v>
      </c>
      <c r="J42" s="86">
        <v>885</v>
      </c>
      <c r="K42" s="86">
        <v>178</v>
      </c>
      <c r="L42" s="86">
        <v>318</v>
      </c>
      <c r="M42" s="86">
        <v>0</v>
      </c>
      <c r="N42" s="86">
        <v>0</v>
      </c>
      <c r="O42" s="86">
        <v>0</v>
      </c>
      <c r="P42" s="86">
        <v>0</v>
      </c>
      <c r="Q42" s="86">
        <v>0</v>
      </c>
      <c r="R42" s="86">
        <v>0</v>
      </c>
      <c r="S42" s="86">
        <v>0</v>
      </c>
      <c r="T42" s="86">
        <v>0</v>
      </c>
      <c r="U42" s="86">
        <v>0</v>
      </c>
      <c r="V42" s="33"/>
    </row>
    <row r="43" spans="1:22" ht="14.4">
      <c r="A43" s="72">
        <v>38</v>
      </c>
      <c r="B43" s="72">
        <v>10389</v>
      </c>
      <c r="C43" s="86" t="s">
        <v>111</v>
      </c>
      <c r="D43" s="86">
        <v>208</v>
      </c>
      <c r="E43" s="86">
        <v>5</v>
      </c>
      <c r="F43" s="86">
        <v>203</v>
      </c>
      <c r="G43" s="86">
        <v>0</v>
      </c>
      <c r="H43" s="86">
        <v>0</v>
      </c>
      <c r="I43" s="86">
        <v>0</v>
      </c>
      <c r="J43" s="86">
        <v>160</v>
      </c>
      <c r="K43" s="86">
        <v>5</v>
      </c>
      <c r="L43" s="86">
        <v>155</v>
      </c>
      <c r="M43" s="86">
        <v>0</v>
      </c>
      <c r="N43" s="86">
        <v>0</v>
      </c>
      <c r="O43" s="86">
        <v>0</v>
      </c>
      <c r="P43" s="86">
        <v>0</v>
      </c>
      <c r="Q43" s="86">
        <v>0</v>
      </c>
      <c r="R43" s="86">
        <v>0</v>
      </c>
      <c r="S43" s="86">
        <v>0</v>
      </c>
      <c r="T43" s="86">
        <v>0</v>
      </c>
      <c r="U43" s="86">
        <v>0</v>
      </c>
      <c r="V43" s="33"/>
    </row>
    <row r="44" spans="1:22" ht="14.4">
      <c r="A44" s="72">
        <v>39</v>
      </c>
      <c r="B44" s="72">
        <v>10397</v>
      </c>
      <c r="C44" s="86" t="s">
        <v>112</v>
      </c>
      <c r="D44" s="86">
        <v>1713</v>
      </c>
      <c r="E44" s="86">
        <v>48</v>
      </c>
      <c r="F44" s="86">
        <v>1032</v>
      </c>
      <c r="G44" s="86">
        <v>66</v>
      </c>
      <c r="H44" s="86">
        <v>0</v>
      </c>
      <c r="I44" s="86">
        <v>0</v>
      </c>
      <c r="J44" s="86">
        <v>1220</v>
      </c>
      <c r="K44" s="86">
        <v>48</v>
      </c>
      <c r="L44" s="86">
        <v>624</v>
      </c>
      <c r="M44" s="86">
        <v>52</v>
      </c>
      <c r="N44" s="86">
        <v>0</v>
      </c>
      <c r="O44" s="86">
        <v>0</v>
      </c>
      <c r="P44" s="86">
        <v>0</v>
      </c>
      <c r="Q44" s="86">
        <v>0</v>
      </c>
      <c r="R44" s="86">
        <v>0</v>
      </c>
      <c r="S44" s="86">
        <v>0</v>
      </c>
      <c r="T44" s="86">
        <v>0</v>
      </c>
      <c r="U44" s="86">
        <v>0</v>
      </c>
      <c r="V44" s="33"/>
    </row>
    <row r="45" spans="1:22" ht="14.4">
      <c r="A45" s="72">
        <v>40</v>
      </c>
      <c r="B45" s="72">
        <v>10405</v>
      </c>
      <c r="C45" s="86" t="s">
        <v>113</v>
      </c>
      <c r="D45" s="86">
        <v>86</v>
      </c>
      <c r="E45" s="86">
        <v>9</v>
      </c>
      <c r="F45" s="86">
        <v>19</v>
      </c>
      <c r="G45" s="86">
        <v>0</v>
      </c>
      <c r="H45" s="86">
        <v>0</v>
      </c>
      <c r="I45" s="86">
        <v>0</v>
      </c>
      <c r="J45" s="86">
        <v>77</v>
      </c>
      <c r="K45" s="86">
        <v>9</v>
      </c>
      <c r="L45" s="86">
        <v>15</v>
      </c>
      <c r="M45" s="86">
        <v>0</v>
      </c>
      <c r="N45" s="86">
        <v>0</v>
      </c>
      <c r="O45" s="86">
        <v>0</v>
      </c>
      <c r="P45" s="86">
        <v>0</v>
      </c>
      <c r="Q45" s="86">
        <v>0</v>
      </c>
      <c r="R45" s="86">
        <v>0</v>
      </c>
      <c r="S45" s="86">
        <v>0</v>
      </c>
      <c r="T45" s="86">
        <v>0</v>
      </c>
      <c r="U45" s="86">
        <v>0</v>
      </c>
      <c r="V45" s="33"/>
    </row>
    <row r="46" spans="1:22" ht="14.4">
      <c r="A46" s="72">
        <v>41</v>
      </c>
      <c r="B46" s="72">
        <v>10413</v>
      </c>
      <c r="C46" s="86" t="s">
        <v>114</v>
      </c>
      <c r="D46" s="86">
        <v>127</v>
      </c>
      <c r="E46" s="86">
        <v>16</v>
      </c>
      <c r="F46" s="86">
        <v>111</v>
      </c>
      <c r="G46" s="86">
        <v>0</v>
      </c>
      <c r="H46" s="86">
        <v>0</v>
      </c>
      <c r="I46" s="86">
        <v>0</v>
      </c>
      <c r="J46" s="86">
        <v>82</v>
      </c>
      <c r="K46" s="86">
        <v>16</v>
      </c>
      <c r="L46" s="86">
        <v>66</v>
      </c>
      <c r="M46" s="86">
        <v>0</v>
      </c>
      <c r="N46" s="86">
        <v>0</v>
      </c>
      <c r="O46" s="86">
        <v>0</v>
      </c>
      <c r="P46" s="86">
        <v>0</v>
      </c>
      <c r="Q46" s="86">
        <v>0</v>
      </c>
      <c r="R46" s="86">
        <v>0</v>
      </c>
      <c r="S46" s="86">
        <v>0</v>
      </c>
      <c r="T46" s="86">
        <v>0</v>
      </c>
      <c r="U46" s="86">
        <v>0</v>
      </c>
      <c r="V46" s="33"/>
    </row>
    <row r="47" spans="1:22" ht="14.4">
      <c r="A47" s="72">
        <v>42</v>
      </c>
      <c r="B47" s="72">
        <v>10421</v>
      </c>
      <c r="C47" s="86" t="s">
        <v>115</v>
      </c>
      <c r="D47" s="86">
        <v>86</v>
      </c>
      <c r="E47" s="86">
        <v>22</v>
      </c>
      <c r="F47" s="86">
        <v>64</v>
      </c>
      <c r="G47" s="86">
        <v>0</v>
      </c>
      <c r="H47" s="86">
        <v>0</v>
      </c>
      <c r="I47" s="86">
        <v>0</v>
      </c>
      <c r="J47" s="86">
        <v>63</v>
      </c>
      <c r="K47" s="86">
        <v>22</v>
      </c>
      <c r="L47" s="86">
        <v>41</v>
      </c>
      <c r="M47" s="86">
        <v>0</v>
      </c>
      <c r="N47" s="86">
        <v>0</v>
      </c>
      <c r="O47" s="86">
        <v>0</v>
      </c>
      <c r="P47" s="86">
        <v>0</v>
      </c>
      <c r="Q47" s="86">
        <v>0</v>
      </c>
      <c r="R47" s="86">
        <v>0</v>
      </c>
      <c r="S47" s="86">
        <v>0</v>
      </c>
      <c r="T47" s="86">
        <v>0</v>
      </c>
      <c r="U47" s="86">
        <v>0</v>
      </c>
      <c r="V47" s="33"/>
    </row>
    <row r="48" spans="1:22" ht="14.4">
      <c r="A48" s="72">
        <v>43</v>
      </c>
      <c r="B48" s="72">
        <v>10439</v>
      </c>
      <c r="C48" s="86" t="s">
        <v>116</v>
      </c>
      <c r="D48" s="86">
        <v>1046</v>
      </c>
      <c r="E48" s="86">
        <v>51</v>
      </c>
      <c r="F48" s="86">
        <v>980</v>
      </c>
      <c r="G48" s="86">
        <v>4</v>
      </c>
      <c r="H48" s="86">
        <v>0</v>
      </c>
      <c r="I48" s="86">
        <v>0</v>
      </c>
      <c r="J48" s="86">
        <v>671</v>
      </c>
      <c r="K48" s="86">
        <v>51</v>
      </c>
      <c r="L48" s="86">
        <v>607</v>
      </c>
      <c r="M48" s="86">
        <v>4</v>
      </c>
      <c r="N48" s="86">
        <v>0</v>
      </c>
      <c r="O48" s="86">
        <v>0</v>
      </c>
      <c r="P48" s="86">
        <v>0</v>
      </c>
      <c r="Q48" s="86">
        <v>0</v>
      </c>
      <c r="R48" s="86">
        <v>0</v>
      </c>
      <c r="S48" s="86">
        <v>0</v>
      </c>
      <c r="T48" s="86">
        <v>0</v>
      </c>
      <c r="U48" s="86">
        <v>0</v>
      </c>
      <c r="V48" s="33"/>
    </row>
    <row r="49" spans="1:22" ht="14.4">
      <c r="A49" s="72">
        <v>44</v>
      </c>
      <c r="B49" s="72">
        <v>10447</v>
      </c>
      <c r="C49" s="86" t="s">
        <v>117</v>
      </c>
      <c r="D49" s="86">
        <v>817</v>
      </c>
      <c r="E49" s="86">
        <v>59</v>
      </c>
      <c r="F49" s="86">
        <v>101</v>
      </c>
      <c r="G49" s="86">
        <v>0</v>
      </c>
      <c r="H49" s="86">
        <v>0</v>
      </c>
      <c r="I49" s="86">
        <v>0</v>
      </c>
      <c r="J49" s="86">
        <v>458</v>
      </c>
      <c r="K49" s="86">
        <v>59</v>
      </c>
      <c r="L49" s="86">
        <v>51</v>
      </c>
      <c r="M49" s="86">
        <v>0</v>
      </c>
      <c r="N49" s="86">
        <v>0</v>
      </c>
      <c r="O49" s="86">
        <v>0</v>
      </c>
      <c r="P49" s="86">
        <v>0</v>
      </c>
      <c r="Q49" s="86">
        <v>0</v>
      </c>
      <c r="R49" s="86">
        <v>0</v>
      </c>
      <c r="S49" s="86">
        <v>0</v>
      </c>
      <c r="T49" s="86">
        <v>0</v>
      </c>
      <c r="U49" s="86">
        <v>0</v>
      </c>
      <c r="V49" s="33"/>
    </row>
    <row r="50" spans="1:22" ht="14.4">
      <c r="A50" s="72">
        <v>45</v>
      </c>
      <c r="B50" s="72">
        <v>10454</v>
      </c>
      <c r="C50" s="86" t="s">
        <v>72</v>
      </c>
      <c r="D50" s="86">
        <v>160</v>
      </c>
      <c r="E50" s="86">
        <v>25</v>
      </c>
      <c r="F50" s="86">
        <v>135</v>
      </c>
      <c r="G50" s="86">
        <v>0</v>
      </c>
      <c r="H50" s="86">
        <v>0</v>
      </c>
      <c r="I50" s="86">
        <v>0</v>
      </c>
      <c r="J50" s="86">
        <v>126</v>
      </c>
      <c r="K50" s="86">
        <v>25</v>
      </c>
      <c r="L50" s="86">
        <v>101</v>
      </c>
      <c r="M50" s="86">
        <v>0</v>
      </c>
      <c r="N50" s="86">
        <v>0</v>
      </c>
      <c r="O50" s="86">
        <v>0</v>
      </c>
      <c r="P50" s="86">
        <v>0</v>
      </c>
      <c r="Q50" s="86">
        <v>0</v>
      </c>
      <c r="R50" s="86">
        <v>0</v>
      </c>
      <c r="S50" s="86">
        <v>0</v>
      </c>
      <c r="T50" s="86">
        <v>0</v>
      </c>
      <c r="U50" s="86">
        <v>0</v>
      </c>
      <c r="V50" s="33"/>
    </row>
    <row r="51" spans="1:22" ht="14.4">
      <c r="A51" s="72">
        <v>46</v>
      </c>
      <c r="B51" s="72">
        <v>10462</v>
      </c>
      <c r="C51" s="86" t="s">
        <v>73</v>
      </c>
      <c r="D51" s="86">
        <v>0</v>
      </c>
      <c r="E51" s="86">
        <v>0</v>
      </c>
      <c r="F51" s="86">
        <v>0</v>
      </c>
      <c r="G51" s="86">
        <v>0</v>
      </c>
      <c r="H51" s="86">
        <v>0</v>
      </c>
      <c r="I51" s="86">
        <v>0</v>
      </c>
      <c r="J51" s="86">
        <v>0</v>
      </c>
      <c r="K51" s="86">
        <v>0</v>
      </c>
      <c r="L51" s="86">
        <v>0</v>
      </c>
      <c r="M51" s="86">
        <v>0</v>
      </c>
      <c r="N51" s="86">
        <v>0</v>
      </c>
      <c r="O51" s="86">
        <v>0</v>
      </c>
      <c r="P51" s="86">
        <v>0</v>
      </c>
      <c r="Q51" s="86">
        <v>0</v>
      </c>
      <c r="R51" s="86">
        <v>0</v>
      </c>
      <c r="S51" s="86">
        <v>0</v>
      </c>
      <c r="T51" s="86">
        <v>0</v>
      </c>
      <c r="U51" s="86">
        <v>0</v>
      </c>
      <c r="V51" s="33"/>
    </row>
    <row r="52" spans="1:22" ht="14.4">
      <c r="A52" s="72">
        <v>47</v>
      </c>
      <c r="B52" s="72">
        <v>10470</v>
      </c>
      <c r="C52" s="86" t="s">
        <v>42</v>
      </c>
      <c r="D52" s="86">
        <v>84</v>
      </c>
      <c r="E52" s="86">
        <v>0</v>
      </c>
      <c r="F52" s="86">
        <v>84</v>
      </c>
      <c r="G52" s="86">
        <v>0</v>
      </c>
      <c r="H52" s="86">
        <v>0</v>
      </c>
      <c r="I52" s="86">
        <v>0</v>
      </c>
      <c r="J52" s="86">
        <v>35</v>
      </c>
      <c r="K52" s="86">
        <v>0</v>
      </c>
      <c r="L52" s="86">
        <v>35</v>
      </c>
      <c r="M52" s="86">
        <v>0</v>
      </c>
      <c r="N52" s="86">
        <v>0</v>
      </c>
      <c r="O52" s="86">
        <v>0</v>
      </c>
      <c r="P52" s="86">
        <v>0</v>
      </c>
      <c r="Q52" s="86">
        <v>0</v>
      </c>
      <c r="R52" s="86">
        <v>0</v>
      </c>
      <c r="S52" s="86">
        <v>0</v>
      </c>
      <c r="T52" s="86">
        <v>0</v>
      </c>
      <c r="U52" s="86">
        <v>0</v>
      </c>
      <c r="V52" s="33"/>
    </row>
    <row r="53" spans="1:22" ht="14.4">
      <c r="A53" s="72">
        <v>48</v>
      </c>
      <c r="B53" s="72">
        <v>10488</v>
      </c>
      <c r="C53" s="86" t="s">
        <v>74</v>
      </c>
      <c r="D53" s="86">
        <v>337</v>
      </c>
      <c r="E53" s="86">
        <v>17</v>
      </c>
      <c r="F53" s="86">
        <v>303</v>
      </c>
      <c r="G53" s="86">
        <v>0</v>
      </c>
      <c r="H53" s="86">
        <v>0</v>
      </c>
      <c r="I53" s="86">
        <v>0</v>
      </c>
      <c r="J53" s="86">
        <v>120</v>
      </c>
      <c r="K53" s="86">
        <v>17</v>
      </c>
      <c r="L53" s="86">
        <v>88</v>
      </c>
      <c r="M53" s="86">
        <v>0</v>
      </c>
      <c r="N53" s="86">
        <v>0</v>
      </c>
      <c r="O53" s="86">
        <v>0</v>
      </c>
      <c r="P53" s="86">
        <v>0</v>
      </c>
      <c r="Q53" s="86">
        <v>0</v>
      </c>
      <c r="R53" s="86">
        <v>0</v>
      </c>
      <c r="S53" s="86">
        <v>0</v>
      </c>
      <c r="T53" s="86">
        <v>0</v>
      </c>
      <c r="U53" s="86">
        <v>0</v>
      </c>
      <c r="V53" s="33"/>
    </row>
    <row r="54" spans="1:22" ht="14.4">
      <c r="A54" s="72">
        <v>49</v>
      </c>
      <c r="B54" s="72">
        <v>10496</v>
      </c>
      <c r="C54" s="86" t="s">
        <v>75</v>
      </c>
      <c r="D54" s="86">
        <v>313</v>
      </c>
      <c r="E54" s="86">
        <v>16</v>
      </c>
      <c r="F54" s="86">
        <v>258</v>
      </c>
      <c r="G54" s="86">
        <v>0</v>
      </c>
      <c r="H54" s="86">
        <v>0</v>
      </c>
      <c r="I54" s="86">
        <v>0</v>
      </c>
      <c r="J54" s="86">
        <v>176</v>
      </c>
      <c r="K54" s="86">
        <v>16</v>
      </c>
      <c r="L54" s="86">
        <v>131</v>
      </c>
      <c r="M54" s="86">
        <v>0</v>
      </c>
      <c r="N54" s="86">
        <v>0</v>
      </c>
      <c r="O54" s="86">
        <v>0</v>
      </c>
      <c r="P54" s="86">
        <v>0</v>
      </c>
      <c r="Q54" s="86">
        <v>0</v>
      </c>
      <c r="R54" s="86">
        <v>0</v>
      </c>
      <c r="S54" s="86">
        <v>0</v>
      </c>
      <c r="T54" s="86">
        <v>0</v>
      </c>
      <c r="U54" s="86">
        <v>0</v>
      </c>
      <c r="V54" s="33"/>
    </row>
    <row r="55" spans="1:22" ht="14.4">
      <c r="A55" s="72">
        <v>50</v>
      </c>
      <c r="B55" s="72">
        <v>10504</v>
      </c>
      <c r="C55" s="86" t="s">
        <v>41</v>
      </c>
      <c r="D55" s="86">
        <v>685</v>
      </c>
      <c r="E55" s="86">
        <v>55</v>
      </c>
      <c r="F55" s="86">
        <v>609</v>
      </c>
      <c r="G55" s="86">
        <v>9</v>
      </c>
      <c r="H55" s="86">
        <v>0</v>
      </c>
      <c r="I55" s="86">
        <v>0</v>
      </c>
      <c r="J55" s="86">
        <v>520</v>
      </c>
      <c r="K55" s="86">
        <v>55</v>
      </c>
      <c r="L55" s="86">
        <v>444</v>
      </c>
      <c r="M55" s="86">
        <v>8</v>
      </c>
      <c r="N55" s="86">
        <v>0</v>
      </c>
      <c r="O55" s="86">
        <v>0</v>
      </c>
      <c r="P55" s="86">
        <v>0</v>
      </c>
      <c r="Q55" s="86">
        <v>0</v>
      </c>
      <c r="R55" s="86">
        <v>0</v>
      </c>
      <c r="S55" s="86">
        <v>0</v>
      </c>
      <c r="T55" s="86">
        <v>0</v>
      </c>
      <c r="U55" s="86">
        <v>0</v>
      </c>
      <c r="V55" s="33"/>
    </row>
    <row r="56" spans="1:22" ht="14.4">
      <c r="A56" s="72">
        <v>51</v>
      </c>
      <c r="B56" s="72">
        <v>10512</v>
      </c>
      <c r="C56" s="86" t="s">
        <v>76</v>
      </c>
      <c r="D56" s="86">
        <v>327</v>
      </c>
      <c r="E56" s="86">
        <v>0</v>
      </c>
      <c r="F56" s="86">
        <v>304</v>
      </c>
      <c r="G56" s="86">
        <v>5</v>
      </c>
      <c r="H56" s="86">
        <v>0</v>
      </c>
      <c r="I56" s="86">
        <v>0</v>
      </c>
      <c r="J56" s="86">
        <v>267</v>
      </c>
      <c r="K56" s="86">
        <v>0</v>
      </c>
      <c r="L56" s="86">
        <v>250</v>
      </c>
      <c r="M56" s="86">
        <v>4</v>
      </c>
      <c r="N56" s="86">
        <v>0</v>
      </c>
      <c r="O56" s="86">
        <v>0</v>
      </c>
      <c r="P56" s="86">
        <v>0</v>
      </c>
      <c r="Q56" s="86">
        <v>0</v>
      </c>
      <c r="R56" s="86">
        <v>0</v>
      </c>
      <c r="S56" s="86">
        <v>0</v>
      </c>
      <c r="T56" s="86">
        <v>0</v>
      </c>
      <c r="U56" s="86">
        <v>0</v>
      </c>
      <c r="V56" s="33"/>
    </row>
    <row r="57" spans="1:22" ht="14.4">
      <c r="A57" s="72">
        <v>52</v>
      </c>
      <c r="B57" s="72">
        <v>10520</v>
      </c>
      <c r="C57" s="86" t="s">
        <v>77</v>
      </c>
      <c r="D57" s="86">
        <v>69</v>
      </c>
      <c r="E57" s="86">
        <v>22</v>
      </c>
      <c r="F57" s="86">
        <v>47</v>
      </c>
      <c r="G57" s="86">
        <v>0</v>
      </c>
      <c r="H57" s="86">
        <v>0</v>
      </c>
      <c r="I57" s="86">
        <v>0</v>
      </c>
      <c r="J57" s="86">
        <v>46</v>
      </c>
      <c r="K57" s="86">
        <v>22</v>
      </c>
      <c r="L57" s="86">
        <v>24</v>
      </c>
      <c r="M57" s="86">
        <v>0</v>
      </c>
      <c r="N57" s="86">
        <v>0</v>
      </c>
      <c r="O57" s="86">
        <v>0</v>
      </c>
      <c r="P57" s="86">
        <v>0</v>
      </c>
      <c r="Q57" s="86">
        <v>0</v>
      </c>
      <c r="R57" s="86">
        <v>0</v>
      </c>
      <c r="S57" s="86">
        <v>0</v>
      </c>
      <c r="T57" s="86">
        <v>0</v>
      </c>
      <c r="U57" s="86">
        <v>0</v>
      </c>
      <c r="V57" s="33"/>
    </row>
    <row r="58" spans="1:22" ht="14.4">
      <c r="A58" s="72">
        <v>53</v>
      </c>
      <c r="B58" s="72">
        <v>10538</v>
      </c>
      <c r="C58" s="86" t="s">
        <v>78</v>
      </c>
      <c r="D58" s="86">
        <v>10</v>
      </c>
      <c r="E58" s="86">
        <v>0</v>
      </c>
      <c r="F58" s="86">
        <v>10</v>
      </c>
      <c r="G58" s="86">
        <v>9</v>
      </c>
      <c r="H58" s="86">
        <v>0</v>
      </c>
      <c r="I58" s="86">
        <v>0</v>
      </c>
      <c r="J58" s="86">
        <v>10</v>
      </c>
      <c r="K58" s="86">
        <v>0</v>
      </c>
      <c r="L58" s="86">
        <v>10</v>
      </c>
      <c r="M58" s="86">
        <v>9</v>
      </c>
      <c r="N58" s="86">
        <v>0</v>
      </c>
      <c r="O58" s="86">
        <v>0</v>
      </c>
      <c r="P58" s="86">
        <v>0</v>
      </c>
      <c r="Q58" s="86">
        <v>0</v>
      </c>
      <c r="R58" s="86">
        <v>0</v>
      </c>
      <c r="S58" s="86">
        <v>0</v>
      </c>
      <c r="T58" s="86">
        <v>0</v>
      </c>
      <c r="U58" s="86">
        <v>0</v>
      </c>
      <c r="V58" s="33"/>
    </row>
    <row r="59" spans="1:22" ht="14.4">
      <c r="A59" s="72">
        <v>54</v>
      </c>
      <c r="B59" s="72">
        <v>10546</v>
      </c>
      <c r="C59" s="86" t="s">
        <v>31</v>
      </c>
      <c r="D59" s="86">
        <v>1091</v>
      </c>
      <c r="E59" s="86">
        <v>41</v>
      </c>
      <c r="F59" s="86">
        <v>1046</v>
      </c>
      <c r="G59" s="86">
        <v>2</v>
      </c>
      <c r="H59" s="86">
        <v>0</v>
      </c>
      <c r="I59" s="86">
        <v>0</v>
      </c>
      <c r="J59" s="86">
        <v>756</v>
      </c>
      <c r="K59" s="86">
        <v>41</v>
      </c>
      <c r="L59" s="86">
        <v>712</v>
      </c>
      <c r="M59" s="86">
        <v>1</v>
      </c>
      <c r="N59" s="86">
        <v>0</v>
      </c>
      <c r="O59" s="86">
        <v>0</v>
      </c>
      <c r="P59" s="86">
        <v>0</v>
      </c>
      <c r="Q59" s="86">
        <v>0</v>
      </c>
      <c r="R59" s="86">
        <v>0</v>
      </c>
      <c r="S59" s="86">
        <v>0</v>
      </c>
      <c r="T59" s="86">
        <v>0</v>
      </c>
      <c r="U59" s="86">
        <v>0</v>
      </c>
      <c r="V59" s="33"/>
    </row>
    <row r="60" spans="1:22" ht="14.4">
      <c r="A60" s="72">
        <v>55</v>
      </c>
      <c r="B60" s="72">
        <v>10553</v>
      </c>
      <c r="C60" s="86" t="s">
        <v>40</v>
      </c>
      <c r="D60" s="86">
        <v>99</v>
      </c>
      <c r="E60" s="86">
        <v>9</v>
      </c>
      <c r="F60" s="86">
        <v>79</v>
      </c>
      <c r="G60" s="86">
        <v>0</v>
      </c>
      <c r="H60" s="86">
        <v>0</v>
      </c>
      <c r="I60" s="86">
        <v>0</v>
      </c>
      <c r="J60" s="86">
        <v>64</v>
      </c>
      <c r="K60" s="86">
        <v>9</v>
      </c>
      <c r="L60" s="86">
        <v>49</v>
      </c>
      <c r="M60" s="86">
        <v>0</v>
      </c>
      <c r="N60" s="86">
        <v>0</v>
      </c>
      <c r="O60" s="86">
        <v>0</v>
      </c>
      <c r="P60" s="86">
        <v>0</v>
      </c>
      <c r="Q60" s="86">
        <v>0</v>
      </c>
      <c r="R60" s="86">
        <v>0</v>
      </c>
      <c r="S60" s="86">
        <v>0</v>
      </c>
      <c r="T60" s="86">
        <v>0</v>
      </c>
      <c r="U60" s="86">
        <v>0</v>
      </c>
      <c r="V60" s="33"/>
    </row>
    <row r="61" spans="1:22" ht="14.4">
      <c r="A61" s="72">
        <v>56</v>
      </c>
      <c r="B61" s="72">
        <v>10561</v>
      </c>
      <c r="C61" s="86" t="s">
        <v>39</v>
      </c>
      <c r="D61" s="86">
        <v>564</v>
      </c>
      <c r="E61" s="86">
        <v>41</v>
      </c>
      <c r="F61" s="86">
        <v>472</v>
      </c>
      <c r="G61" s="86">
        <v>0</v>
      </c>
      <c r="H61" s="86">
        <v>0</v>
      </c>
      <c r="I61" s="86">
        <v>0</v>
      </c>
      <c r="J61" s="86">
        <v>281</v>
      </c>
      <c r="K61" s="86">
        <v>41</v>
      </c>
      <c r="L61" s="86">
        <v>201</v>
      </c>
      <c r="M61" s="86">
        <v>0</v>
      </c>
      <c r="N61" s="86">
        <v>0</v>
      </c>
      <c r="O61" s="86">
        <v>0</v>
      </c>
      <c r="P61" s="86">
        <v>0</v>
      </c>
      <c r="Q61" s="86">
        <v>0</v>
      </c>
      <c r="R61" s="86">
        <v>0</v>
      </c>
      <c r="S61" s="86">
        <v>0</v>
      </c>
      <c r="T61" s="86">
        <v>0</v>
      </c>
      <c r="U61" s="86">
        <v>0</v>
      </c>
      <c r="V61" s="33"/>
    </row>
    <row r="62" spans="1:22" ht="14.4">
      <c r="A62" s="72">
        <v>57</v>
      </c>
      <c r="B62" s="72">
        <v>10579</v>
      </c>
      <c r="C62" s="86" t="s">
        <v>38</v>
      </c>
      <c r="D62" s="86">
        <v>189</v>
      </c>
      <c r="E62" s="86">
        <v>4</v>
      </c>
      <c r="F62" s="86">
        <v>154</v>
      </c>
      <c r="G62" s="86">
        <v>0</v>
      </c>
      <c r="H62" s="86">
        <v>0</v>
      </c>
      <c r="I62" s="86">
        <v>0</v>
      </c>
      <c r="J62" s="86">
        <v>110</v>
      </c>
      <c r="K62" s="86">
        <v>4</v>
      </c>
      <c r="L62" s="86">
        <v>79</v>
      </c>
      <c r="M62" s="86">
        <v>0</v>
      </c>
      <c r="N62" s="86">
        <v>0</v>
      </c>
      <c r="O62" s="86">
        <v>0</v>
      </c>
      <c r="P62" s="86">
        <v>0</v>
      </c>
      <c r="Q62" s="86">
        <v>0</v>
      </c>
      <c r="R62" s="86">
        <v>0</v>
      </c>
      <c r="S62" s="86">
        <v>0</v>
      </c>
      <c r="T62" s="86">
        <v>0</v>
      </c>
      <c r="U62" s="86">
        <v>0</v>
      </c>
      <c r="V62" s="33"/>
    </row>
    <row r="63" spans="1:22" ht="14.4">
      <c r="A63" s="72">
        <v>58</v>
      </c>
      <c r="B63" s="72">
        <v>10587</v>
      </c>
      <c r="C63" s="1064" t="s">
        <v>79</v>
      </c>
      <c r="D63" s="86">
        <v>227</v>
      </c>
      <c r="E63" s="86">
        <v>14</v>
      </c>
      <c r="F63" s="86">
        <v>164</v>
      </c>
      <c r="G63" s="86">
        <v>0</v>
      </c>
      <c r="H63" s="86">
        <v>0</v>
      </c>
      <c r="I63" s="86">
        <v>0</v>
      </c>
      <c r="J63" s="86">
        <v>136</v>
      </c>
      <c r="K63" s="86">
        <v>14</v>
      </c>
      <c r="L63" s="86">
        <v>73</v>
      </c>
      <c r="M63" s="86">
        <v>0</v>
      </c>
      <c r="N63" s="86">
        <v>0</v>
      </c>
      <c r="O63" s="86">
        <v>0</v>
      </c>
      <c r="P63" s="86">
        <v>0</v>
      </c>
      <c r="Q63" s="86">
        <v>0</v>
      </c>
      <c r="R63" s="86">
        <v>0</v>
      </c>
      <c r="S63" s="86">
        <v>0</v>
      </c>
      <c r="T63" s="86">
        <v>0</v>
      </c>
      <c r="U63" s="86">
        <v>0</v>
      </c>
      <c r="V63" s="33"/>
    </row>
    <row r="64" spans="1:22" ht="14.4">
      <c r="A64" s="322"/>
      <c r="B64" s="323"/>
      <c r="D64" s="324">
        <f>SUM(D6:D63)</f>
        <v>22798</v>
      </c>
      <c r="E64" s="324">
        <f t="shared" ref="E64:U64" si="0">SUM(E6:E63)</f>
        <v>1981</v>
      </c>
      <c r="F64" s="324">
        <f t="shared" si="0"/>
        <v>16996</v>
      </c>
      <c r="G64" s="324">
        <f t="shared" si="0"/>
        <v>398</v>
      </c>
      <c r="H64" s="324">
        <f t="shared" si="0"/>
        <v>0</v>
      </c>
      <c r="I64" s="324">
        <f t="shared" si="0"/>
        <v>0</v>
      </c>
      <c r="J64" s="324">
        <f t="shared" si="0"/>
        <v>15957</v>
      </c>
      <c r="K64" s="324">
        <f t="shared" si="0"/>
        <v>1981</v>
      </c>
      <c r="L64" s="324">
        <f t="shared" si="0"/>
        <v>10802</v>
      </c>
      <c r="M64" s="324">
        <f t="shared" si="0"/>
        <v>234</v>
      </c>
      <c r="N64" s="324">
        <f t="shared" si="0"/>
        <v>0</v>
      </c>
      <c r="O64" s="324">
        <f t="shared" si="0"/>
        <v>0</v>
      </c>
      <c r="P64" s="324">
        <f t="shared" si="0"/>
        <v>37</v>
      </c>
      <c r="Q64" s="324">
        <f t="shared" si="0"/>
        <v>0</v>
      </c>
      <c r="R64" s="324">
        <f t="shared" si="0"/>
        <v>0</v>
      </c>
      <c r="S64" s="324">
        <f t="shared" si="0"/>
        <v>37</v>
      </c>
      <c r="T64" s="324">
        <f t="shared" si="0"/>
        <v>0</v>
      </c>
      <c r="U64" s="324">
        <f t="shared" si="0"/>
        <v>0</v>
      </c>
    </row>
    <row r="65" spans="1:12">
      <c r="A65" s="74"/>
      <c r="L65" s="38"/>
    </row>
    <row r="66" spans="1:12">
      <c r="A66" s="74"/>
      <c r="D66" s="779">
        <f>SUM(D64:U64)</f>
        <v>71221</v>
      </c>
      <c r="L66" s="37"/>
    </row>
    <row r="67" spans="1:12">
      <c r="A67" s="74"/>
      <c r="D67" s="321" t="s">
        <v>162</v>
      </c>
      <c r="L67" s="37"/>
    </row>
    <row r="68" spans="1:12">
      <c r="A68" s="74"/>
      <c r="L68" s="36"/>
    </row>
    <row r="69" spans="1:12">
      <c r="A69" s="74"/>
    </row>
  </sheetData>
  <phoneticPr fontId="51" type="noConversion"/>
  <pageMargins left="0.25" right="0.25" top="0.75" bottom="0.75" header="0.3" footer="0.3"/>
  <pageSetup paperSize="5" scale="45" orientation="landscape" r:id="rId1"/>
  <headerFooter>
    <oddFooter>&amp;R&amp;F
&amp;A</oddFooter>
  </headerFooter>
  <rowBreaks count="1" manualBreakCount="1">
    <brk id="64" max="19" man="1"/>
  </rowBreaks>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F69"/>
  <sheetViews>
    <sheetView zoomScale="70" zoomScaleNormal="70" workbookViewId="0">
      <pane xSplit="2" ySplit="5" topLeftCell="C54" activePane="bottomRight" state="frozen"/>
      <selection activeCell="A2" sqref="A2"/>
      <selection pane="topRight" activeCell="A2" sqref="A2"/>
      <selection pane="bottomLeft" activeCell="A2" sqref="A2"/>
      <selection pane="bottomRight" activeCell="F2" sqref="F2"/>
    </sheetView>
  </sheetViews>
  <sheetFormatPr defaultColWidth="10.88671875" defaultRowHeight="15.6"/>
  <cols>
    <col min="1" max="1" width="12.33203125" style="63" customWidth="1"/>
    <col min="2" max="2" width="15.6640625" style="75" customWidth="1"/>
    <col min="3" max="3" width="52.88671875" style="33" customWidth="1"/>
    <col min="4" max="4" width="23.6640625" style="35" customWidth="1"/>
    <col min="5" max="29" width="23.6640625" style="34" customWidth="1"/>
    <col min="30" max="30" width="20.6640625" style="34" customWidth="1"/>
    <col min="31" max="57" width="20.6640625" style="33" customWidth="1"/>
    <col min="59" max="16384" width="10.88671875" style="33"/>
  </cols>
  <sheetData>
    <row r="1" spans="1:58" ht="25.5" customHeight="1">
      <c r="A1" s="772" t="s">
        <v>352</v>
      </c>
      <c r="B1" s="74"/>
      <c r="D1" s="242" t="s">
        <v>451</v>
      </c>
      <c r="E1" s="33"/>
      <c r="F1" s="923" t="s">
        <v>1778</v>
      </c>
      <c r="G1" s="33"/>
      <c r="H1" s="33"/>
      <c r="I1" s="33"/>
      <c r="J1" s="33"/>
      <c r="K1" s="33"/>
      <c r="L1" s="33"/>
      <c r="M1" s="33"/>
      <c r="N1" s="33"/>
      <c r="O1" s="33"/>
      <c r="P1" s="33"/>
      <c r="Q1" s="33"/>
      <c r="R1" s="33"/>
      <c r="S1" s="33"/>
      <c r="T1" s="33"/>
      <c r="U1" s="33"/>
      <c r="V1" s="33"/>
      <c r="W1" s="33"/>
      <c r="X1" s="33"/>
      <c r="Y1" s="33"/>
      <c r="Z1" s="33"/>
      <c r="AA1" s="33"/>
      <c r="AB1" s="33"/>
      <c r="AC1" s="33"/>
      <c r="AD1" s="33"/>
      <c r="BF1" s="33"/>
    </row>
    <row r="2" spans="1:58" ht="25.5" customHeight="1">
      <c r="A2" s="765" t="s">
        <v>1777</v>
      </c>
      <c r="B2" s="773"/>
      <c r="C2" s="763"/>
      <c r="D2" s="33"/>
      <c r="E2" s="33"/>
      <c r="F2" s="33"/>
      <c r="G2" s="33"/>
      <c r="H2" s="33"/>
      <c r="I2" s="33"/>
      <c r="J2" s="33"/>
      <c r="K2" s="33"/>
      <c r="L2" s="33"/>
      <c r="M2" s="33"/>
      <c r="N2" s="33"/>
      <c r="O2" s="33"/>
      <c r="P2" s="33"/>
      <c r="Q2" s="33"/>
      <c r="R2" s="33"/>
      <c r="S2" s="33"/>
      <c r="T2" s="33"/>
      <c r="U2" s="33"/>
      <c r="V2" s="33"/>
      <c r="W2" s="33"/>
      <c r="X2" s="33"/>
      <c r="Y2" s="33"/>
      <c r="Z2" s="33"/>
      <c r="AA2" s="33"/>
      <c r="AB2" s="33"/>
      <c r="AC2" s="33"/>
      <c r="AD2" s="33"/>
      <c r="BF2" s="33"/>
    </row>
    <row r="3" spans="1:58" s="136" customFormat="1" ht="25.5" customHeight="1">
      <c r="A3" s="766" t="str">
        <f>+'Data Entry'!G10</f>
        <v>2020-21</v>
      </c>
      <c r="B3" s="775" t="s">
        <v>1410</v>
      </c>
      <c r="D3" s="774" t="s">
        <v>1363</v>
      </c>
      <c r="E3" s="774" t="s">
        <v>1364</v>
      </c>
      <c r="F3" s="774" t="s">
        <v>1372</v>
      </c>
      <c r="G3" s="774" t="s">
        <v>379</v>
      </c>
      <c r="H3" s="774" t="s">
        <v>1373</v>
      </c>
      <c r="I3" s="774" t="s">
        <v>1374</v>
      </c>
      <c r="J3" s="774" t="s">
        <v>382</v>
      </c>
      <c r="K3" s="774" t="s">
        <v>383</v>
      </c>
      <c r="L3" s="774" t="s">
        <v>1375</v>
      </c>
      <c r="M3" s="774" t="s">
        <v>1376</v>
      </c>
      <c r="N3" s="774" t="s">
        <v>384</v>
      </c>
      <c r="O3" s="774" t="s">
        <v>1377</v>
      </c>
      <c r="P3" s="774" t="s">
        <v>1363</v>
      </c>
      <c r="Q3" s="774" t="s">
        <v>1364</v>
      </c>
      <c r="R3" s="774" t="s">
        <v>1372</v>
      </c>
      <c r="S3" s="774" t="s">
        <v>1376</v>
      </c>
      <c r="T3" s="774" t="s">
        <v>384</v>
      </c>
      <c r="U3" s="774" t="s">
        <v>1377</v>
      </c>
      <c r="V3" s="774" t="s">
        <v>374</v>
      </c>
      <c r="W3" s="774" t="s">
        <v>375</v>
      </c>
      <c r="X3" s="774" t="s">
        <v>1378</v>
      </c>
      <c r="Y3" s="774" t="s">
        <v>376</v>
      </c>
      <c r="Z3" s="774" t="s">
        <v>377</v>
      </c>
      <c r="AA3" s="774" t="s">
        <v>1381</v>
      </c>
      <c r="AB3" s="774" t="s">
        <v>1379</v>
      </c>
      <c r="AC3" s="774" t="s">
        <v>1380</v>
      </c>
      <c r="AD3" s="774" t="s">
        <v>1382</v>
      </c>
      <c r="AE3" s="774" t="s">
        <v>1365</v>
      </c>
      <c r="AF3" s="774" t="s">
        <v>1383</v>
      </c>
      <c r="AG3" s="774" t="s">
        <v>1384</v>
      </c>
      <c r="AH3" s="774" t="s">
        <v>374</v>
      </c>
      <c r="AI3" s="774" t="s">
        <v>375</v>
      </c>
      <c r="AJ3" s="774" t="s">
        <v>1378</v>
      </c>
      <c r="AK3" s="774" t="s">
        <v>1365</v>
      </c>
      <c r="AL3" s="774" t="s">
        <v>1383</v>
      </c>
      <c r="AM3" s="774" t="s">
        <v>1384</v>
      </c>
      <c r="AN3" s="774" t="s">
        <v>380</v>
      </c>
      <c r="AO3" s="774" t="s">
        <v>381</v>
      </c>
      <c r="AP3" s="774" t="s">
        <v>1386</v>
      </c>
      <c r="AQ3" s="774" t="s">
        <v>379</v>
      </c>
      <c r="AR3" s="774" t="s">
        <v>1373</v>
      </c>
      <c r="AS3" s="774" t="s">
        <v>1374</v>
      </c>
      <c r="AT3" s="774" t="s">
        <v>1387</v>
      </c>
      <c r="AU3" s="774" t="s">
        <v>381</v>
      </c>
      <c r="AV3" s="774" t="s">
        <v>1385</v>
      </c>
      <c r="AW3" s="774" t="s">
        <v>1388</v>
      </c>
      <c r="AX3" s="774" t="s">
        <v>378</v>
      </c>
      <c r="AY3" s="774" t="s">
        <v>1389</v>
      </c>
      <c r="AZ3" s="774" t="s">
        <v>376</v>
      </c>
      <c r="BA3" s="774" t="s">
        <v>377</v>
      </c>
      <c r="BB3" s="774" t="s">
        <v>1381</v>
      </c>
      <c r="BC3" s="774" t="s">
        <v>1388</v>
      </c>
      <c r="BD3" s="774" t="s">
        <v>378</v>
      </c>
      <c r="BE3" s="774" t="s">
        <v>1389</v>
      </c>
    </row>
    <row r="4" spans="1:58" s="5" customFormat="1" ht="255" customHeight="1">
      <c r="A4" s="315" t="s">
        <v>16</v>
      </c>
      <c r="B4" s="315" t="s">
        <v>17</v>
      </c>
      <c r="C4" s="315" t="s">
        <v>20</v>
      </c>
      <c r="D4" s="315" t="s">
        <v>385</v>
      </c>
      <c r="E4" s="315" t="s">
        <v>386</v>
      </c>
      <c r="F4" s="315" t="s">
        <v>387</v>
      </c>
      <c r="G4" s="315" t="s">
        <v>388</v>
      </c>
      <c r="H4" s="315" t="s">
        <v>389</v>
      </c>
      <c r="I4" s="315" t="s">
        <v>390</v>
      </c>
      <c r="J4" s="315" t="s">
        <v>391</v>
      </c>
      <c r="K4" s="315" t="s">
        <v>392</v>
      </c>
      <c r="L4" s="315" t="s">
        <v>393</v>
      </c>
      <c r="M4" s="315" t="s">
        <v>394</v>
      </c>
      <c r="N4" s="315" t="s">
        <v>395</v>
      </c>
      <c r="O4" s="315" t="s">
        <v>396</v>
      </c>
      <c r="P4" s="315" t="s">
        <v>397</v>
      </c>
      <c r="Q4" s="315" t="s">
        <v>398</v>
      </c>
      <c r="R4" s="315" t="s">
        <v>399</v>
      </c>
      <c r="S4" s="315" t="s">
        <v>400</v>
      </c>
      <c r="T4" s="315" t="s">
        <v>401</v>
      </c>
      <c r="U4" s="315" t="s">
        <v>402</v>
      </c>
      <c r="V4" s="315" t="s">
        <v>403</v>
      </c>
      <c r="W4" s="315" t="s">
        <v>404</v>
      </c>
      <c r="X4" s="315" t="s">
        <v>405</v>
      </c>
      <c r="Y4" s="315" t="s">
        <v>406</v>
      </c>
      <c r="Z4" s="315" t="s">
        <v>407</v>
      </c>
      <c r="AA4" s="315" t="s">
        <v>408</v>
      </c>
      <c r="AB4" s="315" t="s">
        <v>409</v>
      </c>
      <c r="AC4" s="315" t="s">
        <v>410</v>
      </c>
      <c r="AD4" s="315" t="s">
        <v>411</v>
      </c>
      <c r="AE4" s="315" t="s">
        <v>412</v>
      </c>
      <c r="AF4" s="315" t="s">
        <v>413</v>
      </c>
      <c r="AG4" s="315" t="s">
        <v>414</v>
      </c>
      <c r="AH4" s="315" t="s">
        <v>415</v>
      </c>
      <c r="AI4" s="315" t="s">
        <v>416</v>
      </c>
      <c r="AJ4" s="315" t="s">
        <v>417</v>
      </c>
      <c r="AK4" s="315" t="s">
        <v>418</v>
      </c>
      <c r="AL4" s="315" t="s">
        <v>419</v>
      </c>
      <c r="AM4" s="315" t="s">
        <v>420</v>
      </c>
      <c r="AN4" s="315" t="s">
        <v>421</v>
      </c>
      <c r="AO4" s="315" t="s">
        <v>422</v>
      </c>
      <c r="AP4" s="315" t="s">
        <v>423</v>
      </c>
      <c r="AQ4" s="315" t="s">
        <v>424</v>
      </c>
      <c r="AR4" s="315" t="s">
        <v>425</v>
      </c>
      <c r="AS4" s="315" t="s">
        <v>426</v>
      </c>
      <c r="AT4" s="315" t="s">
        <v>427</v>
      </c>
      <c r="AU4" s="315" t="s">
        <v>428</v>
      </c>
      <c r="AV4" s="315" t="s">
        <v>429</v>
      </c>
      <c r="AW4" s="315" t="s">
        <v>430</v>
      </c>
      <c r="AX4" s="315" t="s">
        <v>431</v>
      </c>
      <c r="AY4" s="315" t="s">
        <v>432</v>
      </c>
      <c r="AZ4" s="315" t="s">
        <v>433</v>
      </c>
      <c r="BA4" s="315" t="s">
        <v>434</v>
      </c>
      <c r="BB4" s="315" t="s">
        <v>435</v>
      </c>
      <c r="BC4" s="315" t="s">
        <v>436</v>
      </c>
      <c r="BD4" s="315" t="s">
        <v>437</v>
      </c>
      <c r="BE4" s="315" t="s">
        <v>438</v>
      </c>
    </row>
    <row r="5" spans="1:58" s="320" customFormat="1" ht="24.75" customHeight="1">
      <c r="A5" s="316"/>
      <c r="B5" s="317"/>
      <c r="C5" s="316"/>
      <c r="D5" s="318" t="s">
        <v>249</v>
      </c>
      <c r="E5" s="319" t="s">
        <v>250</v>
      </c>
      <c r="F5" s="319" t="s">
        <v>11</v>
      </c>
      <c r="G5" s="319" t="s">
        <v>251</v>
      </c>
      <c r="H5" s="319" t="s">
        <v>252</v>
      </c>
      <c r="I5" s="319" t="s">
        <v>13</v>
      </c>
      <c r="J5" s="319" t="s">
        <v>253</v>
      </c>
      <c r="K5" s="319" t="s">
        <v>254</v>
      </c>
      <c r="L5" s="319" t="s">
        <v>9</v>
      </c>
      <c r="M5" s="319" t="s">
        <v>264</v>
      </c>
      <c r="N5" s="318" t="s">
        <v>263</v>
      </c>
      <c r="O5" s="318" t="s">
        <v>93</v>
      </c>
      <c r="P5" s="319" t="s">
        <v>333</v>
      </c>
      <c r="Q5" s="319" t="s">
        <v>334</v>
      </c>
      <c r="R5" s="319" t="s">
        <v>92</v>
      </c>
      <c r="S5" s="319" t="s">
        <v>337</v>
      </c>
      <c r="T5" s="319" t="s">
        <v>338</v>
      </c>
      <c r="U5" s="319" t="s">
        <v>91</v>
      </c>
      <c r="V5" s="319" t="s">
        <v>256</v>
      </c>
      <c r="W5" s="319" t="s">
        <v>255</v>
      </c>
      <c r="X5" s="319" t="s">
        <v>100</v>
      </c>
      <c r="Y5" s="319" t="s">
        <v>258</v>
      </c>
      <c r="Z5" s="319" t="s">
        <v>257</v>
      </c>
      <c r="AA5" s="318" t="s">
        <v>99</v>
      </c>
      <c r="AB5" s="319" t="s">
        <v>260</v>
      </c>
      <c r="AC5" s="319" t="s">
        <v>259</v>
      </c>
      <c r="AD5" s="319" t="s">
        <v>21</v>
      </c>
      <c r="AE5" s="318" t="s">
        <v>262</v>
      </c>
      <c r="AF5" s="319" t="s">
        <v>261</v>
      </c>
      <c r="AG5" s="319" t="s">
        <v>98</v>
      </c>
      <c r="AH5" s="319" t="s">
        <v>335</v>
      </c>
      <c r="AI5" s="319" t="s">
        <v>336</v>
      </c>
      <c r="AJ5" s="319" t="s">
        <v>28</v>
      </c>
      <c r="AK5" s="319" t="s">
        <v>339</v>
      </c>
      <c r="AL5" s="319" t="s">
        <v>340</v>
      </c>
      <c r="AM5" s="319" t="s">
        <v>341</v>
      </c>
      <c r="AN5" s="319" t="s">
        <v>439</v>
      </c>
      <c r="AO5" s="319" t="s">
        <v>440</v>
      </c>
      <c r="AP5" s="319" t="s">
        <v>131</v>
      </c>
      <c r="AQ5" s="319" t="s">
        <v>441</v>
      </c>
      <c r="AR5" s="319" t="s">
        <v>442</v>
      </c>
      <c r="AS5" s="319" t="s">
        <v>12</v>
      </c>
      <c r="AT5" s="319" t="s">
        <v>443</v>
      </c>
      <c r="AU5" s="319" t="s">
        <v>444</v>
      </c>
      <c r="AV5" s="319" t="s">
        <v>126</v>
      </c>
      <c r="AW5" s="319" t="s">
        <v>445</v>
      </c>
      <c r="AX5" s="319" t="s">
        <v>446</v>
      </c>
      <c r="AY5" s="319" t="s">
        <v>10</v>
      </c>
      <c r="AZ5" s="319" t="s">
        <v>447</v>
      </c>
      <c r="BA5" s="319" t="s">
        <v>448</v>
      </c>
      <c r="BB5" s="319" t="s">
        <v>15</v>
      </c>
      <c r="BC5" s="318" t="s">
        <v>449</v>
      </c>
      <c r="BD5" s="319" t="s">
        <v>450</v>
      </c>
      <c r="BE5" s="319" t="s">
        <v>96</v>
      </c>
    </row>
    <row r="6" spans="1:58" ht="14.4">
      <c r="A6" s="1065">
        <v>1</v>
      </c>
      <c r="B6" s="1065">
        <v>10017</v>
      </c>
      <c r="C6" s="920" t="s">
        <v>49</v>
      </c>
      <c r="D6" s="921">
        <v>186</v>
      </c>
      <c r="E6" s="921">
        <v>214</v>
      </c>
      <c r="F6" s="921">
        <v>157</v>
      </c>
      <c r="G6" s="921">
        <v>53</v>
      </c>
      <c r="H6" s="921">
        <v>73</v>
      </c>
      <c r="I6" s="921">
        <v>52</v>
      </c>
      <c r="J6" s="921">
        <v>0</v>
      </c>
      <c r="K6" s="921">
        <v>1</v>
      </c>
      <c r="L6" s="921">
        <v>2</v>
      </c>
      <c r="M6" s="921">
        <v>0</v>
      </c>
      <c r="N6" s="921">
        <v>2</v>
      </c>
      <c r="O6" s="921">
        <v>0</v>
      </c>
      <c r="P6" s="921">
        <v>0</v>
      </c>
      <c r="Q6" s="921">
        <v>0</v>
      </c>
      <c r="R6" s="921">
        <v>0</v>
      </c>
      <c r="S6" s="921">
        <v>0</v>
      </c>
      <c r="T6" s="921">
        <v>0</v>
      </c>
      <c r="U6" s="921">
        <v>0</v>
      </c>
      <c r="V6" s="921">
        <v>168</v>
      </c>
      <c r="W6" s="921">
        <v>199</v>
      </c>
      <c r="X6" s="921">
        <v>138</v>
      </c>
      <c r="Y6" s="921">
        <v>53</v>
      </c>
      <c r="Z6" s="921">
        <v>73</v>
      </c>
      <c r="AA6" s="921">
        <v>52</v>
      </c>
      <c r="AB6" s="921">
        <v>0</v>
      </c>
      <c r="AC6" s="921">
        <v>1</v>
      </c>
      <c r="AD6" s="921">
        <v>2</v>
      </c>
      <c r="AE6" s="921">
        <v>0</v>
      </c>
      <c r="AF6" s="921">
        <v>1</v>
      </c>
      <c r="AG6" s="921">
        <v>0</v>
      </c>
      <c r="AH6" s="921">
        <v>0</v>
      </c>
      <c r="AI6" s="921">
        <v>0</v>
      </c>
      <c r="AJ6" s="921">
        <v>0</v>
      </c>
      <c r="AK6" s="921">
        <v>0</v>
      </c>
      <c r="AL6" s="921">
        <v>0</v>
      </c>
      <c r="AM6" s="921">
        <v>0</v>
      </c>
      <c r="AN6" s="1066">
        <v>0</v>
      </c>
      <c r="AO6" s="1066">
        <v>0</v>
      </c>
      <c r="AP6" s="1066">
        <v>0</v>
      </c>
      <c r="AQ6" s="1066">
        <v>0</v>
      </c>
      <c r="AR6" s="1066">
        <v>0</v>
      </c>
      <c r="AS6" s="1066">
        <v>0</v>
      </c>
      <c r="AT6" s="1066">
        <v>0</v>
      </c>
      <c r="AU6" s="1066">
        <v>0</v>
      </c>
      <c r="AV6" s="1066">
        <v>0</v>
      </c>
      <c r="AW6" s="1066">
        <v>0</v>
      </c>
      <c r="AX6" s="1066">
        <v>0</v>
      </c>
      <c r="AY6" s="1066">
        <v>0</v>
      </c>
      <c r="AZ6" s="1066">
        <v>0</v>
      </c>
      <c r="BA6" s="1066">
        <v>0</v>
      </c>
      <c r="BB6" s="1066">
        <v>0</v>
      </c>
      <c r="BC6" s="1066">
        <v>0</v>
      </c>
      <c r="BD6" s="1066">
        <v>0</v>
      </c>
      <c r="BE6" s="1066">
        <v>0</v>
      </c>
      <c r="BF6" s="33"/>
    </row>
    <row r="7" spans="1:58" ht="14.4">
      <c r="A7" s="1065">
        <v>2</v>
      </c>
      <c r="B7" s="1065">
        <v>10025</v>
      </c>
      <c r="C7" s="920" t="s">
        <v>51</v>
      </c>
      <c r="D7" s="921">
        <v>0</v>
      </c>
      <c r="E7" s="921">
        <v>0</v>
      </c>
      <c r="F7" s="921">
        <v>0</v>
      </c>
      <c r="G7" s="921">
        <v>0</v>
      </c>
      <c r="H7" s="921">
        <v>0</v>
      </c>
      <c r="I7" s="921">
        <v>0</v>
      </c>
      <c r="J7" s="921">
        <v>0</v>
      </c>
      <c r="K7" s="921">
        <v>0</v>
      </c>
      <c r="L7" s="921">
        <v>0</v>
      </c>
      <c r="M7" s="921">
        <v>0</v>
      </c>
      <c r="N7" s="921">
        <v>0</v>
      </c>
      <c r="O7" s="921">
        <v>0</v>
      </c>
      <c r="P7" s="921">
        <v>0</v>
      </c>
      <c r="Q7" s="921">
        <v>0</v>
      </c>
      <c r="R7" s="921">
        <v>0</v>
      </c>
      <c r="S7" s="921">
        <v>0</v>
      </c>
      <c r="T7" s="921">
        <v>0</v>
      </c>
      <c r="U7" s="921">
        <v>0</v>
      </c>
      <c r="V7" s="921">
        <v>0</v>
      </c>
      <c r="W7" s="921">
        <v>0</v>
      </c>
      <c r="X7" s="921">
        <v>0</v>
      </c>
      <c r="Y7" s="921">
        <v>0</v>
      </c>
      <c r="Z7" s="921">
        <v>0</v>
      </c>
      <c r="AA7" s="921">
        <v>0</v>
      </c>
      <c r="AB7" s="921">
        <v>0</v>
      </c>
      <c r="AC7" s="921">
        <v>0</v>
      </c>
      <c r="AD7" s="921">
        <v>0</v>
      </c>
      <c r="AE7" s="921">
        <v>0</v>
      </c>
      <c r="AF7" s="921">
        <v>0</v>
      </c>
      <c r="AG7" s="921">
        <v>0</v>
      </c>
      <c r="AH7" s="921">
        <v>0</v>
      </c>
      <c r="AI7" s="921">
        <v>0</v>
      </c>
      <c r="AJ7" s="921">
        <v>0</v>
      </c>
      <c r="AK7" s="921">
        <v>0</v>
      </c>
      <c r="AL7" s="921">
        <v>0</v>
      </c>
      <c r="AM7" s="921">
        <v>0</v>
      </c>
      <c r="AN7" s="1066">
        <v>0</v>
      </c>
      <c r="AO7" s="1066">
        <v>0</v>
      </c>
      <c r="AP7" s="1066">
        <v>0</v>
      </c>
      <c r="AQ7" s="1066">
        <v>0</v>
      </c>
      <c r="AR7" s="1066">
        <v>0</v>
      </c>
      <c r="AS7" s="1066">
        <v>0</v>
      </c>
      <c r="AT7" s="1066">
        <v>0</v>
      </c>
      <c r="AU7" s="1066">
        <v>0</v>
      </c>
      <c r="AV7" s="1066">
        <v>0</v>
      </c>
      <c r="AW7" s="1066">
        <v>0</v>
      </c>
      <c r="AX7" s="1066">
        <v>0</v>
      </c>
      <c r="AY7" s="1066">
        <v>0</v>
      </c>
      <c r="AZ7" s="1066">
        <v>0</v>
      </c>
      <c r="BA7" s="1066">
        <v>0</v>
      </c>
      <c r="BB7" s="1066">
        <v>0</v>
      </c>
      <c r="BC7" s="1066">
        <v>0</v>
      </c>
      <c r="BD7" s="1066">
        <v>0</v>
      </c>
      <c r="BE7" s="1066">
        <v>0</v>
      </c>
      <c r="BF7" s="33"/>
    </row>
    <row r="8" spans="1:58" ht="14.4">
      <c r="A8" s="1065">
        <v>3</v>
      </c>
      <c r="B8" s="1065">
        <v>10033</v>
      </c>
      <c r="C8" s="920" t="s">
        <v>52</v>
      </c>
      <c r="D8" s="921">
        <v>152</v>
      </c>
      <c r="E8" s="921">
        <v>208</v>
      </c>
      <c r="F8" s="921">
        <v>25</v>
      </c>
      <c r="G8" s="921">
        <v>0</v>
      </c>
      <c r="H8" s="921">
        <v>0</v>
      </c>
      <c r="I8" s="921">
        <v>0</v>
      </c>
      <c r="J8" s="921">
        <v>152</v>
      </c>
      <c r="K8" s="921">
        <v>208</v>
      </c>
      <c r="L8" s="921">
        <v>25</v>
      </c>
      <c r="M8" s="921">
        <v>0</v>
      </c>
      <c r="N8" s="921">
        <v>0</v>
      </c>
      <c r="O8" s="921">
        <v>0</v>
      </c>
      <c r="P8" s="921">
        <v>0</v>
      </c>
      <c r="Q8" s="921">
        <v>0</v>
      </c>
      <c r="R8" s="921">
        <v>0</v>
      </c>
      <c r="S8" s="921">
        <v>0</v>
      </c>
      <c r="T8" s="921">
        <v>0</v>
      </c>
      <c r="U8" s="921">
        <v>0</v>
      </c>
      <c r="V8" s="921">
        <v>78</v>
      </c>
      <c r="W8" s="921">
        <v>120</v>
      </c>
      <c r="X8" s="921">
        <v>15</v>
      </c>
      <c r="Y8" s="921">
        <v>0</v>
      </c>
      <c r="Z8" s="921">
        <v>0</v>
      </c>
      <c r="AA8" s="921">
        <v>0</v>
      </c>
      <c r="AB8" s="921">
        <v>78</v>
      </c>
      <c r="AC8" s="921">
        <v>120</v>
      </c>
      <c r="AD8" s="921">
        <v>15</v>
      </c>
      <c r="AE8" s="921">
        <v>0</v>
      </c>
      <c r="AF8" s="921">
        <v>0</v>
      </c>
      <c r="AG8" s="921">
        <v>0</v>
      </c>
      <c r="AH8" s="921">
        <v>0</v>
      </c>
      <c r="AI8" s="921">
        <v>0</v>
      </c>
      <c r="AJ8" s="921">
        <v>0</v>
      </c>
      <c r="AK8" s="921">
        <v>0</v>
      </c>
      <c r="AL8" s="921">
        <v>0</v>
      </c>
      <c r="AM8" s="921">
        <v>0</v>
      </c>
      <c r="AN8" s="1066">
        <v>0</v>
      </c>
      <c r="AO8" s="1066">
        <v>0</v>
      </c>
      <c r="AP8" s="1066">
        <v>0</v>
      </c>
      <c r="AQ8" s="1066">
        <v>0</v>
      </c>
      <c r="AR8" s="1066">
        <v>0</v>
      </c>
      <c r="AS8" s="1066">
        <v>0</v>
      </c>
      <c r="AT8" s="1066">
        <v>0</v>
      </c>
      <c r="AU8" s="1066">
        <v>0</v>
      </c>
      <c r="AV8" s="1066">
        <v>0</v>
      </c>
      <c r="AW8" s="1066">
        <v>0</v>
      </c>
      <c r="AX8" s="1066">
        <v>0</v>
      </c>
      <c r="AY8" s="1066">
        <v>0</v>
      </c>
      <c r="AZ8" s="1066">
        <v>0</v>
      </c>
      <c r="BA8" s="1066">
        <v>0</v>
      </c>
      <c r="BB8" s="1066">
        <v>0</v>
      </c>
      <c r="BC8" s="1066">
        <v>0</v>
      </c>
      <c r="BD8" s="1066">
        <v>0</v>
      </c>
      <c r="BE8" s="1066">
        <v>0</v>
      </c>
      <c r="BF8" s="33"/>
    </row>
    <row r="9" spans="1:58" ht="14.4">
      <c r="A9" s="1065">
        <v>4</v>
      </c>
      <c r="B9" s="1065">
        <v>10041</v>
      </c>
      <c r="C9" s="920" t="s">
        <v>53</v>
      </c>
      <c r="D9" s="921">
        <v>136</v>
      </c>
      <c r="E9" s="921">
        <v>149</v>
      </c>
      <c r="F9" s="921">
        <v>136</v>
      </c>
      <c r="G9" s="921">
        <v>15</v>
      </c>
      <c r="H9" s="921">
        <v>14</v>
      </c>
      <c r="I9" s="921">
        <v>8</v>
      </c>
      <c r="J9" s="921">
        <v>96</v>
      </c>
      <c r="K9" s="921">
        <v>108</v>
      </c>
      <c r="L9" s="921">
        <v>110</v>
      </c>
      <c r="M9" s="921">
        <v>0</v>
      </c>
      <c r="N9" s="921">
        <v>2</v>
      </c>
      <c r="O9" s="921">
        <v>0</v>
      </c>
      <c r="P9" s="921">
        <v>0</v>
      </c>
      <c r="Q9" s="921">
        <v>0</v>
      </c>
      <c r="R9" s="921">
        <v>0</v>
      </c>
      <c r="S9" s="921">
        <v>0</v>
      </c>
      <c r="T9" s="921">
        <v>0</v>
      </c>
      <c r="U9" s="921">
        <v>0</v>
      </c>
      <c r="V9" s="921">
        <v>107</v>
      </c>
      <c r="W9" s="921">
        <v>120</v>
      </c>
      <c r="X9" s="921">
        <v>110</v>
      </c>
      <c r="Y9" s="921">
        <v>15</v>
      </c>
      <c r="Z9" s="921">
        <v>14</v>
      </c>
      <c r="AA9" s="921">
        <v>8</v>
      </c>
      <c r="AB9" s="921">
        <v>70</v>
      </c>
      <c r="AC9" s="921">
        <v>79</v>
      </c>
      <c r="AD9" s="921">
        <v>86</v>
      </c>
      <c r="AE9" s="921">
        <v>0</v>
      </c>
      <c r="AF9" s="921">
        <v>1</v>
      </c>
      <c r="AG9" s="921">
        <v>0</v>
      </c>
      <c r="AH9" s="921">
        <v>0</v>
      </c>
      <c r="AI9" s="921">
        <v>0</v>
      </c>
      <c r="AJ9" s="921">
        <v>0</v>
      </c>
      <c r="AK9" s="921">
        <v>0</v>
      </c>
      <c r="AL9" s="921">
        <v>0</v>
      </c>
      <c r="AM9" s="921">
        <v>0</v>
      </c>
      <c r="AN9" s="1066">
        <v>0</v>
      </c>
      <c r="AO9" s="1066">
        <v>0</v>
      </c>
      <c r="AP9" s="1066">
        <v>0</v>
      </c>
      <c r="AQ9" s="1066">
        <v>0</v>
      </c>
      <c r="AR9" s="1066">
        <v>0</v>
      </c>
      <c r="AS9" s="1066">
        <v>0</v>
      </c>
      <c r="AT9" s="1066">
        <v>0</v>
      </c>
      <c r="AU9" s="1066">
        <v>0</v>
      </c>
      <c r="AV9" s="1066">
        <v>0</v>
      </c>
      <c r="AW9" s="1066">
        <v>0</v>
      </c>
      <c r="AX9" s="1066">
        <v>0</v>
      </c>
      <c r="AY9" s="1066">
        <v>0</v>
      </c>
      <c r="AZ9" s="1066">
        <v>0</v>
      </c>
      <c r="BA9" s="1066">
        <v>0</v>
      </c>
      <c r="BB9" s="1066">
        <v>0</v>
      </c>
      <c r="BC9" s="1066">
        <v>0</v>
      </c>
      <c r="BD9" s="1066">
        <v>0</v>
      </c>
      <c r="BE9" s="1066">
        <v>0</v>
      </c>
      <c r="BF9" s="33"/>
    </row>
    <row r="10" spans="1:58" ht="14.4">
      <c r="A10" s="1065">
        <v>5</v>
      </c>
      <c r="B10" s="1065">
        <v>10058</v>
      </c>
      <c r="C10" s="920" t="s">
        <v>54</v>
      </c>
      <c r="D10" s="921">
        <v>54</v>
      </c>
      <c r="E10" s="921">
        <v>48</v>
      </c>
      <c r="F10" s="921">
        <v>41</v>
      </c>
      <c r="G10" s="921">
        <v>0</v>
      </c>
      <c r="H10" s="921">
        <v>0</v>
      </c>
      <c r="I10" s="921">
        <v>0</v>
      </c>
      <c r="J10" s="921">
        <v>16</v>
      </c>
      <c r="K10" s="921">
        <v>22</v>
      </c>
      <c r="L10" s="921">
        <v>19</v>
      </c>
      <c r="M10" s="921">
        <v>3</v>
      </c>
      <c r="N10" s="921">
        <v>3</v>
      </c>
      <c r="O10" s="921">
        <v>3</v>
      </c>
      <c r="P10" s="921">
        <v>0</v>
      </c>
      <c r="Q10" s="921">
        <v>0</v>
      </c>
      <c r="R10" s="921">
        <v>0</v>
      </c>
      <c r="S10" s="921">
        <v>0</v>
      </c>
      <c r="T10" s="921">
        <v>0</v>
      </c>
      <c r="U10" s="921">
        <v>0</v>
      </c>
      <c r="V10" s="921">
        <v>35</v>
      </c>
      <c r="W10" s="921">
        <v>29</v>
      </c>
      <c r="X10" s="921">
        <v>31</v>
      </c>
      <c r="Y10" s="921">
        <v>0</v>
      </c>
      <c r="Z10" s="921">
        <v>0</v>
      </c>
      <c r="AA10" s="921">
        <v>0</v>
      </c>
      <c r="AB10" s="921">
        <v>4</v>
      </c>
      <c r="AC10" s="921">
        <v>9</v>
      </c>
      <c r="AD10" s="921">
        <v>12</v>
      </c>
      <c r="AE10" s="921">
        <v>2</v>
      </c>
      <c r="AF10" s="921">
        <v>2</v>
      </c>
      <c r="AG10" s="921">
        <v>2</v>
      </c>
      <c r="AH10" s="921">
        <v>0</v>
      </c>
      <c r="AI10" s="921">
        <v>0</v>
      </c>
      <c r="AJ10" s="921">
        <v>0</v>
      </c>
      <c r="AK10" s="921">
        <v>0</v>
      </c>
      <c r="AL10" s="921">
        <v>0</v>
      </c>
      <c r="AM10" s="921">
        <v>0</v>
      </c>
      <c r="AN10" s="1066">
        <v>0</v>
      </c>
      <c r="AO10" s="1066">
        <v>0</v>
      </c>
      <c r="AP10" s="1066">
        <v>0</v>
      </c>
      <c r="AQ10" s="1066">
        <v>0</v>
      </c>
      <c r="AR10" s="1066">
        <v>0</v>
      </c>
      <c r="AS10" s="1066">
        <v>0</v>
      </c>
      <c r="AT10" s="1066">
        <v>0</v>
      </c>
      <c r="AU10" s="1066">
        <v>0</v>
      </c>
      <c r="AV10" s="1066">
        <v>0</v>
      </c>
      <c r="AW10" s="1066">
        <v>0</v>
      </c>
      <c r="AX10" s="1066">
        <v>0</v>
      </c>
      <c r="AY10" s="1066">
        <v>0</v>
      </c>
      <c r="AZ10" s="1066">
        <v>0</v>
      </c>
      <c r="BA10" s="1066">
        <v>0</v>
      </c>
      <c r="BB10" s="1066">
        <v>0</v>
      </c>
      <c r="BC10" s="1066">
        <v>0</v>
      </c>
      <c r="BD10" s="1066">
        <v>0</v>
      </c>
      <c r="BE10" s="1066">
        <v>0</v>
      </c>
      <c r="BF10" s="33"/>
    </row>
    <row r="11" spans="1:58" ht="14.4">
      <c r="A11" s="1065">
        <v>6</v>
      </c>
      <c r="B11" s="1065">
        <v>10066</v>
      </c>
      <c r="C11" s="920" t="s">
        <v>55</v>
      </c>
      <c r="D11" s="921">
        <v>34</v>
      </c>
      <c r="E11" s="921">
        <v>32</v>
      </c>
      <c r="F11" s="921">
        <v>20</v>
      </c>
      <c r="G11" s="921">
        <v>0</v>
      </c>
      <c r="H11" s="921">
        <v>0</v>
      </c>
      <c r="I11" s="921">
        <v>0</v>
      </c>
      <c r="J11" s="921">
        <v>15</v>
      </c>
      <c r="K11" s="921">
        <v>17</v>
      </c>
      <c r="L11" s="921">
        <v>20</v>
      </c>
      <c r="M11" s="921">
        <v>0</v>
      </c>
      <c r="N11" s="921">
        <v>0</v>
      </c>
      <c r="O11" s="921">
        <v>0</v>
      </c>
      <c r="P11" s="921">
        <v>0</v>
      </c>
      <c r="Q11" s="921">
        <v>0</v>
      </c>
      <c r="R11" s="921">
        <v>0</v>
      </c>
      <c r="S11" s="921">
        <v>0</v>
      </c>
      <c r="T11" s="921">
        <v>0</v>
      </c>
      <c r="U11" s="921">
        <v>0</v>
      </c>
      <c r="V11" s="921">
        <v>32</v>
      </c>
      <c r="W11" s="921">
        <v>24</v>
      </c>
      <c r="X11" s="921">
        <v>17</v>
      </c>
      <c r="Y11" s="921">
        <v>0</v>
      </c>
      <c r="Z11" s="921">
        <v>0</v>
      </c>
      <c r="AA11" s="921">
        <v>0</v>
      </c>
      <c r="AB11" s="921">
        <v>14</v>
      </c>
      <c r="AC11" s="921">
        <v>12</v>
      </c>
      <c r="AD11" s="921">
        <v>17</v>
      </c>
      <c r="AE11" s="921">
        <v>0</v>
      </c>
      <c r="AF11" s="921">
        <v>0</v>
      </c>
      <c r="AG11" s="921">
        <v>0</v>
      </c>
      <c r="AH11" s="921">
        <v>0</v>
      </c>
      <c r="AI11" s="921">
        <v>0</v>
      </c>
      <c r="AJ11" s="921">
        <v>0</v>
      </c>
      <c r="AK11" s="921">
        <v>0</v>
      </c>
      <c r="AL11" s="921">
        <v>0</v>
      </c>
      <c r="AM11" s="921">
        <v>0</v>
      </c>
      <c r="AN11" s="1066">
        <v>0</v>
      </c>
      <c r="AO11" s="1066">
        <v>0</v>
      </c>
      <c r="AP11" s="1066">
        <v>0</v>
      </c>
      <c r="AQ11" s="1066">
        <v>0</v>
      </c>
      <c r="AR11" s="1066">
        <v>0</v>
      </c>
      <c r="AS11" s="1066">
        <v>0</v>
      </c>
      <c r="AT11" s="1066">
        <v>0</v>
      </c>
      <c r="AU11" s="1066">
        <v>0</v>
      </c>
      <c r="AV11" s="1066">
        <v>0</v>
      </c>
      <c r="AW11" s="1066">
        <v>0</v>
      </c>
      <c r="AX11" s="1066">
        <v>0</v>
      </c>
      <c r="AY11" s="1066">
        <v>0</v>
      </c>
      <c r="AZ11" s="1066">
        <v>0</v>
      </c>
      <c r="BA11" s="1066">
        <v>0</v>
      </c>
      <c r="BB11" s="1066">
        <v>0</v>
      </c>
      <c r="BC11" s="1066">
        <v>0</v>
      </c>
      <c r="BD11" s="1066">
        <v>0</v>
      </c>
      <c r="BE11" s="1066">
        <v>0</v>
      </c>
      <c r="BF11" s="33"/>
    </row>
    <row r="12" spans="1:58" ht="14.4">
      <c r="A12" s="1065">
        <v>7</v>
      </c>
      <c r="B12" s="1065">
        <v>10074</v>
      </c>
      <c r="C12" s="920" t="s">
        <v>109</v>
      </c>
      <c r="D12" s="921">
        <v>366</v>
      </c>
      <c r="E12" s="921">
        <v>321</v>
      </c>
      <c r="F12" s="921">
        <v>272</v>
      </c>
      <c r="G12" s="921">
        <v>96</v>
      </c>
      <c r="H12" s="921">
        <v>99</v>
      </c>
      <c r="I12" s="921">
        <v>53</v>
      </c>
      <c r="J12" s="921">
        <v>270</v>
      </c>
      <c r="K12" s="921">
        <v>222</v>
      </c>
      <c r="L12" s="921">
        <v>219</v>
      </c>
      <c r="M12" s="921">
        <v>31</v>
      </c>
      <c r="N12" s="921">
        <v>35</v>
      </c>
      <c r="O12" s="921">
        <v>26</v>
      </c>
      <c r="P12" s="921">
        <v>0</v>
      </c>
      <c r="Q12" s="921">
        <v>0</v>
      </c>
      <c r="R12" s="921">
        <v>0</v>
      </c>
      <c r="S12" s="921">
        <v>0</v>
      </c>
      <c r="T12" s="921">
        <v>0</v>
      </c>
      <c r="U12" s="921">
        <v>0</v>
      </c>
      <c r="V12" s="921">
        <v>229</v>
      </c>
      <c r="W12" s="921">
        <v>225</v>
      </c>
      <c r="X12" s="921">
        <v>151</v>
      </c>
      <c r="Y12" s="921">
        <v>96</v>
      </c>
      <c r="Z12" s="921">
        <v>99</v>
      </c>
      <c r="AA12" s="921">
        <v>53</v>
      </c>
      <c r="AB12" s="921">
        <v>133</v>
      </c>
      <c r="AC12" s="921">
        <v>126</v>
      </c>
      <c r="AD12" s="921">
        <v>98</v>
      </c>
      <c r="AE12" s="921">
        <v>21</v>
      </c>
      <c r="AF12" s="921">
        <v>26</v>
      </c>
      <c r="AG12" s="921">
        <v>19</v>
      </c>
      <c r="AH12" s="921">
        <v>0</v>
      </c>
      <c r="AI12" s="921">
        <v>0</v>
      </c>
      <c r="AJ12" s="921">
        <v>0</v>
      </c>
      <c r="AK12" s="921">
        <v>0</v>
      </c>
      <c r="AL12" s="921">
        <v>0</v>
      </c>
      <c r="AM12" s="921">
        <v>0</v>
      </c>
      <c r="AN12" s="1066">
        <v>0</v>
      </c>
      <c r="AO12" s="1066">
        <v>0</v>
      </c>
      <c r="AP12" s="1066">
        <v>0</v>
      </c>
      <c r="AQ12" s="1066">
        <v>0</v>
      </c>
      <c r="AR12" s="1066">
        <v>0</v>
      </c>
      <c r="AS12" s="1066">
        <v>0</v>
      </c>
      <c r="AT12" s="1066">
        <v>0</v>
      </c>
      <c r="AU12" s="1066">
        <v>0</v>
      </c>
      <c r="AV12" s="1066">
        <v>0</v>
      </c>
      <c r="AW12" s="1066">
        <v>0</v>
      </c>
      <c r="AX12" s="1066">
        <v>0</v>
      </c>
      <c r="AY12" s="1066">
        <v>0</v>
      </c>
      <c r="AZ12" s="1066">
        <v>0</v>
      </c>
      <c r="BA12" s="1066">
        <v>0</v>
      </c>
      <c r="BB12" s="1066">
        <v>0</v>
      </c>
      <c r="BC12" s="1066">
        <v>0</v>
      </c>
      <c r="BD12" s="1066">
        <v>0</v>
      </c>
      <c r="BE12" s="1066">
        <v>0</v>
      </c>
      <c r="BF12" s="33"/>
    </row>
    <row r="13" spans="1:58" ht="14.4">
      <c r="A13" s="1065">
        <v>8</v>
      </c>
      <c r="B13" s="1065">
        <v>10082</v>
      </c>
      <c r="C13" s="920" t="s">
        <v>56</v>
      </c>
      <c r="D13" s="921">
        <v>29</v>
      </c>
      <c r="E13" s="921">
        <v>33</v>
      </c>
      <c r="F13" s="921">
        <v>33</v>
      </c>
      <c r="G13" s="921">
        <v>9</v>
      </c>
      <c r="H13" s="921">
        <v>7</v>
      </c>
      <c r="I13" s="921">
        <v>3</v>
      </c>
      <c r="J13" s="921">
        <v>20</v>
      </c>
      <c r="K13" s="921">
        <v>7</v>
      </c>
      <c r="L13" s="921">
        <v>5</v>
      </c>
      <c r="M13" s="921">
        <v>0</v>
      </c>
      <c r="N13" s="921">
        <v>0</v>
      </c>
      <c r="O13" s="921">
        <v>0</v>
      </c>
      <c r="P13" s="921">
        <v>10</v>
      </c>
      <c r="Q13" s="921">
        <v>0</v>
      </c>
      <c r="R13" s="921">
        <v>0</v>
      </c>
      <c r="S13" s="921">
        <v>0</v>
      </c>
      <c r="T13" s="921">
        <v>0</v>
      </c>
      <c r="U13" s="921">
        <v>0</v>
      </c>
      <c r="V13" s="921">
        <v>29</v>
      </c>
      <c r="W13" s="921">
        <v>33</v>
      </c>
      <c r="X13" s="921">
        <v>32</v>
      </c>
      <c r="Y13" s="921">
        <v>9</v>
      </c>
      <c r="Z13" s="921">
        <v>7</v>
      </c>
      <c r="AA13" s="921">
        <v>3</v>
      </c>
      <c r="AB13" s="921">
        <v>20</v>
      </c>
      <c r="AC13" s="921">
        <v>7</v>
      </c>
      <c r="AD13" s="921">
        <v>5</v>
      </c>
      <c r="AE13" s="921">
        <v>0</v>
      </c>
      <c r="AF13" s="921">
        <v>0</v>
      </c>
      <c r="AG13" s="921">
        <v>0</v>
      </c>
      <c r="AH13" s="921">
        <v>10</v>
      </c>
      <c r="AI13" s="921">
        <v>0</v>
      </c>
      <c r="AJ13" s="921">
        <v>0</v>
      </c>
      <c r="AK13" s="921">
        <v>0</v>
      </c>
      <c r="AL13" s="921">
        <v>0</v>
      </c>
      <c r="AM13" s="921">
        <v>0</v>
      </c>
      <c r="AN13" s="1066">
        <v>0</v>
      </c>
      <c r="AO13" s="1066">
        <v>0</v>
      </c>
      <c r="AP13" s="1066">
        <v>0</v>
      </c>
      <c r="AQ13" s="1066">
        <v>0</v>
      </c>
      <c r="AR13" s="1066">
        <v>0</v>
      </c>
      <c r="AS13" s="1066">
        <v>0</v>
      </c>
      <c r="AT13" s="1066">
        <v>0</v>
      </c>
      <c r="AU13" s="1066">
        <v>0</v>
      </c>
      <c r="AV13" s="1066">
        <v>0</v>
      </c>
      <c r="AW13" s="1066">
        <v>0</v>
      </c>
      <c r="AX13" s="1066">
        <v>0</v>
      </c>
      <c r="AY13" s="1066">
        <v>0</v>
      </c>
      <c r="AZ13" s="1066">
        <v>0</v>
      </c>
      <c r="BA13" s="1066">
        <v>0</v>
      </c>
      <c r="BB13" s="1066">
        <v>0</v>
      </c>
      <c r="BC13" s="1066">
        <v>0</v>
      </c>
      <c r="BD13" s="1066">
        <v>0</v>
      </c>
      <c r="BE13" s="1066">
        <v>0</v>
      </c>
      <c r="BF13" s="33"/>
    </row>
    <row r="14" spans="1:58" ht="14.4">
      <c r="A14" s="1065">
        <v>9</v>
      </c>
      <c r="B14" s="1065">
        <v>10090</v>
      </c>
      <c r="C14" s="920" t="s">
        <v>37</v>
      </c>
      <c r="D14" s="921">
        <v>231</v>
      </c>
      <c r="E14" s="921">
        <v>214</v>
      </c>
      <c r="F14" s="921">
        <v>192</v>
      </c>
      <c r="G14" s="921">
        <v>20</v>
      </c>
      <c r="H14" s="921">
        <v>18</v>
      </c>
      <c r="I14" s="921">
        <v>13</v>
      </c>
      <c r="J14" s="921">
        <v>211</v>
      </c>
      <c r="K14" s="921">
        <v>196</v>
      </c>
      <c r="L14" s="921">
        <v>179</v>
      </c>
      <c r="M14" s="921">
        <v>306</v>
      </c>
      <c r="N14" s="921">
        <v>301</v>
      </c>
      <c r="O14" s="921">
        <v>244</v>
      </c>
      <c r="P14" s="921">
        <v>0</v>
      </c>
      <c r="Q14" s="921">
        <v>0</v>
      </c>
      <c r="R14" s="921">
        <v>0</v>
      </c>
      <c r="S14" s="921">
        <v>0</v>
      </c>
      <c r="T14" s="921">
        <v>0</v>
      </c>
      <c r="U14" s="921">
        <v>0</v>
      </c>
      <c r="V14" s="921">
        <v>69</v>
      </c>
      <c r="W14" s="921">
        <v>72</v>
      </c>
      <c r="X14" s="921">
        <v>68</v>
      </c>
      <c r="Y14" s="921">
        <v>20</v>
      </c>
      <c r="Z14" s="921">
        <v>18</v>
      </c>
      <c r="AA14" s="921">
        <v>13</v>
      </c>
      <c r="AB14" s="921">
        <v>49</v>
      </c>
      <c r="AC14" s="921">
        <v>54</v>
      </c>
      <c r="AD14" s="921">
        <v>55</v>
      </c>
      <c r="AE14" s="921">
        <v>155</v>
      </c>
      <c r="AF14" s="921">
        <v>133</v>
      </c>
      <c r="AG14" s="921">
        <v>107</v>
      </c>
      <c r="AH14" s="921">
        <v>0</v>
      </c>
      <c r="AI14" s="921">
        <v>0</v>
      </c>
      <c r="AJ14" s="921">
        <v>0</v>
      </c>
      <c r="AK14" s="921">
        <v>0</v>
      </c>
      <c r="AL14" s="921">
        <v>0</v>
      </c>
      <c r="AM14" s="921">
        <v>0</v>
      </c>
      <c r="AN14" s="1066">
        <v>121</v>
      </c>
      <c r="AO14" s="1066">
        <v>78</v>
      </c>
      <c r="AP14" s="1066">
        <v>66</v>
      </c>
      <c r="AQ14" s="1066">
        <v>0</v>
      </c>
      <c r="AR14" s="1066">
        <v>0</v>
      </c>
      <c r="AS14" s="1066">
        <v>0</v>
      </c>
      <c r="AT14" s="1066">
        <v>0</v>
      </c>
      <c r="AU14" s="1066">
        <v>0</v>
      </c>
      <c r="AV14" s="1066">
        <v>0</v>
      </c>
      <c r="AW14" s="1066">
        <v>121</v>
      </c>
      <c r="AX14" s="1066">
        <v>78</v>
      </c>
      <c r="AY14" s="1066">
        <v>66</v>
      </c>
      <c r="AZ14" s="1066">
        <v>0</v>
      </c>
      <c r="BA14" s="1066">
        <v>0</v>
      </c>
      <c r="BB14" s="1066">
        <v>0</v>
      </c>
      <c r="BC14" s="1066">
        <v>0</v>
      </c>
      <c r="BD14" s="1066">
        <v>0</v>
      </c>
      <c r="BE14" s="1066">
        <v>0</v>
      </c>
      <c r="BF14" s="33"/>
    </row>
    <row r="15" spans="1:58" ht="14.4">
      <c r="A15" s="1065">
        <v>10</v>
      </c>
      <c r="B15" s="1065">
        <v>10108</v>
      </c>
      <c r="C15" s="920" t="s">
        <v>48</v>
      </c>
      <c r="D15" s="921">
        <v>931</v>
      </c>
      <c r="E15" s="921">
        <v>873</v>
      </c>
      <c r="F15" s="921">
        <v>794</v>
      </c>
      <c r="G15" s="921">
        <v>247</v>
      </c>
      <c r="H15" s="921">
        <v>202</v>
      </c>
      <c r="I15" s="921">
        <v>141</v>
      </c>
      <c r="J15" s="921">
        <v>646</v>
      </c>
      <c r="K15" s="921">
        <v>637</v>
      </c>
      <c r="L15" s="921">
        <v>627</v>
      </c>
      <c r="M15" s="921">
        <v>0</v>
      </c>
      <c r="N15" s="921">
        <v>0</v>
      </c>
      <c r="O15" s="921">
        <v>0</v>
      </c>
      <c r="P15" s="921">
        <v>0</v>
      </c>
      <c r="Q15" s="921">
        <v>0</v>
      </c>
      <c r="R15" s="921">
        <v>0</v>
      </c>
      <c r="S15" s="921">
        <v>0</v>
      </c>
      <c r="T15" s="921">
        <v>0</v>
      </c>
      <c r="U15" s="921">
        <v>0</v>
      </c>
      <c r="V15" s="921">
        <v>783</v>
      </c>
      <c r="W15" s="921">
        <v>714</v>
      </c>
      <c r="X15" s="921">
        <v>614</v>
      </c>
      <c r="Y15" s="921">
        <v>247</v>
      </c>
      <c r="Z15" s="921">
        <v>202</v>
      </c>
      <c r="AA15" s="921">
        <v>141</v>
      </c>
      <c r="AB15" s="921">
        <v>498</v>
      </c>
      <c r="AC15" s="921">
        <v>478</v>
      </c>
      <c r="AD15" s="921">
        <v>447</v>
      </c>
      <c r="AE15" s="921">
        <v>0</v>
      </c>
      <c r="AF15" s="921">
        <v>0</v>
      </c>
      <c r="AG15" s="921">
        <v>0</v>
      </c>
      <c r="AH15" s="921">
        <v>0</v>
      </c>
      <c r="AI15" s="921">
        <v>0</v>
      </c>
      <c r="AJ15" s="921">
        <v>0</v>
      </c>
      <c r="AK15" s="921">
        <v>0</v>
      </c>
      <c r="AL15" s="921">
        <v>0</v>
      </c>
      <c r="AM15" s="921">
        <v>0</v>
      </c>
      <c r="AN15" s="1066">
        <v>0</v>
      </c>
      <c r="AO15" s="1066">
        <v>0</v>
      </c>
      <c r="AP15" s="1066">
        <v>0</v>
      </c>
      <c r="AQ15" s="1066">
        <v>0</v>
      </c>
      <c r="AR15" s="1066">
        <v>0</v>
      </c>
      <c r="AS15" s="1066">
        <v>0</v>
      </c>
      <c r="AT15" s="1066">
        <v>0</v>
      </c>
      <c r="AU15" s="1066">
        <v>0</v>
      </c>
      <c r="AV15" s="1066">
        <v>0</v>
      </c>
      <c r="AW15" s="1066">
        <v>0</v>
      </c>
      <c r="AX15" s="1066">
        <v>0</v>
      </c>
      <c r="AY15" s="1066">
        <v>0</v>
      </c>
      <c r="AZ15" s="1066">
        <v>0</v>
      </c>
      <c r="BA15" s="1066">
        <v>0</v>
      </c>
      <c r="BB15" s="1066">
        <v>0</v>
      </c>
      <c r="BC15" s="1066">
        <v>0</v>
      </c>
      <c r="BD15" s="1066">
        <v>0</v>
      </c>
      <c r="BE15" s="1066">
        <v>0</v>
      </c>
      <c r="BF15" s="33"/>
    </row>
    <row r="16" spans="1:58" ht="14.4">
      <c r="A16" s="1065">
        <v>11</v>
      </c>
      <c r="B16" s="1065">
        <v>10116</v>
      </c>
      <c r="C16" s="920" t="s">
        <v>47</v>
      </c>
      <c r="D16" s="921">
        <v>74</v>
      </c>
      <c r="E16" s="921">
        <v>79</v>
      </c>
      <c r="F16" s="921">
        <v>75</v>
      </c>
      <c r="G16" s="921">
        <v>0</v>
      </c>
      <c r="H16" s="921">
        <v>0</v>
      </c>
      <c r="I16" s="921">
        <v>0</v>
      </c>
      <c r="J16" s="921">
        <v>74</v>
      </c>
      <c r="K16" s="921">
        <v>79</v>
      </c>
      <c r="L16" s="921">
        <v>75</v>
      </c>
      <c r="M16" s="921">
        <v>0</v>
      </c>
      <c r="N16" s="921">
        <v>0</v>
      </c>
      <c r="O16" s="921">
        <v>0</v>
      </c>
      <c r="P16" s="921">
        <v>0</v>
      </c>
      <c r="Q16" s="921">
        <v>0</v>
      </c>
      <c r="R16" s="921">
        <v>0</v>
      </c>
      <c r="S16" s="921">
        <v>0</v>
      </c>
      <c r="T16" s="921">
        <v>0</v>
      </c>
      <c r="U16" s="921">
        <v>0</v>
      </c>
      <c r="V16" s="921">
        <v>45</v>
      </c>
      <c r="W16" s="921">
        <v>55</v>
      </c>
      <c r="X16" s="921">
        <v>35</v>
      </c>
      <c r="Y16" s="921">
        <v>0</v>
      </c>
      <c r="Z16" s="921">
        <v>0</v>
      </c>
      <c r="AA16" s="921">
        <v>0</v>
      </c>
      <c r="AB16" s="921">
        <v>45</v>
      </c>
      <c r="AC16" s="921">
        <v>55</v>
      </c>
      <c r="AD16" s="921">
        <v>35</v>
      </c>
      <c r="AE16" s="921">
        <v>0</v>
      </c>
      <c r="AF16" s="921">
        <v>0</v>
      </c>
      <c r="AG16" s="921">
        <v>0</v>
      </c>
      <c r="AH16" s="921">
        <v>0</v>
      </c>
      <c r="AI16" s="921">
        <v>0</v>
      </c>
      <c r="AJ16" s="921">
        <v>0</v>
      </c>
      <c r="AK16" s="921">
        <v>0</v>
      </c>
      <c r="AL16" s="921">
        <v>0</v>
      </c>
      <c r="AM16" s="921">
        <v>0</v>
      </c>
      <c r="AN16" s="1066">
        <v>0</v>
      </c>
      <c r="AO16" s="1066">
        <v>0</v>
      </c>
      <c r="AP16" s="1066">
        <v>0</v>
      </c>
      <c r="AQ16" s="1066">
        <v>0</v>
      </c>
      <c r="AR16" s="1066">
        <v>0</v>
      </c>
      <c r="AS16" s="1066">
        <v>0</v>
      </c>
      <c r="AT16" s="1066">
        <v>0</v>
      </c>
      <c r="AU16" s="1066">
        <v>0</v>
      </c>
      <c r="AV16" s="1066">
        <v>0</v>
      </c>
      <c r="AW16" s="1066">
        <v>0</v>
      </c>
      <c r="AX16" s="1066">
        <v>0</v>
      </c>
      <c r="AY16" s="1066">
        <v>0</v>
      </c>
      <c r="AZ16" s="1066">
        <v>0</v>
      </c>
      <c r="BA16" s="1066">
        <v>0</v>
      </c>
      <c r="BB16" s="1066">
        <v>0</v>
      </c>
      <c r="BC16" s="1066">
        <v>0</v>
      </c>
      <c r="BD16" s="1066">
        <v>0</v>
      </c>
      <c r="BE16" s="1066">
        <v>0</v>
      </c>
      <c r="BF16" s="33"/>
    </row>
    <row r="17" spans="1:58" ht="14.4">
      <c r="A17" s="1065">
        <v>12</v>
      </c>
      <c r="B17" s="1065">
        <v>10124</v>
      </c>
      <c r="C17" s="920" t="s">
        <v>57</v>
      </c>
      <c r="D17" s="921">
        <v>283</v>
      </c>
      <c r="E17" s="921">
        <v>270</v>
      </c>
      <c r="F17" s="921">
        <v>251</v>
      </c>
      <c r="G17" s="921">
        <v>19</v>
      </c>
      <c r="H17" s="921">
        <v>14</v>
      </c>
      <c r="I17" s="921">
        <v>9</v>
      </c>
      <c r="J17" s="921">
        <v>126</v>
      </c>
      <c r="K17" s="921">
        <v>111</v>
      </c>
      <c r="L17" s="921">
        <v>117</v>
      </c>
      <c r="M17" s="921">
        <v>0</v>
      </c>
      <c r="N17" s="921">
        <v>0</v>
      </c>
      <c r="O17" s="921">
        <v>0</v>
      </c>
      <c r="P17" s="921">
        <v>0</v>
      </c>
      <c r="Q17" s="921">
        <v>0</v>
      </c>
      <c r="R17" s="921">
        <v>0</v>
      </c>
      <c r="S17" s="921">
        <v>0</v>
      </c>
      <c r="T17" s="921">
        <v>0</v>
      </c>
      <c r="U17" s="921">
        <v>0</v>
      </c>
      <c r="V17" s="921">
        <v>221</v>
      </c>
      <c r="W17" s="921">
        <v>209</v>
      </c>
      <c r="X17" s="921">
        <v>188</v>
      </c>
      <c r="Y17" s="921">
        <v>19</v>
      </c>
      <c r="Z17" s="921">
        <v>14</v>
      </c>
      <c r="AA17" s="921">
        <v>9</v>
      </c>
      <c r="AB17" s="921">
        <v>70</v>
      </c>
      <c r="AC17" s="921">
        <v>58</v>
      </c>
      <c r="AD17" s="921">
        <v>62</v>
      </c>
      <c r="AE17" s="921">
        <v>0</v>
      </c>
      <c r="AF17" s="921">
        <v>0</v>
      </c>
      <c r="AG17" s="921">
        <v>0</v>
      </c>
      <c r="AH17" s="921">
        <v>-8</v>
      </c>
      <c r="AI17" s="921">
        <v>0</v>
      </c>
      <c r="AJ17" s="921">
        <v>0</v>
      </c>
      <c r="AK17" s="921">
        <v>0</v>
      </c>
      <c r="AL17" s="921">
        <v>0</v>
      </c>
      <c r="AM17" s="921">
        <v>0</v>
      </c>
      <c r="AN17" s="1066">
        <v>0</v>
      </c>
      <c r="AO17" s="1066">
        <v>0</v>
      </c>
      <c r="AP17" s="1066">
        <v>0</v>
      </c>
      <c r="AQ17" s="1066">
        <v>0</v>
      </c>
      <c r="AR17" s="1066">
        <v>0</v>
      </c>
      <c r="AS17" s="1066">
        <v>0</v>
      </c>
      <c r="AT17" s="1066">
        <v>0</v>
      </c>
      <c r="AU17" s="1066">
        <v>0</v>
      </c>
      <c r="AV17" s="1066">
        <v>0</v>
      </c>
      <c r="AW17" s="1066">
        <v>0</v>
      </c>
      <c r="AX17" s="1066">
        <v>0</v>
      </c>
      <c r="AY17" s="1066">
        <v>0</v>
      </c>
      <c r="AZ17" s="1066">
        <v>0</v>
      </c>
      <c r="BA17" s="1066">
        <v>0</v>
      </c>
      <c r="BB17" s="1066">
        <v>0</v>
      </c>
      <c r="BC17" s="1066">
        <v>0</v>
      </c>
      <c r="BD17" s="1066">
        <v>0</v>
      </c>
      <c r="BE17" s="1066">
        <v>0</v>
      </c>
      <c r="BF17" s="33"/>
    </row>
    <row r="18" spans="1:58" ht="14.4">
      <c r="A18" s="1065">
        <v>13</v>
      </c>
      <c r="B18" s="1065">
        <v>10132</v>
      </c>
      <c r="C18" s="920" t="s">
        <v>58</v>
      </c>
      <c r="D18" s="921">
        <v>613</v>
      </c>
      <c r="E18" s="921">
        <v>640</v>
      </c>
      <c r="F18" s="921">
        <v>604</v>
      </c>
      <c r="G18" s="921">
        <v>20</v>
      </c>
      <c r="H18" s="921">
        <v>9</v>
      </c>
      <c r="I18" s="921">
        <v>5</v>
      </c>
      <c r="J18" s="921">
        <v>532</v>
      </c>
      <c r="K18" s="921">
        <v>435</v>
      </c>
      <c r="L18" s="921">
        <v>466</v>
      </c>
      <c r="M18" s="921">
        <v>0</v>
      </c>
      <c r="N18" s="921">
        <v>1</v>
      </c>
      <c r="O18" s="921">
        <v>0</v>
      </c>
      <c r="P18" s="921">
        <v>0</v>
      </c>
      <c r="Q18" s="921">
        <v>0</v>
      </c>
      <c r="R18" s="921">
        <v>0</v>
      </c>
      <c r="S18" s="921">
        <v>0</v>
      </c>
      <c r="T18" s="921">
        <v>0</v>
      </c>
      <c r="U18" s="921">
        <v>0</v>
      </c>
      <c r="V18" s="921">
        <v>483</v>
      </c>
      <c r="W18" s="921">
        <v>539</v>
      </c>
      <c r="X18" s="921">
        <v>477</v>
      </c>
      <c r="Y18" s="921">
        <v>20</v>
      </c>
      <c r="Z18" s="921">
        <v>9</v>
      </c>
      <c r="AA18" s="921">
        <v>5</v>
      </c>
      <c r="AB18" s="921">
        <v>405</v>
      </c>
      <c r="AC18" s="921">
        <v>344</v>
      </c>
      <c r="AD18" s="921">
        <v>345</v>
      </c>
      <c r="AE18" s="921">
        <v>0</v>
      </c>
      <c r="AF18" s="921">
        <v>1</v>
      </c>
      <c r="AG18" s="921">
        <v>0</v>
      </c>
      <c r="AH18" s="921">
        <v>0</v>
      </c>
      <c r="AI18" s="921">
        <v>0</v>
      </c>
      <c r="AJ18" s="921">
        <v>0</v>
      </c>
      <c r="AK18" s="921">
        <v>0</v>
      </c>
      <c r="AL18" s="921">
        <v>0</v>
      </c>
      <c r="AM18" s="921">
        <v>0</v>
      </c>
      <c r="AN18" s="1066">
        <v>0</v>
      </c>
      <c r="AO18" s="1066">
        <v>0</v>
      </c>
      <c r="AP18" s="1066">
        <v>0</v>
      </c>
      <c r="AQ18" s="1066">
        <v>0</v>
      </c>
      <c r="AR18" s="1066">
        <v>0</v>
      </c>
      <c r="AS18" s="1066">
        <v>0</v>
      </c>
      <c r="AT18" s="1066">
        <v>0</v>
      </c>
      <c r="AU18" s="1066">
        <v>0</v>
      </c>
      <c r="AV18" s="1066">
        <v>0</v>
      </c>
      <c r="AW18" s="1066">
        <v>0</v>
      </c>
      <c r="AX18" s="1066">
        <v>0</v>
      </c>
      <c r="AY18" s="1066">
        <v>0</v>
      </c>
      <c r="AZ18" s="1066">
        <v>0</v>
      </c>
      <c r="BA18" s="1066">
        <v>0</v>
      </c>
      <c r="BB18" s="1066">
        <v>0</v>
      </c>
      <c r="BC18" s="1066">
        <v>0</v>
      </c>
      <c r="BD18" s="1066">
        <v>0</v>
      </c>
      <c r="BE18" s="1066">
        <v>0</v>
      </c>
      <c r="BF18" s="33"/>
    </row>
    <row r="19" spans="1:58" ht="14.4">
      <c r="A19" s="1065">
        <v>14</v>
      </c>
      <c r="B19" s="1065">
        <v>10140</v>
      </c>
      <c r="C19" s="920" t="s">
        <v>36</v>
      </c>
      <c r="D19" s="921">
        <v>9</v>
      </c>
      <c r="E19" s="921">
        <v>14</v>
      </c>
      <c r="F19" s="921">
        <v>13</v>
      </c>
      <c r="G19" s="921">
        <v>0</v>
      </c>
      <c r="H19" s="921">
        <v>0</v>
      </c>
      <c r="I19" s="921">
        <v>0</v>
      </c>
      <c r="J19" s="921">
        <v>5</v>
      </c>
      <c r="K19" s="921">
        <v>7</v>
      </c>
      <c r="L19" s="921">
        <v>10</v>
      </c>
      <c r="M19" s="921">
        <v>0</v>
      </c>
      <c r="N19" s="921">
        <v>0</v>
      </c>
      <c r="O19" s="921">
        <v>0</v>
      </c>
      <c r="P19" s="921">
        <v>0</v>
      </c>
      <c r="Q19" s="921">
        <v>0</v>
      </c>
      <c r="R19" s="921">
        <v>0</v>
      </c>
      <c r="S19" s="921">
        <v>0</v>
      </c>
      <c r="T19" s="921">
        <v>0</v>
      </c>
      <c r="U19" s="921">
        <v>0</v>
      </c>
      <c r="V19" s="921">
        <v>8</v>
      </c>
      <c r="W19" s="921">
        <v>11</v>
      </c>
      <c r="X19" s="921">
        <v>11</v>
      </c>
      <c r="Y19" s="921">
        <v>0</v>
      </c>
      <c r="Z19" s="921">
        <v>0</v>
      </c>
      <c r="AA19" s="921">
        <v>0</v>
      </c>
      <c r="AB19" s="921">
        <v>4</v>
      </c>
      <c r="AC19" s="921">
        <v>6</v>
      </c>
      <c r="AD19" s="921">
        <v>8</v>
      </c>
      <c r="AE19" s="921">
        <v>0</v>
      </c>
      <c r="AF19" s="921">
        <v>0</v>
      </c>
      <c r="AG19" s="921">
        <v>0</v>
      </c>
      <c r="AH19" s="921">
        <v>0</v>
      </c>
      <c r="AI19" s="921">
        <v>0</v>
      </c>
      <c r="AJ19" s="921">
        <v>0</v>
      </c>
      <c r="AK19" s="921">
        <v>0</v>
      </c>
      <c r="AL19" s="921">
        <v>0</v>
      </c>
      <c r="AM19" s="921">
        <v>0</v>
      </c>
      <c r="AN19" s="1066">
        <v>0</v>
      </c>
      <c r="AO19" s="1066">
        <v>0</v>
      </c>
      <c r="AP19" s="1066">
        <v>0</v>
      </c>
      <c r="AQ19" s="1066">
        <v>0</v>
      </c>
      <c r="AR19" s="1066">
        <v>0</v>
      </c>
      <c r="AS19" s="1066">
        <v>0</v>
      </c>
      <c r="AT19" s="1066">
        <v>0</v>
      </c>
      <c r="AU19" s="1066">
        <v>0</v>
      </c>
      <c r="AV19" s="1066">
        <v>0</v>
      </c>
      <c r="AW19" s="1066">
        <v>0</v>
      </c>
      <c r="AX19" s="1066">
        <v>0</v>
      </c>
      <c r="AY19" s="1066">
        <v>0</v>
      </c>
      <c r="AZ19" s="1066">
        <v>0</v>
      </c>
      <c r="BA19" s="1066">
        <v>0</v>
      </c>
      <c r="BB19" s="1066">
        <v>0</v>
      </c>
      <c r="BC19" s="1066">
        <v>0</v>
      </c>
      <c r="BD19" s="1066">
        <v>0</v>
      </c>
      <c r="BE19" s="1066">
        <v>0</v>
      </c>
      <c r="BF19" s="33"/>
    </row>
    <row r="20" spans="1:58" ht="14.4">
      <c r="A20" s="1065">
        <v>15</v>
      </c>
      <c r="B20" s="1065">
        <v>10157</v>
      </c>
      <c r="C20" s="920" t="s">
        <v>46</v>
      </c>
      <c r="D20" s="921">
        <v>1386</v>
      </c>
      <c r="E20" s="921">
        <v>1324</v>
      </c>
      <c r="F20" s="921">
        <v>1045</v>
      </c>
      <c r="G20" s="921">
        <v>290</v>
      </c>
      <c r="H20" s="921">
        <v>262</v>
      </c>
      <c r="I20" s="921">
        <v>193</v>
      </c>
      <c r="J20" s="921">
        <v>558</v>
      </c>
      <c r="K20" s="921">
        <v>570</v>
      </c>
      <c r="L20" s="921">
        <v>528</v>
      </c>
      <c r="M20" s="921">
        <v>0</v>
      </c>
      <c r="N20" s="921">
        <v>0</v>
      </c>
      <c r="O20" s="921">
        <v>0</v>
      </c>
      <c r="P20" s="921">
        <v>0</v>
      </c>
      <c r="Q20" s="921">
        <v>0</v>
      </c>
      <c r="R20" s="921">
        <v>0</v>
      </c>
      <c r="S20" s="921">
        <v>0</v>
      </c>
      <c r="T20" s="921">
        <v>0</v>
      </c>
      <c r="U20" s="921">
        <v>0</v>
      </c>
      <c r="V20" s="921">
        <v>1163</v>
      </c>
      <c r="W20" s="921">
        <v>1153</v>
      </c>
      <c r="X20" s="921">
        <v>844</v>
      </c>
      <c r="Y20" s="921">
        <v>290</v>
      </c>
      <c r="Z20" s="921">
        <v>262</v>
      </c>
      <c r="AA20" s="921">
        <v>193</v>
      </c>
      <c r="AB20" s="921">
        <v>358</v>
      </c>
      <c r="AC20" s="921">
        <v>434</v>
      </c>
      <c r="AD20" s="921">
        <v>357</v>
      </c>
      <c r="AE20" s="921">
        <v>0</v>
      </c>
      <c r="AF20" s="921">
        <v>0</v>
      </c>
      <c r="AG20" s="921">
        <v>0</v>
      </c>
      <c r="AH20" s="921">
        <v>0</v>
      </c>
      <c r="AI20" s="921">
        <v>0</v>
      </c>
      <c r="AJ20" s="921">
        <v>0</v>
      </c>
      <c r="AK20" s="921">
        <v>0</v>
      </c>
      <c r="AL20" s="921">
        <v>0</v>
      </c>
      <c r="AM20" s="921">
        <v>0</v>
      </c>
      <c r="AN20" s="1066">
        <v>0</v>
      </c>
      <c r="AO20" s="1066">
        <v>0</v>
      </c>
      <c r="AP20" s="1066">
        <v>0</v>
      </c>
      <c r="AQ20" s="1066">
        <v>0</v>
      </c>
      <c r="AR20" s="1066">
        <v>0</v>
      </c>
      <c r="AS20" s="1066">
        <v>0</v>
      </c>
      <c r="AT20" s="1066">
        <v>0</v>
      </c>
      <c r="AU20" s="1066">
        <v>0</v>
      </c>
      <c r="AV20" s="1066">
        <v>0</v>
      </c>
      <c r="AW20" s="1066">
        <v>0</v>
      </c>
      <c r="AX20" s="1066">
        <v>0</v>
      </c>
      <c r="AY20" s="1066">
        <v>0</v>
      </c>
      <c r="AZ20" s="1066">
        <v>0</v>
      </c>
      <c r="BA20" s="1066">
        <v>0</v>
      </c>
      <c r="BB20" s="1066">
        <v>0</v>
      </c>
      <c r="BC20" s="1066">
        <v>0</v>
      </c>
      <c r="BD20" s="1066">
        <v>0</v>
      </c>
      <c r="BE20" s="1066">
        <v>0</v>
      </c>
      <c r="BF20" s="33"/>
    </row>
    <row r="21" spans="1:58" ht="14.4">
      <c r="A21" s="1065">
        <v>16</v>
      </c>
      <c r="B21" s="1065">
        <v>10165</v>
      </c>
      <c r="C21" s="920" t="s">
        <v>59</v>
      </c>
      <c r="D21" s="921">
        <v>357</v>
      </c>
      <c r="E21" s="921">
        <v>352</v>
      </c>
      <c r="F21" s="921">
        <v>326</v>
      </c>
      <c r="G21" s="921">
        <v>34</v>
      </c>
      <c r="H21" s="921">
        <v>31</v>
      </c>
      <c r="I21" s="921">
        <v>19</v>
      </c>
      <c r="J21" s="921">
        <v>323</v>
      </c>
      <c r="K21" s="921">
        <v>321</v>
      </c>
      <c r="L21" s="921">
        <v>307</v>
      </c>
      <c r="M21" s="921">
        <v>0</v>
      </c>
      <c r="N21" s="921">
        <v>0</v>
      </c>
      <c r="O21" s="921">
        <v>0</v>
      </c>
      <c r="P21" s="921">
        <v>0</v>
      </c>
      <c r="Q21" s="921">
        <v>0</v>
      </c>
      <c r="R21" s="921">
        <v>0</v>
      </c>
      <c r="S21" s="921">
        <v>0</v>
      </c>
      <c r="T21" s="921">
        <v>0</v>
      </c>
      <c r="U21" s="921">
        <v>0</v>
      </c>
      <c r="V21" s="921">
        <v>245</v>
      </c>
      <c r="W21" s="921">
        <v>230</v>
      </c>
      <c r="X21" s="921">
        <v>247</v>
      </c>
      <c r="Y21" s="921">
        <v>34</v>
      </c>
      <c r="Z21" s="921">
        <v>31</v>
      </c>
      <c r="AA21" s="921">
        <v>19</v>
      </c>
      <c r="AB21" s="921">
        <v>211</v>
      </c>
      <c r="AC21" s="921">
        <v>199</v>
      </c>
      <c r="AD21" s="921">
        <v>228</v>
      </c>
      <c r="AE21" s="921">
        <v>0</v>
      </c>
      <c r="AF21" s="921">
        <v>0</v>
      </c>
      <c r="AG21" s="921">
        <v>0</v>
      </c>
      <c r="AH21" s="921">
        <v>0</v>
      </c>
      <c r="AI21" s="921">
        <v>0</v>
      </c>
      <c r="AJ21" s="921">
        <v>0</v>
      </c>
      <c r="AK21" s="921">
        <v>0</v>
      </c>
      <c r="AL21" s="921">
        <v>0</v>
      </c>
      <c r="AM21" s="921">
        <v>0</v>
      </c>
      <c r="AN21" s="1066">
        <v>0</v>
      </c>
      <c r="AO21" s="1066">
        <v>0</v>
      </c>
      <c r="AP21" s="1066">
        <v>0</v>
      </c>
      <c r="AQ21" s="1066">
        <v>0</v>
      </c>
      <c r="AR21" s="1066">
        <v>0</v>
      </c>
      <c r="AS21" s="1066">
        <v>0</v>
      </c>
      <c r="AT21" s="1066">
        <v>0</v>
      </c>
      <c r="AU21" s="1066">
        <v>0</v>
      </c>
      <c r="AV21" s="1066">
        <v>0</v>
      </c>
      <c r="AW21" s="1066">
        <v>0</v>
      </c>
      <c r="AX21" s="1066">
        <v>0</v>
      </c>
      <c r="AY21" s="1066">
        <v>0</v>
      </c>
      <c r="AZ21" s="1066">
        <v>0</v>
      </c>
      <c r="BA21" s="1066">
        <v>0</v>
      </c>
      <c r="BB21" s="1066">
        <v>0</v>
      </c>
      <c r="BC21" s="1066">
        <v>0</v>
      </c>
      <c r="BD21" s="1066">
        <v>0</v>
      </c>
      <c r="BE21" s="1066">
        <v>0</v>
      </c>
      <c r="BF21" s="33"/>
    </row>
    <row r="22" spans="1:58" ht="14.4">
      <c r="A22" s="1065">
        <v>17</v>
      </c>
      <c r="B22" s="1065">
        <v>10173</v>
      </c>
      <c r="C22" s="920" t="s">
        <v>60</v>
      </c>
      <c r="D22" s="921">
        <v>36</v>
      </c>
      <c r="E22" s="921">
        <v>39</v>
      </c>
      <c r="F22" s="921">
        <v>23</v>
      </c>
      <c r="G22" s="921">
        <v>0</v>
      </c>
      <c r="H22" s="921">
        <v>0</v>
      </c>
      <c r="I22" s="921">
        <v>0</v>
      </c>
      <c r="J22" s="921">
        <v>24</v>
      </c>
      <c r="K22" s="921">
        <v>28</v>
      </c>
      <c r="L22" s="921">
        <v>22</v>
      </c>
      <c r="M22" s="921">
        <v>0</v>
      </c>
      <c r="N22" s="921">
        <v>0</v>
      </c>
      <c r="O22" s="921">
        <v>0</v>
      </c>
      <c r="P22" s="921">
        <v>0</v>
      </c>
      <c r="Q22" s="921">
        <v>0</v>
      </c>
      <c r="R22" s="921">
        <v>0</v>
      </c>
      <c r="S22" s="921">
        <v>0</v>
      </c>
      <c r="T22" s="921">
        <v>0</v>
      </c>
      <c r="U22" s="921">
        <v>0</v>
      </c>
      <c r="V22" s="921">
        <v>34</v>
      </c>
      <c r="W22" s="921">
        <v>28</v>
      </c>
      <c r="X22" s="921">
        <v>21</v>
      </c>
      <c r="Y22" s="921">
        <v>0</v>
      </c>
      <c r="Z22" s="921">
        <v>0</v>
      </c>
      <c r="AA22" s="921">
        <v>0</v>
      </c>
      <c r="AB22" s="921">
        <v>23</v>
      </c>
      <c r="AC22" s="921">
        <v>19</v>
      </c>
      <c r="AD22" s="921">
        <v>20</v>
      </c>
      <c r="AE22" s="921">
        <v>0</v>
      </c>
      <c r="AF22" s="921">
        <v>0</v>
      </c>
      <c r="AG22" s="921">
        <v>0</v>
      </c>
      <c r="AH22" s="921">
        <v>0</v>
      </c>
      <c r="AI22" s="921">
        <v>0</v>
      </c>
      <c r="AJ22" s="921">
        <v>0</v>
      </c>
      <c r="AK22" s="921">
        <v>0</v>
      </c>
      <c r="AL22" s="921">
        <v>0</v>
      </c>
      <c r="AM22" s="921">
        <v>0</v>
      </c>
      <c r="AN22" s="1066">
        <v>0</v>
      </c>
      <c r="AO22" s="1066">
        <v>0</v>
      </c>
      <c r="AP22" s="1066">
        <v>0</v>
      </c>
      <c r="AQ22" s="1066">
        <v>0</v>
      </c>
      <c r="AR22" s="1066">
        <v>0</v>
      </c>
      <c r="AS22" s="1066">
        <v>0</v>
      </c>
      <c r="AT22" s="1066">
        <v>0</v>
      </c>
      <c r="AU22" s="1066">
        <v>0</v>
      </c>
      <c r="AV22" s="1066">
        <v>0</v>
      </c>
      <c r="AW22" s="1066">
        <v>0</v>
      </c>
      <c r="AX22" s="1066">
        <v>0</v>
      </c>
      <c r="AY22" s="1066">
        <v>0</v>
      </c>
      <c r="AZ22" s="1066">
        <v>0</v>
      </c>
      <c r="BA22" s="1066">
        <v>0</v>
      </c>
      <c r="BB22" s="1066">
        <v>0</v>
      </c>
      <c r="BC22" s="1066">
        <v>0</v>
      </c>
      <c r="BD22" s="1066">
        <v>0</v>
      </c>
      <c r="BE22" s="1066">
        <v>0</v>
      </c>
      <c r="BF22" s="33"/>
    </row>
    <row r="23" spans="1:58" ht="14.4">
      <c r="A23" s="1065">
        <v>18</v>
      </c>
      <c r="B23" s="1065">
        <v>10181</v>
      </c>
      <c r="C23" s="920" t="s">
        <v>61</v>
      </c>
      <c r="D23" s="921">
        <v>23</v>
      </c>
      <c r="E23" s="921">
        <v>11</v>
      </c>
      <c r="F23" s="921">
        <v>10</v>
      </c>
      <c r="G23" s="921">
        <v>8</v>
      </c>
      <c r="H23" s="921">
        <v>0</v>
      </c>
      <c r="I23" s="921">
        <v>0</v>
      </c>
      <c r="J23" s="921">
        <v>15</v>
      </c>
      <c r="K23" s="921">
        <v>11</v>
      </c>
      <c r="L23" s="921">
        <v>10</v>
      </c>
      <c r="M23" s="921">
        <v>0</v>
      </c>
      <c r="N23" s="921">
        <v>0</v>
      </c>
      <c r="O23" s="921">
        <v>0</v>
      </c>
      <c r="P23" s="921">
        <v>0</v>
      </c>
      <c r="Q23" s="921">
        <v>0</v>
      </c>
      <c r="R23" s="921">
        <v>0</v>
      </c>
      <c r="S23" s="921">
        <v>0</v>
      </c>
      <c r="T23" s="921">
        <v>0</v>
      </c>
      <c r="U23" s="921">
        <v>0</v>
      </c>
      <c r="V23" s="921">
        <v>10</v>
      </c>
      <c r="W23" s="921">
        <v>3</v>
      </c>
      <c r="X23" s="921">
        <v>2</v>
      </c>
      <c r="Y23" s="921">
        <v>8</v>
      </c>
      <c r="Z23" s="921">
        <v>0</v>
      </c>
      <c r="AA23" s="921">
        <v>0</v>
      </c>
      <c r="AB23" s="921">
        <v>2</v>
      </c>
      <c r="AC23" s="921">
        <v>3</v>
      </c>
      <c r="AD23" s="921">
        <v>2</v>
      </c>
      <c r="AE23" s="921">
        <v>0</v>
      </c>
      <c r="AF23" s="921">
        <v>0</v>
      </c>
      <c r="AG23" s="921">
        <v>0</v>
      </c>
      <c r="AH23" s="921">
        <v>0</v>
      </c>
      <c r="AI23" s="921">
        <v>0</v>
      </c>
      <c r="AJ23" s="921">
        <v>0</v>
      </c>
      <c r="AK23" s="921">
        <v>0</v>
      </c>
      <c r="AL23" s="921">
        <v>0</v>
      </c>
      <c r="AM23" s="921">
        <v>0</v>
      </c>
      <c r="AN23" s="1066">
        <v>0</v>
      </c>
      <c r="AO23" s="1066">
        <v>0</v>
      </c>
      <c r="AP23" s="1066">
        <v>0</v>
      </c>
      <c r="AQ23" s="1066">
        <v>0</v>
      </c>
      <c r="AR23" s="1066">
        <v>0</v>
      </c>
      <c r="AS23" s="1066">
        <v>0</v>
      </c>
      <c r="AT23" s="1066">
        <v>0</v>
      </c>
      <c r="AU23" s="1066">
        <v>0</v>
      </c>
      <c r="AV23" s="1066">
        <v>0</v>
      </c>
      <c r="AW23" s="1066">
        <v>0</v>
      </c>
      <c r="AX23" s="1066">
        <v>0</v>
      </c>
      <c r="AY23" s="1066">
        <v>0</v>
      </c>
      <c r="AZ23" s="1066">
        <v>0</v>
      </c>
      <c r="BA23" s="1066">
        <v>0</v>
      </c>
      <c r="BB23" s="1066">
        <v>0</v>
      </c>
      <c r="BC23" s="1066">
        <v>0</v>
      </c>
      <c r="BD23" s="1066">
        <v>0</v>
      </c>
      <c r="BE23" s="1066">
        <v>0</v>
      </c>
      <c r="BF23" s="33"/>
    </row>
    <row r="24" spans="1:58" ht="14.4">
      <c r="A24" s="1065">
        <v>19</v>
      </c>
      <c r="B24" s="1065">
        <v>10199</v>
      </c>
      <c r="C24" s="920" t="s">
        <v>45</v>
      </c>
      <c r="D24" s="921">
        <v>2239</v>
      </c>
      <c r="E24" s="921">
        <v>2003</v>
      </c>
      <c r="F24" s="921">
        <v>1721</v>
      </c>
      <c r="G24" s="921">
        <v>755</v>
      </c>
      <c r="H24" s="921">
        <v>815</v>
      </c>
      <c r="I24" s="921">
        <v>466</v>
      </c>
      <c r="J24" s="921">
        <v>1398</v>
      </c>
      <c r="K24" s="921">
        <v>1128</v>
      </c>
      <c r="L24" s="921">
        <v>1203</v>
      </c>
      <c r="M24" s="921">
        <v>0</v>
      </c>
      <c r="N24" s="921">
        <v>0</v>
      </c>
      <c r="O24" s="921">
        <v>0</v>
      </c>
      <c r="P24" s="921">
        <v>0</v>
      </c>
      <c r="Q24" s="921">
        <v>0</v>
      </c>
      <c r="R24" s="921">
        <v>0</v>
      </c>
      <c r="S24" s="921">
        <v>0</v>
      </c>
      <c r="T24" s="921">
        <v>0</v>
      </c>
      <c r="U24" s="921">
        <v>0</v>
      </c>
      <c r="V24" s="921">
        <v>1342</v>
      </c>
      <c r="W24" s="921">
        <v>1255</v>
      </c>
      <c r="X24" s="921">
        <v>951</v>
      </c>
      <c r="Y24" s="921">
        <v>755</v>
      </c>
      <c r="Z24" s="921">
        <v>815</v>
      </c>
      <c r="AA24" s="921">
        <v>466</v>
      </c>
      <c r="AB24" s="921">
        <v>514</v>
      </c>
      <c r="AC24" s="921">
        <v>382</v>
      </c>
      <c r="AD24" s="921">
        <v>440</v>
      </c>
      <c r="AE24" s="921">
        <v>0</v>
      </c>
      <c r="AF24" s="921">
        <v>0</v>
      </c>
      <c r="AG24" s="921">
        <v>0</v>
      </c>
      <c r="AH24" s="921">
        <v>0</v>
      </c>
      <c r="AI24" s="921">
        <v>0</v>
      </c>
      <c r="AJ24" s="921">
        <v>0</v>
      </c>
      <c r="AK24" s="921">
        <v>0</v>
      </c>
      <c r="AL24" s="921">
        <v>0</v>
      </c>
      <c r="AM24" s="921">
        <v>0</v>
      </c>
      <c r="AN24" s="1066">
        <v>0</v>
      </c>
      <c r="AO24" s="1066">
        <v>0</v>
      </c>
      <c r="AP24" s="1066">
        <v>0</v>
      </c>
      <c r="AQ24" s="1066">
        <v>0</v>
      </c>
      <c r="AR24" s="1066">
        <v>0</v>
      </c>
      <c r="AS24" s="1066">
        <v>0</v>
      </c>
      <c r="AT24" s="1066">
        <v>0</v>
      </c>
      <c r="AU24" s="1066">
        <v>0</v>
      </c>
      <c r="AV24" s="1066">
        <v>0</v>
      </c>
      <c r="AW24" s="1066">
        <v>0</v>
      </c>
      <c r="AX24" s="1066">
        <v>0</v>
      </c>
      <c r="AY24" s="1066">
        <v>0</v>
      </c>
      <c r="AZ24" s="1066">
        <v>0</v>
      </c>
      <c r="BA24" s="1066">
        <v>0</v>
      </c>
      <c r="BB24" s="1066">
        <v>0</v>
      </c>
      <c r="BC24" s="1066">
        <v>0</v>
      </c>
      <c r="BD24" s="1066">
        <v>0</v>
      </c>
      <c r="BE24" s="1066">
        <v>0</v>
      </c>
      <c r="BF24" s="33"/>
    </row>
    <row r="25" spans="1:58" ht="14.4">
      <c r="A25" s="1065">
        <v>20</v>
      </c>
      <c r="B25" s="1065">
        <v>10207</v>
      </c>
      <c r="C25" s="920" t="s">
        <v>124</v>
      </c>
      <c r="D25" s="921">
        <v>364</v>
      </c>
      <c r="E25" s="921">
        <v>387</v>
      </c>
      <c r="F25" s="921">
        <v>361</v>
      </c>
      <c r="G25" s="921">
        <v>35</v>
      </c>
      <c r="H25" s="921">
        <v>47</v>
      </c>
      <c r="I25" s="921">
        <v>13</v>
      </c>
      <c r="J25" s="921">
        <v>329</v>
      </c>
      <c r="K25" s="921">
        <v>340</v>
      </c>
      <c r="L25" s="921">
        <v>348</v>
      </c>
      <c r="M25" s="921">
        <v>42</v>
      </c>
      <c r="N25" s="921">
        <v>29</v>
      </c>
      <c r="O25" s="921">
        <v>26</v>
      </c>
      <c r="P25" s="921">
        <v>0</v>
      </c>
      <c r="Q25" s="921">
        <v>0</v>
      </c>
      <c r="R25" s="921">
        <v>0</v>
      </c>
      <c r="S25" s="921">
        <v>0</v>
      </c>
      <c r="T25" s="921">
        <v>0</v>
      </c>
      <c r="U25" s="921">
        <v>0</v>
      </c>
      <c r="V25" s="921">
        <v>309</v>
      </c>
      <c r="W25" s="921">
        <v>318</v>
      </c>
      <c r="X25" s="921">
        <v>294</v>
      </c>
      <c r="Y25" s="921">
        <v>35</v>
      </c>
      <c r="Z25" s="921">
        <v>47</v>
      </c>
      <c r="AA25" s="921">
        <v>13</v>
      </c>
      <c r="AB25" s="921">
        <v>274</v>
      </c>
      <c r="AC25" s="921">
        <v>271</v>
      </c>
      <c r="AD25" s="921">
        <v>281</v>
      </c>
      <c r="AE25" s="921">
        <v>39</v>
      </c>
      <c r="AF25" s="921">
        <v>27</v>
      </c>
      <c r="AG25" s="921">
        <v>22</v>
      </c>
      <c r="AH25" s="921">
        <v>0</v>
      </c>
      <c r="AI25" s="921">
        <v>0</v>
      </c>
      <c r="AJ25" s="921">
        <v>0</v>
      </c>
      <c r="AK25" s="921">
        <v>0</v>
      </c>
      <c r="AL25" s="921">
        <v>0</v>
      </c>
      <c r="AM25" s="921">
        <v>0</v>
      </c>
      <c r="AN25" s="1066">
        <v>0</v>
      </c>
      <c r="AO25" s="1066">
        <v>0</v>
      </c>
      <c r="AP25" s="1066">
        <v>0</v>
      </c>
      <c r="AQ25" s="1066">
        <v>0</v>
      </c>
      <c r="AR25" s="1066">
        <v>0</v>
      </c>
      <c r="AS25" s="1066">
        <v>0</v>
      </c>
      <c r="AT25" s="1066">
        <v>0</v>
      </c>
      <c r="AU25" s="1066">
        <v>0</v>
      </c>
      <c r="AV25" s="1066">
        <v>0</v>
      </c>
      <c r="AW25" s="1066">
        <v>0</v>
      </c>
      <c r="AX25" s="1066">
        <v>0</v>
      </c>
      <c r="AY25" s="1066">
        <v>0</v>
      </c>
      <c r="AZ25" s="1066">
        <v>0</v>
      </c>
      <c r="BA25" s="1066">
        <v>0</v>
      </c>
      <c r="BB25" s="1066">
        <v>0</v>
      </c>
      <c r="BC25" s="1066">
        <v>0</v>
      </c>
      <c r="BD25" s="1066">
        <v>0</v>
      </c>
      <c r="BE25" s="1066">
        <v>0</v>
      </c>
      <c r="BF25" s="33"/>
    </row>
    <row r="26" spans="1:58" ht="14.4">
      <c r="A26" s="1065">
        <v>21</v>
      </c>
      <c r="B26" s="1065">
        <v>10215</v>
      </c>
      <c r="C26" s="920" t="s">
        <v>62</v>
      </c>
      <c r="D26" s="921">
        <v>319</v>
      </c>
      <c r="E26" s="921">
        <v>310</v>
      </c>
      <c r="F26" s="921">
        <v>283</v>
      </c>
      <c r="G26" s="921">
        <v>11</v>
      </c>
      <c r="H26" s="921">
        <v>21</v>
      </c>
      <c r="I26" s="921">
        <v>7</v>
      </c>
      <c r="J26" s="921">
        <v>231</v>
      </c>
      <c r="K26" s="921">
        <v>233</v>
      </c>
      <c r="L26" s="921">
        <v>241</v>
      </c>
      <c r="M26" s="921">
        <v>6</v>
      </c>
      <c r="N26" s="921">
        <v>23</v>
      </c>
      <c r="O26" s="921">
        <v>0</v>
      </c>
      <c r="P26" s="921">
        <v>0</v>
      </c>
      <c r="Q26" s="921">
        <v>0</v>
      </c>
      <c r="R26" s="921">
        <v>0</v>
      </c>
      <c r="S26" s="921">
        <v>0</v>
      </c>
      <c r="T26" s="921">
        <v>0</v>
      </c>
      <c r="U26" s="921">
        <v>0</v>
      </c>
      <c r="V26" s="921">
        <v>158</v>
      </c>
      <c r="W26" s="921">
        <v>144</v>
      </c>
      <c r="X26" s="921">
        <v>131</v>
      </c>
      <c r="Y26" s="921">
        <v>11</v>
      </c>
      <c r="Z26" s="921">
        <v>21</v>
      </c>
      <c r="AA26" s="921">
        <v>7</v>
      </c>
      <c r="AB26" s="921">
        <v>84</v>
      </c>
      <c r="AC26" s="921">
        <v>84</v>
      </c>
      <c r="AD26" s="921">
        <v>94</v>
      </c>
      <c r="AE26" s="921">
        <v>6</v>
      </c>
      <c r="AF26" s="921">
        <v>21</v>
      </c>
      <c r="AG26" s="921">
        <v>0</v>
      </c>
      <c r="AH26" s="921">
        <v>0</v>
      </c>
      <c r="AI26" s="921">
        <v>0</v>
      </c>
      <c r="AJ26" s="921">
        <v>0</v>
      </c>
      <c r="AK26" s="921">
        <v>0</v>
      </c>
      <c r="AL26" s="921">
        <v>0</v>
      </c>
      <c r="AM26" s="921">
        <v>0</v>
      </c>
      <c r="AN26" s="1066">
        <v>0</v>
      </c>
      <c r="AO26" s="1066">
        <v>0</v>
      </c>
      <c r="AP26" s="1066">
        <v>0</v>
      </c>
      <c r="AQ26" s="1066">
        <v>0</v>
      </c>
      <c r="AR26" s="1066">
        <v>0</v>
      </c>
      <c r="AS26" s="1066">
        <v>0</v>
      </c>
      <c r="AT26" s="1066">
        <v>0</v>
      </c>
      <c r="AU26" s="1066">
        <v>0</v>
      </c>
      <c r="AV26" s="1066">
        <v>0</v>
      </c>
      <c r="AW26" s="1066">
        <v>0</v>
      </c>
      <c r="AX26" s="1066">
        <v>0</v>
      </c>
      <c r="AY26" s="1066">
        <v>0</v>
      </c>
      <c r="AZ26" s="1066">
        <v>0</v>
      </c>
      <c r="BA26" s="1066">
        <v>0</v>
      </c>
      <c r="BB26" s="1066">
        <v>0</v>
      </c>
      <c r="BC26" s="1066">
        <v>0</v>
      </c>
      <c r="BD26" s="1066">
        <v>0</v>
      </c>
      <c r="BE26" s="1066">
        <v>0</v>
      </c>
      <c r="BF26" s="33"/>
    </row>
    <row r="27" spans="1:58" ht="14.4">
      <c r="A27" s="1065">
        <v>22</v>
      </c>
      <c r="B27" s="1065">
        <v>10223</v>
      </c>
      <c r="C27" s="920" t="s">
        <v>63</v>
      </c>
      <c r="D27" s="921">
        <v>45</v>
      </c>
      <c r="E27" s="921">
        <v>46</v>
      </c>
      <c r="F27" s="921">
        <v>40</v>
      </c>
      <c r="G27" s="921">
        <v>0</v>
      </c>
      <c r="H27" s="921">
        <v>0</v>
      </c>
      <c r="I27" s="921">
        <v>0</v>
      </c>
      <c r="J27" s="921">
        <v>45</v>
      </c>
      <c r="K27" s="921">
        <v>43</v>
      </c>
      <c r="L27" s="921">
        <v>40</v>
      </c>
      <c r="M27" s="921">
        <v>0</v>
      </c>
      <c r="N27" s="921">
        <v>0</v>
      </c>
      <c r="O27" s="921">
        <v>0</v>
      </c>
      <c r="P27" s="921">
        <v>0</v>
      </c>
      <c r="Q27" s="921">
        <v>0</v>
      </c>
      <c r="R27" s="921">
        <v>0</v>
      </c>
      <c r="S27" s="921">
        <v>0</v>
      </c>
      <c r="T27" s="921">
        <v>0</v>
      </c>
      <c r="U27" s="921">
        <v>0</v>
      </c>
      <c r="V27" s="921">
        <v>38</v>
      </c>
      <c r="W27" s="921">
        <v>38</v>
      </c>
      <c r="X27" s="921">
        <v>30</v>
      </c>
      <c r="Y27" s="921">
        <v>0</v>
      </c>
      <c r="Z27" s="921">
        <v>0</v>
      </c>
      <c r="AA27" s="921">
        <v>0</v>
      </c>
      <c r="AB27" s="921">
        <v>38</v>
      </c>
      <c r="AC27" s="921">
        <v>35</v>
      </c>
      <c r="AD27" s="921">
        <v>30</v>
      </c>
      <c r="AE27" s="921">
        <v>0</v>
      </c>
      <c r="AF27" s="921">
        <v>0</v>
      </c>
      <c r="AG27" s="921">
        <v>0</v>
      </c>
      <c r="AH27" s="921">
        <v>0</v>
      </c>
      <c r="AI27" s="921">
        <v>0</v>
      </c>
      <c r="AJ27" s="921">
        <v>0</v>
      </c>
      <c r="AK27" s="921">
        <v>0</v>
      </c>
      <c r="AL27" s="921">
        <v>0</v>
      </c>
      <c r="AM27" s="921">
        <v>0</v>
      </c>
      <c r="AN27" s="1066">
        <v>0</v>
      </c>
      <c r="AO27" s="1066">
        <v>0</v>
      </c>
      <c r="AP27" s="1066">
        <v>0</v>
      </c>
      <c r="AQ27" s="1066">
        <v>0</v>
      </c>
      <c r="AR27" s="1066">
        <v>0</v>
      </c>
      <c r="AS27" s="1066">
        <v>0</v>
      </c>
      <c r="AT27" s="1066">
        <v>0</v>
      </c>
      <c r="AU27" s="1066">
        <v>0</v>
      </c>
      <c r="AV27" s="1066">
        <v>0</v>
      </c>
      <c r="AW27" s="1066">
        <v>0</v>
      </c>
      <c r="AX27" s="1066">
        <v>0</v>
      </c>
      <c r="AY27" s="1066">
        <v>0</v>
      </c>
      <c r="AZ27" s="1066">
        <v>0</v>
      </c>
      <c r="BA27" s="1066">
        <v>0</v>
      </c>
      <c r="BB27" s="1066">
        <v>0</v>
      </c>
      <c r="BC27" s="1066">
        <v>0</v>
      </c>
      <c r="BD27" s="1066">
        <v>0</v>
      </c>
      <c r="BE27" s="1066">
        <v>0</v>
      </c>
      <c r="BF27" s="33"/>
    </row>
    <row r="28" spans="1:58" ht="14.4">
      <c r="A28" s="1065">
        <v>23</v>
      </c>
      <c r="B28" s="1065">
        <v>10231</v>
      </c>
      <c r="C28" s="920" t="s">
        <v>64</v>
      </c>
      <c r="D28" s="921">
        <v>79</v>
      </c>
      <c r="E28" s="921">
        <v>53</v>
      </c>
      <c r="F28" s="921">
        <v>102</v>
      </c>
      <c r="G28" s="921">
        <v>19</v>
      </c>
      <c r="H28" s="921">
        <v>13</v>
      </c>
      <c r="I28" s="921">
        <v>4</v>
      </c>
      <c r="J28" s="921">
        <v>9</v>
      </c>
      <c r="K28" s="921">
        <v>9</v>
      </c>
      <c r="L28" s="921">
        <v>79</v>
      </c>
      <c r="M28" s="921">
        <v>0</v>
      </c>
      <c r="N28" s="921">
        <v>0</v>
      </c>
      <c r="O28" s="921">
        <v>0</v>
      </c>
      <c r="P28" s="921">
        <v>0</v>
      </c>
      <c r="Q28" s="921">
        <v>0</v>
      </c>
      <c r="R28" s="921">
        <v>0</v>
      </c>
      <c r="S28" s="921">
        <v>0</v>
      </c>
      <c r="T28" s="921">
        <v>0</v>
      </c>
      <c r="U28" s="921">
        <v>0</v>
      </c>
      <c r="V28" s="921">
        <v>73</v>
      </c>
      <c r="W28" s="921">
        <v>47</v>
      </c>
      <c r="X28" s="921">
        <v>79</v>
      </c>
      <c r="Y28" s="921">
        <v>19</v>
      </c>
      <c r="Z28" s="921">
        <v>13</v>
      </c>
      <c r="AA28" s="921">
        <v>4</v>
      </c>
      <c r="AB28" s="921">
        <v>8</v>
      </c>
      <c r="AC28" s="921">
        <v>6</v>
      </c>
      <c r="AD28" s="921">
        <v>56</v>
      </c>
      <c r="AE28" s="921">
        <v>0</v>
      </c>
      <c r="AF28" s="921">
        <v>0</v>
      </c>
      <c r="AG28" s="921">
        <v>0</v>
      </c>
      <c r="AH28" s="921">
        <v>0</v>
      </c>
      <c r="AI28" s="921">
        <v>0</v>
      </c>
      <c r="AJ28" s="921">
        <v>0</v>
      </c>
      <c r="AK28" s="921">
        <v>0</v>
      </c>
      <c r="AL28" s="921">
        <v>0</v>
      </c>
      <c r="AM28" s="921">
        <v>0</v>
      </c>
      <c r="AN28" s="1066">
        <v>0</v>
      </c>
      <c r="AO28" s="1066">
        <v>0</v>
      </c>
      <c r="AP28" s="1066">
        <v>0</v>
      </c>
      <c r="AQ28" s="1066">
        <v>0</v>
      </c>
      <c r="AR28" s="1066">
        <v>0</v>
      </c>
      <c r="AS28" s="1066">
        <v>0</v>
      </c>
      <c r="AT28" s="1066">
        <v>0</v>
      </c>
      <c r="AU28" s="1066">
        <v>0</v>
      </c>
      <c r="AV28" s="1066">
        <v>0</v>
      </c>
      <c r="AW28" s="1066">
        <v>0</v>
      </c>
      <c r="AX28" s="1066">
        <v>0</v>
      </c>
      <c r="AY28" s="1066">
        <v>0</v>
      </c>
      <c r="AZ28" s="1066">
        <v>0</v>
      </c>
      <c r="BA28" s="1066">
        <v>0</v>
      </c>
      <c r="BB28" s="1066">
        <v>0</v>
      </c>
      <c r="BC28" s="1066">
        <v>0</v>
      </c>
      <c r="BD28" s="1066">
        <v>0</v>
      </c>
      <c r="BE28" s="1066">
        <v>0</v>
      </c>
      <c r="BF28" s="33"/>
    </row>
    <row r="29" spans="1:58" ht="14.4">
      <c r="A29" s="1065">
        <v>24</v>
      </c>
      <c r="B29" s="1065">
        <v>10249</v>
      </c>
      <c r="C29" s="920" t="s">
        <v>65</v>
      </c>
      <c r="D29" s="921">
        <v>1212</v>
      </c>
      <c r="E29" s="921">
        <v>1249</v>
      </c>
      <c r="F29" s="921">
        <v>1235</v>
      </c>
      <c r="G29" s="921">
        <v>27</v>
      </c>
      <c r="H29" s="921">
        <v>45</v>
      </c>
      <c r="I29" s="921">
        <v>19</v>
      </c>
      <c r="J29" s="921">
        <v>941</v>
      </c>
      <c r="K29" s="921">
        <v>969</v>
      </c>
      <c r="L29" s="921">
        <v>1044</v>
      </c>
      <c r="M29" s="921">
        <v>0</v>
      </c>
      <c r="N29" s="921">
        <v>0</v>
      </c>
      <c r="O29" s="921">
        <v>0</v>
      </c>
      <c r="P29" s="921">
        <v>0</v>
      </c>
      <c r="Q29" s="921">
        <v>0</v>
      </c>
      <c r="R29" s="921">
        <v>0</v>
      </c>
      <c r="S29" s="921">
        <v>0</v>
      </c>
      <c r="T29" s="921">
        <v>0</v>
      </c>
      <c r="U29" s="921">
        <v>0</v>
      </c>
      <c r="V29" s="921">
        <v>1038</v>
      </c>
      <c r="W29" s="921">
        <v>1080</v>
      </c>
      <c r="X29" s="921">
        <v>996</v>
      </c>
      <c r="Y29" s="921">
        <v>27</v>
      </c>
      <c r="Z29" s="921">
        <v>45</v>
      </c>
      <c r="AA29" s="921">
        <v>19</v>
      </c>
      <c r="AB29" s="921">
        <v>799</v>
      </c>
      <c r="AC29" s="921">
        <v>813</v>
      </c>
      <c r="AD29" s="921">
        <v>819</v>
      </c>
      <c r="AE29" s="921">
        <v>0</v>
      </c>
      <c r="AF29" s="921">
        <v>0</v>
      </c>
      <c r="AG29" s="921">
        <v>0</v>
      </c>
      <c r="AH29" s="921">
        <v>0</v>
      </c>
      <c r="AI29" s="921">
        <v>0</v>
      </c>
      <c r="AJ29" s="921">
        <v>0</v>
      </c>
      <c r="AK29" s="921">
        <v>0</v>
      </c>
      <c r="AL29" s="921">
        <v>0</v>
      </c>
      <c r="AM29" s="921">
        <v>0</v>
      </c>
      <c r="AN29" s="1066">
        <v>0</v>
      </c>
      <c r="AO29" s="1066">
        <v>0</v>
      </c>
      <c r="AP29" s="1066">
        <v>0</v>
      </c>
      <c r="AQ29" s="1066">
        <v>0</v>
      </c>
      <c r="AR29" s="1066">
        <v>0</v>
      </c>
      <c r="AS29" s="1066">
        <v>0</v>
      </c>
      <c r="AT29" s="1066">
        <v>0</v>
      </c>
      <c r="AU29" s="1066">
        <v>0</v>
      </c>
      <c r="AV29" s="1066">
        <v>0</v>
      </c>
      <c r="AW29" s="1066">
        <v>0</v>
      </c>
      <c r="AX29" s="1066">
        <v>0</v>
      </c>
      <c r="AY29" s="1066">
        <v>0</v>
      </c>
      <c r="AZ29" s="1066">
        <v>0</v>
      </c>
      <c r="BA29" s="1066">
        <v>0</v>
      </c>
      <c r="BB29" s="1066">
        <v>0</v>
      </c>
      <c r="BC29" s="1066">
        <v>0</v>
      </c>
      <c r="BD29" s="1066">
        <v>0</v>
      </c>
      <c r="BE29" s="1066">
        <v>0</v>
      </c>
      <c r="BF29" s="33"/>
    </row>
    <row r="30" spans="1:58" ht="14.4">
      <c r="A30" s="1065">
        <v>25</v>
      </c>
      <c r="B30" s="1065">
        <v>10256</v>
      </c>
      <c r="C30" s="920" t="s">
        <v>66</v>
      </c>
      <c r="D30" s="921">
        <v>17</v>
      </c>
      <c r="E30" s="921">
        <v>25</v>
      </c>
      <c r="F30" s="921">
        <v>24</v>
      </c>
      <c r="G30" s="921">
        <v>0</v>
      </c>
      <c r="H30" s="921">
        <v>0</v>
      </c>
      <c r="I30" s="921">
        <v>0</v>
      </c>
      <c r="J30" s="921">
        <v>17</v>
      </c>
      <c r="K30" s="921">
        <v>25</v>
      </c>
      <c r="L30" s="921">
        <v>24</v>
      </c>
      <c r="M30" s="921">
        <v>0</v>
      </c>
      <c r="N30" s="921">
        <v>0</v>
      </c>
      <c r="O30" s="921">
        <v>0</v>
      </c>
      <c r="P30" s="921">
        <v>0</v>
      </c>
      <c r="Q30" s="921">
        <v>0</v>
      </c>
      <c r="R30" s="921">
        <v>0</v>
      </c>
      <c r="S30" s="921">
        <v>0</v>
      </c>
      <c r="T30" s="921">
        <v>0</v>
      </c>
      <c r="U30" s="921">
        <v>0</v>
      </c>
      <c r="V30" s="921">
        <v>15</v>
      </c>
      <c r="W30" s="921">
        <v>23</v>
      </c>
      <c r="X30" s="921">
        <v>19</v>
      </c>
      <c r="Y30" s="921">
        <v>0</v>
      </c>
      <c r="Z30" s="921">
        <v>0</v>
      </c>
      <c r="AA30" s="921">
        <v>0</v>
      </c>
      <c r="AB30" s="921">
        <v>15</v>
      </c>
      <c r="AC30" s="921">
        <v>23</v>
      </c>
      <c r="AD30" s="921">
        <v>19</v>
      </c>
      <c r="AE30" s="921">
        <v>0</v>
      </c>
      <c r="AF30" s="921">
        <v>0</v>
      </c>
      <c r="AG30" s="921">
        <v>0</v>
      </c>
      <c r="AH30" s="921">
        <v>0</v>
      </c>
      <c r="AI30" s="921">
        <v>0</v>
      </c>
      <c r="AJ30" s="921">
        <v>0</v>
      </c>
      <c r="AK30" s="921">
        <v>0</v>
      </c>
      <c r="AL30" s="921">
        <v>0</v>
      </c>
      <c r="AM30" s="921">
        <v>0</v>
      </c>
      <c r="AN30" s="1066">
        <v>0</v>
      </c>
      <c r="AO30" s="1066">
        <v>0</v>
      </c>
      <c r="AP30" s="1066">
        <v>0</v>
      </c>
      <c r="AQ30" s="1066">
        <v>0</v>
      </c>
      <c r="AR30" s="1066">
        <v>0</v>
      </c>
      <c r="AS30" s="1066">
        <v>0</v>
      </c>
      <c r="AT30" s="1066">
        <v>0</v>
      </c>
      <c r="AU30" s="1066">
        <v>0</v>
      </c>
      <c r="AV30" s="1066">
        <v>0</v>
      </c>
      <c r="AW30" s="1066">
        <v>0</v>
      </c>
      <c r="AX30" s="1066">
        <v>0</v>
      </c>
      <c r="AY30" s="1066">
        <v>0</v>
      </c>
      <c r="AZ30" s="1066">
        <v>0</v>
      </c>
      <c r="BA30" s="1066">
        <v>0</v>
      </c>
      <c r="BB30" s="1066">
        <v>0</v>
      </c>
      <c r="BC30" s="1066">
        <v>0</v>
      </c>
      <c r="BD30" s="1066">
        <v>0</v>
      </c>
      <c r="BE30" s="1066">
        <v>0</v>
      </c>
      <c r="BF30" s="33"/>
    </row>
    <row r="31" spans="1:58" ht="14.4">
      <c r="A31" s="1065">
        <v>26</v>
      </c>
      <c r="B31" s="1065">
        <v>10264</v>
      </c>
      <c r="C31" s="920" t="s">
        <v>35</v>
      </c>
      <c r="D31" s="921">
        <v>15</v>
      </c>
      <c r="E31" s="921">
        <v>11</v>
      </c>
      <c r="F31" s="921">
        <v>12</v>
      </c>
      <c r="G31" s="921">
        <v>0</v>
      </c>
      <c r="H31" s="921">
        <v>0</v>
      </c>
      <c r="I31" s="921">
        <v>0</v>
      </c>
      <c r="J31" s="921">
        <v>15</v>
      </c>
      <c r="K31" s="921">
        <v>10</v>
      </c>
      <c r="L31" s="921">
        <v>10</v>
      </c>
      <c r="M31" s="921">
        <v>0</v>
      </c>
      <c r="N31" s="921">
        <v>0</v>
      </c>
      <c r="O31" s="921">
        <v>0</v>
      </c>
      <c r="P31" s="921">
        <v>0</v>
      </c>
      <c r="Q31" s="921">
        <v>0</v>
      </c>
      <c r="R31" s="921">
        <v>0</v>
      </c>
      <c r="S31" s="921">
        <v>0</v>
      </c>
      <c r="T31" s="921">
        <v>0</v>
      </c>
      <c r="U31" s="921">
        <v>0</v>
      </c>
      <c r="V31" s="921">
        <v>6</v>
      </c>
      <c r="W31" s="921">
        <v>3</v>
      </c>
      <c r="X31" s="921">
        <v>6</v>
      </c>
      <c r="Y31" s="921">
        <v>0</v>
      </c>
      <c r="Z31" s="921">
        <v>0</v>
      </c>
      <c r="AA31" s="921">
        <v>0</v>
      </c>
      <c r="AB31" s="921">
        <v>6</v>
      </c>
      <c r="AC31" s="921">
        <v>3</v>
      </c>
      <c r="AD31" s="921">
        <v>6</v>
      </c>
      <c r="AE31" s="921">
        <v>0</v>
      </c>
      <c r="AF31" s="921">
        <v>0</v>
      </c>
      <c r="AG31" s="921">
        <v>0</v>
      </c>
      <c r="AH31" s="921">
        <v>0</v>
      </c>
      <c r="AI31" s="921">
        <v>0</v>
      </c>
      <c r="AJ31" s="921">
        <v>0</v>
      </c>
      <c r="AK31" s="921">
        <v>0</v>
      </c>
      <c r="AL31" s="921">
        <v>0</v>
      </c>
      <c r="AM31" s="921">
        <v>0</v>
      </c>
      <c r="AN31" s="1066">
        <v>0</v>
      </c>
      <c r="AO31" s="1066">
        <v>0</v>
      </c>
      <c r="AP31" s="1066">
        <v>0</v>
      </c>
      <c r="AQ31" s="1066">
        <v>0</v>
      </c>
      <c r="AR31" s="1066">
        <v>0</v>
      </c>
      <c r="AS31" s="1066">
        <v>0</v>
      </c>
      <c r="AT31" s="1066">
        <v>0</v>
      </c>
      <c r="AU31" s="1066">
        <v>0</v>
      </c>
      <c r="AV31" s="1066">
        <v>0</v>
      </c>
      <c r="AW31" s="1066">
        <v>0</v>
      </c>
      <c r="AX31" s="1066">
        <v>0</v>
      </c>
      <c r="AY31" s="1066">
        <v>0</v>
      </c>
      <c r="AZ31" s="1066">
        <v>0</v>
      </c>
      <c r="BA31" s="1066">
        <v>0</v>
      </c>
      <c r="BB31" s="1066">
        <v>0</v>
      </c>
      <c r="BC31" s="1066">
        <v>0</v>
      </c>
      <c r="BD31" s="1066">
        <v>0</v>
      </c>
      <c r="BE31" s="1066">
        <v>0</v>
      </c>
      <c r="BF31" s="33"/>
    </row>
    <row r="32" spans="1:58" ht="14.4">
      <c r="A32" s="1065">
        <v>27</v>
      </c>
      <c r="B32" s="1065">
        <v>10272</v>
      </c>
      <c r="C32" s="920" t="s">
        <v>44</v>
      </c>
      <c r="D32" s="921">
        <v>500</v>
      </c>
      <c r="E32" s="921">
        <v>490</v>
      </c>
      <c r="F32" s="921">
        <v>444</v>
      </c>
      <c r="G32" s="921">
        <v>76</v>
      </c>
      <c r="H32" s="921">
        <v>67</v>
      </c>
      <c r="I32" s="921">
        <v>45</v>
      </c>
      <c r="J32" s="921">
        <v>344</v>
      </c>
      <c r="K32" s="921">
        <v>328</v>
      </c>
      <c r="L32" s="921">
        <v>314</v>
      </c>
      <c r="M32" s="921">
        <v>0</v>
      </c>
      <c r="N32" s="921">
        <v>0</v>
      </c>
      <c r="O32" s="921">
        <v>0</v>
      </c>
      <c r="P32" s="921">
        <v>0</v>
      </c>
      <c r="Q32" s="921">
        <v>0</v>
      </c>
      <c r="R32" s="921">
        <v>0</v>
      </c>
      <c r="S32" s="921">
        <v>0</v>
      </c>
      <c r="T32" s="921">
        <v>0</v>
      </c>
      <c r="U32" s="921">
        <v>0</v>
      </c>
      <c r="V32" s="921">
        <v>441</v>
      </c>
      <c r="W32" s="921">
        <v>425</v>
      </c>
      <c r="X32" s="921">
        <v>391</v>
      </c>
      <c r="Y32" s="921">
        <v>76</v>
      </c>
      <c r="Z32" s="921">
        <v>67</v>
      </c>
      <c r="AA32" s="921">
        <v>45</v>
      </c>
      <c r="AB32" s="921">
        <v>291</v>
      </c>
      <c r="AC32" s="921">
        <v>276</v>
      </c>
      <c r="AD32" s="921">
        <v>268</v>
      </c>
      <c r="AE32" s="921">
        <v>0</v>
      </c>
      <c r="AF32" s="921">
        <v>0</v>
      </c>
      <c r="AG32" s="921">
        <v>0</v>
      </c>
      <c r="AH32" s="921">
        <v>0</v>
      </c>
      <c r="AI32" s="921">
        <v>0</v>
      </c>
      <c r="AJ32" s="921">
        <v>0</v>
      </c>
      <c r="AK32" s="921">
        <v>0</v>
      </c>
      <c r="AL32" s="921">
        <v>0</v>
      </c>
      <c r="AM32" s="921">
        <v>0</v>
      </c>
      <c r="AN32" s="1066">
        <v>0</v>
      </c>
      <c r="AO32" s="1066">
        <v>0</v>
      </c>
      <c r="AP32" s="1066">
        <v>0</v>
      </c>
      <c r="AQ32" s="1066">
        <v>0</v>
      </c>
      <c r="AR32" s="1066">
        <v>0</v>
      </c>
      <c r="AS32" s="1066">
        <v>0</v>
      </c>
      <c r="AT32" s="1066">
        <v>0</v>
      </c>
      <c r="AU32" s="1066">
        <v>0</v>
      </c>
      <c r="AV32" s="1066">
        <v>0</v>
      </c>
      <c r="AW32" s="1066">
        <v>0</v>
      </c>
      <c r="AX32" s="1066">
        <v>0</v>
      </c>
      <c r="AY32" s="1066">
        <v>0</v>
      </c>
      <c r="AZ32" s="1066">
        <v>0</v>
      </c>
      <c r="BA32" s="1066">
        <v>0</v>
      </c>
      <c r="BB32" s="1066">
        <v>0</v>
      </c>
      <c r="BC32" s="1066">
        <v>0</v>
      </c>
      <c r="BD32" s="1066">
        <v>0</v>
      </c>
      <c r="BE32" s="1066">
        <v>0</v>
      </c>
      <c r="BF32" s="33"/>
    </row>
    <row r="33" spans="1:58" ht="14.4">
      <c r="A33" s="1065">
        <v>28</v>
      </c>
      <c r="B33" s="1065">
        <v>10280</v>
      </c>
      <c r="C33" s="920" t="s">
        <v>67</v>
      </c>
      <c r="D33" s="921">
        <v>113</v>
      </c>
      <c r="E33" s="921">
        <v>113</v>
      </c>
      <c r="F33" s="921">
        <v>104</v>
      </c>
      <c r="G33" s="921">
        <v>15</v>
      </c>
      <c r="H33" s="921">
        <v>14</v>
      </c>
      <c r="I33" s="921">
        <v>10</v>
      </c>
      <c r="J33" s="921">
        <v>0</v>
      </c>
      <c r="K33" s="921">
        <v>0</v>
      </c>
      <c r="L33" s="921">
        <v>0</v>
      </c>
      <c r="M33" s="921">
        <v>0</v>
      </c>
      <c r="N33" s="921">
        <v>0</v>
      </c>
      <c r="O33" s="921">
        <v>0</v>
      </c>
      <c r="P33" s="921">
        <v>0</v>
      </c>
      <c r="Q33" s="921">
        <v>0</v>
      </c>
      <c r="R33" s="921">
        <v>0</v>
      </c>
      <c r="S33" s="921">
        <v>0</v>
      </c>
      <c r="T33" s="921">
        <v>0</v>
      </c>
      <c r="U33" s="921">
        <v>0</v>
      </c>
      <c r="V33" s="921">
        <v>91</v>
      </c>
      <c r="W33" s="921">
        <v>93</v>
      </c>
      <c r="X33" s="921">
        <v>93</v>
      </c>
      <c r="Y33" s="921">
        <v>15</v>
      </c>
      <c r="Z33" s="921">
        <v>14</v>
      </c>
      <c r="AA33" s="921">
        <v>10</v>
      </c>
      <c r="AB33" s="921">
        <v>0</v>
      </c>
      <c r="AC33" s="921">
        <v>0</v>
      </c>
      <c r="AD33" s="921">
        <v>0</v>
      </c>
      <c r="AE33" s="921">
        <v>0</v>
      </c>
      <c r="AF33" s="921">
        <v>0</v>
      </c>
      <c r="AG33" s="921">
        <v>0</v>
      </c>
      <c r="AH33" s="921">
        <v>0</v>
      </c>
      <c r="AI33" s="921">
        <v>0</v>
      </c>
      <c r="AJ33" s="921">
        <v>0</v>
      </c>
      <c r="AK33" s="921">
        <v>0</v>
      </c>
      <c r="AL33" s="921">
        <v>0</v>
      </c>
      <c r="AM33" s="921">
        <v>0</v>
      </c>
      <c r="AN33" s="1066">
        <v>0</v>
      </c>
      <c r="AO33" s="1066">
        <v>0</v>
      </c>
      <c r="AP33" s="1066">
        <v>0</v>
      </c>
      <c r="AQ33" s="1066">
        <v>0</v>
      </c>
      <c r="AR33" s="1066">
        <v>0</v>
      </c>
      <c r="AS33" s="1066">
        <v>0</v>
      </c>
      <c r="AT33" s="1066">
        <v>0</v>
      </c>
      <c r="AU33" s="1066">
        <v>0</v>
      </c>
      <c r="AV33" s="1066">
        <v>0</v>
      </c>
      <c r="AW33" s="1066">
        <v>0</v>
      </c>
      <c r="AX33" s="1066">
        <v>0</v>
      </c>
      <c r="AY33" s="1066">
        <v>0</v>
      </c>
      <c r="AZ33" s="1066">
        <v>0</v>
      </c>
      <c r="BA33" s="1066">
        <v>0</v>
      </c>
      <c r="BB33" s="1066">
        <v>0</v>
      </c>
      <c r="BC33" s="1066">
        <v>0</v>
      </c>
      <c r="BD33" s="1066">
        <v>0</v>
      </c>
      <c r="BE33" s="1066">
        <v>0</v>
      </c>
      <c r="BF33" s="33"/>
    </row>
    <row r="34" spans="1:58" ht="14.4">
      <c r="A34" s="1065">
        <v>29</v>
      </c>
      <c r="B34" s="1065">
        <v>10298</v>
      </c>
      <c r="C34" s="920" t="s">
        <v>34</v>
      </c>
      <c r="D34" s="921">
        <v>62</v>
      </c>
      <c r="E34" s="921">
        <v>58</v>
      </c>
      <c r="F34" s="921">
        <v>55</v>
      </c>
      <c r="G34" s="921">
        <v>4</v>
      </c>
      <c r="H34" s="921">
        <v>3</v>
      </c>
      <c r="I34" s="921">
        <v>3</v>
      </c>
      <c r="J34" s="921">
        <v>47</v>
      </c>
      <c r="K34" s="921">
        <v>54</v>
      </c>
      <c r="L34" s="921">
        <v>48</v>
      </c>
      <c r="M34" s="921">
        <v>2</v>
      </c>
      <c r="N34" s="921">
        <v>0</v>
      </c>
      <c r="O34" s="921">
        <v>0</v>
      </c>
      <c r="P34" s="921">
        <v>0</v>
      </c>
      <c r="Q34" s="921">
        <v>0</v>
      </c>
      <c r="R34" s="921">
        <v>0</v>
      </c>
      <c r="S34" s="921">
        <v>0</v>
      </c>
      <c r="T34" s="921">
        <v>0</v>
      </c>
      <c r="U34" s="921">
        <v>0</v>
      </c>
      <c r="V34" s="921">
        <v>47</v>
      </c>
      <c r="W34" s="921">
        <v>29</v>
      </c>
      <c r="X34" s="921">
        <v>26</v>
      </c>
      <c r="Y34" s="921">
        <v>4</v>
      </c>
      <c r="Z34" s="921">
        <v>3</v>
      </c>
      <c r="AA34" s="921">
        <v>3</v>
      </c>
      <c r="AB34" s="921">
        <v>33</v>
      </c>
      <c r="AC34" s="921">
        <v>26</v>
      </c>
      <c r="AD34" s="921">
        <v>20</v>
      </c>
      <c r="AE34" s="921">
        <v>2</v>
      </c>
      <c r="AF34" s="921">
        <v>0</v>
      </c>
      <c r="AG34" s="921">
        <v>0</v>
      </c>
      <c r="AH34" s="921">
        <v>0</v>
      </c>
      <c r="AI34" s="921">
        <v>0</v>
      </c>
      <c r="AJ34" s="921">
        <v>0</v>
      </c>
      <c r="AK34" s="921">
        <v>0</v>
      </c>
      <c r="AL34" s="921">
        <v>0</v>
      </c>
      <c r="AM34" s="921">
        <v>0</v>
      </c>
      <c r="AN34" s="1066">
        <v>0</v>
      </c>
      <c r="AO34" s="1066">
        <v>0</v>
      </c>
      <c r="AP34" s="1066">
        <v>0</v>
      </c>
      <c r="AQ34" s="1066">
        <v>0</v>
      </c>
      <c r="AR34" s="1066">
        <v>0</v>
      </c>
      <c r="AS34" s="1066">
        <v>0</v>
      </c>
      <c r="AT34" s="1066">
        <v>0</v>
      </c>
      <c r="AU34" s="1066">
        <v>0</v>
      </c>
      <c r="AV34" s="1066">
        <v>0</v>
      </c>
      <c r="AW34" s="1066">
        <v>0</v>
      </c>
      <c r="AX34" s="1066">
        <v>0</v>
      </c>
      <c r="AY34" s="1066">
        <v>0</v>
      </c>
      <c r="AZ34" s="1066">
        <v>0</v>
      </c>
      <c r="BA34" s="1066">
        <v>0</v>
      </c>
      <c r="BB34" s="1066">
        <v>0</v>
      </c>
      <c r="BC34" s="1066">
        <v>0</v>
      </c>
      <c r="BD34" s="1066">
        <v>0</v>
      </c>
      <c r="BE34" s="1066">
        <v>0</v>
      </c>
      <c r="BF34" s="33"/>
    </row>
    <row r="35" spans="1:58" ht="14.4">
      <c r="A35" s="1065">
        <v>30</v>
      </c>
      <c r="B35" s="1065">
        <v>10306</v>
      </c>
      <c r="C35" s="920" t="s">
        <v>68</v>
      </c>
      <c r="D35" s="921">
        <v>2853</v>
      </c>
      <c r="E35" s="921">
        <v>2810</v>
      </c>
      <c r="F35" s="921">
        <v>2562</v>
      </c>
      <c r="G35" s="921">
        <v>299</v>
      </c>
      <c r="H35" s="921">
        <v>289</v>
      </c>
      <c r="I35" s="921">
        <v>179</v>
      </c>
      <c r="J35" s="921">
        <v>1515</v>
      </c>
      <c r="K35" s="921">
        <v>1413</v>
      </c>
      <c r="L35" s="921">
        <v>1706</v>
      </c>
      <c r="M35" s="921">
        <v>0</v>
      </c>
      <c r="N35" s="921">
        <v>0</v>
      </c>
      <c r="O35" s="921">
        <v>0</v>
      </c>
      <c r="P35" s="921">
        <v>0</v>
      </c>
      <c r="Q35" s="921">
        <v>0</v>
      </c>
      <c r="R35" s="921">
        <v>0</v>
      </c>
      <c r="S35" s="921">
        <v>0</v>
      </c>
      <c r="T35" s="921">
        <v>0</v>
      </c>
      <c r="U35" s="921">
        <v>0</v>
      </c>
      <c r="V35" s="921">
        <v>1995</v>
      </c>
      <c r="W35" s="921">
        <v>1911</v>
      </c>
      <c r="X35" s="921">
        <v>1747</v>
      </c>
      <c r="Y35" s="921">
        <v>299</v>
      </c>
      <c r="Z35" s="921">
        <v>289</v>
      </c>
      <c r="AA35" s="921">
        <v>179</v>
      </c>
      <c r="AB35" s="921">
        <v>808</v>
      </c>
      <c r="AC35" s="921">
        <v>760</v>
      </c>
      <c r="AD35" s="921">
        <v>976</v>
      </c>
      <c r="AE35" s="921">
        <v>0</v>
      </c>
      <c r="AF35" s="921">
        <v>0</v>
      </c>
      <c r="AG35" s="921">
        <v>0</v>
      </c>
      <c r="AH35" s="921">
        <v>0</v>
      </c>
      <c r="AI35" s="921">
        <v>0</v>
      </c>
      <c r="AJ35" s="921">
        <v>0</v>
      </c>
      <c r="AK35" s="921">
        <v>0</v>
      </c>
      <c r="AL35" s="921">
        <v>0</v>
      </c>
      <c r="AM35" s="921">
        <v>0</v>
      </c>
      <c r="AN35" s="1066">
        <v>0</v>
      </c>
      <c r="AO35" s="1066">
        <v>0</v>
      </c>
      <c r="AP35" s="1066">
        <v>0</v>
      </c>
      <c r="AQ35" s="1066">
        <v>0</v>
      </c>
      <c r="AR35" s="1066">
        <v>0</v>
      </c>
      <c r="AS35" s="1066">
        <v>0</v>
      </c>
      <c r="AT35" s="1066">
        <v>0</v>
      </c>
      <c r="AU35" s="1066">
        <v>0</v>
      </c>
      <c r="AV35" s="1066">
        <v>0</v>
      </c>
      <c r="AW35" s="1066">
        <v>0</v>
      </c>
      <c r="AX35" s="1066">
        <v>0</v>
      </c>
      <c r="AY35" s="1066">
        <v>0</v>
      </c>
      <c r="AZ35" s="1066">
        <v>0</v>
      </c>
      <c r="BA35" s="1066">
        <v>0</v>
      </c>
      <c r="BB35" s="1066">
        <v>0</v>
      </c>
      <c r="BC35" s="1066">
        <v>0</v>
      </c>
      <c r="BD35" s="1066">
        <v>0</v>
      </c>
      <c r="BE35" s="1066">
        <v>0</v>
      </c>
      <c r="BF35" s="33"/>
    </row>
    <row r="36" spans="1:58" ht="14.4">
      <c r="A36" s="1065">
        <v>31</v>
      </c>
      <c r="B36" s="1065">
        <v>10314</v>
      </c>
      <c r="C36" s="920" t="s">
        <v>33</v>
      </c>
      <c r="D36" s="921">
        <v>179</v>
      </c>
      <c r="E36" s="921">
        <v>179</v>
      </c>
      <c r="F36" s="921">
        <v>151</v>
      </c>
      <c r="G36" s="921">
        <v>19</v>
      </c>
      <c r="H36" s="921">
        <v>19</v>
      </c>
      <c r="I36" s="921">
        <v>12</v>
      </c>
      <c r="J36" s="921">
        <v>123</v>
      </c>
      <c r="K36" s="921">
        <v>127</v>
      </c>
      <c r="L36" s="921">
        <v>118</v>
      </c>
      <c r="M36" s="921">
        <v>47</v>
      </c>
      <c r="N36" s="921">
        <v>50</v>
      </c>
      <c r="O36" s="921">
        <v>38</v>
      </c>
      <c r="P36" s="921">
        <v>0</v>
      </c>
      <c r="Q36" s="921">
        <v>0</v>
      </c>
      <c r="R36" s="921">
        <v>0</v>
      </c>
      <c r="S36" s="921">
        <v>0</v>
      </c>
      <c r="T36" s="921">
        <v>0</v>
      </c>
      <c r="U36" s="921">
        <v>0</v>
      </c>
      <c r="V36" s="921">
        <v>91</v>
      </c>
      <c r="W36" s="921">
        <v>88</v>
      </c>
      <c r="X36" s="921">
        <v>64</v>
      </c>
      <c r="Y36" s="921">
        <v>19</v>
      </c>
      <c r="Z36" s="921">
        <v>19</v>
      </c>
      <c r="AA36" s="921">
        <v>12</v>
      </c>
      <c r="AB36" s="921">
        <v>35</v>
      </c>
      <c r="AC36" s="921">
        <v>39</v>
      </c>
      <c r="AD36" s="921">
        <v>34</v>
      </c>
      <c r="AE36" s="921">
        <v>25</v>
      </c>
      <c r="AF36" s="921">
        <v>30</v>
      </c>
      <c r="AG36" s="921">
        <v>19</v>
      </c>
      <c r="AH36" s="921">
        <v>0</v>
      </c>
      <c r="AI36" s="921">
        <v>0</v>
      </c>
      <c r="AJ36" s="921">
        <v>0</v>
      </c>
      <c r="AK36" s="921">
        <v>0</v>
      </c>
      <c r="AL36" s="921">
        <v>0</v>
      </c>
      <c r="AM36" s="921">
        <v>0</v>
      </c>
      <c r="AN36" s="1066">
        <v>0</v>
      </c>
      <c r="AO36" s="1066">
        <v>0</v>
      </c>
      <c r="AP36" s="1066">
        <v>0</v>
      </c>
      <c r="AQ36" s="1066">
        <v>0</v>
      </c>
      <c r="AR36" s="1066">
        <v>0</v>
      </c>
      <c r="AS36" s="1066">
        <v>0</v>
      </c>
      <c r="AT36" s="1066">
        <v>0</v>
      </c>
      <c r="AU36" s="1066">
        <v>0</v>
      </c>
      <c r="AV36" s="1066">
        <v>0</v>
      </c>
      <c r="AW36" s="1066">
        <v>0</v>
      </c>
      <c r="AX36" s="1066">
        <v>0</v>
      </c>
      <c r="AY36" s="1066">
        <v>0</v>
      </c>
      <c r="AZ36" s="1066">
        <v>0</v>
      </c>
      <c r="BA36" s="1066">
        <v>0</v>
      </c>
      <c r="BB36" s="1066">
        <v>0</v>
      </c>
      <c r="BC36" s="1066">
        <v>0</v>
      </c>
      <c r="BD36" s="1066">
        <v>0</v>
      </c>
      <c r="BE36" s="1066">
        <v>0</v>
      </c>
      <c r="BF36" s="33"/>
    </row>
    <row r="37" spans="1:58" ht="14.4">
      <c r="A37" s="1065">
        <v>32</v>
      </c>
      <c r="B37" s="1065">
        <v>10322</v>
      </c>
      <c r="C37" s="920" t="s">
        <v>69</v>
      </c>
      <c r="D37" s="921">
        <v>19</v>
      </c>
      <c r="E37" s="921">
        <v>33</v>
      </c>
      <c r="F37" s="921">
        <v>20</v>
      </c>
      <c r="G37" s="921">
        <v>0</v>
      </c>
      <c r="H37" s="921">
        <v>0</v>
      </c>
      <c r="I37" s="921">
        <v>0</v>
      </c>
      <c r="J37" s="921">
        <v>19</v>
      </c>
      <c r="K37" s="921">
        <v>33</v>
      </c>
      <c r="L37" s="921">
        <v>20</v>
      </c>
      <c r="M37" s="921">
        <v>0</v>
      </c>
      <c r="N37" s="921">
        <v>0</v>
      </c>
      <c r="O37" s="921">
        <v>0</v>
      </c>
      <c r="P37" s="921">
        <v>0</v>
      </c>
      <c r="Q37" s="921">
        <v>0</v>
      </c>
      <c r="R37" s="921">
        <v>0</v>
      </c>
      <c r="S37" s="921">
        <v>0</v>
      </c>
      <c r="T37" s="921">
        <v>0</v>
      </c>
      <c r="U37" s="921">
        <v>0</v>
      </c>
      <c r="V37" s="921">
        <v>14</v>
      </c>
      <c r="W37" s="921">
        <v>24</v>
      </c>
      <c r="X37" s="921">
        <v>13</v>
      </c>
      <c r="Y37" s="921">
        <v>0</v>
      </c>
      <c r="Z37" s="921">
        <v>0</v>
      </c>
      <c r="AA37" s="921">
        <v>0</v>
      </c>
      <c r="AB37" s="921">
        <v>14</v>
      </c>
      <c r="AC37" s="921">
        <v>24</v>
      </c>
      <c r="AD37" s="921">
        <v>13</v>
      </c>
      <c r="AE37" s="921">
        <v>0</v>
      </c>
      <c r="AF37" s="921">
        <v>0</v>
      </c>
      <c r="AG37" s="921">
        <v>0</v>
      </c>
      <c r="AH37" s="921">
        <v>0</v>
      </c>
      <c r="AI37" s="921">
        <v>0</v>
      </c>
      <c r="AJ37" s="921">
        <v>0</v>
      </c>
      <c r="AK37" s="921">
        <v>0</v>
      </c>
      <c r="AL37" s="921">
        <v>0</v>
      </c>
      <c r="AM37" s="921">
        <v>0</v>
      </c>
      <c r="AN37" s="1066">
        <v>0</v>
      </c>
      <c r="AO37" s="1066">
        <v>0</v>
      </c>
      <c r="AP37" s="1066">
        <v>0</v>
      </c>
      <c r="AQ37" s="1066">
        <v>0</v>
      </c>
      <c r="AR37" s="1066">
        <v>0</v>
      </c>
      <c r="AS37" s="1066">
        <v>0</v>
      </c>
      <c r="AT37" s="1066">
        <v>0</v>
      </c>
      <c r="AU37" s="1066">
        <v>0</v>
      </c>
      <c r="AV37" s="1066">
        <v>0</v>
      </c>
      <c r="AW37" s="1066">
        <v>0</v>
      </c>
      <c r="AX37" s="1066">
        <v>0</v>
      </c>
      <c r="AY37" s="1066">
        <v>0</v>
      </c>
      <c r="AZ37" s="1066">
        <v>0</v>
      </c>
      <c r="BA37" s="1066">
        <v>0</v>
      </c>
      <c r="BB37" s="1066">
        <v>0</v>
      </c>
      <c r="BC37" s="1066">
        <v>0</v>
      </c>
      <c r="BD37" s="1066">
        <v>0</v>
      </c>
      <c r="BE37" s="1066">
        <v>0</v>
      </c>
      <c r="BF37" s="33"/>
    </row>
    <row r="38" spans="1:58" ht="14.4">
      <c r="A38" s="1065">
        <v>33</v>
      </c>
      <c r="B38" s="1065">
        <v>10330</v>
      </c>
      <c r="C38" s="920" t="s">
        <v>32</v>
      </c>
      <c r="D38" s="921">
        <v>1033</v>
      </c>
      <c r="E38" s="921">
        <v>1022</v>
      </c>
      <c r="F38" s="921">
        <v>922</v>
      </c>
      <c r="G38" s="921">
        <v>126</v>
      </c>
      <c r="H38" s="921">
        <v>115</v>
      </c>
      <c r="I38" s="921">
        <v>93</v>
      </c>
      <c r="J38" s="921">
        <v>794</v>
      </c>
      <c r="K38" s="921">
        <v>819</v>
      </c>
      <c r="L38" s="921">
        <v>754</v>
      </c>
      <c r="M38" s="921">
        <v>23</v>
      </c>
      <c r="N38" s="921">
        <v>11</v>
      </c>
      <c r="O38" s="921">
        <v>12</v>
      </c>
      <c r="P38" s="921">
        <v>0</v>
      </c>
      <c r="Q38" s="921">
        <v>0</v>
      </c>
      <c r="R38" s="921">
        <v>0</v>
      </c>
      <c r="S38" s="921">
        <v>0</v>
      </c>
      <c r="T38" s="921">
        <v>0</v>
      </c>
      <c r="U38" s="921">
        <v>0</v>
      </c>
      <c r="V38" s="921">
        <v>911</v>
      </c>
      <c r="W38" s="921">
        <v>869</v>
      </c>
      <c r="X38" s="921">
        <v>720</v>
      </c>
      <c r="Y38" s="921">
        <v>126</v>
      </c>
      <c r="Z38" s="921">
        <v>115</v>
      </c>
      <c r="AA38" s="921">
        <v>93</v>
      </c>
      <c r="AB38" s="921">
        <v>682</v>
      </c>
      <c r="AC38" s="921">
        <v>678</v>
      </c>
      <c r="AD38" s="921">
        <v>556</v>
      </c>
      <c r="AE38" s="921">
        <v>22</v>
      </c>
      <c r="AF38" s="921">
        <v>9</v>
      </c>
      <c r="AG38" s="921">
        <v>9</v>
      </c>
      <c r="AH38" s="921">
        <v>0</v>
      </c>
      <c r="AI38" s="921">
        <v>0</v>
      </c>
      <c r="AJ38" s="921">
        <v>0</v>
      </c>
      <c r="AK38" s="921">
        <v>0</v>
      </c>
      <c r="AL38" s="921">
        <v>0</v>
      </c>
      <c r="AM38" s="921">
        <v>0</v>
      </c>
      <c r="AN38" s="1066">
        <v>0</v>
      </c>
      <c r="AO38" s="1066">
        <v>0</v>
      </c>
      <c r="AP38" s="1066">
        <v>0</v>
      </c>
      <c r="AQ38" s="1066">
        <v>0</v>
      </c>
      <c r="AR38" s="1066">
        <v>0</v>
      </c>
      <c r="AS38" s="1066">
        <v>0</v>
      </c>
      <c r="AT38" s="1066">
        <v>0</v>
      </c>
      <c r="AU38" s="1066">
        <v>0</v>
      </c>
      <c r="AV38" s="1066">
        <v>0</v>
      </c>
      <c r="AW38" s="1066">
        <v>0</v>
      </c>
      <c r="AX38" s="1066">
        <v>0</v>
      </c>
      <c r="AY38" s="1066">
        <v>0</v>
      </c>
      <c r="AZ38" s="1066">
        <v>0</v>
      </c>
      <c r="BA38" s="1066">
        <v>0</v>
      </c>
      <c r="BB38" s="1066">
        <v>0</v>
      </c>
      <c r="BC38" s="1066">
        <v>0</v>
      </c>
      <c r="BD38" s="1066">
        <v>0</v>
      </c>
      <c r="BE38" s="1066">
        <v>0</v>
      </c>
      <c r="BF38" s="33"/>
    </row>
    <row r="39" spans="1:58" ht="14.4">
      <c r="A39" s="1065">
        <v>34</v>
      </c>
      <c r="B39" s="1065">
        <v>10348</v>
      </c>
      <c r="C39" s="920" t="s">
        <v>43</v>
      </c>
      <c r="D39" s="921">
        <v>892</v>
      </c>
      <c r="E39" s="921">
        <v>1024</v>
      </c>
      <c r="F39" s="921">
        <v>968</v>
      </c>
      <c r="G39" s="921">
        <v>96</v>
      </c>
      <c r="H39" s="921">
        <v>117</v>
      </c>
      <c r="I39" s="921">
        <v>70</v>
      </c>
      <c r="J39" s="921">
        <v>740</v>
      </c>
      <c r="K39" s="921">
        <v>833</v>
      </c>
      <c r="L39" s="921">
        <v>889</v>
      </c>
      <c r="M39" s="921">
        <v>0</v>
      </c>
      <c r="N39" s="921">
        <v>0</v>
      </c>
      <c r="O39" s="921">
        <v>0</v>
      </c>
      <c r="P39" s="921">
        <v>0</v>
      </c>
      <c r="Q39" s="921">
        <v>0</v>
      </c>
      <c r="R39" s="921">
        <v>0</v>
      </c>
      <c r="S39" s="921">
        <v>0</v>
      </c>
      <c r="T39" s="921">
        <v>0</v>
      </c>
      <c r="U39" s="921">
        <v>0</v>
      </c>
      <c r="V39" s="921">
        <v>624</v>
      </c>
      <c r="W39" s="921">
        <v>732</v>
      </c>
      <c r="X39" s="921">
        <v>637</v>
      </c>
      <c r="Y39" s="921">
        <v>96</v>
      </c>
      <c r="Z39" s="921">
        <v>117</v>
      </c>
      <c r="AA39" s="921">
        <v>70</v>
      </c>
      <c r="AB39" s="921">
        <v>476</v>
      </c>
      <c r="AC39" s="921">
        <v>549</v>
      </c>
      <c r="AD39" s="921">
        <v>560</v>
      </c>
      <c r="AE39" s="921">
        <v>0</v>
      </c>
      <c r="AF39" s="921">
        <v>0</v>
      </c>
      <c r="AG39" s="921">
        <v>0</v>
      </c>
      <c r="AH39" s="921">
        <v>0</v>
      </c>
      <c r="AI39" s="921">
        <v>0</v>
      </c>
      <c r="AJ39" s="921">
        <v>0</v>
      </c>
      <c r="AK39" s="921">
        <v>0</v>
      </c>
      <c r="AL39" s="921">
        <v>0</v>
      </c>
      <c r="AM39" s="921">
        <v>0</v>
      </c>
      <c r="AN39" s="1066">
        <v>0</v>
      </c>
      <c r="AO39" s="1066">
        <v>0</v>
      </c>
      <c r="AP39" s="1066">
        <v>0</v>
      </c>
      <c r="AQ39" s="1066">
        <v>0</v>
      </c>
      <c r="AR39" s="1066">
        <v>0</v>
      </c>
      <c r="AS39" s="1066">
        <v>0</v>
      </c>
      <c r="AT39" s="1066">
        <v>0</v>
      </c>
      <c r="AU39" s="1066">
        <v>0</v>
      </c>
      <c r="AV39" s="1066">
        <v>0</v>
      </c>
      <c r="AW39" s="1066">
        <v>0</v>
      </c>
      <c r="AX39" s="1066">
        <v>0</v>
      </c>
      <c r="AY39" s="1066">
        <v>0</v>
      </c>
      <c r="AZ39" s="1066">
        <v>0</v>
      </c>
      <c r="BA39" s="1066">
        <v>0</v>
      </c>
      <c r="BB39" s="1066">
        <v>0</v>
      </c>
      <c r="BC39" s="1066">
        <v>0</v>
      </c>
      <c r="BD39" s="1066">
        <v>0</v>
      </c>
      <c r="BE39" s="1066">
        <v>0</v>
      </c>
      <c r="BF39" s="33"/>
    </row>
    <row r="40" spans="1:58" ht="14.4">
      <c r="A40" s="1065">
        <v>35</v>
      </c>
      <c r="B40" s="1065">
        <v>10355</v>
      </c>
      <c r="C40" s="920" t="s">
        <v>70</v>
      </c>
      <c r="D40" s="921">
        <v>29</v>
      </c>
      <c r="E40" s="921">
        <v>34</v>
      </c>
      <c r="F40" s="921">
        <v>21</v>
      </c>
      <c r="G40" s="921">
        <v>3</v>
      </c>
      <c r="H40" s="921">
        <v>11</v>
      </c>
      <c r="I40" s="921">
        <v>3</v>
      </c>
      <c r="J40" s="921">
        <v>13</v>
      </c>
      <c r="K40" s="921">
        <v>10</v>
      </c>
      <c r="L40" s="921">
        <v>15</v>
      </c>
      <c r="M40" s="921">
        <v>0</v>
      </c>
      <c r="N40" s="921">
        <v>0</v>
      </c>
      <c r="O40" s="921">
        <v>0</v>
      </c>
      <c r="P40" s="921">
        <v>0</v>
      </c>
      <c r="Q40" s="921">
        <v>0</v>
      </c>
      <c r="R40" s="921">
        <v>0</v>
      </c>
      <c r="S40" s="921">
        <v>0</v>
      </c>
      <c r="T40" s="921">
        <v>0</v>
      </c>
      <c r="U40" s="921">
        <v>0</v>
      </c>
      <c r="V40" s="921">
        <v>28</v>
      </c>
      <c r="W40" s="921">
        <v>32</v>
      </c>
      <c r="X40" s="921">
        <v>18</v>
      </c>
      <c r="Y40" s="921">
        <v>3</v>
      </c>
      <c r="Z40" s="921">
        <v>11</v>
      </c>
      <c r="AA40" s="921">
        <v>3</v>
      </c>
      <c r="AB40" s="921">
        <v>12</v>
      </c>
      <c r="AC40" s="921">
        <v>8</v>
      </c>
      <c r="AD40" s="921">
        <v>12</v>
      </c>
      <c r="AE40" s="921">
        <v>0</v>
      </c>
      <c r="AF40" s="921">
        <v>0</v>
      </c>
      <c r="AG40" s="921">
        <v>0</v>
      </c>
      <c r="AH40" s="921">
        <v>0</v>
      </c>
      <c r="AI40" s="921">
        <v>0</v>
      </c>
      <c r="AJ40" s="921">
        <v>0</v>
      </c>
      <c r="AK40" s="921">
        <v>0</v>
      </c>
      <c r="AL40" s="921">
        <v>0</v>
      </c>
      <c r="AM40" s="921">
        <v>0</v>
      </c>
      <c r="AN40" s="1066">
        <v>0</v>
      </c>
      <c r="AO40" s="1066">
        <v>0</v>
      </c>
      <c r="AP40" s="1066">
        <v>0</v>
      </c>
      <c r="AQ40" s="1066">
        <v>0</v>
      </c>
      <c r="AR40" s="1066">
        <v>0</v>
      </c>
      <c r="AS40" s="1066">
        <v>0</v>
      </c>
      <c r="AT40" s="1066">
        <v>0</v>
      </c>
      <c r="AU40" s="1066">
        <v>0</v>
      </c>
      <c r="AV40" s="1066">
        <v>0</v>
      </c>
      <c r="AW40" s="1066">
        <v>0</v>
      </c>
      <c r="AX40" s="1066">
        <v>0</v>
      </c>
      <c r="AY40" s="1066">
        <v>0</v>
      </c>
      <c r="AZ40" s="1066">
        <v>0</v>
      </c>
      <c r="BA40" s="1066">
        <v>0</v>
      </c>
      <c r="BB40" s="1066">
        <v>0</v>
      </c>
      <c r="BC40" s="1066">
        <v>0</v>
      </c>
      <c r="BD40" s="1066">
        <v>0</v>
      </c>
      <c r="BE40" s="1066">
        <v>0</v>
      </c>
      <c r="BF40" s="33"/>
    </row>
    <row r="41" spans="1:58" ht="14.4">
      <c r="A41" s="1065">
        <v>36</v>
      </c>
      <c r="B41" s="1065">
        <v>10363</v>
      </c>
      <c r="C41" s="920" t="s">
        <v>110</v>
      </c>
      <c r="D41" s="921">
        <v>2093</v>
      </c>
      <c r="E41" s="921">
        <v>1698</v>
      </c>
      <c r="F41" s="921">
        <v>2046</v>
      </c>
      <c r="G41" s="921">
        <v>168</v>
      </c>
      <c r="H41" s="921">
        <v>119</v>
      </c>
      <c r="I41" s="921">
        <v>74</v>
      </c>
      <c r="J41" s="921">
        <v>1386</v>
      </c>
      <c r="K41" s="921">
        <v>1112</v>
      </c>
      <c r="L41" s="921">
        <v>1512</v>
      </c>
      <c r="M41" s="921">
        <v>0</v>
      </c>
      <c r="N41" s="921">
        <v>0</v>
      </c>
      <c r="O41" s="921">
        <v>0</v>
      </c>
      <c r="P41" s="921">
        <v>0</v>
      </c>
      <c r="Q41" s="921">
        <v>11</v>
      </c>
      <c r="R41" s="921">
        <v>0</v>
      </c>
      <c r="S41" s="921">
        <v>0</v>
      </c>
      <c r="T41" s="921">
        <v>0</v>
      </c>
      <c r="U41" s="921">
        <v>0</v>
      </c>
      <c r="V41" s="921">
        <v>1712</v>
      </c>
      <c r="W41" s="921">
        <v>1325</v>
      </c>
      <c r="X41" s="921">
        <v>1661</v>
      </c>
      <c r="Y41" s="921">
        <v>168</v>
      </c>
      <c r="Z41" s="921">
        <v>119</v>
      </c>
      <c r="AA41" s="921">
        <v>74</v>
      </c>
      <c r="AB41" s="921">
        <v>1039</v>
      </c>
      <c r="AC41" s="921">
        <v>785</v>
      </c>
      <c r="AD41" s="921">
        <v>1160</v>
      </c>
      <c r="AE41" s="921">
        <v>0</v>
      </c>
      <c r="AF41" s="921">
        <v>0</v>
      </c>
      <c r="AG41" s="921">
        <v>0</v>
      </c>
      <c r="AH41" s="921">
        <v>0</v>
      </c>
      <c r="AI41" s="921">
        <v>7</v>
      </c>
      <c r="AJ41" s="921">
        <v>0</v>
      </c>
      <c r="AK41" s="921">
        <v>0</v>
      </c>
      <c r="AL41" s="921">
        <v>0</v>
      </c>
      <c r="AM41" s="921">
        <v>0</v>
      </c>
      <c r="AN41" s="1066">
        <v>0</v>
      </c>
      <c r="AO41" s="1066">
        <v>0</v>
      </c>
      <c r="AP41" s="1066">
        <v>0</v>
      </c>
      <c r="AQ41" s="1066">
        <v>0</v>
      </c>
      <c r="AR41" s="1066">
        <v>25</v>
      </c>
      <c r="AS41" s="1066">
        <v>0</v>
      </c>
      <c r="AT41" s="1066">
        <v>0</v>
      </c>
      <c r="AU41" s="1066">
        <v>0</v>
      </c>
      <c r="AV41" s="1066">
        <v>0</v>
      </c>
      <c r="AW41" s="1066">
        <v>0</v>
      </c>
      <c r="AX41" s="1066">
        <v>0</v>
      </c>
      <c r="AY41" s="1066">
        <v>0</v>
      </c>
      <c r="AZ41" s="1066">
        <v>0</v>
      </c>
      <c r="BA41" s="1066">
        <v>25</v>
      </c>
      <c r="BB41" s="1066">
        <v>0</v>
      </c>
      <c r="BC41" s="1066">
        <v>0</v>
      </c>
      <c r="BD41" s="1066">
        <v>0</v>
      </c>
      <c r="BE41" s="1066">
        <v>0</v>
      </c>
      <c r="BF41" s="33"/>
    </row>
    <row r="42" spans="1:58" ht="14.4">
      <c r="A42" s="1065">
        <v>37</v>
      </c>
      <c r="B42" s="1065">
        <v>10371</v>
      </c>
      <c r="C42" s="920" t="s">
        <v>71</v>
      </c>
      <c r="D42" s="921">
        <v>1429</v>
      </c>
      <c r="E42" s="921">
        <v>1246</v>
      </c>
      <c r="F42" s="921">
        <v>1158</v>
      </c>
      <c r="G42" s="921">
        <v>429</v>
      </c>
      <c r="H42" s="921">
        <v>285</v>
      </c>
      <c r="I42" s="921">
        <v>218</v>
      </c>
      <c r="J42" s="921">
        <v>156</v>
      </c>
      <c r="K42" s="921">
        <v>129</v>
      </c>
      <c r="L42" s="921">
        <v>416</v>
      </c>
      <c r="M42" s="921">
        <v>0</v>
      </c>
      <c r="N42" s="921">
        <v>0</v>
      </c>
      <c r="O42" s="921">
        <v>0</v>
      </c>
      <c r="P42" s="921">
        <v>0</v>
      </c>
      <c r="Q42" s="921">
        <v>0</v>
      </c>
      <c r="R42" s="921">
        <v>0</v>
      </c>
      <c r="S42" s="921">
        <v>0</v>
      </c>
      <c r="T42" s="921">
        <v>0</v>
      </c>
      <c r="U42" s="921">
        <v>0</v>
      </c>
      <c r="V42" s="921">
        <v>1257</v>
      </c>
      <c r="W42" s="921">
        <v>1113</v>
      </c>
      <c r="X42" s="921">
        <v>1088</v>
      </c>
      <c r="Y42" s="921">
        <v>429</v>
      </c>
      <c r="Z42" s="921">
        <v>285</v>
      </c>
      <c r="AA42" s="921">
        <v>218</v>
      </c>
      <c r="AB42" s="921">
        <v>67</v>
      </c>
      <c r="AC42" s="921">
        <v>74</v>
      </c>
      <c r="AD42" s="921">
        <v>358</v>
      </c>
      <c r="AE42" s="921">
        <v>0</v>
      </c>
      <c r="AF42" s="921">
        <v>0</v>
      </c>
      <c r="AG42" s="921">
        <v>0</v>
      </c>
      <c r="AH42" s="921">
        <v>0</v>
      </c>
      <c r="AI42" s="921">
        <v>0</v>
      </c>
      <c r="AJ42" s="921">
        <v>0</v>
      </c>
      <c r="AK42" s="921">
        <v>0</v>
      </c>
      <c r="AL42" s="921">
        <v>0</v>
      </c>
      <c r="AM42" s="921">
        <v>0</v>
      </c>
      <c r="AN42" s="1066">
        <v>0</v>
      </c>
      <c r="AO42" s="1066">
        <v>0</v>
      </c>
      <c r="AP42" s="1066">
        <v>0</v>
      </c>
      <c r="AQ42" s="1066">
        <v>0</v>
      </c>
      <c r="AR42" s="1066">
        <v>0</v>
      </c>
      <c r="AS42" s="1066">
        <v>0</v>
      </c>
      <c r="AT42" s="1066">
        <v>0</v>
      </c>
      <c r="AU42" s="1066">
        <v>0</v>
      </c>
      <c r="AV42" s="1066">
        <v>0</v>
      </c>
      <c r="AW42" s="1066">
        <v>0</v>
      </c>
      <c r="AX42" s="1066">
        <v>0</v>
      </c>
      <c r="AY42" s="1066">
        <v>0</v>
      </c>
      <c r="AZ42" s="1066">
        <v>0</v>
      </c>
      <c r="BA42" s="1066">
        <v>0</v>
      </c>
      <c r="BB42" s="1066">
        <v>0</v>
      </c>
      <c r="BC42" s="1066">
        <v>0</v>
      </c>
      <c r="BD42" s="1066">
        <v>0</v>
      </c>
      <c r="BE42" s="1066">
        <v>0</v>
      </c>
      <c r="BF42" s="33"/>
    </row>
    <row r="43" spans="1:58" ht="14.4">
      <c r="A43" s="1065">
        <v>38</v>
      </c>
      <c r="B43" s="1065">
        <v>10389</v>
      </c>
      <c r="C43" s="920" t="s">
        <v>111</v>
      </c>
      <c r="D43" s="921">
        <v>307</v>
      </c>
      <c r="E43" s="921">
        <v>333</v>
      </c>
      <c r="F43" s="921">
        <v>299</v>
      </c>
      <c r="G43" s="921">
        <v>31</v>
      </c>
      <c r="H43" s="921">
        <v>17</v>
      </c>
      <c r="I43" s="921">
        <v>11</v>
      </c>
      <c r="J43" s="921">
        <v>276</v>
      </c>
      <c r="K43" s="921">
        <v>316</v>
      </c>
      <c r="L43" s="921">
        <v>288</v>
      </c>
      <c r="M43" s="921">
        <v>0</v>
      </c>
      <c r="N43" s="921">
        <v>0</v>
      </c>
      <c r="O43" s="921">
        <v>0</v>
      </c>
      <c r="P43" s="921">
        <v>0</v>
      </c>
      <c r="Q43" s="921">
        <v>0</v>
      </c>
      <c r="R43" s="921">
        <v>0</v>
      </c>
      <c r="S43" s="921">
        <v>0</v>
      </c>
      <c r="T43" s="921">
        <v>0</v>
      </c>
      <c r="U43" s="921">
        <v>0</v>
      </c>
      <c r="V43" s="921">
        <v>193</v>
      </c>
      <c r="W43" s="921">
        <v>176</v>
      </c>
      <c r="X43" s="921">
        <v>199</v>
      </c>
      <c r="Y43" s="921">
        <v>31</v>
      </c>
      <c r="Z43" s="921">
        <v>17</v>
      </c>
      <c r="AA43" s="921">
        <v>11</v>
      </c>
      <c r="AB43" s="921">
        <v>162</v>
      </c>
      <c r="AC43" s="921">
        <v>159</v>
      </c>
      <c r="AD43" s="921">
        <v>188</v>
      </c>
      <c r="AE43" s="921">
        <v>0</v>
      </c>
      <c r="AF43" s="921">
        <v>0</v>
      </c>
      <c r="AG43" s="921">
        <v>0</v>
      </c>
      <c r="AH43" s="921">
        <v>0</v>
      </c>
      <c r="AI43" s="921">
        <v>0</v>
      </c>
      <c r="AJ43" s="921">
        <v>0</v>
      </c>
      <c r="AK43" s="921">
        <v>0</v>
      </c>
      <c r="AL43" s="921">
        <v>0</v>
      </c>
      <c r="AM43" s="921">
        <v>0</v>
      </c>
      <c r="AN43" s="1066">
        <v>0</v>
      </c>
      <c r="AO43" s="1066">
        <v>0</v>
      </c>
      <c r="AP43" s="1066">
        <v>0</v>
      </c>
      <c r="AQ43" s="1066">
        <v>0</v>
      </c>
      <c r="AR43" s="1066">
        <v>0</v>
      </c>
      <c r="AS43" s="1066">
        <v>0</v>
      </c>
      <c r="AT43" s="1066">
        <v>0</v>
      </c>
      <c r="AU43" s="1066">
        <v>0</v>
      </c>
      <c r="AV43" s="1066">
        <v>0</v>
      </c>
      <c r="AW43" s="1066">
        <v>0</v>
      </c>
      <c r="AX43" s="1066">
        <v>0</v>
      </c>
      <c r="AY43" s="1066">
        <v>0</v>
      </c>
      <c r="AZ43" s="1066">
        <v>0</v>
      </c>
      <c r="BA43" s="1066">
        <v>0</v>
      </c>
      <c r="BB43" s="1066">
        <v>0</v>
      </c>
      <c r="BC43" s="1066">
        <v>0</v>
      </c>
      <c r="BD43" s="1066">
        <v>0</v>
      </c>
      <c r="BE43" s="1066">
        <v>0</v>
      </c>
      <c r="BF43" s="33"/>
    </row>
    <row r="44" spans="1:58" ht="14.4">
      <c r="A44" s="1065">
        <v>39</v>
      </c>
      <c r="B44" s="1065">
        <v>10397</v>
      </c>
      <c r="C44" s="920" t="s">
        <v>112</v>
      </c>
      <c r="D44" s="921">
        <v>1949</v>
      </c>
      <c r="E44" s="921">
        <v>1830</v>
      </c>
      <c r="F44" s="921">
        <v>1718</v>
      </c>
      <c r="G44" s="921">
        <v>110</v>
      </c>
      <c r="H44" s="921">
        <v>95</v>
      </c>
      <c r="I44" s="921">
        <v>46</v>
      </c>
      <c r="J44" s="921">
        <v>851</v>
      </c>
      <c r="K44" s="921">
        <v>915</v>
      </c>
      <c r="L44" s="921">
        <v>962</v>
      </c>
      <c r="M44" s="921">
        <v>171</v>
      </c>
      <c r="N44" s="921">
        <v>166</v>
      </c>
      <c r="O44" s="921">
        <v>141</v>
      </c>
      <c r="P44" s="921">
        <v>0</v>
      </c>
      <c r="Q44" s="921">
        <v>0</v>
      </c>
      <c r="R44" s="921">
        <v>0</v>
      </c>
      <c r="S44" s="921">
        <v>0</v>
      </c>
      <c r="T44" s="921">
        <v>0</v>
      </c>
      <c r="U44" s="921">
        <v>0</v>
      </c>
      <c r="V44" s="921">
        <v>1351</v>
      </c>
      <c r="W44" s="921">
        <v>1391</v>
      </c>
      <c r="X44" s="921">
        <v>1276</v>
      </c>
      <c r="Y44" s="921">
        <v>110</v>
      </c>
      <c r="Z44" s="921">
        <v>95</v>
      </c>
      <c r="AA44" s="921">
        <v>46</v>
      </c>
      <c r="AB44" s="921">
        <v>409</v>
      </c>
      <c r="AC44" s="921">
        <v>616</v>
      </c>
      <c r="AD44" s="921">
        <v>624</v>
      </c>
      <c r="AE44" s="921">
        <v>142</v>
      </c>
      <c r="AF44" s="921">
        <v>131</v>
      </c>
      <c r="AG44" s="921">
        <v>112</v>
      </c>
      <c r="AH44" s="921">
        <v>0</v>
      </c>
      <c r="AI44" s="921">
        <v>0</v>
      </c>
      <c r="AJ44" s="921">
        <v>0</v>
      </c>
      <c r="AK44" s="921">
        <v>0</v>
      </c>
      <c r="AL44" s="921">
        <v>0</v>
      </c>
      <c r="AM44" s="921">
        <v>0</v>
      </c>
      <c r="AN44" s="1066">
        <v>0</v>
      </c>
      <c r="AO44" s="1066">
        <v>0</v>
      </c>
      <c r="AP44" s="1066">
        <v>0</v>
      </c>
      <c r="AQ44" s="1066">
        <v>0</v>
      </c>
      <c r="AR44" s="1066">
        <v>0</v>
      </c>
      <c r="AS44" s="1066">
        <v>0</v>
      </c>
      <c r="AT44" s="1066">
        <v>0</v>
      </c>
      <c r="AU44" s="1066">
        <v>0</v>
      </c>
      <c r="AV44" s="1066">
        <v>0</v>
      </c>
      <c r="AW44" s="1066">
        <v>0</v>
      </c>
      <c r="AX44" s="1066">
        <v>0</v>
      </c>
      <c r="AY44" s="1066">
        <v>0</v>
      </c>
      <c r="AZ44" s="1066">
        <v>0</v>
      </c>
      <c r="BA44" s="1066">
        <v>0</v>
      </c>
      <c r="BB44" s="1066">
        <v>0</v>
      </c>
      <c r="BC44" s="1066">
        <v>0</v>
      </c>
      <c r="BD44" s="1066">
        <v>0</v>
      </c>
      <c r="BE44" s="1066">
        <v>0</v>
      </c>
      <c r="BF44" s="33"/>
    </row>
    <row r="45" spans="1:58" ht="14.4">
      <c r="A45" s="1065">
        <v>40</v>
      </c>
      <c r="B45" s="1065">
        <v>10405</v>
      </c>
      <c r="C45" s="920" t="s">
        <v>113</v>
      </c>
      <c r="D45" s="921">
        <v>150</v>
      </c>
      <c r="E45" s="921">
        <v>149</v>
      </c>
      <c r="F45" s="921">
        <v>114</v>
      </c>
      <c r="G45" s="921">
        <v>17</v>
      </c>
      <c r="H45" s="921">
        <v>25</v>
      </c>
      <c r="I45" s="921">
        <v>11</v>
      </c>
      <c r="J45" s="921">
        <v>39</v>
      </c>
      <c r="K45" s="921">
        <v>37</v>
      </c>
      <c r="L45" s="921">
        <v>25</v>
      </c>
      <c r="M45" s="921">
        <v>0</v>
      </c>
      <c r="N45" s="921">
        <v>0</v>
      </c>
      <c r="O45" s="921">
        <v>0</v>
      </c>
      <c r="P45" s="921">
        <v>0</v>
      </c>
      <c r="Q45" s="921">
        <v>0</v>
      </c>
      <c r="R45" s="921">
        <v>0</v>
      </c>
      <c r="S45" s="921">
        <v>0</v>
      </c>
      <c r="T45" s="921">
        <v>0</v>
      </c>
      <c r="U45" s="921">
        <v>0</v>
      </c>
      <c r="V45" s="921">
        <v>109</v>
      </c>
      <c r="W45" s="921">
        <v>126</v>
      </c>
      <c r="X45" s="921">
        <v>96</v>
      </c>
      <c r="Y45" s="921">
        <v>17</v>
      </c>
      <c r="Z45" s="921">
        <v>25</v>
      </c>
      <c r="AA45" s="921">
        <v>11</v>
      </c>
      <c r="AB45" s="921">
        <v>20</v>
      </c>
      <c r="AC45" s="921">
        <v>27</v>
      </c>
      <c r="AD45" s="921">
        <v>19</v>
      </c>
      <c r="AE45" s="921">
        <v>0</v>
      </c>
      <c r="AF45" s="921">
        <v>0</v>
      </c>
      <c r="AG45" s="921">
        <v>0</v>
      </c>
      <c r="AH45" s="921">
        <v>0</v>
      </c>
      <c r="AI45" s="921">
        <v>0</v>
      </c>
      <c r="AJ45" s="921">
        <v>0</v>
      </c>
      <c r="AK45" s="921">
        <v>0</v>
      </c>
      <c r="AL45" s="921">
        <v>0</v>
      </c>
      <c r="AM45" s="921">
        <v>0</v>
      </c>
      <c r="AN45" s="1066">
        <v>0</v>
      </c>
      <c r="AO45" s="1066">
        <v>0</v>
      </c>
      <c r="AP45" s="1066">
        <v>0</v>
      </c>
      <c r="AQ45" s="1066">
        <v>0</v>
      </c>
      <c r="AR45" s="1066">
        <v>0</v>
      </c>
      <c r="AS45" s="1066">
        <v>0</v>
      </c>
      <c r="AT45" s="1066">
        <v>0</v>
      </c>
      <c r="AU45" s="1066">
        <v>0</v>
      </c>
      <c r="AV45" s="1066">
        <v>0</v>
      </c>
      <c r="AW45" s="1066">
        <v>0</v>
      </c>
      <c r="AX45" s="1066">
        <v>0</v>
      </c>
      <c r="AY45" s="1066">
        <v>0</v>
      </c>
      <c r="AZ45" s="1066">
        <v>0</v>
      </c>
      <c r="BA45" s="1066">
        <v>0</v>
      </c>
      <c r="BB45" s="1066">
        <v>0</v>
      </c>
      <c r="BC45" s="1066">
        <v>0</v>
      </c>
      <c r="BD45" s="1066">
        <v>0</v>
      </c>
      <c r="BE45" s="1066">
        <v>0</v>
      </c>
      <c r="BF45" s="33"/>
    </row>
    <row r="46" spans="1:58" ht="14.4">
      <c r="A46" s="1065">
        <v>41</v>
      </c>
      <c r="B46" s="1065">
        <v>10413</v>
      </c>
      <c r="C46" s="920" t="s">
        <v>114</v>
      </c>
      <c r="D46" s="921">
        <v>226</v>
      </c>
      <c r="E46" s="921">
        <v>224</v>
      </c>
      <c r="F46" s="921">
        <v>145</v>
      </c>
      <c r="G46" s="921">
        <v>63</v>
      </c>
      <c r="H46" s="921">
        <v>59</v>
      </c>
      <c r="I46" s="921">
        <v>21</v>
      </c>
      <c r="J46" s="921">
        <v>154</v>
      </c>
      <c r="K46" s="921">
        <v>157</v>
      </c>
      <c r="L46" s="921">
        <v>124</v>
      </c>
      <c r="M46" s="921">
        <v>0</v>
      </c>
      <c r="N46" s="921">
        <v>0</v>
      </c>
      <c r="O46" s="921">
        <v>0</v>
      </c>
      <c r="P46" s="921">
        <v>0</v>
      </c>
      <c r="Q46" s="921">
        <v>0</v>
      </c>
      <c r="R46" s="921">
        <v>0</v>
      </c>
      <c r="S46" s="921">
        <v>0</v>
      </c>
      <c r="T46" s="921">
        <v>0</v>
      </c>
      <c r="U46" s="921">
        <v>0</v>
      </c>
      <c r="V46" s="921">
        <v>159</v>
      </c>
      <c r="W46" s="921">
        <v>162</v>
      </c>
      <c r="X46" s="921">
        <v>95</v>
      </c>
      <c r="Y46" s="921">
        <v>63</v>
      </c>
      <c r="Z46" s="921">
        <v>59</v>
      </c>
      <c r="AA46" s="921">
        <v>21</v>
      </c>
      <c r="AB46" s="921">
        <v>90</v>
      </c>
      <c r="AC46" s="921">
        <v>99</v>
      </c>
      <c r="AD46" s="921">
        <v>74</v>
      </c>
      <c r="AE46" s="921">
        <v>0</v>
      </c>
      <c r="AF46" s="921">
        <v>0</v>
      </c>
      <c r="AG46" s="921">
        <v>0</v>
      </c>
      <c r="AH46" s="921">
        <v>0</v>
      </c>
      <c r="AI46" s="921">
        <v>0</v>
      </c>
      <c r="AJ46" s="921">
        <v>0</v>
      </c>
      <c r="AK46" s="921">
        <v>0</v>
      </c>
      <c r="AL46" s="921">
        <v>0</v>
      </c>
      <c r="AM46" s="921">
        <v>0</v>
      </c>
      <c r="AN46" s="1066">
        <v>0</v>
      </c>
      <c r="AO46" s="1066">
        <v>0</v>
      </c>
      <c r="AP46" s="1066">
        <v>0</v>
      </c>
      <c r="AQ46" s="1066">
        <v>0</v>
      </c>
      <c r="AR46" s="1066">
        <v>0</v>
      </c>
      <c r="AS46" s="1066">
        <v>0</v>
      </c>
      <c r="AT46" s="1066">
        <v>0</v>
      </c>
      <c r="AU46" s="1066">
        <v>0</v>
      </c>
      <c r="AV46" s="1066">
        <v>0</v>
      </c>
      <c r="AW46" s="1066">
        <v>0</v>
      </c>
      <c r="AX46" s="1066">
        <v>0</v>
      </c>
      <c r="AY46" s="1066">
        <v>0</v>
      </c>
      <c r="AZ46" s="1066">
        <v>0</v>
      </c>
      <c r="BA46" s="1066">
        <v>0</v>
      </c>
      <c r="BB46" s="1066">
        <v>0</v>
      </c>
      <c r="BC46" s="1066">
        <v>0</v>
      </c>
      <c r="BD46" s="1066">
        <v>0</v>
      </c>
      <c r="BE46" s="1066">
        <v>0</v>
      </c>
      <c r="BF46" s="33"/>
    </row>
    <row r="47" spans="1:58" ht="14.4">
      <c r="A47" s="1065">
        <v>42</v>
      </c>
      <c r="B47" s="1065">
        <v>10421</v>
      </c>
      <c r="C47" s="920" t="s">
        <v>115</v>
      </c>
      <c r="D47" s="921">
        <v>186</v>
      </c>
      <c r="E47" s="921">
        <v>138</v>
      </c>
      <c r="F47" s="921">
        <v>102</v>
      </c>
      <c r="G47" s="921">
        <v>59</v>
      </c>
      <c r="H47" s="921">
        <v>57</v>
      </c>
      <c r="I47" s="921">
        <v>21</v>
      </c>
      <c r="J47" s="921">
        <v>120</v>
      </c>
      <c r="K47" s="921">
        <v>78</v>
      </c>
      <c r="L47" s="921">
        <v>79</v>
      </c>
      <c r="M47" s="921">
        <v>0</v>
      </c>
      <c r="N47" s="921">
        <v>0</v>
      </c>
      <c r="O47" s="921">
        <v>0</v>
      </c>
      <c r="P47" s="921">
        <v>0</v>
      </c>
      <c r="Q47" s="921">
        <v>0</v>
      </c>
      <c r="R47" s="921">
        <v>0</v>
      </c>
      <c r="S47" s="921">
        <v>0</v>
      </c>
      <c r="T47" s="921">
        <v>0</v>
      </c>
      <c r="U47" s="921">
        <v>0</v>
      </c>
      <c r="V47" s="921">
        <v>161</v>
      </c>
      <c r="W47" s="921">
        <v>118</v>
      </c>
      <c r="X47" s="921">
        <v>83</v>
      </c>
      <c r="Y47" s="921">
        <v>59</v>
      </c>
      <c r="Z47" s="921">
        <v>57</v>
      </c>
      <c r="AA47" s="921">
        <v>21</v>
      </c>
      <c r="AB47" s="921">
        <v>95</v>
      </c>
      <c r="AC47" s="921">
        <v>58</v>
      </c>
      <c r="AD47" s="921">
        <v>60</v>
      </c>
      <c r="AE47" s="921">
        <v>0</v>
      </c>
      <c r="AF47" s="921">
        <v>0</v>
      </c>
      <c r="AG47" s="921">
        <v>0</v>
      </c>
      <c r="AH47" s="921">
        <v>0</v>
      </c>
      <c r="AI47" s="921">
        <v>0</v>
      </c>
      <c r="AJ47" s="921">
        <v>0</v>
      </c>
      <c r="AK47" s="921">
        <v>0</v>
      </c>
      <c r="AL47" s="921">
        <v>0</v>
      </c>
      <c r="AM47" s="921">
        <v>0</v>
      </c>
      <c r="AN47" s="1066">
        <v>0</v>
      </c>
      <c r="AO47" s="1066">
        <v>0</v>
      </c>
      <c r="AP47" s="1066">
        <v>0</v>
      </c>
      <c r="AQ47" s="1066">
        <v>0</v>
      </c>
      <c r="AR47" s="1066">
        <v>0</v>
      </c>
      <c r="AS47" s="1066">
        <v>0</v>
      </c>
      <c r="AT47" s="1066">
        <v>0</v>
      </c>
      <c r="AU47" s="1066">
        <v>0</v>
      </c>
      <c r="AV47" s="1066">
        <v>0</v>
      </c>
      <c r="AW47" s="1066">
        <v>0</v>
      </c>
      <c r="AX47" s="1066">
        <v>0</v>
      </c>
      <c r="AY47" s="1066">
        <v>0</v>
      </c>
      <c r="AZ47" s="1066">
        <v>0</v>
      </c>
      <c r="BA47" s="1066">
        <v>0</v>
      </c>
      <c r="BB47" s="1066">
        <v>0</v>
      </c>
      <c r="BC47" s="1066">
        <v>0</v>
      </c>
      <c r="BD47" s="1066">
        <v>0</v>
      </c>
      <c r="BE47" s="1066">
        <v>0</v>
      </c>
      <c r="BF47" s="33"/>
    </row>
    <row r="48" spans="1:58" ht="14.4">
      <c r="A48" s="1065">
        <v>43</v>
      </c>
      <c r="B48" s="1065">
        <v>10439</v>
      </c>
      <c r="C48" s="920" t="s">
        <v>116</v>
      </c>
      <c r="D48" s="921">
        <v>1413</v>
      </c>
      <c r="E48" s="921">
        <v>1368</v>
      </c>
      <c r="F48" s="921">
        <v>1213</v>
      </c>
      <c r="G48" s="921">
        <v>146</v>
      </c>
      <c r="H48" s="921">
        <v>138</v>
      </c>
      <c r="I48" s="921">
        <v>61</v>
      </c>
      <c r="J48" s="921">
        <v>1228</v>
      </c>
      <c r="K48" s="921">
        <v>1136</v>
      </c>
      <c r="L48" s="921">
        <v>1079</v>
      </c>
      <c r="M48" s="921">
        <v>7</v>
      </c>
      <c r="N48" s="921">
        <v>6</v>
      </c>
      <c r="O48" s="921">
        <v>4</v>
      </c>
      <c r="P48" s="921">
        <v>0</v>
      </c>
      <c r="Q48" s="921">
        <v>0</v>
      </c>
      <c r="R48" s="921">
        <v>0</v>
      </c>
      <c r="S48" s="921">
        <v>0</v>
      </c>
      <c r="T48" s="921">
        <v>0</v>
      </c>
      <c r="U48" s="921">
        <v>0</v>
      </c>
      <c r="V48" s="921">
        <v>939</v>
      </c>
      <c r="W48" s="921">
        <v>947</v>
      </c>
      <c r="X48" s="921">
        <v>879</v>
      </c>
      <c r="Y48" s="921">
        <v>146</v>
      </c>
      <c r="Z48" s="921">
        <v>138</v>
      </c>
      <c r="AA48" s="921">
        <v>61</v>
      </c>
      <c r="AB48" s="921">
        <v>764</v>
      </c>
      <c r="AC48" s="921">
        <v>741</v>
      </c>
      <c r="AD48" s="921">
        <v>765</v>
      </c>
      <c r="AE48" s="921">
        <v>6</v>
      </c>
      <c r="AF48" s="921">
        <v>6</v>
      </c>
      <c r="AG48" s="921">
        <v>4</v>
      </c>
      <c r="AH48" s="921">
        <v>0</v>
      </c>
      <c r="AI48" s="921">
        <v>0</v>
      </c>
      <c r="AJ48" s="921">
        <v>0</v>
      </c>
      <c r="AK48" s="921">
        <v>0</v>
      </c>
      <c r="AL48" s="921">
        <v>0</v>
      </c>
      <c r="AM48" s="921">
        <v>0</v>
      </c>
      <c r="AN48" s="1066">
        <v>0</v>
      </c>
      <c r="AO48" s="1066">
        <v>0</v>
      </c>
      <c r="AP48" s="1066">
        <v>0</v>
      </c>
      <c r="AQ48" s="1066">
        <v>0</v>
      </c>
      <c r="AR48" s="1066">
        <v>0</v>
      </c>
      <c r="AS48" s="1066">
        <v>0</v>
      </c>
      <c r="AT48" s="1066">
        <v>0</v>
      </c>
      <c r="AU48" s="1066">
        <v>0</v>
      </c>
      <c r="AV48" s="1066">
        <v>0</v>
      </c>
      <c r="AW48" s="1066">
        <v>0</v>
      </c>
      <c r="AX48" s="1066">
        <v>0</v>
      </c>
      <c r="AY48" s="1066">
        <v>0</v>
      </c>
      <c r="AZ48" s="1066">
        <v>0</v>
      </c>
      <c r="BA48" s="1066">
        <v>0</v>
      </c>
      <c r="BB48" s="1066">
        <v>0</v>
      </c>
      <c r="BC48" s="1066">
        <v>0</v>
      </c>
      <c r="BD48" s="1066">
        <v>0</v>
      </c>
      <c r="BE48" s="1066">
        <v>0</v>
      </c>
      <c r="BF48" s="33"/>
    </row>
    <row r="49" spans="1:58" ht="14.4">
      <c r="A49" s="1065">
        <v>44</v>
      </c>
      <c r="B49" s="1065">
        <v>10447</v>
      </c>
      <c r="C49" s="920" t="s">
        <v>117</v>
      </c>
      <c r="D49" s="921">
        <v>813</v>
      </c>
      <c r="E49" s="921">
        <v>890</v>
      </c>
      <c r="F49" s="921">
        <v>934</v>
      </c>
      <c r="G49" s="921">
        <v>63</v>
      </c>
      <c r="H49" s="921">
        <v>62</v>
      </c>
      <c r="I49" s="921">
        <v>69</v>
      </c>
      <c r="J49" s="921">
        <v>94</v>
      </c>
      <c r="K49" s="921">
        <v>92</v>
      </c>
      <c r="L49" s="921">
        <v>96</v>
      </c>
      <c r="M49" s="921">
        <v>0</v>
      </c>
      <c r="N49" s="921">
        <v>16</v>
      </c>
      <c r="O49" s="921">
        <v>3</v>
      </c>
      <c r="P49" s="921">
        <v>0</v>
      </c>
      <c r="Q49" s="921">
        <v>0</v>
      </c>
      <c r="R49" s="921">
        <v>0</v>
      </c>
      <c r="S49" s="921">
        <v>0</v>
      </c>
      <c r="T49" s="921">
        <v>0</v>
      </c>
      <c r="U49" s="921">
        <v>0</v>
      </c>
      <c r="V49" s="921">
        <v>413</v>
      </c>
      <c r="W49" s="921">
        <v>467</v>
      </c>
      <c r="X49" s="921">
        <v>489</v>
      </c>
      <c r="Y49" s="921">
        <v>63</v>
      </c>
      <c r="Z49" s="921">
        <v>62</v>
      </c>
      <c r="AA49" s="921">
        <v>69</v>
      </c>
      <c r="AB49" s="921">
        <v>32</v>
      </c>
      <c r="AC49" s="921">
        <v>28</v>
      </c>
      <c r="AD49" s="921">
        <v>43</v>
      </c>
      <c r="AE49" s="921">
        <v>0</v>
      </c>
      <c r="AF49" s="921">
        <v>5</v>
      </c>
      <c r="AG49" s="921">
        <v>2</v>
      </c>
      <c r="AH49" s="921">
        <v>0</v>
      </c>
      <c r="AI49" s="921">
        <v>0</v>
      </c>
      <c r="AJ49" s="921">
        <v>0</v>
      </c>
      <c r="AK49" s="921">
        <v>0</v>
      </c>
      <c r="AL49" s="921">
        <v>0</v>
      </c>
      <c r="AM49" s="921">
        <v>0</v>
      </c>
      <c r="AN49" s="1066">
        <v>0</v>
      </c>
      <c r="AO49" s="1066">
        <v>0</v>
      </c>
      <c r="AP49" s="1066">
        <v>0</v>
      </c>
      <c r="AQ49" s="1066">
        <v>0</v>
      </c>
      <c r="AR49" s="1066">
        <v>0</v>
      </c>
      <c r="AS49" s="1066">
        <v>0</v>
      </c>
      <c r="AT49" s="1066">
        <v>0</v>
      </c>
      <c r="AU49" s="1066">
        <v>0</v>
      </c>
      <c r="AV49" s="1066">
        <v>0</v>
      </c>
      <c r="AW49" s="1066">
        <v>0</v>
      </c>
      <c r="AX49" s="1066">
        <v>0</v>
      </c>
      <c r="AY49" s="1066">
        <v>0</v>
      </c>
      <c r="AZ49" s="1066">
        <v>0</v>
      </c>
      <c r="BA49" s="1066">
        <v>0</v>
      </c>
      <c r="BB49" s="1066">
        <v>0</v>
      </c>
      <c r="BC49" s="1066">
        <v>0</v>
      </c>
      <c r="BD49" s="1066">
        <v>0</v>
      </c>
      <c r="BE49" s="1066">
        <v>0</v>
      </c>
      <c r="BF49" s="33"/>
    </row>
    <row r="50" spans="1:58" ht="14.4">
      <c r="A50" s="1065">
        <v>45</v>
      </c>
      <c r="B50" s="1065">
        <v>10454</v>
      </c>
      <c r="C50" s="920" t="s">
        <v>72</v>
      </c>
      <c r="D50" s="921">
        <v>60</v>
      </c>
      <c r="E50" s="921">
        <v>183</v>
      </c>
      <c r="F50" s="921">
        <v>189</v>
      </c>
      <c r="G50" s="921">
        <v>23</v>
      </c>
      <c r="H50" s="921">
        <v>26</v>
      </c>
      <c r="I50" s="921">
        <v>17</v>
      </c>
      <c r="J50" s="921">
        <v>37</v>
      </c>
      <c r="K50" s="921">
        <v>157</v>
      </c>
      <c r="L50" s="921">
        <v>172</v>
      </c>
      <c r="M50" s="921">
        <v>0</v>
      </c>
      <c r="N50" s="921">
        <v>0</v>
      </c>
      <c r="O50" s="921">
        <v>0</v>
      </c>
      <c r="P50" s="921">
        <v>0</v>
      </c>
      <c r="Q50" s="921">
        <v>0</v>
      </c>
      <c r="R50" s="921">
        <v>0</v>
      </c>
      <c r="S50" s="921">
        <v>0</v>
      </c>
      <c r="T50" s="921">
        <v>0</v>
      </c>
      <c r="U50" s="921">
        <v>0</v>
      </c>
      <c r="V50" s="921">
        <v>45</v>
      </c>
      <c r="W50" s="921">
        <v>138</v>
      </c>
      <c r="X50" s="921">
        <v>160</v>
      </c>
      <c r="Y50" s="921">
        <v>23</v>
      </c>
      <c r="Z50" s="921">
        <v>26</v>
      </c>
      <c r="AA50" s="921">
        <v>17</v>
      </c>
      <c r="AB50" s="921">
        <v>22</v>
      </c>
      <c r="AC50" s="921">
        <v>112</v>
      </c>
      <c r="AD50" s="921">
        <v>143</v>
      </c>
      <c r="AE50" s="921">
        <v>0</v>
      </c>
      <c r="AF50" s="921">
        <v>0</v>
      </c>
      <c r="AG50" s="921">
        <v>0</v>
      </c>
      <c r="AH50" s="921">
        <v>0</v>
      </c>
      <c r="AI50" s="921">
        <v>0</v>
      </c>
      <c r="AJ50" s="921">
        <v>0</v>
      </c>
      <c r="AK50" s="921">
        <v>0</v>
      </c>
      <c r="AL50" s="921">
        <v>0</v>
      </c>
      <c r="AM50" s="921">
        <v>0</v>
      </c>
      <c r="AN50" s="1066">
        <v>0</v>
      </c>
      <c r="AO50" s="1066">
        <v>0</v>
      </c>
      <c r="AP50" s="1066">
        <v>0</v>
      </c>
      <c r="AQ50" s="1066">
        <v>0</v>
      </c>
      <c r="AR50" s="1066">
        <v>0</v>
      </c>
      <c r="AS50" s="1066">
        <v>0</v>
      </c>
      <c r="AT50" s="1066">
        <v>0</v>
      </c>
      <c r="AU50" s="1066">
        <v>0</v>
      </c>
      <c r="AV50" s="1066">
        <v>0</v>
      </c>
      <c r="AW50" s="1066">
        <v>0</v>
      </c>
      <c r="AX50" s="1066">
        <v>0</v>
      </c>
      <c r="AY50" s="1066">
        <v>0</v>
      </c>
      <c r="AZ50" s="1066">
        <v>0</v>
      </c>
      <c r="BA50" s="1066">
        <v>0</v>
      </c>
      <c r="BB50" s="1066">
        <v>0</v>
      </c>
      <c r="BC50" s="1066">
        <v>0</v>
      </c>
      <c r="BD50" s="1066">
        <v>0</v>
      </c>
      <c r="BE50" s="1066">
        <v>0</v>
      </c>
      <c r="BF50" s="33"/>
    </row>
    <row r="51" spans="1:58" ht="14.4">
      <c r="A51" s="1065">
        <v>46</v>
      </c>
      <c r="B51" s="1065">
        <v>10462</v>
      </c>
      <c r="C51" s="920" t="s">
        <v>73</v>
      </c>
      <c r="D51" s="921">
        <v>0</v>
      </c>
      <c r="E51" s="921">
        <v>0</v>
      </c>
      <c r="F51" s="921">
        <v>0</v>
      </c>
      <c r="G51" s="921">
        <v>0</v>
      </c>
      <c r="H51" s="921">
        <v>0</v>
      </c>
      <c r="I51" s="921">
        <v>0</v>
      </c>
      <c r="J51" s="921">
        <v>0</v>
      </c>
      <c r="K51" s="921">
        <v>0</v>
      </c>
      <c r="L51" s="921">
        <v>0</v>
      </c>
      <c r="M51" s="921">
        <v>0</v>
      </c>
      <c r="N51" s="921">
        <v>0</v>
      </c>
      <c r="O51" s="921">
        <v>0</v>
      </c>
      <c r="P51" s="921">
        <v>0</v>
      </c>
      <c r="Q51" s="921">
        <v>0</v>
      </c>
      <c r="R51" s="921">
        <v>0</v>
      </c>
      <c r="S51" s="921">
        <v>0</v>
      </c>
      <c r="T51" s="921">
        <v>0</v>
      </c>
      <c r="U51" s="921">
        <v>0</v>
      </c>
      <c r="V51" s="921">
        <v>0</v>
      </c>
      <c r="W51" s="921">
        <v>0</v>
      </c>
      <c r="X51" s="921">
        <v>0</v>
      </c>
      <c r="Y51" s="921">
        <v>0</v>
      </c>
      <c r="Z51" s="921">
        <v>0</v>
      </c>
      <c r="AA51" s="921">
        <v>0</v>
      </c>
      <c r="AB51" s="921">
        <v>0</v>
      </c>
      <c r="AC51" s="921">
        <v>0</v>
      </c>
      <c r="AD51" s="921">
        <v>0</v>
      </c>
      <c r="AE51" s="921">
        <v>0</v>
      </c>
      <c r="AF51" s="921">
        <v>0</v>
      </c>
      <c r="AG51" s="921">
        <v>0</v>
      </c>
      <c r="AH51" s="921">
        <v>0</v>
      </c>
      <c r="AI51" s="921">
        <v>0</v>
      </c>
      <c r="AJ51" s="921">
        <v>0</v>
      </c>
      <c r="AK51" s="921">
        <v>0</v>
      </c>
      <c r="AL51" s="921">
        <v>0</v>
      </c>
      <c r="AM51" s="921">
        <v>0</v>
      </c>
      <c r="AN51" s="1066">
        <v>0</v>
      </c>
      <c r="AO51" s="1066">
        <v>0</v>
      </c>
      <c r="AP51" s="1066">
        <v>0</v>
      </c>
      <c r="AQ51" s="1066">
        <v>0</v>
      </c>
      <c r="AR51" s="1066">
        <v>0</v>
      </c>
      <c r="AS51" s="1066">
        <v>0</v>
      </c>
      <c r="AT51" s="1066">
        <v>0</v>
      </c>
      <c r="AU51" s="1066">
        <v>0</v>
      </c>
      <c r="AV51" s="1066">
        <v>0</v>
      </c>
      <c r="AW51" s="1066">
        <v>0</v>
      </c>
      <c r="AX51" s="1066">
        <v>0</v>
      </c>
      <c r="AY51" s="1066">
        <v>0</v>
      </c>
      <c r="AZ51" s="1066">
        <v>0</v>
      </c>
      <c r="BA51" s="1066">
        <v>0</v>
      </c>
      <c r="BB51" s="1066">
        <v>0</v>
      </c>
      <c r="BC51" s="1066">
        <v>0</v>
      </c>
      <c r="BD51" s="1066">
        <v>0</v>
      </c>
      <c r="BE51" s="1066">
        <v>0</v>
      </c>
      <c r="BF51" s="33"/>
    </row>
    <row r="52" spans="1:58" ht="14.4">
      <c r="A52" s="1065">
        <v>47</v>
      </c>
      <c r="B52" s="1065">
        <v>10470</v>
      </c>
      <c r="C52" s="920" t="s">
        <v>42</v>
      </c>
      <c r="D52" s="921">
        <v>105</v>
      </c>
      <c r="E52" s="921">
        <v>100</v>
      </c>
      <c r="F52" s="921">
        <v>84</v>
      </c>
      <c r="G52" s="921">
        <v>10</v>
      </c>
      <c r="H52" s="921">
        <v>13</v>
      </c>
      <c r="I52" s="921">
        <v>0</v>
      </c>
      <c r="J52" s="921">
        <v>95</v>
      </c>
      <c r="K52" s="921">
        <v>87</v>
      </c>
      <c r="L52" s="921">
        <v>84</v>
      </c>
      <c r="M52" s="921">
        <v>0</v>
      </c>
      <c r="N52" s="921">
        <v>0</v>
      </c>
      <c r="O52" s="921">
        <v>0</v>
      </c>
      <c r="P52" s="921">
        <v>0</v>
      </c>
      <c r="Q52" s="921">
        <v>0</v>
      </c>
      <c r="R52" s="921">
        <v>0</v>
      </c>
      <c r="S52" s="921">
        <v>0</v>
      </c>
      <c r="T52" s="921">
        <v>0</v>
      </c>
      <c r="U52" s="921">
        <v>0</v>
      </c>
      <c r="V52" s="921">
        <v>77</v>
      </c>
      <c r="W52" s="921">
        <v>48</v>
      </c>
      <c r="X52" s="921">
        <v>34</v>
      </c>
      <c r="Y52" s="921">
        <v>10</v>
      </c>
      <c r="Z52" s="921">
        <v>13</v>
      </c>
      <c r="AA52" s="921">
        <v>0</v>
      </c>
      <c r="AB52" s="921">
        <v>67</v>
      </c>
      <c r="AC52" s="921">
        <v>35</v>
      </c>
      <c r="AD52" s="921">
        <v>34</v>
      </c>
      <c r="AE52" s="921">
        <v>0</v>
      </c>
      <c r="AF52" s="921">
        <v>0</v>
      </c>
      <c r="AG52" s="921">
        <v>0</v>
      </c>
      <c r="AH52" s="921">
        <v>0</v>
      </c>
      <c r="AI52" s="921">
        <v>0</v>
      </c>
      <c r="AJ52" s="921">
        <v>0</v>
      </c>
      <c r="AK52" s="921">
        <v>0</v>
      </c>
      <c r="AL52" s="921">
        <v>0</v>
      </c>
      <c r="AM52" s="921">
        <v>0</v>
      </c>
      <c r="AN52" s="1066">
        <v>0</v>
      </c>
      <c r="AO52" s="1066">
        <v>0</v>
      </c>
      <c r="AP52" s="1066">
        <v>0</v>
      </c>
      <c r="AQ52" s="1066">
        <v>0</v>
      </c>
      <c r="AR52" s="1066">
        <v>0</v>
      </c>
      <c r="AS52" s="1066">
        <v>0</v>
      </c>
      <c r="AT52" s="1066">
        <v>0</v>
      </c>
      <c r="AU52" s="1066">
        <v>0</v>
      </c>
      <c r="AV52" s="1066">
        <v>0</v>
      </c>
      <c r="AW52" s="1066">
        <v>0</v>
      </c>
      <c r="AX52" s="1066">
        <v>0</v>
      </c>
      <c r="AY52" s="1066">
        <v>0</v>
      </c>
      <c r="AZ52" s="1066">
        <v>0</v>
      </c>
      <c r="BA52" s="1066">
        <v>0</v>
      </c>
      <c r="BB52" s="1066">
        <v>0</v>
      </c>
      <c r="BC52" s="1066">
        <v>0</v>
      </c>
      <c r="BD52" s="1066">
        <v>0</v>
      </c>
      <c r="BE52" s="1066">
        <v>0</v>
      </c>
      <c r="BF52" s="33"/>
    </row>
    <row r="53" spans="1:58" ht="14.4">
      <c r="A53" s="1065">
        <v>48</v>
      </c>
      <c r="B53" s="1065">
        <v>10488</v>
      </c>
      <c r="C53" s="920" t="s">
        <v>74</v>
      </c>
      <c r="D53" s="921">
        <v>398</v>
      </c>
      <c r="E53" s="921">
        <v>369</v>
      </c>
      <c r="F53" s="921">
        <v>358</v>
      </c>
      <c r="G53" s="921">
        <v>38</v>
      </c>
      <c r="H53" s="921">
        <v>30</v>
      </c>
      <c r="I53" s="921">
        <v>15</v>
      </c>
      <c r="J53" s="921">
        <v>316</v>
      </c>
      <c r="K53" s="921">
        <v>291</v>
      </c>
      <c r="L53" s="921">
        <v>294</v>
      </c>
      <c r="M53" s="921">
        <v>0</v>
      </c>
      <c r="N53" s="921">
        <v>0</v>
      </c>
      <c r="O53" s="921">
        <v>0</v>
      </c>
      <c r="P53" s="921">
        <v>0</v>
      </c>
      <c r="Q53" s="921">
        <v>0</v>
      </c>
      <c r="R53" s="921">
        <v>0</v>
      </c>
      <c r="S53" s="921">
        <v>0</v>
      </c>
      <c r="T53" s="921">
        <v>0</v>
      </c>
      <c r="U53" s="921">
        <v>0</v>
      </c>
      <c r="V53" s="921">
        <v>159</v>
      </c>
      <c r="W53" s="921">
        <v>163</v>
      </c>
      <c r="X53" s="921">
        <v>145</v>
      </c>
      <c r="Y53" s="921">
        <v>38</v>
      </c>
      <c r="Z53" s="921">
        <v>30</v>
      </c>
      <c r="AA53" s="921">
        <v>15</v>
      </c>
      <c r="AB53" s="921">
        <v>92</v>
      </c>
      <c r="AC53" s="921">
        <v>103</v>
      </c>
      <c r="AD53" s="921">
        <v>96</v>
      </c>
      <c r="AE53" s="921">
        <v>0</v>
      </c>
      <c r="AF53" s="921">
        <v>0</v>
      </c>
      <c r="AG53" s="921">
        <v>0</v>
      </c>
      <c r="AH53" s="921">
        <v>0</v>
      </c>
      <c r="AI53" s="921">
        <v>0</v>
      </c>
      <c r="AJ53" s="921">
        <v>0</v>
      </c>
      <c r="AK53" s="921">
        <v>0</v>
      </c>
      <c r="AL53" s="921">
        <v>0</v>
      </c>
      <c r="AM53" s="921">
        <v>0</v>
      </c>
      <c r="AN53" s="1066">
        <v>0</v>
      </c>
      <c r="AO53" s="1066">
        <v>0</v>
      </c>
      <c r="AP53" s="1066">
        <v>0</v>
      </c>
      <c r="AQ53" s="1066">
        <v>0</v>
      </c>
      <c r="AR53" s="1066">
        <v>0</v>
      </c>
      <c r="AS53" s="1066">
        <v>0</v>
      </c>
      <c r="AT53" s="1066">
        <v>0</v>
      </c>
      <c r="AU53" s="1066">
        <v>0</v>
      </c>
      <c r="AV53" s="1066">
        <v>0</v>
      </c>
      <c r="AW53" s="1066">
        <v>0</v>
      </c>
      <c r="AX53" s="1066">
        <v>0</v>
      </c>
      <c r="AY53" s="1066">
        <v>0</v>
      </c>
      <c r="AZ53" s="1066">
        <v>0</v>
      </c>
      <c r="BA53" s="1066">
        <v>0</v>
      </c>
      <c r="BB53" s="1066">
        <v>0</v>
      </c>
      <c r="BC53" s="1066">
        <v>0</v>
      </c>
      <c r="BD53" s="1066">
        <v>0</v>
      </c>
      <c r="BE53" s="1066">
        <v>0</v>
      </c>
      <c r="BF53" s="33"/>
    </row>
    <row r="54" spans="1:58" ht="14.4">
      <c r="A54" s="1065">
        <v>49</v>
      </c>
      <c r="B54" s="1065">
        <v>10496</v>
      </c>
      <c r="C54" s="920" t="s">
        <v>75</v>
      </c>
      <c r="D54" s="921">
        <v>555</v>
      </c>
      <c r="E54" s="921">
        <v>528</v>
      </c>
      <c r="F54" s="921">
        <v>411</v>
      </c>
      <c r="G54" s="921">
        <v>50</v>
      </c>
      <c r="H54" s="921">
        <v>49</v>
      </c>
      <c r="I54" s="921">
        <v>12</v>
      </c>
      <c r="J54" s="921">
        <v>436</v>
      </c>
      <c r="K54" s="921">
        <v>395</v>
      </c>
      <c r="L54" s="921">
        <v>342</v>
      </c>
      <c r="M54" s="921">
        <v>0</v>
      </c>
      <c r="N54" s="921">
        <v>0</v>
      </c>
      <c r="O54" s="921">
        <v>0</v>
      </c>
      <c r="P54" s="921">
        <v>0</v>
      </c>
      <c r="Q54" s="921">
        <v>0</v>
      </c>
      <c r="R54" s="921">
        <v>0</v>
      </c>
      <c r="S54" s="921">
        <v>0</v>
      </c>
      <c r="T54" s="921">
        <v>0</v>
      </c>
      <c r="U54" s="921">
        <v>0</v>
      </c>
      <c r="V54" s="921">
        <v>295</v>
      </c>
      <c r="W54" s="921">
        <v>323</v>
      </c>
      <c r="X54" s="921">
        <v>197</v>
      </c>
      <c r="Y54" s="921">
        <v>50</v>
      </c>
      <c r="Z54" s="921">
        <v>49</v>
      </c>
      <c r="AA54" s="921">
        <v>12</v>
      </c>
      <c r="AB54" s="921">
        <v>191</v>
      </c>
      <c r="AC54" s="921">
        <v>207</v>
      </c>
      <c r="AD54" s="921">
        <v>150</v>
      </c>
      <c r="AE54" s="921">
        <v>0</v>
      </c>
      <c r="AF54" s="921">
        <v>0</v>
      </c>
      <c r="AG54" s="921">
        <v>0</v>
      </c>
      <c r="AH54" s="921">
        <v>0</v>
      </c>
      <c r="AI54" s="921">
        <v>-3</v>
      </c>
      <c r="AJ54" s="921">
        <v>0</v>
      </c>
      <c r="AK54" s="921">
        <v>0</v>
      </c>
      <c r="AL54" s="921">
        <v>0</v>
      </c>
      <c r="AM54" s="921">
        <v>0</v>
      </c>
      <c r="AN54" s="1066">
        <v>0</v>
      </c>
      <c r="AO54" s="1066">
        <v>0</v>
      </c>
      <c r="AP54" s="1066">
        <v>0</v>
      </c>
      <c r="AQ54" s="1066">
        <v>0</v>
      </c>
      <c r="AR54" s="1066">
        <v>0</v>
      </c>
      <c r="AS54" s="1066">
        <v>0</v>
      </c>
      <c r="AT54" s="1066">
        <v>0</v>
      </c>
      <c r="AU54" s="1066">
        <v>0</v>
      </c>
      <c r="AV54" s="1066">
        <v>0</v>
      </c>
      <c r="AW54" s="1066">
        <v>0</v>
      </c>
      <c r="AX54" s="1066">
        <v>0</v>
      </c>
      <c r="AY54" s="1066">
        <v>0</v>
      </c>
      <c r="AZ54" s="1066">
        <v>0</v>
      </c>
      <c r="BA54" s="1066">
        <v>0</v>
      </c>
      <c r="BB54" s="1066">
        <v>0</v>
      </c>
      <c r="BC54" s="1066">
        <v>0</v>
      </c>
      <c r="BD54" s="1066">
        <v>0</v>
      </c>
      <c r="BE54" s="1066">
        <v>0</v>
      </c>
      <c r="BF54" s="33"/>
    </row>
    <row r="55" spans="1:58" ht="14.4">
      <c r="A55" s="1065">
        <v>50</v>
      </c>
      <c r="B55" s="1065">
        <v>10504</v>
      </c>
      <c r="C55" s="920" t="s">
        <v>41</v>
      </c>
      <c r="D55" s="921">
        <v>958</v>
      </c>
      <c r="E55" s="921">
        <v>897</v>
      </c>
      <c r="F55" s="921">
        <v>816</v>
      </c>
      <c r="G55" s="921">
        <v>81</v>
      </c>
      <c r="H55" s="921">
        <v>65</v>
      </c>
      <c r="I55" s="921">
        <v>61</v>
      </c>
      <c r="J55" s="921">
        <v>859</v>
      </c>
      <c r="K55" s="921">
        <v>806</v>
      </c>
      <c r="L55" s="921">
        <v>731</v>
      </c>
      <c r="M55" s="921">
        <v>1</v>
      </c>
      <c r="N55" s="921">
        <v>3</v>
      </c>
      <c r="O55" s="921">
        <v>4</v>
      </c>
      <c r="P55" s="921">
        <v>0</v>
      </c>
      <c r="Q55" s="921">
        <v>0</v>
      </c>
      <c r="R55" s="921">
        <v>0</v>
      </c>
      <c r="S55" s="921">
        <v>0</v>
      </c>
      <c r="T55" s="921">
        <v>0</v>
      </c>
      <c r="U55" s="921">
        <v>0</v>
      </c>
      <c r="V55" s="921">
        <v>803</v>
      </c>
      <c r="W55" s="921">
        <v>741</v>
      </c>
      <c r="X55" s="921">
        <v>647</v>
      </c>
      <c r="Y55" s="921">
        <v>81</v>
      </c>
      <c r="Z55" s="921">
        <v>65</v>
      </c>
      <c r="AA55" s="921">
        <v>61</v>
      </c>
      <c r="AB55" s="921">
        <v>705</v>
      </c>
      <c r="AC55" s="921">
        <v>650</v>
      </c>
      <c r="AD55" s="921">
        <v>563</v>
      </c>
      <c r="AE55" s="921">
        <v>0</v>
      </c>
      <c r="AF55" s="921">
        <v>2</v>
      </c>
      <c r="AG55" s="921">
        <v>3</v>
      </c>
      <c r="AH55" s="921">
        <v>0</v>
      </c>
      <c r="AI55" s="921">
        <v>0</v>
      </c>
      <c r="AJ55" s="921">
        <v>0</v>
      </c>
      <c r="AK55" s="921">
        <v>0</v>
      </c>
      <c r="AL55" s="921">
        <v>0</v>
      </c>
      <c r="AM55" s="921">
        <v>0</v>
      </c>
      <c r="AN55" s="1066">
        <v>0</v>
      </c>
      <c r="AO55" s="1066">
        <v>0</v>
      </c>
      <c r="AP55" s="1066">
        <v>0</v>
      </c>
      <c r="AQ55" s="1066">
        <v>0</v>
      </c>
      <c r="AR55" s="1066">
        <v>0</v>
      </c>
      <c r="AS55" s="1066">
        <v>0</v>
      </c>
      <c r="AT55" s="1066">
        <v>0</v>
      </c>
      <c r="AU55" s="1066">
        <v>0</v>
      </c>
      <c r="AV55" s="1066">
        <v>0</v>
      </c>
      <c r="AW55" s="1066">
        <v>0</v>
      </c>
      <c r="AX55" s="1066">
        <v>0</v>
      </c>
      <c r="AY55" s="1066">
        <v>0</v>
      </c>
      <c r="AZ55" s="1066">
        <v>0</v>
      </c>
      <c r="BA55" s="1066">
        <v>0</v>
      </c>
      <c r="BB55" s="1066">
        <v>0</v>
      </c>
      <c r="BC55" s="1066">
        <v>0</v>
      </c>
      <c r="BD55" s="1066">
        <v>0</v>
      </c>
      <c r="BE55" s="1066">
        <v>0</v>
      </c>
      <c r="BF55" s="33"/>
    </row>
    <row r="56" spans="1:58" ht="14.4">
      <c r="A56" s="1065">
        <v>51</v>
      </c>
      <c r="B56" s="1065">
        <v>10512</v>
      </c>
      <c r="C56" s="920" t="s">
        <v>76</v>
      </c>
      <c r="D56" s="921">
        <v>368</v>
      </c>
      <c r="E56" s="921">
        <v>357</v>
      </c>
      <c r="F56" s="921">
        <v>331</v>
      </c>
      <c r="G56" s="921">
        <v>0</v>
      </c>
      <c r="H56" s="921">
        <v>0</v>
      </c>
      <c r="I56" s="921">
        <v>0</v>
      </c>
      <c r="J56" s="921">
        <v>320</v>
      </c>
      <c r="K56" s="921">
        <v>311</v>
      </c>
      <c r="L56" s="921">
        <v>283</v>
      </c>
      <c r="M56" s="921">
        <v>0</v>
      </c>
      <c r="N56" s="921">
        <v>0</v>
      </c>
      <c r="O56" s="921">
        <v>4</v>
      </c>
      <c r="P56" s="921">
        <v>0</v>
      </c>
      <c r="Q56" s="921">
        <v>0</v>
      </c>
      <c r="R56" s="921">
        <v>0</v>
      </c>
      <c r="S56" s="921">
        <v>0</v>
      </c>
      <c r="T56" s="921">
        <v>0</v>
      </c>
      <c r="U56" s="921">
        <v>0</v>
      </c>
      <c r="V56" s="921">
        <v>288</v>
      </c>
      <c r="W56" s="921">
        <v>275</v>
      </c>
      <c r="X56" s="921">
        <v>281</v>
      </c>
      <c r="Y56" s="921">
        <v>0</v>
      </c>
      <c r="Z56" s="921">
        <v>0</v>
      </c>
      <c r="AA56" s="921">
        <v>0</v>
      </c>
      <c r="AB56" s="921">
        <v>244</v>
      </c>
      <c r="AC56" s="921">
        <v>234</v>
      </c>
      <c r="AD56" s="921">
        <v>235</v>
      </c>
      <c r="AE56" s="921">
        <v>0</v>
      </c>
      <c r="AF56" s="921">
        <v>0</v>
      </c>
      <c r="AG56" s="921">
        <v>3</v>
      </c>
      <c r="AH56" s="921">
        <v>0</v>
      </c>
      <c r="AI56" s="921">
        <v>0</v>
      </c>
      <c r="AJ56" s="921">
        <v>0</v>
      </c>
      <c r="AK56" s="921">
        <v>0</v>
      </c>
      <c r="AL56" s="921">
        <v>0</v>
      </c>
      <c r="AM56" s="921">
        <v>0</v>
      </c>
      <c r="AN56" s="1066">
        <v>0</v>
      </c>
      <c r="AO56" s="1066">
        <v>0</v>
      </c>
      <c r="AP56" s="1066">
        <v>0</v>
      </c>
      <c r="AQ56" s="1066">
        <v>0</v>
      </c>
      <c r="AR56" s="1066">
        <v>0</v>
      </c>
      <c r="AS56" s="1066">
        <v>0</v>
      </c>
      <c r="AT56" s="1066">
        <v>0</v>
      </c>
      <c r="AU56" s="1066">
        <v>0</v>
      </c>
      <c r="AV56" s="1066">
        <v>0</v>
      </c>
      <c r="AW56" s="1066">
        <v>0</v>
      </c>
      <c r="AX56" s="1066">
        <v>0</v>
      </c>
      <c r="AY56" s="1066">
        <v>0</v>
      </c>
      <c r="AZ56" s="1066">
        <v>0</v>
      </c>
      <c r="BA56" s="1066">
        <v>0</v>
      </c>
      <c r="BB56" s="1066">
        <v>0</v>
      </c>
      <c r="BC56" s="1066">
        <v>0</v>
      </c>
      <c r="BD56" s="1066">
        <v>0</v>
      </c>
      <c r="BE56" s="1066">
        <v>0</v>
      </c>
      <c r="BF56" s="33"/>
    </row>
    <row r="57" spans="1:58" ht="14.4">
      <c r="A57" s="1065">
        <v>52</v>
      </c>
      <c r="B57" s="1065">
        <v>10520</v>
      </c>
      <c r="C57" s="920" t="s">
        <v>77</v>
      </c>
      <c r="D57" s="921">
        <v>64</v>
      </c>
      <c r="E57" s="921">
        <v>50</v>
      </c>
      <c r="F57" s="921">
        <v>49</v>
      </c>
      <c r="G57" s="921">
        <v>23</v>
      </c>
      <c r="H57" s="921">
        <v>9</v>
      </c>
      <c r="I57" s="921">
        <v>10</v>
      </c>
      <c r="J57" s="921">
        <v>41</v>
      </c>
      <c r="K57" s="921">
        <v>41</v>
      </c>
      <c r="L57" s="921">
        <v>39</v>
      </c>
      <c r="M57" s="921">
        <v>0</v>
      </c>
      <c r="N57" s="921">
        <v>0</v>
      </c>
      <c r="O57" s="921">
        <v>0</v>
      </c>
      <c r="P57" s="921">
        <v>0</v>
      </c>
      <c r="Q57" s="921">
        <v>0</v>
      </c>
      <c r="R57" s="921">
        <v>0</v>
      </c>
      <c r="S57" s="921">
        <v>0</v>
      </c>
      <c r="T57" s="921">
        <v>0</v>
      </c>
      <c r="U57" s="921">
        <v>0</v>
      </c>
      <c r="V57" s="921">
        <v>40</v>
      </c>
      <c r="W57" s="921">
        <v>26</v>
      </c>
      <c r="X57" s="921">
        <v>31</v>
      </c>
      <c r="Y57" s="921">
        <v>23</v>
      </c>
      <c r="Z57" s="921">
        <v>9</v>
      </c>
      <c r="AA57" s="921">
        <v>10</v>
      </c>
      <c r="AB57" s="921">
        <v>17</v>
      </c>
      <c r="AC57" s="921">
        <v>17</v>
      </c>
      <c r="AD57" s="921">
        <v>21</v>
      </c>
      <c r="AE57" s="921">
        <v>0</v>
      </c>
      <c r="AF57" s="921">
        <v>0</v>
      </c>
      <c r="AG57" s="921">
        <v>0</v>
      </c>
      <c r="AH57" s="921">
        <v>0</v>
      </c>
      <c r="AI57" s="921">
        <v>0</v>
      </c>
      <c r="AJ57" s="921">
        <v>0</v>
      </c>
      <c r="AK57" s="921">
        <v>0</v>
      </c>
      <c r="AL57" s="921">
        <v>0</v>
      </c>
      <c r="AM57" s="921">
        <v>0</v>
      </c>
      <c r="AN57" s="1066">
        <v>0</v>
      </c>
      <c r="AO57" s="1066">
        <v>0</v>
      </c>
      <c r="AP57" s="1066">
        <v>0</v>
      </c>
      <c r="AQ57" s="1066">
        <v>0</v>
      </c>
      <c r="AR57" s="1066">
        <v>0</v>
      </c>
      <c r="AS57" s="1066">
        <v>0</v>
      </c>
      <c r="AT57" s="1066">
        <v>0</v>
      </c>
      <c r="AU57" s="1066">
        <v>0</v>
      </c>
      <c r="AV57" s="1066">
        <v>0</v>
      </c>
      <c r="AW57" s="1066">
        <v>0</v>
      </c>
      <c r="AX57" s="1066">
        <v>0</v>
      </c>
      <c r="AY57" s="1066">
        <v>0</v>
      </c>
      <c r="AZ57" s="1066">
        <v>0</v>
      </c>
      <c r="BA57" s="1066">
        <v>0</v>
      </c>
      <c r="BB57" s="1066">
        <v>0</v>
      </c>
      <c r="BC57" s="1066">
        <v>0</v>
      </c>
      <c r="BD57" s="1066">
        <v>0</v>
      </c>
      <c r="BE57" s="1066">
        <v>0</v>
      </c>
      <c r="BF57" s="33"/>
    </row>
    <row r="58" spans="1:58" ht="14.4">
      <c r="A58" s="1065">
        <v>53</v>
      </c>
      <c r="B58" s="1065">
        <v>10538</v>
      </c>
      <c r="C58" s="920" t="s">
        <v>78</v>
      </c>
      <c r="D58" s="921">
        <v>7</v>
      </c>
      <c r="E58" s="921">
        <v>12</v>
      </c>
      <c r="F58" s="921">
        <v>7</v>
      </c>
      <c r="G58" s="921">
        <v>0</v>
      </c>
      <c r="H58" s="921">
        <v>0</v>
      </c>
      <c r="I58" s="921">
        <v>0</v>
      </c>
      <c r="J58" s="921">
        <v>7</v>
      </c>
      <c r="K58" s="921">
        <v>12</v>
      </c>
      <c r="L58" s="921">
        <v>7</v>
      </c>
      <c r="M58" s="921">
        <v>12</v>
      </c>
      <c r="N58" s="921">
        <v>6</v>
      </c>
      <c r="O58" s="921">
        <v>7</v>
      </c>
      <c r="P58" s="921">
        <v>0</v>
      </c>
      <c r="Q58" s="921">
        <v>0</v>
      </c>
      <c r="R58" s="921">
        <v>0</v>
      </c>
      <c r="S58" s="921">
        <v>0</v>
      </c>
      <c r="T58" s="921">
        <v>0</v>
      </c>
      <c r="U58" s="921">
        <v>0</v>
      </c>
      <c r="V58" s="921">
        <v>7</v>
      </c>
      <c r="W58" s="921">
        <v>8</v>
      </c>
      <c r="X58" s="921">
        <v>6</v>
      </c>
      <c r="Y58" s="921">
        <v>0</v>
      </c>
      <c r="Z58" s="921">
        <v>0</v>
      </c>
      <c r="AA58" s="921">
        <v>0</v>
      </c>
      <c r="AB58" s="921">
        <v>7</v>
      </c>
      <c r="AC58" s="921">
        <v>8</v>
      </c>
      <c r="AD58" s="921">
        <v>6</v>
      </c>
      <c r="AE58" s="921">
        <v>11</v>
      </c>
      <c r="AF58" s="921">
        <v>6</v>
      </c>
      <c r="AG58" s="921">
        <v>5</v>
      </c>
      <c r="AH58" s="921">
        <v>0</v>
      </c>
      <c r="AI58" s="921">
        <v>0</v>
      </c>
      <c r="AJ58" s="921">
        <v>0</v>
      </c>
      <c r="AK58" s="921">
        <v>0</v>
      </c>
      <c r="AL58" s="921">
        <v>0</v>
      </c>
      <c r="AM58" s="921">
        <v>0</v>
      </c>
      <c r="AN58" s="1066">
        <v>0</v>
      </c>
      <c r="AO58" s="1066">
        <v>0</v>
      </c>
      <c r="AP58" s="1066">
        <v>0</v>
      </c>
      <c r="AQ58" s="1066">
        <v>0</v>
      </c>
      <c r="AR58" s="1066">
        <v>0</v>
      </c>
      <c r="AS58" s="1066">
        <v>0</v>
      </c>
      <c r="AT58" s="1066">
        <v>0</v>
      </c>
      <c r="AU58" s="1066">
        <v>0</v>
      </c>
      <c r="AV58" s="1066">
        <v>0</v>
      </c>
      <c r="AW58" s="1066">
        <v>0</v>
      </c>
      <c r="AX58" s="1066">
        <v>0</v>
      </c>
      <c r="AY58" s="1066">
        <v>0</v>
      </c>
      <c r="AZ58" s="1066">
        <v>0</v>
      </c>
      <c r="BA58" s="1066">
        <v>0</v>
      </c>
      <c r="BB58" s="1066">
        <v>0</v>
      </c>
      <c r="BC58" s="1066">
        <v>0</v>
      </c>
      <c r="BD58" s="1066">
        <v>0</v>
      </c>
      <c r="BE58" s="1066">
        <v>0</v>
      </c>
      <c r="BF58" s="33"/>
    </row>
    <row r="59" spans="1:58" ht="14.4">
      <c r="A59" s="1065">
        <v>54</v>
      </c>
      <c r="B59" s="1065">
        <v>10546</v>
      </c>
      <c r="C59" s="920" t="s">
        <v>31</v>
      </c>
      <c r="D59" s="921">
        <v>1242</v>
      </c>
      <c r="E59" s="921">
        <v>1157</v>
      </c>
      <c r="F59" s="921">
        <v>1105</v>
      </c>
      <c r="G59" s="921">
        <v>89</v>
      </c>
      <c r="H59" s="921">
        <v>67</v>
      </c>
      <c r="I59" s="921">
        <v>39</v>
      </c>
      <c r="J59" s="921">
        <v>1037</v>
      </c>
      <c r="K59" s="921">
        <v>1054</v>
      </c>
      <c r="L59" s="921">
        <v>1025</v>
      </c>
      <c r="M59" s="921">
        <v>0</v>
      </c>
      <c r="N59" s="921">
        <v>0</v>
      </c>
      <c r="O59" s="921">
        <v>2</v>
      </c>
      <c r="P59" s="921">
        <v>0</v>
      </c>
      <c r="Q59" s="921">
        <v>0</v>
      </c>
      <c r="R59" s="921">
        <v>0</v>
      </c>
      <c r="S59" s="921">
        <v>0</v>
      </c>
      <c r="T59" s="921">
        <v>0</v>
      </c>
      <c r="U59" s="921">
        <v>0</v>
      </c>
      <c r="V59" s="921">
        <v>902</v>
      </c>
      <c r="W59" s="921">
        <v>832</v>
      </c>
      <c r="X59" s="921">
        <v>846</v>
      </c>
      <c r="Y59" s="921">
        <v>89</v>
      </c>
      <c r="Z59" s="921">
        <v>67</v>
      </c>
      <c r="AA59" s="921">
        <v>39</v>
      </c>
      <c r="AB59" s="921">
        <v>709</v>
      </c>
      <c r="AC59" s="921">
        <v>735</v>
      </c>
      <c r="AD59" s="921">
        <v>776</v>
      </c>
      <c r="AE59" s="921">
        <v>0</v>
      </c>
      <c r="AF59" s="921">
        <v>0</v>
      </c>
      <c r="AG59" s="921">
        <v>1</v>
      </c>
      <c r="AH59" s="921">
        <v>0</v>
      </c>
      <c r="AI59" s="921">
        <v>0</v>
      </c>
      <c r="AJ59" s="921">
        <v>0</v>
      </c>
      <c r="AK59" s="921">
        <v>0</v>
      </c>
      <c r="AL59" s="921">
        <v>0</v>
      </c>
      <c r="AM59" s="921">
        <v>0</v>
      </c>
      <c r="AN59" s="1066">
        <v>0</v>
      </c>
      <c r="AO59" s="1066">
        <v>0</v>
      </c>
      <c r="AP59" s="1066">
        <v>0</v>
      </c>
      <c r="AQ59" s="1066">
        <v>0</v>
      </c>
      <c r="AR59" s="1066">
        <v>0</v>
      </c>
      <c r="AS59" s="1066">
        <v>0</v>
      </c>
      <c r="AT59" s="1066">
        <v>0</v>
      </c>
      <c r="AU59" s="1066">
        <v>0</v>
      </c>
      <c r="AV59" s="1066">
        <v>0</v>
      </c>
      <c r="AW59" s="1066">
        <v>0</v>
      </c>
      <c r="AX59" s="1066">
        <v>0</v>
      </c>
      <c r="AY59" s="1066">
        <v>0</v>
      </c>
      <c r="AZ59" s="1066">
        <v>0</v>
      </c>
      <c r="BA59" s="1066">
        <v>0</v>
      </c>
      <c r="BB59" s="1066">
        <v>0</v>
      </c>
      <c r="BC59" s="1066">
        <v>0</v>
      </c>
      <c r="BD59" s="1066">
        <v>0</v>
      </c>
      <c r="BE59" s="1066">
        <v>0</v>
      </c>
      <c r="BF59" s="33"/>
    </row>
    <row r="60" spans="1:58" ht="14.4">
      <c r="A60" s="1065">
        <v>55</v>
      </c>
      <c r="B60" s="1065">
        <v>10553</v>
      </c>
      <c r="C60" s="920" t="s">
        <v>40</v>
      </c>
      <c r="D60" s="921">
        <v>94</v>
      </c>
      <c r="E60" s="921">
        <v>106</v>
      </c>
      <c r="F60" s="921">
        <v>104</v>
      </c>
      <c r="G60" s="921">
        <v>7</v>
      </c>
      <c r="H60" s="921">
        <v>8</v>
      </c>
      <c r="I60" s="921">
        <v>12</v>
      </c>
      <c r="J60" s="921">
        <v>87</v>
      </c>
      <c r="K60" s="921">
        <v>98</v>
      </c>
      <c r="L60" s="921">
        <v>92</v>
      </c>
      <c r="M60" s="921">
        <v>0</v>
      </c>
      <c r="N60" s="921">
        <v>0</v>
      </c>
      <c r="O60" s="921">
        <v>0</v>
      </c>
      <c r="P60" s="921">
        <v>0</v>
      </c>
      <c r="Q60" s="921">
        <v>0</v>
      </c>
      <c r="R60" s="921">
        <v>0</v>
      </c>
      <c r="S60" s="921">
        <v>0</v>
      </c>
      <c r="T60" s="921">
        <v>0</v>
      </c>
      <c r="U60" s="921">
        <v>0</v>
      </c>
      <c r="V60" s="921">
        <v>59</v>
      </c>
      <c r="W60" s="921">
        <v>75</v>
      </c>
      <c r="X60" s="921">
        <v>71</v>
      </c>
      <c r="Y60" s="921">
        <v>7</v>
      </c>
      <c r="Z60" s="921">
        <v>8</v>
      </c>
      <c r="AA60" s="921">
        <v>12</v>
      </c>
      <c r="AB60" s="921">
        <v>52</v>
      </c>
      <c r="AC60" s="921">
        <v>67</v>
      </c>
      <c r="AD60" s="921">
        <v>59</v>
      </c>
      <c r="AE60" s="921">
        <v>0</v>
      </c>
      <c r="AF60" s="921">
        <v>0</v>
      </c>
      <c r="AG60" s="921">
        <v>0</v>
      </c>
      <c r="AH60" s="921">
        <v>0</v>
      </c>
      <c r="AI60" s="921">
        <v>0</v>
      </c>
      <c r="AJ60" s="921">
        <v>0</v>
      </c>
      <c r="AK60" s="921">
        <v>0</v>
      </c>
      <c r="AL60" s="921">
        <v>0</v>
      </c>
      <c r="AM60" s="921">
        <v>0</v>
      </c>
      <c r="AN60" s="1066">
        <v>0</v>
      </c>
      <c r="AO60" s="1066">
        <v>0</v>
      </c>
      <c r="AP60" s="1066">
        <v>0</v>
      </c>
      <c r="AQ60" s="1066">
        <v>0</v>
      </c>
      <c r="AR60" s="1066">
        <v>0</v>
      </c>
      <c r="AS60" s="1066">
        <v>0</v>
      </c>
      <c r="AT60" s="1066">
        <v>0</v>
      </c>
      <c r="AU60" s="1066">
        <v>0</v>
      </c>
      <c r="AV60" s="1066">
        <v>0</v>
      </c>
      <c r="AW60" s="1066">
        <v>0</v>
      </c>
      <c r="AX60" s="1066">
        <v>0</v>
      </c>
      <c r="AY60" s="1066">
        <v>0</v>
      </c>
      <c r="AZ60" s="1066">
        <v>0</v>
      </c>
      <c r="BA60" s="1066">
        <v>0</v>
      </c>
      <c r="BB60" s="1066">
        <v>0</v>
      </c>
      <c r="BC60" s="1066">
        <v>0</v>
      </c>
      <c r="BD60" s="1066">
        <v>0</v>
      </c>
      <c r="BE60" s="1066">
        <v>0</v>
      </c>
      <c r="BF60" s="33"/>
    </row>
    <row r="61" spans="1:58" ht="14.4">
      <c r="A61" s="1065">
        <v>56</v>
      </c>
      <c r="B61" s="1065">
        <v>10561</v>
      </c>
      <c r="C61" s="920" t="s">
        <v>39</v>
      </c>
      <c r="D61" s="921">
        <v>684</v>
      </c>
      <c r="E61" s="921">
        <v>700</v>
      </c>
      <c r="F61" s="921">
        <v>663</v>
      </c>
      <c r="G61" s="921">
        <v>69</v>
      </c>
      <c r="H61" s="921">
        <v>67</v>
      </c>
      <c r="I61" s="921">
        <v>52</v>
      </c>
      <c r="J61" s="921">
        <v>536</v>
      </c>
      <c r="K61" s="921">
        <v>564</v>
      </c>
      <c r="L61" s="921">
        <v>528</v>
      </c>
      <c r="M61" s="921">
        <v>0</v>
      </c>
      <c r="N61" s="921">
        <v>0</v>
      </c>
      <c r="O61" s="921">
        <v>0</v>
      </c>
      <c r="P61" s="921">
        <v>0</v>
      </c>
      <c r="Q61" s="921">
        <v>0</v>
      </c>
      <c r="R61" s="921">
        <v>0</v>
      </c>
      <c r="S61" s="921">
        <v>0</v>
      </c>
      <c r="T61" s="921">
        <v>0</v>
      </c>
      <c r="U61" s="921">
        <v>0</v>
      </c>
      <c r="V61" s="921">
        <v>330</v>
      </c>
      <c r="W61" s="921">
        <v>386</v>
      </c>
      <c r="X61" s="921">
        <v>361</v>
      </c>
      <c r="Y61" s="921">
        <v>69</v>
      </c>
      <c r="Z61" s="921">
        <v>67</v>
      </c>
      <c r="AA61" s="921">
        <v>52</v>
      </c>
      <c r="AB61" s="921">
        <v>206</v>
      </c>
      <c r="AC61" s="921">
        <v>261</v>
      </c>
      <c r="AD61" s="921">
        <v>242</v>
      </c>
      <c r="AE61" s="921">
        <v>0</v>
      </c>
      <c r="AF61" s="921">
        <v>0</v>
      </c>
      <c r="AG61" s="921">
        <v>0</v>
      </c>
      <c r="AH61" s="921">
        <v>0</v>
      </c>
      <c r="AI61" s="921">
        <v>0</v>
      </c>
      <c r="AJ61" s="921">
        <v>0</v>
      </c>
      <c r="AK61" s="921">
        <v>0</v>
      </c>
      <c r="AL61" s="921">
        <v>0</v>
      </c>
      <c r="AM61" s="921">
        <v>0</v>
      </c>
      <c r="AN61" s="1066">
        <v>0</v>
      </c>
      <c r="AO61" s="1066">
        <v>0</v>
      </c>
      <c r="AP61" s="1066">
        <v>0</v>
      </c>
      <c r="AQ61" s="1066">
        <v>0</v>
      </c>
      <c r="AR61" s="1066">
        <v>0</v>
      </c>
      <c r="AS61" s="1066">
        <v>0</v>
      </c>
      <c r="AT61" s="1066">
        <v>0</v>
      </c>
      <c r="AU61" s="1066">
        <v>0</v>
      </c>
      <c r="AV61" s="1066">
        <v>0</v>
      </c>
      <c r="AW61" s="1066">
        <v>0</v>
      </c>
      <c r="AX61" s="1066">
        <v>0</v>
      </c>
      <c r="AY61" s="1066">
        <v>0</v>
      </c>
      <c r="AZ61" s="1066">
        <v>0</v>
      </c>
      <c r="BA61" s="1066">
        <v>0</v>
      </c>
      <c r="BB61" s="1066">
        <v>0</v>
      </c>
      <c r="BC61" s="1066">
        <v>0</v>
      </c>
      <c r="BD61" s="1066">
        <v>0</v>
      </c>
      <c r="BE61" s="1066">
        <v>0</v>
      </c>
      <c r="BF61" s="33"/>
    </row>
    <row r="62" spans="1:58" ht="14.4">
      <c r="A62" s="1065">
        <v>57</v>
      </c>
      <c r="B62" s="1065">
        <v>10579</v>
      </c>
      <c r="C62" s="920" t="s">
        <v>38</v>
      </c>
      <c r="D62" s="921">
        <v>254</v>
      </c>
      <c r="E62" s="921">
        <v>251</v>
      </c>
      <c r="F62" s="921">
        <v>206</v>
      </c>
      <c r="G62" s="921">
        <v>31</v>
      </c>
      <c r="H62" s="921">
        <v>14</v>
      </c>
      <c r="I62" s="921">
        <v>3</v>
      </c>
      <c r="J62" s="921">
        <v>152</v>
      </c>
      <c r="K62" s="921">
        <v>161</v>
      </c>
      <c r="L62" s="921">
        <v>164</v>
      </c>
      <c r="M62" s="921">
        <v>27</v>
      </c>
      <c r="N62" s="921">
        <v>0</v>
      </c>
      <c r="O62" s="921">
        <v>0</v>
      </c>
      <c r="P62" s="921">
        <v>0</v>
      </c>
      <c r="Q62" s="921">
        <v>0</v>
      </c>
      <c r="R62" s="921">
        <v>0</v>
      </c>
      <c r="S62" s="921">
        <v>-1</v>
      </c>
      <c r="T62" s="921">
        <v>0</v>
      </c>
      <c r="U62" s="921">
        <v>0</v>
      </c>
      <c r="V62" s="921">
        <v>168</v>
      </c>
      <c r="W62" s="921">
        <v>144</v>
      </c>
      <c r="X62" s="921">
        <v>112</v>
      </c>
      <c r="Y62" s="921">
        <v>31</v>
      </c>
      <c r="Z62" s="921">
        <v>14</v>
      </c>
      <c r="AA62" s="921">
        <v>3</v>
      </c>
      <c r="AB62" s="921">
        <v>85</v>
      </c>
      <c r="AC62" s="921">
        <v>76</v>
      </c>
      <c r="AD62" s="921">
        <v>78</v>
      </c>
      <c r="AE62" s="921">
        <v>21</v>
      </c>
      <c r="AF62" s="921">
        <v>0</v>
      </c>
      <c r="AG62" s="921">
        <v>0</v>
      </c>
      <c r="AH62" s="921">
        <v>0</v>
      </c>
      <c r="AI62" s="921">
        <v>0</v>
      </c>
      <c r="AJ62" s="921">
        <v>0</v>
      </c>
      <c r="AK62" s="921">
        <v>-1</v>
      </c>
      <c r="AL62" s="921">
        <v>0</v>
      </c>
      <c r="AM62" s="921">
        <v>0</v>
      </c>
      <c r="AN62" s="1066">
        <v>0</v>
      </c>
      <c r="AO62" s="1066">
        <v>0</v>
      </c>
      <c r="AP62" s="1066">
        <v>0</v>
      </c>
      <c r="AQ62" s="1066">
        <v>0</v>
      </c>
      <c r="AR62" s="1066">
        <v>0</v>
      </c>
      <c r="AS62" s="1066">
        <v>0</v>
      </c>
      <c r="AT62" s="1066">
        <v>0</v>
      </c>
      <c r="AU62" s="1066">
        <v>0</v>
      </c>
      <c r="AV62" s="1066">
        <v>0</v>
      </c>
      <c r="AW62" s="1066">
        <v>0</v>
      </c>
      <c r="AX62" s="1066">
        <v>0</v>
      </c>
      <c r="AY62" s="1066">
        <v>0</v>
      </c>
      <c r="AZ62" s="1066">
        <v>0</v>
      </c>
      <c r="BA62" s="1066">
        <v>0</v>
      </c>
      <c r="BB62" s="1066">
        <v>0</v>
      </c>
      <c r="BC62" s="1066">
        <v>0</v>
      </c>
      <c r="BD62" s="1066">
        <v>0</v>
      </c>
      <c r="BE62" s="1066">
        <v>0</v>
      </c>
      <c r="BF62" s="33"/>
    </row>
    <row r="63" spans="1:58" ht="14.4">
      <c r="A63" s="1065">
        <v>58</v>
      </c>
      <c r="B63" s="1065">
        <v>10587</v>
      </c>
      <c r="C63" s="920" t="s">
        <v>79</v>
      </c>
      <c r="D63" s="921">
        <v>254</v>
      </c>
      <c r="E63" s="921">
        <v>243</v>
      </c>
      <c r="F63" s="921">
        <v>259</v>
      </c>
      <c r="G63" s="921">
        <v>39</v>
      </c>
      <c r="H63" s="921">
        <v>30</v>
      </c>
      <c r="I63" s="921">
        <v>20</v>
      </c>
      <c r="J63" s="921">
        <v>176</v>
      </c>
      <c r="K63" s="921">
        <v>172</v>
      </c>
      <c r="L63" s="921">
        <v>239</v>
      </c>
      <c r="M63" s="921">
        <v>0</v>
      </c>
      <c r="N63" s="921">
        <v>0</v>
      </c>
      <c r="O63" s="921">
        <v>0</v>
      </c>
      <c r="P63" s="921">
        <v>0</v>
      </c>
      <c r="Q63" s="921">
        <v>0</v>
      </c>
      <c r="R63" s="921">
        <v>0</v>
      </c>
      <c r="S63" s="921">
        <v>0</v>
      </c>
      <c r="T63" s="921">
        <v>0</v>
      </c>
      <c r="U63" s="921">
        <v>0</v>
      </c>
      <c r="V63" s="921">
        <v>156</v>
      </c>
      <c r="W63" s="921">
        <v>124</v>
      </c>
      <c r="X63" s="921">
        <v>157</v>
      </c>
      <c r="Y63" s="921">
        <v>39</v>
      </c>
      <c r="Z63" s="921">
        <v>30</v>
      </c>
      <c r="AA63" s="921">
        <v>20</v>
      </c>
      <c r="AB63" s="921">
        <v>83</v>
      </c>
      <c r="AC63" s="921">
        <v>55</v>
      </c>
      <c r="AD63" s="921">
        <v>137</v>
      </c>
      <c r="AE63" s="921">
        <v>0</v>
      </c>
      <c r="AF63" s="921">
        <v>0</v>
      </c>
      <c r="AG63" s="921">
        <v>0</v>
      </c>
      <c r="AH63" s="921">
        <v>0</v>
      </c>
      <c r="AI63" s="921">
        <v>0</v>
      </c>
      <c r="AJ63" s="921">
        <v>0</v>
      </c>
      <c r="AK63" s="921">
        <v>0</v>
      </c>
      <c r="AL63" s="921">
        <v>0</v>
      </c>
      <c r="AM63" s="921">
        <v>0</v>
      </c>
      <c r="AN63" s="1066">
        <v>0</v>
      </c>
      <c r="AO63" s="1066">
        <v>0</v>
      </c>
      <c r="AP63" s="1066">
        <v>0</v>
      </c>
      <c r="AQ63" s="1066">
        <v>0</v>
      </c>
      <c r="AR63" s="1066">
        <v>0</v>
      </c>
      <c r="AS63" s="1066">
        <v>0</v>
      </c>
      <c r="AT63" s="1066">
        <v>0</v>
      </c>
      <c r="AU63" s="1066">
        <v>0</v>
      </c>
      <c r="AV63" s="1066">
        <v>0</v>
      </c>
      <c r="AW63" s="1066">
        <v>0</v>
      </c>
      <c r="AX63" s="1066">
        <v>0</v>
      </c>
      <c r="AY63" s="1066">
        <v>0</v>
      </c>
      <c r="AZ63" s="1066">
        <v>0</v>
      </c>
      <c r="BA63" s="1066">
        <v>0</v>
      </c>
      <c r="BB63" s="1066">
        <v>0</v>
      </c>
      <c r="BC63" s="1066">
        <v>0</v>
      </c>
      <c r="BD63" s="1066">
        <v>0</v>
      </c>
      <c r="BE63" s="1066">
        <v>0</v>
      </c>
      <c r="BF63" s="33"/>
    </row>
    <row r="64" spans="1:58" ht="14.4">
      <c r="A64" s="322"/>
      <c r="B64" s="323"/>
      <c r="D64" s="324">
        <f>SUM(D6:D63)</f>
        <v>28479</v>
      </c>
      <c r="E64" s="324">
        <f t="shared" ref="E64:BE64" si="0">SUM(E6:E63)</f>
        <v>27497</v>
      </c>
      <c r="F64" s="324">
        <f t="shared" si="0"/>
        <v>25353</v>
      </c>
      <c r="G64" s="324">
        <f t="shared" si="0"/>
        <v>3842</v>
      </c>
      <c r="H64" s="324">
        <f t="shared" si="0"/>
        <v>3540</v>
      </c>
      <c r="I64" s="324">
        <f t="shared" si="0"/>
        <v>2193</v>
      </c>
      <c r="J64" s="324">
        <f t="shared" si="0"/>
        <v>18066</v>
      </c>
      <c r="K64" s="324">
        <f t="shared" si="0"/>
        <v>17475</v>
      </c>
      <c r="L64" s="324">
        <f t="shared" si="0"/>
        <v>18175</v>
      </c>
      <c r="M64" s="324">
        <f t="shared" si="0"/>
        <v>678</v>
      </c>
      <c r="N64" s="324">
        <f t="shared" si="0"/>
        <v>654</v>
      </c>
      <c r="O64" s="324">
        <f t="shared" si="0"/>
        <v>514</v>
      </c>
      <c r="P64" s="324">
        <f t="shared" si="0"/>
        <v>10</v>
      </c>
      <c r="Q64" s="324">
        <f t="shared" si="0"/>
        <v>11</v>
      </c>
      <c r="R64" s="324">
        <f t="shared" si="0"/>
        <v>0</v>
      </c>
      <c r="S64" s="324">
        <f t="shared" si="0"/>
        <v>-1</v>
      </c>
      <c r="T64" s="324">
        <f t="shared" si="0"/>
        <v>0</v>
      </c>
      <c r="U64" s="324">
        <f t="shared" si="0"/>
        <v>0</v>
      </c>
      <c r="V64" s="324">
        <f t="shared" si="0"/>
        <v>20583</v>
      </c>
      <c r="W64" s="324">
        <f t="shared" si="0"/>
        <v>19983</v>
      </c>
      <c r="X64" s="324">
        <f t="shared" si="0"/>
        <v>18130</v>
      </c>
      <c r="Y64" s="324">
        <f t="shared" si="0"/>
        <v>3842</v>
      </c>
      <c r="Z64" s="324">
        <f t="shared" si="0"/>
        <v>3540</v>
      </c>
      <c r="AA64" s="324">
        <f t="shared" si="0"/>
        <v>2193</v>
      </c>
      <c r="AB64" s="324">
        <f t="shared" si="0"/>
        <v>11231</v>
      </c>
      <c r="AC64" s="324">
        <f t="shared" si="0"/>
        <v>11128</v>
      </c>
      <c r="AD64" s="324">
        <f t="shared" si="0"/>
        <v>11809</v>
      </c>
      <c r="AE64" s="324">
        <f t="shared" si="0"/>
        <v>452</v>
      </c>
      <c r="AF64" s="324">
        <f t="shared" si="0"/>
        <v>401</v>
      </c>
      <c r="AG64" s="324">
        <f t="shared" si="0"/>
        <v>308</v>
      </c>
      <c r="AH64" s="324">
        <f t="shared" si="0"/>
        <v>2</v>
      </c>
      <c r="AI64" s="324">
        <f t="shared" si="0"/>
        <v>4</v>
      </c>
      <c r="AJ64" s="324">
        <f t="shared" si="0"/>
        <v>0</v>
      </c>
      <c r="AK64" s="324">
        <f t="shared" si="0"/>
        <v>-1</v>
      </c>
      <c r="AL64" s="324">
        <f t="shared" si="0"/>
        <v>0</v>
      </c>
      <c r="AM64" s="324">
        <f t="shared" si="0"/>
        <v>0</v>
      </c>
      <c r="AN64" s="324">
        <f t="shared" si="0"/>
        <v>121</v>
      </c>
      <c r="AO64" s="324">
        <f t="shared" si="0"/>
        <v>78</v>
      </c>
      <c r="AP64" s="324">
        <f t="shared" si="0"/>
        <v>66</v>
      </c>
      <c r="AQ64" s="324">
        <f t="shared" si="0"/>
        <v>0</v>
      </c>
      <c r="AR64" s="324">
        <f t="shared" si="0"/>
        <v>25</v>
      </c>
      <c r="AS64" s="324">
        <f t="shared" si="0"/>
        <v>0</v>
      </c>
      <c r="AT64" s="324">
        <f t="shared" si="0"/>
        <v>0</v>
      </c>
      <c r="AU64" s="324">
        <f t="shared" si="0"/>
        <v>0</v>
      </c>
      <c r="AV64" s="324">
        <f t="shared" si="0"/>
        <v>0</v>
      </c>
      <c r="AW64" s="324">
        <f t="shared" si="0"/>
        <v>121</v>
      </c>
      <c r="AX64" s="324">
        <f t="shared" si="0"/>
        <v>78</v>
      </c>
      <c r="AY64" s="324">
        <f t="shared" si="0"/>
        <v>66</v>
      </c>
      <c r="AZ64" s="324">
        <f t="shared" si="0"/>
        <v>0</v>
      </c>
      <c r="BA64" s="324">
        <f t="shared" si="0"/>
        <v>25</v>
      </c>
      <c r="BB64" s="324">
        <f t="shared" si="0"/>
        <v>0</v>
      </c>
      <c r="BC64" s="324">
        <f t="shared" si="0"/>
        <v>0</v>
      </c>
      <c r="BD64" s="324">
        <f t="shared" si="0"/>
        <v>0</v>
      </c>
      <c r="BE64" s="324">
        <f t="shared" si="0"/>
        <v>0</v>
      </c>
    </row>
    <row r="65" spans="1:30">
      <c r="A65" s="74"/>
      <c r="AD65" s="38"/>
    </row>
    <row r="66" spans="1:30">
      <c r="A66" s="74"/>
      <c r="D66" s="780">
        <f>SUM(D64:BE64)</f>
        <v>250671</v>
      </c>
      <c r="AD66" s="37"/>
    </row>
    <row r="67" spans="1:30">
      <c r="A67" s="74"/>
      <c r="D67" s="1067" t="s">
        <v>162</v>
      </c>
      <c r="AD67" s="37"/>
    </row>
    <row r="68" spans="1:30">
      <c r="A68" s="74"/>
      <c r="D68" s="33"/>
      <c r="AD68" s="36"/>
    </row>
    <row r="69" spans="1:30">
      <c r="A69" s="74"/>
      <c r="D69" s="33"/>
    </row>
  </sheetData>
  <phoneticPr fontId="139" type="noConversion"/>
  <pageMargins left="0.25" right="0.25" top="0.75" bottom="0.75" header="0.3" footer="0.3"/>
  <pageSetup paperSize="5" scale="50" orientation="landscape" r:id="rId1"/>
  <headerFooter>
    <oddFooter>&amp;R&amp;F
&amp;A</oddFooter>
  </headerFooter>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67"/>
  <sheetViews>
    <sheetView zoomScale="80" zoomScaleNormal="80" workbookViewId="0">
      <pane xSplit="2" ySplit="6" topLeftCell="C43" activePane="bottomRight" state="frozen"/>
      <selection activeCell="A2" sqref="A2"/>
      <selection pane="topRight" activeCell="A2" sqref="A2"/>
      <selection pane="bottomLeft" activeCell="A2" sqref="A2"/>
      <selection pane="bottomRight" activeCell="A2" sqref="A2"/>
    </sheetView>
  </sheetViews>
  <sheetFormatPr defaultColWidth="8.88671875" defaultRowHeight="14.4"/>
  <cols>
    <col min="1" max="1" width="12.88671875" style="30" customWidth="1"/>
    <col min="2" max="2" width="12.88671875" style="347" customWidth="1"/>
    <col min="3" max="3" width="40.33203125" style="30" customWidth="1"/>
    <col min="4" max="7" width="15.6640625" style="30" customWidth="1"/>
    <col min="8" max="10" width="15.44140625" style="30" customWidth="1"/>
    <col min="11" max="11" width="16.44140625" style="30" customWidth="1"/>
    <col min="12" max="14" width="17" style="30" customWidth="1"/>
    <col min="15" max="15" width="18.109375" style="30" customWidth="1"/>
    <col min="16" max="16" width="14.44140625" style="30" customWidth="1"/>
    <col min="17" max="19" width="14.6640625" style="30" customWidth="1"/>
    <col min="20" max="16384" width="8.88671875" style="30"/>
  </cols>
  <sheetData>
    <row r="1" spans="1:19" ht="24.75" customHeight="1">
      <c r="A1" s="787" t="s">
        <v>320</v>
      </c>
      <c r="E1" s="345" t="s">
        <v>1634</v>
      </c>
      <c r="G1" s="355"/>
    </row>
    <row r="2" spans="1:19" ht="24.75" customHeight="1">
      <c r="A2" s="793" t="s">
        <v>1807</v>
      </c>
      <c r="B2" s="785"/>
      <c r="C2" s="924"/>
      <c r="G2" s="355"/>
    </row>
    <row r="3" spans="1:19" ht="19.5" customHeight="1">
      <c r="A3" s="788" t="str">
        <f>+'Data Entry'!I10</f>
        <v>2022-23</v>
      </c>
      <c r="C3" s="794" t="s">
        <v>1458</v>
      </c>
      <c r="D3" s="786" t="s">
        <v>1451</v>
      </c>
      <c r="E3" s="786" t="s">
        <v>1452</v>
      </c>
      <c r="F3" s="786" t="s">
        <v>1453</v>
      </c>
      <c r="G3" s="786" t="s">
        <v>1454</v>
      </c>
      <c r="H3" s="786" t="s">
        <v>1455</v>
      </c>
      <c r="I3" s="786" t="s">
        <v>1456</v>
      </c>
      <c r="J3" s="786" t="s">
        <v>1457</v>
      </c>
      <c r="K3" s="786" t="s">
        <v>1450</v>
      </c>
      <c r="L3" s="786" t="s">
        <v>1449</v>
      </c>
      <c r="M3" s="786" t="s">
        <v>1442</v>
      </c>
      <c r="N3" s="786" t="s">
        <v>1443</v>
      </c>
      <c r="O3" s="786" t="s">
        <v>1444</v>
      </c>
      <c r="P3" s="786" t="s">
        <v>1445</v>
      </c>
      <c r="Q3" s="786" t="s">
        <v>1446</v>
      </c>
      <c r="R3" s="786" t="s">
        <v>1447</v>
      </c>
      <c r="S3" s="786" t="s">
        <v>1448</v>
      </c>
    </row>
    <row r="4" spans="1:19" s="313" customFormat="1" ht="123.75" customHeight="1">
      <c r="A4" s="342" t="s">
        <v>16</v>
      </c>
      <c r="B4" s="348" t="s">
        <v>8</v>
      </c>
      <c r="C4" s="342" t="s">
        <v>20</v>
      </c>
      <c r="D4" s="342" t="s">
        <v>482</v>
      </c>
      <c r="E4" s="342" t="s">
        <v>483</v>
      </c>
      <c r="F4" s="342" t="s">
        <v>484</v>
      </c>
      <c r="G4" s="342" t="s">
        <v>485</v>
      </c>
      <c r="H4" s="342" t="s">
        <v>486</v>
      </c>
      <c r="I4" s="342" t="s">
        <v>487</v>
      </c>
      <c r="J4" s="342" t="s">
        <v>488</v>
      </c>
      <c r="K4" s="342" t="s">
        <v>489</v>
      </c>
      <c r="L4" s="342" t="s">
        <v>490</v>
      </c>
      <c r="M4" s="342" t="s">
        <v>495</v>
      </c>
      <c r="N4" s="342" t="s">
        <v>496</v>
      </c>
      <c r="O4" s="342" t="s">
        <v>497</v>
      </c>
      <c r="P4" s="342" t="s">
        <v>498</v>
      </c>
      <c r="Q4" s="342" t="s">
        <v>502</v>
      </c>
      <c r="R4" s="342" t="s">
        <v>503</v>
      </c>
      <c r="S4" s="342" t="s">
        <v>491</v>
      </c>
    </row>
    <row r="5" spans="1:19" s="313" customFormat="1" ht="30" customHeight="1">
      <c r="A5" s="342"/>
      <c r="B5" s="348"/>
      <c r="C5" s="342"/>
      <c r="D5" s="343" t="s">
        <v>11</v>
      </c>
      <c r="E5" s="343" t="s">
        <v>13</v>
      </c>
      <c r="F5" s="343" t="s">
        <v>9</v>
      </c>
      <c r="G5" s="343" t="s">
        <v>93</v>
      </c>
      <c r="H5" s="343" t="s">
        <v>92</v>
      </c>
      <c r="I5" s="343" t="s">
        <v>91</v>
      </c>
      <c r="J5" s="343" t="s">
        <v>90</v>
      </c>
      <c r="K5" s="343" t="s">
        <v>89</v>
      </c>
      <c r="L5" s="343" t="s">
        <v>88</v>
      </c>
      <c r="M5" s="343" t="s">
        <v>87</v>
      </c>
      <c r="N5" s="343" t="s">
        <v>499</v>
      </c>
      <c r="O5" s="343" t="s">
        <v>500</v>
      </c>
      <c r="P5" s="343" t="s">
        <v>501</v>
      </c>
      <c r="Q5" s="343" t="s">
        <v>99</v>
      </c>
      <c r="R5" s="343" t="s">
        <v>97</v>
      </c>
      <c r="S5" s="343" t="s">
        <v>50</v>
      </c>
    </row>
    <row r="6" spans="1:19">
      <c r="A6" s="490">
        <v>1</v>
      </c>
      <c r="B6" s="490">
        <v>10017</v>
      </c>
      <c r="C6" s="925" t="s">
        <v>49</v>
      </c>
      <c r="D6" s="926">
        <v>0</v>
      </c>
      <c r="E6" s="926">
        <v>177165.8</v>
      </c>
      <c r="F6" s="926">
        <v>0</v>
      </c>
      <c r="G6" s="926">
        <v>0</v>
      </c>
      <c r="H6" s="926">
        <v>0</v>
      </c>
      <c r="I6" s="926">
        <v>19337.98</v>
      </c>
      <c r="J6" s="926">
        <v>0</v>
      </c>
      <c r="K6" s="926">
        <v>186.79</v>
      </c>
      <c r="L6" s="926">
        <v>6.63</v>
      </c>
      <c r="M6" s="927">
        <v>100.92</v>
      </c>
      <c r="N6" s="927">
        <v>88.64</v>
      </c>
      <c r="O6" s="927">
        <v>76.349999999999994</v>
      </c>
      <c r="P6" s="927">
        <v>64.06</v>
      </c>
      <c r="Q6" s="928">
        <v>805906</v>
      </c>
      <c r="R6" s="928">
        <v>320797</v>
      </c>
      <c r="S6" s="346">
        <v>18</v>
      </c>
    </row>
    <row r="7" spans="1:19">
      <c r="A7" s="490">
        <v>2</v>
      </c>
      <c r="B7" s="490">
        <v>10025</v>
      </c>
      <c r="C7" s="925" t="s">
        <v>51</v>
      </c>
      <c r="D7" s="926">
        <v>22.68</v>
      </c>
      <c r="E7" s="926">
        <v>58.58</v>
      </c>
      <c r="F7" s="926">
        <v>0</v>
      </c>
      <c r="G7" s="926">
        <v>0</v>
      </c>
      <c r="H7" s="926">
        <v>0</v>
      </c>
      <c r="I7" s="926">
        <v>0</v>
      </c>
      <c r="J7" s="926">
        <v>0</v>
      </c>
      <c r="K7" s="926">
        <v>0</v>
      </c>
      <c r="L7" s="926">
        <v>0</v>
      </c>
      <c r="M7" s="926">
        <v>100.92</v>
      </c>
      <c r="N7" s="926">
        <v>88.64</v>
      </c>
      <c r="O7" s="926">
        <v>76.349999999999994</v>
      </c>
      <c r="P7" s="926">
        <v>64.06</v>
      </c>
      <c r="Q7" s="346">
        <v>805906</v>
      </c>
      <c r="R7" s="346">
        <v>320797</v>
      </c>
      <c r="S7" s="346">
        <v>1</v>
      </c>
    </row>
    <row r="8" spans="1:19">
      <c r="A8" s="490">
        <v>3</v>
      </c>
      <c r="B8" s="490">
        <v>10033</v>
      </c>
      <c r="C8" s="925" t="s">
        <v>52</v>
      </c>
      <c r="D8" s="926">
        <v>79.180000000000007</v>
      </c>
      <c r="E8" s="926">
        <v>3790.91</v>
      </c>
      <c r="F8" s="926">
        <v>0</v>
      </c>
      <c r="G8" s="926">
        <v>0</v>
      </c>
      <c r="H8" s="926">
        <v>0</v>
      </c>
      <c r="I8" s="926">
        <v>0</v>
      </c>
      <c r="J8" s="926">
        <v>0</v>
      </c>
      <c r="K8" s="926">
        <v>0</v>
      </c>
      <c r="L8" s="926">
        <v>0</v>
      </c>
      <c r="M8" s="926">
        <v>100.92</v>
      </c>
      <c r="N8" s="926">
        <v>88.64</v>
      </c>
      <c r="O8" s="926">
        <v>76.349999999999994</v>
      </c>
      <c r="P8" s="926">
        <v>64.06</v>
      </c>
      <c r="Q8" s="346">
        <v>805906</v>
      </c>
      <c r="R8" s="346">
        <v>320797</v>
      </c>
      <c r="S8" s="346">
        <v>1</v>
      </c>
    </row>
    <row r="9" spans="1:19">
      <c r="A9" s="490">
        <v>4</v>
      </c>
      <c r="B9" s="490">
        <v>10041</v>
      </c>
      <c r="C9" s="925" t="s">
        <v>53</v>
      </c>
      <c r="D9" s="926">
        <v>85.78</v>
      </c>
      <c r="E9" s="926">
        <v>23035.08</v>
      </c>
      <c r="F9" s="926">
        <v>0</v>
      </c>
      <c r="G9" s="926">
        <v>0</v>
      </c>
      <c r="H9" s="926">
        <v>0</v>
      </c>
      <c r="I9" s="926">
        <v>3750.52</v>
      </c>
      <c r="J9" s="926">
        <v>0</v>
      </c>
      <c r="K9" s="926">
        <v>151.87</v>
      </c>
      <c r="L9" s="926">
        <v>0</v>
      </c>
      <c r="M9" s="926">
        <v>100.92</v>
      </c>
      <c r="N9" s="926">
        <v>88.64</v>
      </c>
      <c r="O9" s="926">
        <v>76.349999999999994</v>
      </c>
      <c r="P9" s="926">
        <v>64.06</v>
      </c>
      <c r="Q9" s="346">
        <v>805906</v>
      </c>
      <c r="R9" s="346">
        <v>320797</v>
      </c>
      <c r="S9" s="346">
        <v>13</v>
      </c>
    </row>
    <row r="10" spans="1:19">
      <c r="A10" s="490">
        <v>5</v>
      </c>
      <c r="B10" s="490">
        <v>10058</v>
      </c>
      <c r="C10" s="925" t="s">
        <v>54</v>
      </c>
      <c r="D10" s="926">
        <v>28.2</v>
      </c>
      <c r="E10" s="926">
        <v>4404.7700000000004</v>
      </c>
      <c r="F10" s="926">
        <v>0</v>
      </c>
      <c r="G10" s="926">
        <v>0</v>
      </c>
      <c r="H10" s="926">
        <v>0</v>
      </c>
      <c r="I10" s="926">
        <v>385.39</v>
      </c>
      <c r="J10" s="926">
        <v>0</v>
      </c>
      <c r="K10" s="926">
        <v>0</v>
      </c>
      <c r="L10" s="926">
        <v>0</v>
      </c>
      <c r="M10" s="926">
        <v>100.92</v>
      </c>
      <c r="N10" s="926">
        <v>88.64</v>
      </c>
      <c r="O10" s="926">
        <v>76.349999999999994</v>
      </c>
      <c r="P10" s="926">
        <v>64.06</v>
      </c>
      <c r="Q10" s="346">
        <v>805906</v>
      </c>
      <c r="R10" s="346">
        <v>320797</v>
      </c>
      <c r="S10" s="346">
        <v>4</v>
      </c>
    </row>
    <row r="11" spans="1:19">
      <c r="A11" s="490">
        <v>6</v>
      </c>
      <c r="B11" s="490">
        <v>10066</v>
      </c>
      <c r="C11" s="925" t="s">
        <v>55</v>
      </c>
      <c r="D11" s="926">
        <v>17.11</v>
      </c>
      <c r="E11" s="926">
        <v>4366.55</v>
      </c>
      <c r="F11" s="926">
        <v>0</v>
      </c>
      <c r="G11" s="926">
        <v>0</v>
      </c>
      <c r="H11" s="926">
        <v>0</v>
      </c>
      <c r="I11" s="926">
        <v>0</v>
      </c>
      <c r="J11" s="926">
        <v>0</v>
      </c>
      <c r="K11" s="926">
        <v>0</v>
      </c>
      <c r="L11" s="926">
        <v>0</v>
      </c>
      <c r="M11" s="926">
        <v>100.92</v>
      </c>
      <c r="N11" s="926">
        <v>88.64</v>
      </c>
      <c r="O11" s="926">
        <v>76.349999999999994</v>
      </c>
      <c r="P11" s="926">
        <v>64.06</v>
      </c>
      <c r="Q11" s="346">
        <v>805906</v>
      </c>
      <c r="R11" s="346">
        <v>320797</v>
      </c>
      <c r="S11" s="346">
        <v>4</v>
      </c>
    </row>
    <row r="12" spans="1:19">
      <c r="A12" s="490">
        <v>7</v>
      </c>
      <c r="B12" s="490">
        <v>10074</v>
      </c>
      <c r="C12" s="925" t="s">
        <v>109</v>
      </c>
      <c r="D12" s="926">
        <v>158.94999999999999</v>
      </c>
      <c r="E12" s="926">
        <v>144270.43</v>
      </c>
      <c r="F12" s="926">
        <v>0</v>
      </c>
      <c r="G12" s="926">
        <v>0</v>
      </c>
      <c r="H12" s="926">
        <v>0</v>
      </c>
      <c r="I12" s="926">
        <v>11833.02</v>
      </c>
      <c r="J12" s="926">
        <v>0</v>
      </c>
      <c r="K12" s="926">
        <v>56.09</v>
      </c>
      <c r="L12" s="926">
        <v>23.58</v>
      </c>
      <c r="M12" s="926">
        <v>100.92</v>
      </c>
      <c r="N12" s="926">
        <v>88.64</v>
      </c>
      <c r="O12" s="926">
        <v>76.349999999999994</v>
      </c>
      <c r="P12" s="926">
        <v>64.06</v>
      </c>
      <c r="Q12" s="346">
        <v>805906</v>
      </c>
      <c r="R12" s="346">
        <v>320797</v>
      </c>
      <c r="S12" s="346">
        <v>18</v>
      </c>
    </row>
    <row r="13" spans="1:19">
      <c r="A13" s="490">
        <v>8</v>
      </c>
      <c r="B13" s="490">
        <v>10082</v>
      </c>
      <c r="C13" s="925" t="s">
        <v>56</v>
      </c>
      <c r="D13" s="926">
        <v>15.53</v>
      </c>
      <c r="E13" s="926">
        <v>3226.16</v>
      </c>
      <c r="F13" s="926">
        <v>0</v>
      </c>
      <c r="G13" s="926">
        <v>0</v>
      </c>
      <c r="H13" s="926">
        <v>0</v>
      </c>
      <c r="I13" s="926">
        <v>605.33000000000004</v>
      </c>
      <c r="J13" s="926">
        <v>0</v>
      </c>
      <c r="K13" s="926">
        <v>0</v>
      </c>
      <c r="L13" s="926">
        <v>0</v>
      </c>
      <c r="M13" s="926">
        <v>100.92</v>
      </c>
      <c r="N13" s="926">
        <v>88.64</v>
      </c>
      <c r="O13" s="926">
        <v>76.349999999999994</v>
      </c>
      <c r="P13" s="926">
        <v>64.06</v>
      </c>
      <c r="Q13" s="346">
        <v>805906</v>
      </c>
      <c r="R13" s="346">
        <v>320797</v>
      </c>
      <c r="S13" s="346">
        <v>1</v>
      </c>
    </row>
    <row r="14" spans="1:19">
      <c r="A14" s="490">
        <v>9</v>
      </c>
      <c r="B14" s="490">
        <v>10090</v>
      </c>
      <c r="C14" s="925" t="s">
        <v>37</v>
      </c>
      <c r="D14" s="926">
        <v>169.68</v>
      </c>
      <c r="E14" s="926">
        <v>20991.42</v>
      </c>
      <c r="F14" s="926">
        <v>0</v>
      </c>
      <c r="G14" s="926">
        <v>0</v>
      </c>
      <c r="H14" s="926">
        <v>0</v>
      </c>
      <c r="I14" s="926">
        <v>7584.75</v>
      </c>
      <c r="J14" s="926">
        <v>0</v>
      </c>
      <c r="K14" s="926">
        <v>332</v>
      </c>
      <c r="L14" s="926">
        <v>373.67</v>
      </c>
      <c r="M14" s="926">
        <v>100.92</v>
      </c>
      <c r="N14" s="926">
        <v>88.64</v>
      </c>
      <c r="O14" s="926">
        <v>76.349999999999994</v>
      </c>
      <c r="P14" s="926">
        <v>64.06</v>
      </c>
      <c r="Q14" s="346">
        <v>805906</v>
      </c>
      <c r="R14" s="346">
        <v>320797</v>
      </c>
      <c r="S14" s="346">
        <v>15</v>
      </c>
    </row>
    <row r="15" spans="1:19">
      <c r="A15" s="490">
        <v>10</v>
      </c>
      <c r="B15" s="490">
        <v>10108</v>
      </c>
      <c r="C15" s="925" t="s">
        <v>48</v>
      </c>
      <c r="D15" s="926">
        <v>514.95000000000005</v>
      </c>
      <c r="E15" s="926">
        <v>174506.17</v>
      </c>
      <c r="F15" s="926">
        <v>0</v>
      </c>
      <c r="G15" s="926">
        <v>24.36</v>
      </c>
      <c r="H15" s="926">
        <v>0</v>
      </c>
      <c r="I15" s="926">
        <v>14015.54</v>
      </c>
      <c r="J15" s="926">
        <v>2285.5100000000002</v>
      </c>
      <c r="K15" s="926">
        <v>0</v>
      </c>
      <c r="L15" s="926">
        <v>0</v>
      </c>
      <c r="M15" s="926">
        <v>100.92</v>
      </c>
      <c r="N15" s="926">
        <v>88.64</v>
      </c>
      <c r="O15" s="926">
        <v>76.349999999999994</v>
      </c>
      <c r="P15" s="926">
        <v>64.06</v>
      </c>
      <c r="Q15" s="346">
        <v>805906</v>
      </c>
      <c r="R15" s="346">
        <v>320797</v>
      </c>
      <c r="S15" s="346">
        <v>32</v>
      </c>
    </row>
    <row r="16" spans="1:19">
      <c r="A16" s="490">
        <v>11</v>
      </c>
      <c r="B16" s="490">
        <v>10116</v>
      </c>
      <c r="C16" s="925" t="s">
        <v>47</v>
      </c>
      <c r="D16" s="926">
        <v>65.05</v>
      </c>
      <c r="E16" s="926">
        <v>4833.38</v>
      </c>
      <c r="F16" s="926">
        <v>0</v>
      </c>
      <c r="G16" s="926">
        <v>0</v>
      </c>
      <c r="H16" s="926">
        <v>0</v>
      </c>
      <c r="I16" s="926">
        <v>947.74</v>
      </c>
      <c r="J16" s="926">
        <v>0</v>
      </c>
      <c r="K16" s="926">
        <v>160.61000000000001</v>
      </c>
      <c r="L16" s="926">
        <v>0</v>
      </c>
      <c r="M16" s="926">
        <v>100.92</v>
      </c>
      <c r="N16" s="926">
        <v>88.64</v>
      </c>
      <c r="O16" s="926">
        <v>76.349999999999994</v>
      </c>
      <c r="P16" s="926">
        <v>64.06</v>
      </c>
      <c r="Q16" s="346">
        <v>805906</v>
      </c>
      <c r="R16" s="346">
        <v>320797</v>
      </c>
      <c r="S16" s="346">
        <v>8</v>
      </c>
    </row>
    <row r="17" spans="1:19">
      <c r="A17" s="490">
        <v>12</v>
      </c>
      <c r="B17" s="490">
        <v>10124</v>
      </c>
      <c r="C17" s="925" t="s">
        <v>57</v>
      </c>
      <c r="D17" s="926">
        <v>149.9</v>
      </c>
      <c r="E17" s="926">
        <v>13365.33</v>
      </c>
      <c r="F17" s="926">
        <v>0</v>
      </c>
      <c r="G17" s="926">
        <v>0</v>
      </c>
      <c r="H17" s="926">
        <v>0</v>
      </c>
      <c r="I17" s="926">
        <v>2290.08</v>
      </c>
      <c r="J17" s="926">
        <v>0</v>
      </c>
      <c r="K17" s="926">
        <v>0</v>
      </c>
      <c r="L17" s="926">
        <v>0</v>
      </c>
      <c r="M17" s="926">
        <v>100.92</v>
      </c>
      <c r="N17" s="926">
        <v>88.64</v>
      </c>
      <c r="O17" s="926">
        <v>76.349999999999994</v>
      </c>
      <c r="P17" s="926">
        <v>64.06</v>
      </c>
      <c r="Q17" s="346">
        <v>805906</v>
      </c>
      <c r="R17" s="346">
        <v>320797</v>
      </c>
      <c r="S17" s="346">
        <v>31</v>
      </c>
    </row>
    <row r="18" spans="1:19">
      <c r="A18" s="490">
        <v>13</v>
      </c>
      <c r="B18" s="490">
        <v>10132</v>
      </c>
      <c r="C18" s="925" t="s">
        <v>58</v>
      </c>
      <c r="D18" s="926">
        <v>438.54</v>
      </c>
      <c r="E18" s="926">
        <v>32097.51</v>
      </c>
      <c r="F18" s="926">
        <v>0</v>
      </c>
      <c r="G18" s="926">
        <v>0</v>
      </c>
      <c r="H18" s="926">
        <v>0</v>
      </c>
      <c r="I18" s="926">
        <v>354.46</v>
      </c>
      <c r="J18" s="926">
        <v>0</v>
      </c>
      <c r="K18" s="926">
        <v>204.16</v>
      </c>
      <c r="L18" s="926">
        <v>0</v>
      </c>
      <c r="M18" s="926">
        <v>100.92</v>
      </c>
      <c r="N18" s="926">
        <v>88.64</v>
      </c>
      <c r="O18" s="926">
        <v>76.349999999999994</v>
      </c>
      <c r="P18" s="926">
        <v>64.06</v>
      </c>
      <c r="Q18" s="346">
        <v>805906</v>
      </c>
      <c r="R18" s="346">
        <v>320797</v>
      </c>
      <c r="S18" s="346">
        <v>16</v>
      </c>
    </row>
    <row r="19" spans="1:19">
      <c r="A19" s="490">
        <v>14</v>
      </c>
      <c r="B19" s="490">
        <v>10140</v>
      </c>
      <c r="C19" s="925" t="s">
        <v>36</v>
      </c>
      <c r="D19" s="926">
        <v>0.24</v>
      </c>
      <c r="E19" s="926">
        <v>2341.77</v>
      </c>
      <c r="F19" s="926">
        <v>0</v>
      </c>
      <c r="G19" s="926">
        <v>20.57</v>
      </c>
      <c r="H19" s="926">
        <v>0</v>
      </c>
      <c r="I19" s="926">
        <v>770.93</v>
      </c>
      <c r="J19" s="926">
        <v>0</v>
      </c>
      <c r="K19" s="926">
        <v>0</v>
      </c>
      <c r="L19" s="926">
        <v>0</v>
      </c>
      <c r="M19" s="926">
        <v>100.92</v>
      </c>
      <c r="N19" s="926">
        <v>88.64</v>
      </c>
      <c r="O19" s="926">
        <v>76.349999999999994</v>
      </c>
      <c r="P19" s="926">
        <v>64.06</v>
      </c>
      <c r="Q19" s="346">
        <v>805906</v>
      </c>
      <c r="R19" s="346">
        <v>320797</v>
      </c>
      <c r="S19" s="346">
        <v>6</v>
      </c>
    </row>
    <row r="20" spans="1:19">
      <c r="A20" s="490">
        <v>15</v>
      </c>
      <c r="B20" s="490">
        <v>10157</v>
      </c>
      <c r="C20" s="925" t="s">
        <v>46</v>
      </c>
      <c r="D20" s="926">
        <v>420.78</v>
      </c>
      <c r="E20" s="926">
        <v>160639.9</v>
      </c>
      <c r="F20" s="926">
        <v>0</v>
      </c>
      <c r="G20" s="926">
        <v>60.91</v>
      </c>
      <c r="H20" s="926">
        <v>0</v>
      </c>
      <c r="I20" s="926">
        <v>18799.34</v>
      </c>
      <c r="J20" s="926">
        <v>0</v>
      </c>
      <c r="K20" s="926">
        <v>1309.3800000000001</v>
      </c>
      <c r="L20" s="926">
        <v>0</v>
      </c>
      <c r="M20" s="926">
        <v>100.92</v>
      </c>
      <c r="N20" s="926">
        <v>88.64</v>
      </c>
      <c r="O20" s="926">
        <v>76.349999999999994</v>
      </c>
      <c r="P20" s="926">
        <v>64.06</v>
      </c>
      <c r="Q20" s="346">
        <v>805906</v>
      </c>
      <c r="R20" s="346">
        <v>320797</v>
      </c>
      <c r="S20" s="346">
        <v>46</v>
      </c>
    </row>
    <row r="21" spans="1:19">
      <c r="A21" s="490">
        <v>16</v>
      </c>
      <c r="B21" s="490">
        <v>10165</v>
      </c>
      <c r="C21" s="925" t="s">
        <v>59</v>
      </c>
      <c r="D21" s="926">
        <v>276.02999999999997</v>
      </c>
      <c r="E21" s="926">
        <v>22360.91</v>
      </c>
      <c r="F21" s="926">
        <v>0</v>
      </c>
      <c r="G21" s="926">
        <v>0</v>
      </c>
      <c r="H21" s="926">
        <v>0</v>
      </c>
      <c r="I21" s="926">
        <v>2385.46</v>
      </c>
      <c r="J21" s="926">
        <v>2642.17</v>
      </c>
      <c r="K21" s="926">
        <v>0</v>
      </c>
      <c r="L21" s="926">
        <v>0</v>
      </c>
      <c r="M21" s="926">
        <v>100.92</v>
      </c>
      <c r="N21" s="926">
        <v>88.64</v>
      </c>
      <c r="O21" s="926">
        <v>76.349999999999994</v>
      </c>
      <c r="P21" s="926">
        <v>64.06</v>
      </c>
      <c r="Q21" s="346">
        <v>805906</v>
      </c>
      <c r="R21" s="346">
        <v>320797</v>
      </c>
      <c r="S21" s="346">
        <v>13</v>
      </c>
    </row>
    <row r="22" spans="1:19">
      <c r="A22" s="490">
        <v>17</v>
      </c>
      <c r="B22" s="490">
        <v>10173</v>
      </c>
      <c r="C22" s="925" t="s">
        <v>60</v>
      </c>
      <c r="D22" s="926">
        <v>18.39</v>
      </c>
      <c r="E22" s="926">
        <v>8609.01</v>
      </c>
      <c r="F22" s="926">
        <v>0</v>
      </c>
      <c r="G22" s="926">
        <v>0</v>
      </c>
      <c r="H22" s="926">
        <v>0</v>
      </c>
      <c r="I22" s="926">
        <v>213.97</v>
      </c>
      <c r="J22" s="926">
        <v>0</v>
      </c>
      <c r="K22" s="926">
        <v>0</v>
      </c>
      <c r="L22" s="926">
        <v>0</v>
      </c>
      <c r="M22" s="926">
        <v>100.92</v>
      </c>
      <c r="N22" s="926">
        <v>88.64</v>
      </c>
      <c r="O22" s="926">
        <v>76.349999999999994</v>
      </c>
      <c r="P22" s="926">
        <v>64.06</v>
      </c>
      <c r="Q22" s="346">
        <v>805906</v>
      </c>
      <c r="R22" s="346">
        <v>320797</v>
      </c>
      <c r="S22" s="346">
        <v>6</v>
      </c>
    </row>
    <row r="23" spans="1:19">
      <c r="A23" s="490">
        <v>18</v>
      </c>
      <c r="B23" s="490">
        <v>10181</v>
      </c>
      <c r="C23" s="925" t="s">
        <v>61</v>
      </c>
      <c r="D23" s="926">
        <v>10.27</v>
      </c>
      <c r="E23" s="926">
        <v>2989.55</v>
      </c>
      <c r="F23" s="926">
        <v>0</v>
      </c>
      <c r="G23" s="926">
        <v>0</v>
      </c>
      <c r="H23" s="926">
        <v>0</v>
      </c>
      <c r="I23" s="926">
        <v>495.54</v>
      </c>
      <c r="J23" s="926">
        <v>0</v>
      </c>
      <c r="K23" s="926">
        <v>0</v>
      </c>
      <c r="L23" s="926">
        <v>0</v>
      </c>
      <c r="M23" s="926">
        <v>100.92</v>
      </c>
      <c r="N23" s="926">
        <v>88.64</v>
      </c>
      <c r="O23" s="926">
        <v>76.349999999999994</v>
      </c>
      <c r="P23" s="926">
        <v>64.06</v>
      </c>
      <c r="Q23" s="346">
        <v>805906</v>
      </c>
      <c r="R23" s="346">
        <v>320797</v>
      </c>
      <c r="S23" s="346">
        <v>10</v>
      </c>
    </row>
    <row r="24" spans="1:19">
      <c r="A24" s="490">
        <v>19</v>
      </c>
      <c r="B24" s="490">
        <v>10199</v>
      </c>
      <c r="C24" s="925" t="s">
        <v>45</v>
      </c>
      <c r="D24" s="926">
        <v>1104.6199999999999</v>
      </c>
      <c r="E24" s="926">
        <v>1012880.11</v>
      </c>
      <c r="F24" s="926">
        <v>0</v>
      </c>
      <c r="G24" s="926">
        <v>0</v>
      </c>
      <c r="H24" s="926">
        <v>0</v>
      </c>
      <c r="I24" s="926">
        <v>196015.69</v>
      </c>
      <c r="J24" s="926">
        <v>0</v>
      </c>
      <c r="K24" s="926">
        <v>0</v>
      </c>
      <c r="L24" s="926">
        <v>0</v>
      </c>
      <c r="M24" s="926">
        <v>100.92</v>
      </c>
      <c r="N24" s="926">
        <v>88.64</v>
      </c>
      <c r="O24" s="926">
        <v>76.349999999999994</v>
      </c>
      <c r="P24" s="926">
        <v>64.06</v>
      </c>
      <c r="Q24" s="346">
        <v>805906</v>
      </c>
      <c r="R24" s="346">
        <v>320797</v>
      </c>
      <c r="S24" s="346">
        <v>79</v>
      </c>
    </row>
    <row r="25" spans="1:19">
      <c r="A25" s="490">
        <v>20</v>
      </c>
      <c r="B25" s="490">
        <v>10207</v>
      </c>
      <c r="C25" s="925" t="s">
        <v>124</v>
      </c>
      <c r="D25" s="926">
        <v>300.3</v>
      </c>
      <c r="E25" s="926">
        <v>27388.86</v>
      </c>
      <c r="F25" s="926">
        <v>0</v>
      </c>
      <c r="G25" s="926">
        <v>0</v>
      </c>
      <c r="H25" s="926">
        <v>0</v>
      </c>
      <c r="I25" s="926">
        <v>1702.91</v>
      </c>
      <c r="J25" s="926">
        <v>0</v>
      </c>
      <c r="K25" s="926">
        <v>271.52999999999997</v>
      </c>
      <c r="L25" s="926">
        <v>15.14</v>
      </c>
      <c r="M25" s="926">
        <v>100.92</v>
      </c>
      <c r="N25" s="926">
        <v>88.64</v>
      </c>
      <c r="O25" s="926">
        <v>76.349999999999994</v>
      </c>
      <c r="P25" s="926">
        <v>64.06</v>
      </c>
      <c r="Q25" s="346">
        <v>805906</v>
      </c>
      <c r="R25" s="346">
        <v>320797</v>
      </c>
      <c r="S25" s="346">
        <v>9</v>
      </c>
    </row>
    <row r="26" spans="1:19">
      <c r="A26" s="490">
        <v>21</v>
      </c>
      <c r="B26" s="490">
        <v>10215</v>
      </c>
      <c r="C26" s="925" t="s">
        <v>62</v>
      </c>
      <c r="D26" s="926">
        <v>166.68</v>
      </c>
      <c r="E26" s="926">
        <v>27726.45</v>
      </c>
      <c r="F26" s="926">
        <v>0</v>
      </c>
      <c r="G26" s="926">
        <v>117.11</v>
      </c>
      <c r="H26" s="926">
        <v>0</v>
      </c>
      <c r="I26" s="926">
        <v>444.92</v>
      </c>
      <c r="J26" s="926">
        <v>0</v>
      </c>
      <c r="K26" s="926">
        <v>5.58</v>
      </c>
      <c r="L26" s="926">
        <v>11.91</v>
      </c>
      <c r="M26" s="926">
        <v>100.92</v>
      </c>
      <c r="N26" s="926">
        <v>88.64</v>
      </c>
      <c r="O26" s="926">
        <v>76.349999999999994</v>
      </c>
      <c r="P26" s="926">
        <v>64.06</v>
      </c>
      <c r="Q26" s="346">
        <v>805906</v>
      </c>
      <c r="R26" s="346">
        <v>320797</v>
      </c>
      <c r="S26" s="346">
        <v>17</v>
      </c>
    </row>
    <row r="27" spans="1:19">
      <c r="A27" s="490">
        <v>22</v>
      </c>
      <c r="B27" s="490">
        <v>10223</v>
      </c>
      <c r="C27" s="925" t="s">
        <v>63</v>
      </c>
      <c r="D27" s="926">
        <v>41.59</v>
      </c>
      <c r="E27" s="926">
        <v>1492.41</v>
      </c>
      <c r="F27" s="926">
        <v>0</v>
      </c>
      <c r="G27" s="926">
        <v>0</v>
      </c>
      <c r="H27" s="926">
        <v>0</v>
      </c>
      <c r="I27" s="926">
        <v>123.19</v>
      </c>
      <c r="J27" s="926">
        <v>0</v>
      </c>
      <c r="K27" s="926">
        <v>0</v>
      </c>
      <c r="L27" s="926">
        <v>0</v>
      </c>
      <c r="M27" s="926">
        <v>100.92</v>
      </c>
      <c r="N27" s="926">
        <v>88.64</v>
      </c>
      <c r="O27" s="926">
        <v>76.349999999999994</v>
      </c>
      <c r="P27" s="926">
        <v>64.06</v>
      </c>
      <c r="Q27" s="346">
        <v>805906</v>
      </c>
      <c r="R27" s="346">
        <v>320797</v>
      </c>
      <c r="S27" s="346">
        <v>1</v>
      </c>
    </row>
    <row r="28" spans="1:19">
      <c r="A28" s="490">
        <v>23</v>
      </c>
      <c r="B28" s="490">
        <v>10231</v>
      </c>
      <c r="C28" s="925" t="s">
        <v>64</v>
      </c>
      <c r="D28" s="926">
        <v>50.44</v>
      </c>
      <c r="E28" s="926">
        <v>10257.18</v>
      </c>
      <c r="F28" s="926">
        <v>0</v>
      </c>
      <c r="G28" s="926">
        <v>39.76</v>
      </c>
      <c r="H28" s="926">
        <v>0</v>
      </c>
      <c r="I28" s="926">
        <v>1131.42</v>
      </c>
      <c r="J28" s="926">
        <v>0</v>
      </c>
      <c r="K28" s="926">
        <v>0</v>
      </c>
      <c r="L28" s="926">
        <v>0</v>
      </c>
      <c r="M28" s="926">
        <v>100.92</v>
      </c>
      <c r="N28" s="926">
        <v>88.64</v>
      </c>
      <c r="O28" s="926">
        <v>76.349999999999994</v>
      </c>
      <c r="P28" s="926">
        <v>64.06</v>
      </c>
      <c r="Q28" s="346">
        <v>805906</v>
      </c>
      <c r="R28" s="346">
        <v>320797</v>
      </c>
      <c r="S28" s="346">
        <v>12</v>
      </c>
    </row>
    <row r="29" spans="1:19">
      <c r="A29" s="490">
        <v>24</v>
      </c>
      <c r="B29" s="490">
        <v>10249</v>
      </c>
      <c r="C29" s="925" t="s">
        <v>65</v>
      </c>
      <c r="D29" s="926">
        <v>965.1</v>
      </c>
      <c r="E29" s="926">
        <v>53237.18</v>
      </c>
      <c r="F29" s="926">
        <v>0</v>
      </c>
      <c r="G29" s="926">
        <v>0</v>
      </c>
      <c r="H29" s="926">
        <v>0</v>
      </c>
      <c r="I29" s="926">
        <v>621.13</v>
      </c>
      <c r="J29" s="926">
        <v>0</v>
      </c>
      <c r="K29" s="926">
        <v>0</v>
      </c>
      <c r="L29" s="926">
        <v>0</v>
      </c>
      <c r="M29" s="926">
        <v>100.92</v>
      </c>
      <c r="N29" s="926">
        <v>88.64</v>
      </c>
      <c r="O29" s="926">
        <v>76.349999999999994</v>
      </c>
      <c r="P29" s="926">
        <v>64.06</v>
      </c>
      <c r="Q29" s="346">
        <v>805906</v>
      </c>
      <c r="R29" s="346">
        <v>320797</v>
      </c>
      <c r="S29" s="346">
        <v>20</v>
      </c>
    </row>
    <row r="30" spans="1:19">
      <c r="A30" s="490">
        <v>25</v>
      </c>
      <c r="B30" s="490">
        <v>10256</v>
      </c>
      <c r="C30" s="925" t="s">
        <v>66</v>
      </c>
      <c r="D30" s="926">
        <v>12.44</v>
      </c>
      <c r="E30" s="926">
        <v>1213.6500000000001</v>
      </c>
      <c r="F30" s="926">
        <v>0</v>
      </c>
      <c r="G30" s="926">
        <v>0</v>
      </c>
      <c r="H30" s="926">
        <v>0</v>
      </c>
      <c r="I30" s="926">
        <v>0</v>
      </c>
      <c r="J30" s="926">
        <v>0</v>
      </c>
      <c r="K30" s="926">
        <v>0</v>
      </c>
      <c r="L30" s="926">
        <v>0</v>
      </c>
      <c r="M30" s="926">
        <v>100.92</v>
      </c>
      <c r="N30" s="926">
        <v>88.64</v>
      </c>
      <c r="O30" s="926">
        <v>76.349999999999994</v>
      </c>
      <c r="P30" s="926">
        <v>64.06</v>
      </c>
      <c r="Q30" s="346">
        <v>805906</v>
      </c>
      <c r="R30" s="346">
        <v>320797</v>
      </c>
      <c r="S30" s="346">
        <v>3</v>
      </c>
    </row>
    <row r="31" spans="1:19">
      <c r="A31" s="490">
        <v>26</v>
      </c>
      <c r="B31" s="490">
        <v>10264</v>
      </c>
      <c r="C31" s="925" t="s">
        <v>35</v>
      </c>
      <c r="D31" s="926">
        <v>14.76</v>
      </c>
      <c r="E31" s="926">
        <v>1388.49</v>
      </c>
      <c r="F31" s="926">
        <v>0</v>
      </c>
      <c r="G31" s="926">
        <v>0</v>
      </c>
      <c r="H31" s="926">
        <v>0</v>
      </c>
      <c r="I31" s="926">
        <v>150.26</v>
      </c>
      <c r="J31" s="926">
        <v>0</v>
      </c>
      <c r="K31" s="926">
        <v>0</v>
      </c>
      <c r="L31" s="926">
        <v>0</v>
      </c>
      <c r="M31" s="926">
        <v>100.92</v>
      </c>
      <c r="N31" s="926">
        <v>88.64</v>
      </c>
      <c r="O31" s="926">
        <v>76.349999999999994</v>
      </c>
      <c r="P31" s="926">
        <v>64.06</v>
      </c>
      <c r="Q31" s="346">
        <v>805906</v>
      </c>
      <c r="R31" s="346">
        <v>320797</v>
      </c>
      <c r="S31" s="346">
        <v>2</v>
      </c>
    </row>
    <row r="32" spans="1:19">
      <c r="A32" s="490">
        <v>27</v>
      </c>
      <c r="B32" s="490">
        <v>10272</v>
      </c>
      <c r="C32" s="925" t="s">
        <v>44</v>
      </c>
      <c r="D32" s="926">
        <v>262.94</v>
      </c>
      <c r="E32" s="926">
        <v>65684.460000000006</v>
      </c>
      <c r="F32" s="926">
        <v>0</v>
      </c>
      <c r="G32" s="926">
        <v>0</v>
      </c>
      <c r="H32" s="926">
        <v>0</v>
      </c>
      <c r="I32" s="926">
        <v>1957.29</v>
      </c>
      <c r="J32" s="926">
        <v>0</v>
      </c>
      <c r="K32" s="926">
        <v>0</v>
      </c>
      <c r="L32" s="926">
        <v>0</v>
      </c>
      <c r="M32" s="926">
        <v>100.92</v>
      </c>
      <c r="N32" s="926">
        <v>88.64</v>
      </c>
      <c r="O32" s="926">
        <v>76.349999999999994</v>
      </c>
      <c r="P32" s="926">
        <v>64.06</v>
      </c>
      <c r="Q32" s="346">
        <v>805906</v>
      </c>
      <c r="R32" s="346">
        <v>320797</v>
      </c>
      <c r="S32" s="346">
        <v>24</v>
      </c>
    </row>
    <row r="33" spans="1:19">
      <c r="A33" s="490">
        <v>28</v>
      </c>
      <c r="B33" s="490">
        <v>10280</v>
      </c>
      <c r="C33" s="925" t="s">
        <v>67</v>
      </c>
      <c r="D33" s="926">
        <v>0</v>
      </c>
      <c r="E33" s="926">
        <v>16802.18</v>
      </c>
      <c r="F33" s="926">
        <v>0</v>
      </c>
      <c r="G33" s="926">
        <v>69.599999999999994</v>
      </c>
      <c r="H33" s="926">
        <v>0</v>
      </c>
      <c r="I33" s="926">
        <v>242.79</v>
      </c>
      <c r="J33" s="926">
        <v>0</v>
      </c>
      <c r="K33" s="926">
        <v>0</v>
      </c>
      <c r="L33" s="926">
        <v>0</v>
      </c>
      <c r="M33" s="926">
        <v>100.92</v>
      </c>
      <c r="N33" s="926">
        <v>88.64</v>
      </c>
      <c r="O33" s="926">
        <v>76.349999999999994</v>
      </c>
      <c r="P33" s="926">
        <v>64.06</v>
      </c>
      <c r="Q33" s="346">
        <v>805906</v>
      </c>
      <c r="R33" s="346">
        <v>320797</v>
      </c>
      <c r="S33" s="346">
        <v>5</v>
      </c>
    </row>
    <row r="34" spans="1:19">
      <c r="A34" s="490">
        <v>29</v>
      </c>
      <c r="B34" s="490">
        <v>10298</v>
      </c>
      <c r="C34" s="925" t="s">
        <v>34</v>
      </c>
      <c r="D34" s="926">
        <v>48.25</v>
      </c>
      <c r="E34" s="926">
        <v>5805.38</v>
      </c>
      <c r="F34" s="926">
        <v>0</v>
      </c>
      <c r="G34" s="926">
        <v>38.92</v>
      </c>
      <c r="H34" s="926">
        <v>0</v>
      </c>
      <c r="I34" s="926">
        <v>3860.57</v>
      </c>
      <c r="J34" s="926">
        <v>0</v>
      </c>
      <c r="K34" s="926">
        <v>0</v>
      </c>
      <c r="L34" s="926">
        <v>0</v>
      </c>
      <c r="M34" s="926">
        <v>100.92</v>
      </c>
      <c r="N34" s="926">
        <v>88.64</v>
      </c>
      <c r="O34" s="926">
        <v>76.349999999999994</v>
      </c>
      <c r="P34" s="926">
        <v>64.06</v>
      </c>
      <c r="Q34" s="346">
        <v>805906</v>
      </c>
      <c r="R34" s="346">
        <v>320797</v>
      </c>
      <c r="S34" s="346">
        <v>9</v>
      </c>
    </row>
    <row r="35" spans="1:19">
      <c r="A35" s="490">
        <v>30</v>
      </c>
      <c r="B35" s="490">
        <v>10306</v>
      </c>
      <c r="C35" s="925" t="s">
        <v>68</v>
      </c>
      <c r="D35" s="926">
        <v>4835.97</v>
      </c>
      <c r="E35" s="926">
        <v>388264.26</v>
      </c>
      <c r="F35" s="926">
        <v>127.69</v>
      </c>
      <c r="G35" s="926">
        <v>0</v>
      </c>
      <c r="H35" s="926">
        <v>0</v>
      </c>
      <c r="I35" s="926">
        <v>21243.33</v>
      </c>
      <c r="J35" s="926">
        <v>0</v>
      </c>
      <c r="K35" s="926">
        <v>122.42</v>
      </c>
      <c r="L35" s="926">
        <v>0</v>
      </c>
      <c r="M35" s="926">
        <v>100.92</v>
      </c>
      <c r="N35" s="926">
        <v>88.64</v>
      </c>
      <c r="O35" s="926">
        <v>76.349999999999994</v>
      </c>
      <c r="P35" s="926">
        <v>64.06</v>
      </c>
      <c r="Q35" s="346">
        <v>805906</v>
      </c>
      <c r="R35" s="346">
        <v>320797</v>
      </c>
      <c r="S35" s="346">
        <v>28</v>
      </c>
    </row>
    <row r="36" spans="1:19">
      <c r="A36" s="490">
        <v>31</v>
      </c>
      <c r="B36" s="490">
        <v>10314</v>
      </c>
      <c r="C36" s="925" t="s">
        <v>33</v>
      </c>
      <c r="D36" s="926">
        <v>92.96</v>
      </c>
      <c r="E36" s="926">
        <v>59786.21</v>
      </c>
      <c r="F36" s="926">
        <v>0</v>
      </c>
      <c r="G36" s="926">
        <v>0</v>
      </c>
      <c r="H36" s="926">
        <v>0</v>
      </c>
      <c r="I36" s="926">
        <v>8531.7800000000007</v>
      </c>
      <c r="J36" s="926">
        <v>561</v>
      </c>
      <c r="K36" s="926">
        <v>254.89</v>
      </c>
      <c r="L36" s="926">
        <v>64.040000000000006</v>
      </c>
      <c r="M36" s="926">
        <v>100.92</v>
      </c>
      <c r="N36" s="926">
        <v>88.64</v>
      </c>
      <c r="O36" s="926">
        <v>76.349999999999994</v>
      </c>
      <c r="P36" s="926">
        <v>64.06</v>
      </c>
      <c r="Q36" s="346">
        <v>805906</v>
      </c>
      <c r="R36" s="346">
        <v>320797</v>
      </c>
      <c r="S36" s="346">
        <v>16</v>
      </c>
    </row>
    <row r="37" spans="1:19">
      <c r="A37" s="490">
        <v>32</v>
      </c>
      <c r="B37" s="490">
        <v>10322</v>
      </c>
      <c r="C37" s="925" t="s">
        <v>69</v>
      </c>
      <c r="D37" s="926">
        <v>7.6</v>
      </c>
      <c r="E37" s="926">
        <v>1544.09</v>
      </c>
      <c r="F37" s="926">
        <v>0</v>
      </c>
      <c r="G37" s="926">
        <v>0</v>
      </c>
      <c r="H37" s="926">
        <v>0</v>
      </c>
      <c r="I37" s="926">
        <v>330.53</v>
      </c>
      <c r="J37" s="926">
        <v>0</v>
      </c>
      <c r="K37" s="926">
        <v>0</v>
      </c>
      <c r="L37" s="926">
        <v>0</v>
      </c>
      <c r="M37" s="926">
        <v>100.92</v>
      </c>
      <c r="N37" s="926">
        <v>88.64</v>
      </c>
      <c r="O37" s="926">
        <v>76.349999999999994</v>
      </c>
      <c r="P37" s="926">
        <v>64.06</v>
      </c>
      <c r="Q37" s="346">
        <v>805906</v>
      </c>
      <c r="R37" s="346">
        <v>320797</v>
      </c>
      <c r="S37" s="346">
        <v>1</v>
      </c>
    </row>
    <row r="38" spans="1:19">
      <c r="A38" s="490">
        <v>33</v>
      </c>
      <c r="B38" s="490">
        <v>10330</v>
      </c>
      <c r="C38" s="925" t="s">
        <v>32</v>
      </c>
      <c r="D38" s="926">
        <v>582.73</v>
      </c>
      <c r="E38" s="926">
        <v>356311.2</v>
      </c>
      <c r="F38" s="926">
        <v>0</v>
      </c>
      <c r="G38" s="926">
        <v>0</v>
      </c>
      <c r="H38" s="926">
        <v>0</v>
      </c>
      <c r="I38" s="926">
        <v>28185.61</v>
      </c>
      <c r="J38" s="926">
        <v>0</v>
      </c>
      <c r="K38" s="926">
        <v>580.54</v>
      </c>
      <c r="L38" s="926">
        <v>28.54</v>
      </c>
      <c r="M38" s="926">
        <v>100.92</v>
      </c>
      <c r="N38" s="926">
        <v>88.64</v>
      </c>
      <c r="O38" s="926">
        <v>76.349999999999994</v>
      </c>
      <c r="P38" s="926">
        <v>64.06</v>
      </c>
      <c r="Q38" s="346">
        <v>805906</v>
      </c>
      <c r="R38" s="346">
        <v>320797</v>
      </c>
      <c r="S38" s="346">
        <v>23</v>
      </c>
    </row>
    <row r="39" spans="1:19">
      <c r="A39" s="490">
        <v>34</v>
      </c>
      <c r="B39" s="490">
        <v>10348</v>
      </c>
      <c r="C39" s="925" t="s">
        <v>43</v>
      </c>
      <c r="D39" s="926">
        <v>718.9</v>
      </c>
      <c r="E39" s="926">
        <v>186669.48</v>
      </c>
      <c r="F39" s="926">
        <v>0</v>
      </c>
      <c r="G39" s="926">
        <v>0</v>
      </c>
      <c r="H39" s="926">
        <v>0</v>
      </c>
      <c r="I39" s="926">
        <v>37571.269999999997</v>
      </c>
      <c r="J39" s="926">
        <v>0</v>
      </c>
      <c r="K39" s="926">
        <v>0</v>
      </c>
      <c r="L39" s="926">
        <v>0</v>
      </c>
      <c r="M39" s="926">
        <v>100.92</v>
      </c>
      <c r="N39" s="926">
        <v>88.64</v>
      </c>
      <c r="O39" s="926">
        <v>76.349999999999994</v>
      </c>
      <c r="P39" s="926">
        <v>64.06</v>
      </c>
      <c r="Q39" s="346">
        <v>805906</v>
      </c>
      <c r="R39" s="346">
        <v>320797</v>
      </c>
      <c r="S39" s="346">
        <v>13</v>
      </c>
    </row>
    <row r="40" spans="1:19">
      <c r="A40" s="490">
        <v>35</v>
      </c>
      <c r="B40" s="490">
        <v>10355</v>
      </c>
      <c r="C40" s="925" t="s">
        <v>70</v>
      </c>
      <c r="D40" s="926">
        <v>15.24</v>
      </c>
      <c r="E40" s="926">
        <v>10434.15</v>
      </c>
      <c r="F40" s="926">
        <v>0</v>
      </c>
      <c r="G40" s="926">
        <v>0</v>
      </c>
      <c r="H40" s="926">
        <v>0</v>
      </c>
      <c r="I40" s="926">
        <v>499.4</v>
      </c>
      <c r="J40" s="926">
        <v>0</v>
      </c>
      <c r="K40" s="926">
        <v>0</v>
      </c>
      <c r="L40" s="926">
        <v>0</v>
      </c>
      <c r="M40" s="926">
        <v>100.92</v>
      </c>
      <c r="N40" s="926">
        <v>88.64</v>
      </c>
      <c r="O40" s="926">
        <v>76.349999999999994</v>
      </c>
      <c r="P40" s="926">
        <v>64.06</v>
      </c>
      <c r="Q40" s="346">
        <v>805906</v>
      </c>
      <c r="R40" s="346">
        <v>320797</v>
      </c>
      <c r="S40" s="346">
        <v>11</v>
      </c>
    </row>
    <row r="41" spans="1:19">
      <c r="A41" s="490">
        <v>36</v>
      </c>
      <c r="B41" s="490">
        <v>10363</v>
      </c>
      <c r="C41" s="925" t="s">
        <v>110</v>
      </c>
      <c r="D41" s="926">
        <v>1300.8800000000001</v>
      </c>
      <c r="E41" s="926">
        <v>325979.40999999997</v>
      </c>
      <c r="F41" s="926">
        <v>0</v>
      </c>
      <c r="G41" s="926">
        <v>0</v>
      </c>
      <c r="H41" s="926">
        <v>0</v>
      </c>
      <c r="I41" s="926">
        <v>37362.33</v>
      </c>
      <c r="J41" s="926">
        <v>0</v>
      </c>
      <c r="K41" s="926">
        <v>0</v>
      </c>
      <c r="L41" s="926">
        <v>0</v>
      </c>
      <c r="M41" s="926">
        <v>100.92</v>
      </c>
      <c r="N41" s="926">
        <v>88.64</v>
      </c>
      <c r="O41" s="926">
        <v>76.349999999999994</v>
      </c>
      <c r="P41" s="926">
        <v>64.06</v>
      </c>
      <c r="Q41" s="346">
        <v>805906</v>
      </c>
      <c r="R41" s="346">
        <v>320797</v>
      </c>
      <c r="S41" s="346">
        <v>33</v>
      </c>
    </row>
    <row r="42" spans="1:19">
      <c r="A42" s="490">
        <v>37</v>
      </c>
      <c r="B42" s="490">
        <v>10371</v>
      </c>
      <c r="C42" s="925" t="s">
        <v>71</v>
      </c>
      <c r="D42" s="926">
        <v>377.61</v>
      </c>
      <c r="E42" s="926">
        <v>363415.48</v>
      </c>
      <c r="F42" s="926">
        <v>0</v>
      </c>
      <c r="G42" s="926">
        <v>51.94</v>
      </c>
      <c r="H42" s="926">
        <v>0</v>
      </c>
      <c r="I42" s="926">
        <v>78431.17</v>
      </c>
      <c r="J42" s="926">
        <v>0</v>
      </c>
      <c r="K42" s="926">
        <v>0</v>
      </c>
      <c r="L42" s="926">
        <v>0</v>
      </c>
      <c r="M42" s="926">
        <v>100.92</v>
      </c>
      <c r="N42" s="926">
        <v>88.64</v>
      </c>
      <c r="O42" s="926">
        <v>76.349999999999994</v>
      </c>
      <c r="P42" s="926">
        <v>64.06</v>
      </c>
      <c r="Q42" s="346">
        <v>805906</v>
      </c>
      <c r="R42" s="346">
        <v>320797</v>
      </c>
      <c r="S42" s="346">
        <v>42</v>
      </c>
    </row>
    <row r="43" spans="1:19">
      <c r="A43" s="490">
        <v>38</v>
      </c>
      <c r="B43" s="490">
        <v>10389</v>
      </c>
      <c r="C43" s="925" t="s">
        <v>111</v>
      </c>
      <c r="D43" s="926">
        <v>32.880000000000003</v>
      </c>
      <c r="E43" s="926">
        <v>45055.95</v>
      </c>
      <c r="F43" s="926">
        <v>0</v>
      </c>
      <c r="G43" s="926">
        <v>0</v>
      </c>
      <c r="H43" s="926">
        <v>0</v>
      </c>
      <c r="I43" s="926">
        <v>5742.34</v>
      </c>
      <c r="J43" s="926">
        <v>0</v>
      </c>
      <c r="K43" s="926">
        <v>0</v>
      </c>
      <c r="L43" s="926">
        <v>0</v>
      </c>
      <c r="M43" s="926">
        <v>100.92</v>
      </c>
      <c r="N43" s="926">
        <v>88.64</v>
      </c>
      <c r="O43" s="926">
        <v>76.349999999999994</v>
      </c>
      <c r="P43" s="926">
        <v>64.06</v>
      </c>
      <c r="Q43" s="346">
        <v>805906</v>
      </c>
      <c r="R43" s="346">
        <v>320797</v>
      </c>
      <c r="S43" s="346">
        <v>1</v>
      </c>
    </row>
    <row r="44" spans="1:19">
      <c r="A44" s="490">
        <v>39</v>
      </c>
      <c r="B44" s="490">
        <v>10397</v>
      </c>
      <c r="C44" s="925" t="s">
        <v>112</v>
      </c>
      <c r="D44" s="926">
        <v>912.9</v>
      </c>
      <c r="E44" s="926">
        <v>114955.3</v>
      </c>
      <c r="F44" s="926">
        <v>0</v>
      </c>
      <c r="G44" s="926">
        <v>0</v>
      </c>
      <c r="H44" s="926">
        <v>0</v>
      </c>
      <c r="I44" s="926">
        <v>21144.49</v>
      </c>
      <c r="J44" s="926">
        <v>0</v>
      </c>
      <c r="K44" s="926">
        <v>2802.16</v>
      </c>
      <c r="L44" s="926">
        <v>221.45</v>
      </c>
      <c r="M44" s="926">
        <v>100.92</v>
      </c>
      <c r="N44" s="926">
        <v>88.64</v>
      </c>
      <c r="O44" s="926">
        <v>76.349999999999994</v>
      </c>
      <c r="P44" s="926">
        <v>64.06</v>
      </c>
      <c r="Q44" s="346">
        <v>805906</v>
      </c>
      <c r="R44" s="346">
        <v>320797</v>
      </c>
      <c r="S44" s="346">
        <v>14</v>
      </c>
    </row>
    <row r="45" spans="1:19">
      <c r="A45" s="490">
        <v>40</v>
      </c>
      <c r="B45" s="490">
        <v>10405</v>
      </c>
      <c r="C45" s="925" t="s">
        <v>113</v>
      </c>
      <c r="D45" s="926">
        <v>14.48</v>
      </c>
      <c r="E45" s="926">
        <v>29424.67</v>
      </c>
      <c r="F45" s="926">
        <v>0</v>
      </c>
      <c r="G45" s="926">
        <v>0</v>
      </c>
      <c r="H45" s="926">
        <v>0</v>
      </c>
      <c r="I45" s="926">
        <v>768.89</v>
      </c>
      <c r="J45" s="926">
        <v>0</v>
      </c>
      <c r="K45" s="926">
        <v>0</v>
      </c>
      <c r="L45" s="926">
        <v>0</v>
      </c>
      <c r="M45" s="926">
        <v>100.92</v>
      </c>
      <c r="N45" s="926">
        <v>88.64</v>
      </c>
      <c r="O45" s="926">
        <v>76.349999999999994</v>
      </c>
      <c r="P45" s="926">
        <v>64.06</v>
      </c>
      <c r="Q45" s="346">
        <v>805906</v>
      </c>
      <c r="R45" s="346">
        <v>320797</v>
      </c>
      <c r="S45" s="346">
        <v>10</v>
      </c>
    </row>
    <row r="46" spans="1:19">
      <c r="A46" s="490">
        <v>41</v>
      </c>
      <c r="B46" s="490">
        <v>10413</v>
      </c>
      <c r="C46" s="925" t="s">
        <v>114</v>
      </c>
      <c r="D46" s="926">
        <v>74.86</v>
      </c>
      <c r="E46" s="926">
        <v>72728.22</v>
      </c>
      <c r="F46" s="926">
        <v>0</v>
      </c>
      <c r="G46" s="926">
        <v>328.07</v>
      </c>
      <c r="H46" s="926">
        <v>0</v>
      </c>
      <c r="I46" s="926">
        <v>5527.14</v>
      </c>
      <c r="J46" s="926">
        <v>0</v>
      </c>
      <c r="K46" s="926">
        <v>0</v>
      </c>
      <c r="L46" s="926">
        <v>0</v>
      </c>
      <c r="M46" s="926">
        <v>100.92</v>
      </c>
      <c r="N46" s="926">
        <v>88.64</v>
      </c>
      <c r="O46" s="926">
        <v>76.349999999999994</v>
      </c>
      <c r="P46" s="926">
        <v>64.06</v>
      </c>
      <c r="Q46" s="346">
        <v>805906</v>
      </c>
      <c r="R46" s="346">
        <v>320797</v>
      </c>
      <c r="S46" s="346">
        <v>23</v>
      </c>
    </row>
    <row r="47" spans="1:19">
      <c r="A47" s="490">
        <v>42</v>
      </c>
      <c r="B47" s="490">
        <v>10421</v>
      </c>
      <c r="C47" s="925" t="s">
        <v>115</v>
      </c>
      <c r="D47" s="926">
        <v>50.17</v>
      </c>
      <c r="E47" s="926">
        <v>57364.68</v>
      </c>
      <c r="F47" s="926">
        <v>0</v>
      </c>
      <c r="G47" s="926">
        <v>28.15</v>
      </c>
      <c r="H47" s="926">
        <v>0</v>
      </c>
      <c r="I47" s="926">
        <v>4252.3500000000004</v>
      </c>
      <c r="J47" s="926">
        <v>0</v>
      </c>
      <c r="K47" s="926">
        <v>0</v>
      </c>
      <c r="L47" s="926">
        <v>0</v>
      </c>
      <c r="M47" s="926">
        <v>100.92</v>
      </c>
      <c r="N47" s="926">
        <v>88.64</v>
      </c>
      <c r="O47" s="926">
        <v>76.349999999999994</v>
      </c>
      <c r="P47" s="926">
        <v>64.06</v>
      </c>
      <c r="Q47" s="346">
        <v>805906</v>
      </c>
      <c r="R47" s="346">
        <v>320797</v>
      </c>
      <c r="S47" s="346">
        <v>20</v>
      </c>
    </row>
    <row r="48" spans="1:19">
      <c r="A48" s="490">
        <v>43</v>
      </c>
      <c r="B48" s="490">
        <v>10439</v>
      </c>
      <c r="C48" s="925" t="s">
        <v>116</v>
      </c>
      <c r="D48" s="926">
        <v>850.34</v>
      </c>
      <c r="E48" s="926">
        <v>191727.62</v>
      </c>
      <c r="F48" s="926">
        <v>0</v>
      </c>
      <c r="G48" s="926">
        <v>396.44</v>
      </c>
      <c r="H48" s="926">
        <v>0</v>
      </c>
      <c r="I48" s="926">
        <v>26007.62</v>
      </c>
      <c r="J48" s="926">
        <v>0</v>
      </c>
      <c r="K48" s="926">
        <v>213.5</v>
      </c>
      <c r="L48" s="926">
        <v>68.53</v>
      </c>
      <c r="M48" s="926">
        <v>100.92</v>
      </c>
      <c r="N48" s="926">
        <v>88.64</v>
      </c>
      <c r="O48" s="926">
        <v>76.349999999999994</v>
      </c>
      <c r="P48" s="926">
        <v>64.06</v>
      </c>
      <c r="Q48" s="346">
        <v>805906</v>
      </c>
      <c r="R48" s="346">
        <v>320797</v>
      </c>
      <c r="S48" s="346">
        <v>31</v>
      </c>
    </row>
    <row r="49" spans="1:19">
      <c r="A49" s="490">
        <v>44</v>
      </c>
      <c r="B49" s="490">
        <v>10447</v>
      </c>
      <c r="C49" s="925" t="s">
        <v>117</v>
      </c>
      <c r="D49" s="926">
        <v>81.349999999999994</v>
      </c>
      <c r="E49" s="926">
        <v>26969.4</v>
      </c>
      <c r="F49" s="926">
        <v>0</v>
      </c>
      <c r="G49" s="926">
        <v>0</v>
      </c>
      <c r="H49" s="926">
        <v>0</v>
      </c>
      <c r="I49" s="926">
        <v>6887.05</v>
      </c>
      <c r="J49" s="926">
        <v>0</v>
      </c>
      <c r="K49" s="926">
        <v>0</v>
      </c>
      <c r="L49" s="926">
        <v>0</v>
      </c>
      <c r="M49" s="926">
        <v>100.92</v>
      </c>
      <c r="N49" s="926">
        <v>88.64</v>
      </c>
      <c r="O49" s="926">
        <v>76.349999999999994</v>
      </c>
      <c r="P49" s="926">
        <v>64.06</v>
      </c>
      <c r="Q49" s="346">
        <v>805906</v>
      </c>
      <c r="R49" s="346">
        <v>320797</v>
      </c>
      <c r="S49" s="346">
        <v>11</v>
      </c>
    </row>
    <row r="50" spans="1:19">
      <c r="A50" s="490">
        <v>45</v>
      </c>
      <c r="B50" s="490">
        <v>10454</v>
      </c>
      <c r="C50" s="925" t="s">
        <v>72</v>
      </c>
      <c r="D50" s="926">
        <v>119.5</v>
      </c>
      <c r="E50" s="926">
        <v>19806.25</v>
      </c>
      <c r="F50" s="926">
        <v>0</v>
      </c>
      <c r="G50" s="926">
        <v>0</v>
      </c>
      <c r="H50" s="926">
        <v>0</v>
      </c>
      <c r="I50" s="926">
        <v>4496.25</v>
      </c>
      <c r="J50" s="926">
        <v>0</v>
      </c>
      <c r="K50" s="926">
        <v>0</v>
      </c>
      <c r="L50" s="926">
        <v>0</v>
      </c>
      <c r="M50" s="926">
        <v>100.92</v>
      </c>
      <c r="N50" s="926">
        <v>88.64</v>
      </c>
      <c r="O50" s="926">
        <v>76.349999999999994</v>
      </c>
      <c r="P50" s="926">
        <v>64.06</v>
      </c>
      <c r="Q50" s="346">
        <v>805906</v>
      </c>
      <c r="R50" s="346">
        <v>320797</v>
      </c>
      <c r="S50" s="346">
        <v>24</v>
      </c>
    </row>
    <row r="51" spans="1:19">
      <c r="A51" s="490">
        <v>46</v>
      </c>
      <c r="B51" s="490">
        <v>10462</v>
      </c>
      <c r="C51" s="925" t="s">
        <v>73</v>
      </c>
      <c r="D51" s="926">
        <v>14.2</v>
      </c>
      <c r="E51" s="926">
        <v>354.53</v>
      </c>
      <c r="F51" s="926">
        <v>0</v>
      </c>
      <c r="G51" s="926">
        <v>0</v>
      </c>
      <c r="H51" s="926">
        <v>0</v>
      </c>
      <c r="I51" s="926">
        <v>0</v>
      </c>
      <c r="J51" s="926">
        <v>0</v>
      </c>
      <c r="K51" s="926">
        <v>0</v>
      </c>
      <c r="L51" s="926">
        <v>0</v>
      </c>
      <c r="M51" s="926">
        <v>100.92</v>
      </c>
      <c r="N51" s="926">
        <v>88.64</v>
      </c>
      <c r="O51" s="926">
        <v>76.349999999999994</v>
      </c>
      <c r="P51" s="926">
        <v>64.06</v>
      </c>
      <c r="Q51" s="346">
        <v>805906</v>
      </c>
      <c r="R51" s="346">
        <v>320797</v>
      </c>
      <c r="S51" s="346">
        <v>1</v>
      </c>
    </row>
    <row r="52" spans="1:19">
      <c r="A52" s="490">
        <v>47</v>
      </c>
      <c r="B52" s="490">
        <v>10470</v>
      </c>
      <c r="C52" s="925" t="s">
        <v>42</v>
      </c>
      <c r="D52" s="926">
        <v>60.54</v>
      </c>
      <c r="E52" s="926">
        <v>4569.1499999999996</v>
      </c>
      <c r="F52" s="926">
        <v>0</v>
      </c>
      <c r="G52" s="926">
        <v>0</v>
      </c>
      <c r="H52" s="926">
        <v>0</v>
      </c>
      <c r="I52" s="926">
        <v>530.75</v>
      </c>
      <c r="J52" s="926">
        <v>0</v>
      </c>
      <c r="K52" s="926">
        <v>0</v>
      </c>
      <c r="L52" s="926">
        <v>0</v>
      </c>
      <c r="M52" s="926">
        <v>100.92</v>
      </c>
      <c r="N52" s="926">
        <v>88.64</v>
      </c>
      <c r="O52" s="926">
        <v>76.349999999999994</v>
      </c>
      <c r="P52" s="926">
        <v>64.06</v>
      </c>
      <c r="Q52" s="346">
        <v>805906</v>
      </c>
      <c r="R52" s="346">
        <v>320797</v>
      </c>
      <c r="S52" s="346">
        <v>25</v>
      </c>
    </row>
    <row r="53" spans="1:19">
      <c r="A53" s="490">
        <v>48</v>
      </c>
      <c r="B53" s="490">
        <v>10488</v>
      </c>
      <c r="C53" s="925" t="s">
        <v>74</v>
      </c>
      <c r="D53" s="926">
        <v>248.46</v>
      </c>
      <c r="E53" s="926">
        <v>49184.05</v>
      </c>
      <c r="F53" s="926">
        <v>0</v>
      </c>
      <c r="G53" s="926">
        <v>0</v>
      </c>
      <c r="H53" s="926">
        <v>0</v>
      </c>
      <c r="I53" s="926">
        <v>4972.7299999999996</v>
      </c>
      <c r="J53" s="926">
        <v>0</v>
      </c>
      <c r="K53" s="926">
        <v>0</v>
      </c>
      <c r="L53" s="926">
        <v>0</v>
      </c>
      <c r="M53" s="926">
        <v>100.92</v>
      </c>
      <c r="N53" s="926">
        <v>88.64</v>
      </c>
      <c r="O53" s="926">
        <v>76.349999999999994</v>
      </c>
      <c r="P53" s="926">
        <v>64.06</v>
      </c>
      <c r="Q53" s="346">
        <v>805906</v>
      </c>
      <c r="R53" s="346">
        <v>320797</v>
      </c>
      <c r="S53" s="346">
        <v>6</v>
      </c>
    </row>
    <row r="54" spans="1:19">
      <c r="A54" s="490">
        <v>49</v>
      </c>
      <c r="B54" s="490">
        <v>10496</v>
      </c>
      <c r="C54" s="925" t="s">
        <v>75</v>
      </c>
      <c r="D54" s="926">
        <v>220.23</v>
      </c>
      <c r="E54" s="926">
        <v>41537.97</v>
      </c>
      <c r="F54" s="926">
        <v>0</v>
      </c>
      <c r="G54" s="926">
        <v>123.03</v>
      </c>
      <c r="H54" s="926">
        <v>0</v>
      </c>
      <c r="I54" s="926">
        <v>16496.32</v>
      </c>
      <c r="J54" s="926">
        <v>0</v>
      </c>
      <c r="K54" s="926">
        <v>0</v>
      </c>
      <c r="L54" s="926">
        <v>0</v>
      </c>
      <c r="M54" s="926">
        <v>100.92</v>
      </c>
      <c r="N54" s="926">
        <v>88.64</v>
      </c>
      <c r="O54" s="926">
        <v>76.349999999999994</v>
      </c>
      <c r="P54" s="926">
        <v>64.06</v>
      </c>
      <c r="Q54" s="346">
        <v>805906</v>
      </c>
      <c r="R54" s="346">
        <v>320797</v>
      </c>
      <c r="S54" s="346">
        <v>40</v>
      </c>
    </row>
    <row r="55" spans="1:19">
      <c r="A55" s="490">
        <v>50</v>
      </c>
      <c r="B55" s="490">
        <v>10504</v>
      </c>
      <c r="C55" s="925" t="s">
        <v>41</v>
      </c>
      <c r="D55" s="926">
        <v>660.14</v>
      </c>
      <c r="E55" s="926">
        <v>87274.58</v>
      </c>
      <c r="F55" s="926">
        <v>0</v>
      </c>
      <c r="G55" s="926">
        <v>0</v>
      </c>
      <c r="H55" s="926">
        <v>0</v>
      </c>
      <c r="I55" s="926">
        <v>7451.47</v>
      </c>
      <c r="J55" s="926">
        <v>954.12</v>
      </c>
      <c r="K55" s="926">
        <v>709.03</v>
      </c>
      <c r="L55" s="926">
        <v>8.52</v>
      </c>
      <c r="M55" s="926">
        <v>100.92</v>
      </c>
      <c r="N55" s="926">
        <v>88.64</v>
      </c>
      <c r="O55" s="926">
        <v>76.349999999999994</v>
      </c>
      <c r="P55" s="926">
        <v>64.06</v>
      </c>
      <c r="Q55" s="346">
        <v>805906</v>
      </c>
      <c r="R55" s="346">
        <v>320797</v>
      </c>
      <c r="S55" s="346">
        <v>25</v>
      </c>
    </row>
    <row r="56" spans="1:19">
      <c r="A56" s="490">
        <v>51</v>
      </c>
      <c r="B56" s="490">
        <v>10512</v>
      </c>
      <c r="C56" s="925" t="s">
        <v>76</v>
      </c>
      <c r="D56" s="926">
        <v>276.83999999999997</v>
      </c>
      <c r="E56" s="926">
        <v>15263.06</v>
      </c>
      <c r="F56" s="926">
        <v>0</v>
      </c>
      <c r="G56" s="926">
        <v>0</v>
      </c>
      <c r="H56" s="926">
        <v>0</v>
      </c>
      <c r="I56" s="926">
        <v>7381.34</v>
      </c>
      <c r="J56" s="926">
        <v>0</v>
      </c>
      <c r="K56" s="926">
        <v>12.27</v>
      </c>
      <c r="L56" s="926">
        <v>7.44</v>
      </c>
      <c r="M56" s="926">
        <v>100.92</v>
      </c>
      <c r="N56" s="926">
        <v>88.64</v>
      </c>
      <c r="O56" s="926">
        <v>76.349999999999994</v>
      </c>
      <c r="P56" s="926">
        <v>64.06</v>
      </c>
      <c r="Q56" s="346">
        <v>805906</v>
      </c>
      <c r="R56" s="346">
        <v>320797</v>
      </c>
      <c r="S56" s="346">
        <v>12</v>
      </c>
    </row>
    <row r="57" spans="1:19">
      <c r="A57" s="490">
        <v>52</v>
      </c>
      <c r="B57" s="490">
        <v>10520</v>
      </c>
      <c r="C57" s="925" t="s">
        <v>77</v>
      </c>
      <c r="D57" s="926">
        <v>32.71</v>
      </c>
      <c r="E57" s="926">
        <v>9538.0400000000009</v>
      </c>
      <c r="F57" s="926">
        <v>0</v>
      </c>
      <c r="G57" s="926">
        <v>0</v>
      </c>
      <c r="H57" s="926">
        <v>0</v>
      </c>
      <c r="I57" s="926">
        <v>355.51</v>
      </c>
      <c r="J57" s="926">
        <v>0</v>
      </c>
      <c r="K57" s="926">
        <v>68</v>
      </c>
      <c r="L57" s="926">
        <v>0</v>
      </c>
      <c r="M57" s="926">
        <v>100.92</v>
      </c>
      <c r="N57" s="926">
        <v>88.64</v>
      </c>
      <c r="O57" s="926">
        <v>76.349999999999994</v>
      </c>
      <c r="P57" s="926">
        <v>64.06</v>
      </c>
      <c r="Q57" s="346">
        <v>805906</v>
      </c>
      <c r="R57" s="346">
        <v>320797</v>
      </c>
      <c r="S57" s="346">
        <v>13</v>
      </c>
    </row>
    <row r="58" spans="1:19">
      <c r="A58" s="490">
        <v>53</v>
      </c>
      <c r="B58" s="490">
        <v>10538</v>
      </c>
      <c r="C58" s="925" t="s">
        <v>78</v>
      </c>
      <c r="D58" s="926">
        <v>4.0999999999999996</v>
      </c>
      <c r="E58" s="926">
        <v>1338.03</v>
      </c>
      <c r="F58" s="926">
        <v>0</v>
      </c>
      <c r="G58" s="926">
        <v>0</v>
      </c>
      <c r="H58" s="926">
        <v>0</v>
      </c>
      <c r="I58" s="926">
        <v>0</v>
      </c>
      <c r="J58" s="926">
        <v>0</v>
      </c>
      <c r="K58" s="926">
        <v>51.68</v>
      </c>
      <c r="L58" s="926">
        <v>8.74</v>
      </c>
      <c r="M58" s="926">
        <v>100.92</v>
      </c>
      <c r="N58" s="926">
        <v>88.64</v>
      </c>
      <c r="O58" s="926">
        <v>76.349999999999994</v>
      </c>
      <c r="P58" s="926">
        <v>64.06</v>
      </c>
      <c r="Q58" s="346">
        <v>805906</v>
      </c>
      <c r="R58" s="346">
        <v>320797</v>
      </c>
      <c r="S58" s="346">
        <v>9</v>
      </c>
    </row>
    <row r="59" spans="1:19">
      <c r="A59" s="490">
        <v>54</v>
      </c>
      <c r="B59" s="490">
        <v>10546</v>
      </c>
      <c r="C59" s="925" t="s">
        <v>31</v>
      </c>
      <c r="D59" s="926">
        <v>868.19</v>
      </c>
      <c r="E59" s="926">
        <v>84913.23</v>
      </c>
      <c r="F59" s="926">
        <v>0</v>
      </c>
      <c r="G59" s="926">
        <v>0</v>
      </c>
      <c r="H59" s="926">
        <v>0</v>
      </c>
      <c r="I59" s="926">
        <v>9921.68</v>
      </c>
      <c r="J59" s="926">
        <v>0</v>
      </c>
      <c r="K59" s="926">
        <v>0</v>
      </c>
      <c r="L59" s="926">
        <v>0</v>
      </c>
      <c r="M59" s="926">
        <v>100.92</v>
      </c>
      <c r="N59" s="926">
        <v>88.64</v>
      </c>
      <c r="O59" s="926">
        <v>76.349999999999994</v>
      </c>
      <c r="P59" s="926">
        <v>64.06</v>
      </c>
      <c r="Q59" s="346">
        <v>805906</v>
      </c>
      <c r="R59" s="346">
        <v>320797</v>
      </c>
      <c r="S59" s="346">
        <v>43</v>
      </c>
    </row>
    <row r="60" spans="1:19">
      <c r="A60" s="490">
        <v>55</v>
      </c>
      <c r="B60" s="490">
        <v>10553</v>
      </c>
      <c r="C60" s="925" t="s">
        <v>40</v>
      </c>
      <c r="D60" s="926">
        <v>67.19</v>
      </c>
      <c r="E60" s="926">
        <v>4599.18</v>
      </c>
      <c r="F60" s="926">
        <v>0</v>
      </c>
      <c r="G60" s="926">
        <v>0</v>
      </c>
      <c r="H60" s="926">
        <v>0</v>
      </c>
      <c r="I60" s="926">
        <v>598.29999999999995</v>
      </c>
      <c r="J60" s="926">
        <v>0</v>
      </c>
      <c r="K60" s="926">
        <v>0</v>
      </c>
      <c r="L60" s="926">
        <v>0</v>
      </c>
      <c r="M60" s="926">
        <v>100.92</v>
      </c>
      <c r="N60" s="926">
        <v>88.64</v>
      </c>
      <c r="O60" s="926">
        <v>76.349999999999994</v>
      </c>
      <c r="P60" s="926">
        <v>64.06</v>
      </c>
      <c r="Q60" s="346">
        <v>805906</v>
      </c>
      <c r="R60" s="346">
        <v>320797</v>
      </c>
      <c r="S60" s="346">
        <v>11</v>
      </c>
    </row>
    <row r="61" spans="1:19">
      <c r="A61" s="490">
        <v>56</v>
      </c>
      <c r="B61" s="490">
        <v>10561</v>
      </c>
      <c r="C61" s="925" t="s">
        <v>39</v>
      </c>
      <c r="D61" s="926">
        <v>448.96</v>
      </c>
      <c r="E61" s="926">
        <v>111438.16</v>
      </c>
      <c r="F61" s="926">
        <v>0</v>
      </c>
      <c r="G61" s="926">
        <v>0</v>
      </c>
      <c r="H61" s="926">
        <v>0</v>
      </c>
      <c r="I61" s="926">
        <v>6079.32</v>
      </c>
      <c r="J61" s="926">
        <v>0</v>
      </c>
      <c r="K61" s="926">
        <v>0</v>
      </c>
      <c r="L61" s="926">
        <v>0</v>
      </c>
      <c r="M61" s="926">
        <v>100.92</v>
      </c>
      <c r="N61" s="926">
        <v>88.64</v>
      </c>
      <c r="O61" s="926">
        <v>76.349999999999994</v>
      </c>
      <c r="P61" s="926">
        <v>64.06</v>
      </c>
      <c r="Q61" s="346">
        <v>805906</v>
      </c>
      <c r="R61" s="346">
        <v>320797</v>
      </c>
      <c r="S61" s="346">
        <v>19</v>
      </c>
    </row>
    <row r="62" spans="1:19">
      <c r="A62" s="490">
        <v>57</v>
      </c>
      <c r="B62" s="490">
        <v>10579</v>
      </c>
      <c r="C62" s="925" t="s">
        <v>38</v>
      </c>
      <c r="D62" s="926">
        <v>134.78</v>
      </c>
      <c r="E62" s="926">
        <v>24624.39</v>
      </c>
      <c r="F62" s="926">
        <v>0</v>
      </c>
      <c r="G62" s="926">
        <v>0</v>
      </c>
      <c r="H62" s="926">
        <v>0</v>
      </c>
      <c r="I62" s="926">
        <v>2601.29</v>
      </c>
      <c r="J62" s="926">
        <v>0</v>
      </c>
      <c r="K62" s="926">
        <v>0</v>
      </c>
      <c r="L62" s="926">
        <v>0</v>
      </c>
      <c r="M62" s="926">
        <v>100.92</v>
      </c>
      <c r="N62" s="926">
        <v>88.64</v>
      </c>
      <c r="O62" s="926">
        <v>76.349999999999994</v>
      </c>
      <c r="P62" s="926">
        <v>64.06</v>
      </c>
      <c r="Q62" s="346">
        <v>805906</v>
      </c>
      <c r="R62" s="346">
        <v>320797</v>
      </c>
      <c r="S62" s="346">
        <v>5</v>
      </c>
    </row>
    <row r="63" spans="1:19">
      <c r="A63" s="490">
        <v>58</v>
      </c>
      <c r="B63" s="490">
        <v>10587</v>
      </c>
      <c r="C63" s="925" t="s">
        <v>79</v>
      </c>
      <c r="D63" s="926">
        <v>165.51</v>
      </c>
      <c r="E63" s="926">
        <v>12709.09</v>
      </c>
      <c r="F63" s="926">
        <v>0</v>
      </c>
      <c r="G63" s="926">
        <v>0</v>
      </c>
      <c r="H63" s="926">
        <v>0</v>
      </c>
      <c r="I63" s="926">
        <v>1406.22</v>
      </c>
      <c r="J63" s="926">
        <v>0</v>
      </c>
      <c r="K63" s="926">
        <v>0</v>
      </c>
      <c r="L63" s="926">
        <v>0</v>
      </c>
      <c r="M63" s="926">
        <v>100.92</v>
      </c>
      <c r="N63" s="926">
        <v>88.64</v>
      </c>
      <c r="O63" s="926">
        <v>76.349999999999994</v>
      </c>
      <c r="P63" s="926">
        <v>64.06</v>
      </c>
      <c r="Q63" s="346">
        <v>805906</v>
      </c>
      <c r="R63" s="346">
        <v>320797</v>
      </c>
      <c r="S63" s="346">
        <v>5</v>
      </c>
    </row>
    <row r="64" spans="1:19">
      <c r="C64" s="31"/>
      <c r="D64" s="31">
        <f t="shared" ref="D64:S64" si="0">SUM(D6:D63)</f>
        <v>18708.599999999988</v>
      </c>
      <c r="E64" s="31">
        <f t="shared" si="0"/>
        <v>4724709.41</v>
      </c>
      <c r="F64" s="31">
        <f t="shared" si="0"/>
        <v>127.69</v>
      </c>
      <c r="G64" s="31">
        <f t="shared" si="0"/>
        <v>1298.8599999999999</v>
      </c>
      <c r="H64" s="31">
        <f t="shared" si="0"/>
        <v>0</v>
      </c>
      <c r="I64" s="31">
        <f t="shared" si="0"/>
        <v>634796.70000000007</v>
      </c>
      <c r="J64" s="31">
        <f t="shared" si="0"/>
        <v>6442.8</v>
      </c>
      <c r="K64" s="31">
        <f t="shared" si="0"/>
        <v>7492.5000000000009</v>
      </c>
      <c r="L64" s="31">
        <f t="shared" si="0"/>
        <v>838.19</v>
      </c>
      <c r="M64" s="31"/>
      <c r="N64" s="31"/>
      <c r="O64" s="31"/>
      <c r="P64" s="31"/>
      <c r="Q64" s="31"/>
      <c r="R64" s="31"/>
      <c r="S64" s="31">
        <f t="shared" si="0"/>
        <v>939</v>
      </c>
    </row>
    <row r="66" spans="4:4">
      <c r="D66" s="349">
        <f>SUM(D64:S64)</f>
        <v>5395353.7500000009</v>
      </c>
    </row>
    <row r="67" spans="4:4">
      <c r="D67" s="344" t="s">
        <v>163</v>
      </c>
    </row>
  </sheetData>
  <phoneticPr fontId="51" type="noConversion"/>
  <pageMargins left="0.25" right="0.25" top="0.25" bottom="0.25" header="0.3" footer="0.3"/>
  <pageSetup paperSize="5" scale="50" orientation="landscape" r:id="rId1"/>
  <headerFooter>
    <oddFooter>&amp;R&amp;F
&amp;A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67"/>
  <sheetViews>
    <sheetView zoomScale="80" zoomScaleNormal="80" workbookViewId="0">
      <pane xSplit="2" ySplit="6" topLeftCell="C58" activePane="bottomRight" state="frozen"/>
      <selection activeCell="A2" sqref="A2"/>
      <selection pane="topRight" activeCell="A2" sqref="A2"/>
      <selection pane="bottomLeft" activeCell="A2" sqref="A2"/>
      <selection pane="bottomRight" activeCell="A2" sqref="A2"/>
    </sheetView>
  </sheetViews>
  <sheetFormatPr defaultColWidth="8.88671875" defaultRowHeight="14.4"/>
  <cols>
    <col min="1" max="1" width="13.6640625" style="30" customWidth="1"/>
    <col min="2" max="2" width="13.6640625" style="347" customWidth="1"/>
    <col min="3" max="3" width="41.6640625" style="30" customWidth="1"/>
    <col min="4" max="7" width="15.6640625" style="30" customWidth="1"/>
    <col min="8" max="10" width="15.44140625" style="30" customWidth="1"/>
    <col min="11" max="11" width="16.44140625" style="30" customWidth="1"/>
    <col min="12" max="14" width="17" style="30" customWidth="1"/>
    <col min="15" max="15" width="18.109375" style="30" customWidth="1"/>
    <col min="16" max="16" width="14.44140625" style="30" customWidth="1"/>
    <col min="17" max="19" width="14.6640625" style="30" customWidth="1"/>
    <col min="20" max="16384" width="8.88671875" style="30"/>
  </cols>
  <sheetData>
    <row r="1" spans="1:19" ht="24" customHeight="1">
      <c r="A1" s="787" t="s">
        <v>320</v>
      </c>
      <c r="E1" s="345" t="s">
        <v>1634</v>
      </c>
    </row>
    <row r="2" spans="1:19" ht="24" customHeight="1">
      <c r="A2" s="793" t="s">
        <v>1808</v>
      </c>
      <c r="B2" s="789"/>
      <c r="C2" s="924"/>
    </row>
    <row r="3" spans="1:19" ht="25.5" customHeight="1">
      <c r="A3" s="788" t="str">
        <f>+'Data Entry'!H10</f>
        <v>2021-22</v>
      </c>
      <c r="C3" s="794" t="s">
        <v>1458</v>
      </c>
      <c r="D3" s="786" t="s">
        <v>1426</v>
      </c>
      <c r="E3" s="786" t="s">
        <v>1427</v>
      </c>
      <c r="F3" s="786" t="s">
        <v>1428</v>
      </c>
      <c r="G3" s="786" t="s">
        <v>1429</v>
      </c>
      <c r="H3" s="786" t="s">
        <v>1430</v>
      </c>
      <c r="I3" s="786" t="s">
        <v>1431</v>
      </c>
      <c r="J3" s="786" t="s">
        <v>1432</v>
      </c>
      <c r="K3" s="786" t="s">
        <v>1433</v>
      </c>
      <c r="L3" s="786" t="s">
        <v>1434</v>
      </c>
      <c r="M3" s="786" t="s">
        <v>1435</v>
      </c>
      <c r="N3" s="786" t="s">
        <v>1436</v>
      </c>
      <c r="O3" s="786" t="s">
        <v>1437</v>
      </c>
      <c r="P3" s="786" t="s">
        <v>1438</v>
      </c>
      <c r="Q3" s="786" t="s">
        <v>1439</v>
      </c>
      <c r="R3" s="786" t="s">
        <v>1440</v>
      </c>
      <c r="S3" s="786" t="s">
        <v>1441</v>
      </c>
    </row>
    <row r="4" spans="1:19" s="313" customFormat="1" ht="123.75" customHeight="1">
      <c r="A4" s="342" t="s">
        <v>16</v>
      </c>
      <c r="B4" s="348" t="s">
        <v>8</v>
      </c>
      <c r="C4" s="342" t="s">
        <v>20</v>
      </c>
      <c r="D4" s="342" t="s">
        <v>482</v>
      </c>
      <c r="E4" s="342" t="s">
        <v>483</v>
      </c>
      <c r="F4" s="342" t="s">
        <v>484</v>
      </c>
      <c r="G4" s="342" t="s">
        <v>485</v>
      </c>
      <c r="H4" s="342" t="s">
        <v>486</v>
      </c>
      <c r="I4" s="342" t="s">
        <v>487</v>
      </c>
      <c r="J4" s="342" t="s">
        <v>488</v>
      </c>
      <c r="K4" s="342" t="s">
        <v>489</v>
      </c>
      <c r="L4" s="342" t="s">
        <v>490</v>
      </c>
      <c r="M4" s="342" t="s">
        <v>495</v>
      </c>
      <c r="N4" s="342" t="s">
        <v>496</v>
      </c>
      <c r="O4" s="342" t="s">
        <v>497</v>
      </c>
      <c r="P4" s="342" t="s">
        <v>498</v>
      </c>
      <c r="Q4" s="342" t="s">
        <v>502</v>
      </c>
      <c r="R4" s="342" t="s">
        <v>503</v>
      </c>
      <c r="S4" s="342" t="s">
        <v>491</v>
      </c>
    </row>
    <row r="5" spans="1:19" s="313" customFormat="1" ht="30" customHeight="1">
      <c r="A5" s="342"/>
      <c r="B5" s="348"/>
      <c r="C5" s="342"/>
      <c r="D5" s="343" t="s">
        <v>11</v>
      </c>
      <c r="E5" s="343" t="s">
        <v>13</v>
      </c>
      <c r="F5" s="343" t="s">
        <v>9</v>
      </c>
      <c r="G5" s="343" t="s">
        <v>93</v>
      </c>
      <c r="H5" s="343" t="s">
        <v>92</v>
      </c>
      <c r="I5" s="343" t="s">
        <v>91</v>
      </c>
      <c r="J5" s="343" t="s">
        <v>90</v>
      </c>
      <c r="K5" s="343" t="s">
        <v>89</v>
      </c>
      <c r="L5" s="343" t="s">
        <v>88</v>
      </c>
      <c r="M5" s="343" t="s">
        <v>87</v>
      </c>
      <c r="N5" s="343" t="s">
        <v>499</v>
      </c>
      <c r="O5" s="343" t="s">
        <v>500</v>
      </c>
      <c r="P5" s="343" t="s">
        <v>501</v>
      </c>
      <c r="Q5" s="343" t="s">
        <v>99</v>
      </c>
      <c r="R5" s="343" t="s">
        <v>97</v>
      </c>
      <c r="S5" s="343" t="s">
        <v>50</v>
      </c>
    </row>
    <row r="6" spans="1:19">
      <c r="A6" s="1077">
        <v>1</v>
      </c>
      <c r="B6" s="1023">
        <v>10017</v>
      </c>
      <c r="C6" s="1024" t="s">
        <v>49</v>
      </c>
      <c r="D6" s="1078">
        <v>0</v>
      </c>
      <c r="E6" s="1078">
        <v>183477.11</v>
      </c>
      <c r="F6" s="1078">
        <v>0</v>
      </c>
      <c r="G6" s="1078">
        <v>0</v>
      </c>
      <c r="H6" s="1078">
        <v>0</v>
      </c>
      <c r="I6" s="1078">
        <v>20574.259999999998</v>
      </c>
      <c r="J6" s="1078">
        <v>0</v>
      </c>
      <c r="K6" s="1078">
        <v>133.32</v>
      </c>
      <c r="L6" s="1078">
        <v>7.49</v>
      </c>
      <c r="M6" s="1079">
        <v>80.709999999999994</v>
      </c>
      <c r="N6" s="1079">
        <v>69.180000000000007</v>
      </c>
      <c r="O6" s="1079">
        <v>57.65</v>
      </c>
      <c r="P6" s="1079">
        <v>46.12</v>
      </c>
      <c r="Q6" s="1080">
        <v>756293</v>
      </c>
      <c r="R6" s="1080">
        <v>126048</v>
      </c>
      <c r="S6" s="1081">
        <v>18</v>
      </c>
    </row>
    <row r="7" spans="1:19">
      <c r="A7" s="1077">
        <v>2</v>
      </c>
      <c r="B7" s="1023">
        <v>10025</v>
      </c>
      <c r="C7" s="1024" t="s">
        <v>51</v>
      </c>
      <c r="D7" s="1078">
        <v>30.49</v>
      </c>
      <c r="E7" s="1078">
        <v>55.5</v>
      </c>
      <c r="F7" s="1078">
        <v>0</v>
      </c>
      <c r="G7" s="1078">
        <v>0</v>
      </c>
      <c r="H7" s="1078">
        <v>0</v>
      </c>
      <c r="I7" s="1078">
        <v>0</v>
      </c>
      <c r="J7" s="1078">
        <v>0</v>
      </c>
      <c r="K7" s="1078">
        <v>0</v>
      </c>
      <c r="L7" s="1078">
        <v>0</v>
      </c>
      <c r="M7" s="1078">
        <v>80.709999999999994</v>
      </c>
      <c r="N7" s="1078">
        <v>69.180000000000007</v>
      </c>
      <c r="O7" s="1078">
        <v>57.65</v>
      </c>
      <c r="P7" s="1078">
        <v>46.12</v>
      </c>
      <c r="Q7" s="1082">
        <v>756293</v>
      </c>
      <c r="R7" s="1082">
        <v>126048</v>
      </c>
      <c r="S7" s="1081">
        <v>1</v>
      </c>
    </row>
    <row r="8" spans="1:19">
      <c r="A8" s="1077">
        <v>3</v>
      </c>
      <c r="B8" s="1023">
        <v>10033</v>
      </c>
      <c r="C8" s="1024" t="s">
        <v>52</v>
      </c>
      <c r="D8" s="1078">
        <v>67.83</v>
      </c>
      <c r="E8" s="1078">
        <v>3714.74</v>
      </c>
      <c r="F8" s="1078">
        <v>0</v>
      </c>
      <c r="G8" s="1078">
        <v>0</v>
      </c>
      <c r="H8" s="1078">
        <v>0</v>
      </c>
      <c r="I8" s="1078">
        <v>0</v>
      </c>
      <c r="J8" s="1078">
        <v>0</v>
      </c>
      <c r="K8" s="1078">
        <v>0</v>
      </c>
      <c r="L8" s="1078">
        <v>0</v>
      </c>
      <c r="M8" s="1078">
        <v>80.709999999999994</v>
      </c>
      <c r="N8" s="1078">
        <v>69.180000000000007</v>
      </c>
      <c r="O8" s="1078">
        <v>57.65</v>
      </c>
      <c r="P8" s="1078">
        <v>46.12</v>
      </c>
      <c r="Q8" s="1082">
        <v>756293</v>
      </c>
      <c r="R8" s="1082">
        <v>126048</v>
      </c>
      <c r="S8" s="1081">
        <v>1</v>
      </c>
    </row>
    <row r="9" spans="1:19">
      <c r="A9" s="1077">
        <v>4</v>
      </c>
      <c r="B9" s="1023">
        <v>10041</v>
      </c>
      <c r="C9" s="1024" t="s">
        <v>53</v>
      </c>
      <c r="D9" s="1078">
        <v>102.63</v>
      </c>
      <c r="E9" s="1078">
        <v>23350.6</v>
      </c>
      <c r="F9" s="1078">
        <v>0</v>
      </c>
      <c r="G9" s="1078">
        <v>0</v>
      </c>
      <c r="H9" s="1078">
        <v>0</v>
      </c>
      <c r="I9" s="1078">
        <v>3719.13</v>
      </c>
      <c r="J9" s="1078">
        <v>0</v>
      </c>
      <c r="K9" s="1078">
        <v>149.81</v>
      </c>
      <c r="L9" s="1078">
        <v>0</v>
      </c>
      <c r="M9" s="1078">
        <v>80.709999999999994</v>
      </c>
      <c r="N9" s="1078">
        <v>69.180000000000007</v>
      </c>
      <c r="O9" s="1078">
        <v>57.65</v>
      </c>
      <c r="P9" s="1078">
        <v>46.12</v>
      </c>
      <c r="Q9" s="1082">
        <v>756293</v>
      </c>
      <c r="R9" s="1082">
        <v>126048</v>
      </c>
      <c r="S9" s="1081">
        <v>13</v>
      </c>
    </row>
    <row r="10" spans="1:19">
      <c r="A10" s="1077">
        <v>5</v>
      </c>
      <c r="B10" s="1023">
        <v>10058</v>
      </c>
      <c r="C10" s="1024" t="s">
        <v>54</v>
      </c>
      <c r="D10" s="1078">
        <v>20.99</v>
      </c>
      <c r="E10" s="1078">
        <v>4401.2700000000004</v>
      </c>
      <c r="F10" s="1078">
        <v>0</v>
      </c>
      <c r="G10" s="1078">
        <v>0</v>
      </c>
      <c r="H10" s="1078">
        <v>0</v>
      </c>
      <c r="I10" s="1078">
        <v>418.54</v>
      </c>
      <c r="J10" s="1078">
        <v>0</v>
      </c>
      <c r="K10" s="1078">
        <v>0</v>
      </c>
      <c r="L10" s="1078">
        <v>0</v>
      </c>
      <c r="M10" s="1078">
        <v>80.709999999999994</v>
      </c>
      <c r="N10" s="1078">
        <v>69.180000000000007</v>
      </c>
      <c r="O10" s="1078">
        <v>57.65</v>
      </c>
      <c r="P10" s="1078">
        <v>46.12</v>
      </c>
      <c r="Q10" s="1082">
        <v>756293</v>
      </c>
      <c r="R10" s="1082">
        <v>126048</v>
      </c>
      <c r="S10" s="1081">
        <v>4</v>
      </c>
    </row>
    <row r="11" spans="1:19">
      <c r="A11" s="1077">
        <v>6</v>
      </c>
      <c r="B11" s="1023">
        <v>10066</v>
      </c>
      <c r="C11" s="1024" t="s">
        <v>55</v>
      </c>
      <c r="D11" s="1078">
        <v>24.4</v>
      </c>
      <c r="E11" s="1078">
        <v>4473.25</v>
      </c>
      <c r="F11" s="1078">
        <v>0</v>
      </c>
      <c r="G11" s="1078">
        <v>0</v>
      </c>
      <c r="H11" s="1078">
        <v>0</v>
      </c>
      <c r="I11" s="1078">
        <v>0</v>
      </c>
      <c r="J11" s="1078">
        <v>0</v>
      </c>
      <c r="K11" s="1078">
        <v>0</v>
      </c>
      <c r="L11" s="1078">
        <v>0</v>
      </c>
      <c r="M11" s="1078">
        <v>80.709999999999994</v>
      </c>
      <c r="N11" s="1078">
        <v>69.180000000000007</v>
      </c>
      <c r="O11" s="1078">
        <v>57.65</v>
      </c>
      <c r="P11" s="1078">
        <v>46.12</v>
      </c>
      <c r="Q11" s="1082">
        <v>756293</v>
      </c>
      <c r="R11" s="1082">
        <v>126048</v>
      </c>
      <c r="S11" s="1081">
        <v>4</v>
      </c>
    </row>
    <row r="12" spans="1:19">
      <c r="A12" s="1077">
        <v>7</v>
      </c>
      <c r="B12" s="1023">
        <v>10074</v>
      </c>
      <c r="C12" s="1024" t="s">
        <v>109</v>
      </c>
      <c r="D12" s="1078">
        <v>187.9</v>
      </c>
      <c r="E12" s="1078">
        <v>149243.67000000001</v>
      </c>
      <c r="F12" s="1078">
        <v>0</v>
      </c>
      <c r="G12" s="1078">
        <v>0</v>
      </c>
      <c r="H12" s="1078">
        <v>0</v>
      </c>
      <c r="I12" s="1078">
        <v>11924.39</v>
      </c>
      <c r="J12" s="1078">
        <v>0</v>
      </c>
      <c r="K12" s="1078">
        <v>44.67</v>
      </c>
      <c r="L12" s="1078">
        <v>17.68</v>
      </c>
      <c r="M12" s="1078">
        <v>80.709999999999994</v>
      </c>
      <c r="N12" s="1078">
        <v>69.180000000000007</v>
      </c>
      <c r="O12" s="1078">
        <v>57.65</v>
      </c>
      <c r="P12" s="1078">
        <v>46.12</v>
      </c>
      <c r="Q12" s="1082">
        <v>756293</v>
      </c>
      <c r="R12" s="1082">
        <v>126048</v>
      </c>
      <c r="S12" s="1081">
        <v>18</v>
      </c>
    </row>
    <row r="13" spans="1:19">
      <c r="A13" s="1077">
        <v>8</v>
      </c>
      <c r="B13" s="1023">
        <v>10082</v>
      </c>
      <c r="C13" s="1024" t="s">
        <v>56</v>
      </c>
      <c r="D13" s="1078">
        <v>23.11</v>
      </c>
      <c r="E13" s="1078">
        <v>3270</v>
      </c>
      <c r="F13" s="1078">
        <v>0</v>
      </c>
      <c r="G13" s="1078">
        <v>0</v>
      </c>
      <c r="H13" s="1078">
        <v>0</v>
      </c>
      <c r="I13" s="1078">
        <v>612.72</v>
      </c>
      <c r="J13" s="1078">
        <v>0</v>
      </c>
      <c r="K13" s="1078">
        <v>0</v>
      </c>
      <c r="L13" s="1078">
        <v>0</v>
      </c>
      <c r="M13" s="1078">
        <v>80.709999999999994</v>
      </c>
      <c r="N13" s="1078">
        <v>69.180000000000007</v>
      </c>
      <c r="O13" s="1078">
        <v>57.65</v>
      </c>
      <c r="P13" s="1078">
        <v>46.12</v>
      </c>
      <c r="Q13" s="1082">
        <v>756293</v>
      </c>
      <c r="R13" s="1082">
        <v>126048</v>
      </c>
      <c r="S13" s="1081">
        <v>1</v>
      </c>
    </row>
    <row r="14" spans="1:19">
      <c r="A14" s="1077">
        <v>9</v>
      </c>
      <c r="B14" s="1023">
        <v>10090</v>
      </c>
      <c r="C14" s="1024" t="s">
        <v>37</v>
      </c>
      <c r="D14" s="1078">
        <v>191.19</v>
      </c>
      <c r="E14" s="1078">
        <v>21889.08</v>
      </c>
      <c r="F14" s="1078">
        <v>0</v>
      </c>
      <c r="G14" s="1078">
        <v>0</v>
      </c>
      <c r="H14" s="1078">
        <v>0</v>
      </c>
      <c r="I14" s="1078">
        <v>6658.08</v>
      </c>
      <c r="J14" s="1078">
        <v>0</v>
      </c>
      <c r="K14" s="1078">
        <v>288.29000000000002</v>
      </c>
      <c r="L14" s="1078">
        <v>267.05</v>
      </c>
      <c r="M14" s="1078">
        <v>80.709999999999994</v>
      </c>
      <c r="N14" s="1078">
        <v>69.180000000000007</v>
      </c>
      <c r="O14" s="1078">
        <v>57.65</v>
      </c>
      <c r="P14" s="1078">
        <v>46.12</v>
      </c>
      <c r="Q14" s="1082">
        <v>756293</v>
      </c>
      <c r="R14" s="1082">
        <v>126048</v>
      </c>
      <c r="S14" s="1081">
        <v>15</v>
      </c>
    </row>
    <row r="15" spans="1:19">
      <c r="A15" s="1077">
        <v>10</v>
      </c>
      <c r="B15" s="1023">
        <v>10108</v>
      </c>
      <c r="C15" s="1024" t="s">
        <v>48</v>
      </c>
      <c r="D15" s="1078">
        <v>506.71</v>
      </c>
      <c r="E15" s="1078">
        <v>178006.87</v>
      </c>
      <c r="F15" s="1078">
        <v>0</v>
      </c>
      <c r="G15" s="1078">
        <v>32</v>
      </c>
      <c r="H15" s="1078">
        <v>0</v>
      </c>
      <c r="I15" s="1078">
        <v>14030.38</v>
      </c>
      <c r="J15" s="1078">
        <v>2338.52</v>
      </c>
      <c r="K15" s="1078">
        <v>0</v>
      </c>
      <c r="L15" s="1078">
        <v>0</v>
      </c>
      <c r="M15" s="1078">
        <v>80.709999999999994</v>
      </c>
      <c r="N15" s="1078">
        <v>69.180000000000007</v>
      </c>
      <c r="O15" s="1078">
        <v>57.65</v>
      </c>
      <c r="P15" s="1078">
        <v>46.12</v>
      </c>
      <c r="Q15" s="1082">
        <v>756293</v>
      </c>
      <c r="R15" s="1082">
        <v>126048</v>
      </c>
      <c r="S15" s="1081">
        <v>32</v>
      </c>
    </row>
    <row r="16" spans="1:19">
      <c r="A16" s="1077">
        <v>11</v>
      </c>
      <c r="B16" s="1023">
        <v>10116</v>
      </c>
      <c r="C16" s="1024" t="s">
        <v>47</v>
      </c>
      <c r="D16" s="1078">
        <v>60.89</v>
      </c>
      <c r="E16" s="1078">
        <v>4988.13</v>
      </c>
      <c r="F16" s="1078">
        <v>0</v>
      </c>
      <c r="G16" s="1078">
        <v>0</v>
      </c>
      <c r="H16" s="1078">
        <v>0</v>
      </c>
      <c r="I16" s="1078">
        <v>840.81</v>
      </c>
      <c r="J16" s="1078">
        <v>0</v>
      </c>
      <c r="K16" s="1078">
        <v>135.91999999999999</v>
      </c>
      <c r="L16" s="1078">
        <v>0</v>
      </c>
      <c r="M16" s="1078">
        <v>80.709999999999994</v>
      </c>
      <c r="N16" s="1078">
        <v>69.180000000000007</v>
      </c>
      <c r="O16" s="1078">
        <v>57.65</v>
      </c>
      <c r="P16" s="1078">
        <v>46.12</v>
      </c>
      <c r="Q16" s="1082">
        <v>756293</v>
      </c>
      <c r="R16" s="1082">
        <v>126048</v>
      </c>
      <c r="S16" s="1081">
        <v>8</v>
      </c>
    </row>
    <row r="17" spans="1:19">
      <c r="A17" s="1077">
        <v>12</v>
      </c>
      <c r="B17" s="1023">
        <v>10124</v>
      </c>
      <c r="C17" s="1024" t="s">
        <v>57</v>
      </c>
      <c r="D17" s="1078">
        <v>151.30000000000001</v>
      </c>
      <c r="E17" s="1078">
        <v>13769.13</v>
      </c>
      <c r="F17" s="1078">
        <v>0</v>
      </c>
      <c r="G17" s="1078">
        <v>0</v>
      </c>
      <c r="H17" s="1078">
        <v>0</v>
      </c>
      <c r="I17" s="1078">
        <v>2456.3000000000002</v>
      </c>
      <c r="J17" s="1078">
        <v>0</v>
      </c>
      <c r="K17" s="1078">
        <v>0</v>
      </c>
      <c r="L17" s="1078">
        <v>0</v>
      </c>
      <c r="M17" s="1078">
        <v>80.709999999999994</v>
      </c>
      <c r="N17" s="1078">
        <v>69.180000000000007</v>
      </c>
      <c r="O17" s="1078">
        <v>57.65</v>
      </c>
      <c r="P17" s="1078">
        <v>46.12</v>
      </c>
      <c r="Q17" s="1082">
        <v>756293</v>
      </c>
      <c r="R17" s="1082">
        <v>126048</v>
      </c>
      <c r="S17" s="1081">
        <v>31</v>
      </c>
    </row>
    <row r="18" spans="1:19">
      <c r="A18" s="1077">
        <v>13</v>
      </c>
      <c r="B18" s="1023">
        <v>10132</v>
      </c>
      <c r="C18" s="1024" t="s">
        <v>58</v>
      </c>
      <c r="D18" s="1078">
        <v>457.44</v>
      </c>
      <c r="E18" s="1078">
        <v>33675.730000000003</v>
      </c>
      <c r="F18" s="1078">
        <v>0</v>
      </c>
      <c r="G18" s="1078">
        <v>0</v>
      </c>
      <c r="H18" s="1078">
        <v>0</v>
      </c>
      <c r="I18" s="1078">
        <v>309.17</v>
      </c>
      <c r="J18" s="1078">
        <v>0</v>
      </c>
      <c r="K18" s="1078">
        <v>152.55000000000001</v>
      </c>
      <c r="L18" s="1078">
        <v>0</v>
      </c>
      <c r="M18" s="1078">
        <v>80.709999999999994</v>
      </c>
      <c r="N18" s="1078">
        <v>69.180000000000007</v>
      </c>
      <c r="O18" s="1078">
        <v>57.65</v>
      </c>
      <c r="P18" s="1078">
        <v>46.12</v>
      </c>
      <c r="Q18" s="1082">
        <v>756293</v>
      </c>
      <c r="R18" s="1082">
        <v>126048</v>
      </c>
      <c r="S18" s="1081">
        <v>16</v>
      </c>
    </row>
    <row r="19" spans="1:19">
      <c r="A19" s="1077">
        <v>14</v>
      </c>
      <c r="B19" s="1023">
        <v>10140</v>
      </c>
      <c r="C19" s="1024" t="s">
        <v>36</v>
      </c>
      <c r="D19" s="1078">
        <v>9.0299999999999994</v>
      </c>
      <c r="E19" s="1078">
        <v>2445.23</v>
      </c>
      <c r="F19" s="1078">
        <v>0</v>
      </c>
      <c r="G19" s="1078">
        <v>15.74</v>
      </c>
      <c r="H19" s="1078">
        <v>0</v>
      </c>
      <c r="I19" s="1078">
        <v>879.36</v>
      </c>
      <c r="J19" s="1078">
        <v>0</v>
      </c>
      <c r="K19" s="1078">
        <v>0</v>
      </c>
      <c r="L19" s="1078">
        <v>0</v>
      </c>
      <c r="M19" s="1078">
        <v>80.709999999999994</v>
      </c>
      <c r="N19" s="1078">
        <v>69.180000000000007</v>
      </c>
      <c r="O19" s="1078">
        <v>57.65</v>
      </c>
      <c r="P19" s="1078">
        <v>46.12</v>
      </c>
      <c r="Q19" s="1082">
        <v>756293</v>
      </c>
      <c r="R19" s="1082">
        <v>126048</v>
      </c>
      <c r="S19" s="1081">
        <v>6</v>
      </c>
    </row>
    <row r="20" spans="1:19">
      <c r="A20" s="1077">
        <v>15</v>
      </c>
      <c r="B20" s="1023">
        <v>10157</v>
      </c>
      <c r="C20" s="1024" t="s">
        <v>46</v>
      </c>
      <c r="D20" s="1078">
        <v>401.53</v>
      </c>
      <c r="E20" s="1078">
        <v>166898.72</v>
      </c>
      <c r="F20" s="1078">
        <v>0</v>
      </c>
      <c r="G20" s="1078">
        <v>63.19</v>
      </c>
      <c r="H20" s="1078">
        <v>0</v>
      </c>
      <c r="I20" s="1078">
        <v>17936.37</v>
      </c>
      <c r="J20" s="1078">
        <v>0</v>
      </c>
      <c r="K20" s="1078">
        <v>1140.5</v>
      </c>
      <c r="L20" s="1078">
        <v>0</v>
      </c>
      <c r="M20" s="1078">
        <v>80.709999999999994</v>
      </c>
      <c r="N20" s="1078">
        <v>69.180000000000007</v>
      </c>
      <c r="O20" s="1078">
        <v>57.65</v>
      </c>
      <c r="P20" s="1078">
        <v>46.12</v>
      </c>
      <c r="Q20" s="1082">
        <v>756293</v>
      </c>
      <c r="R20" s="1082">
        <v>126048</v>
      </c>
      <c r="S20" s="1081">
        <v>46</v>
      </c>
    </row>
    <row r="21" spans="1:19">
      <c r="A21" s="1077">
        <v>16</v>
      </c>
      <c r="B21" s="1023">
        <v>10165</v>
      </c>
      <c r="C21" s="1024" t="s">
        <v>59</v>
      </c>
      <c r="D21" s="1078">
        <v>263.41000000000003</v>
      </c>
      <c r="E21" s="1078">
        <v>22769.56</v>
      </c>
      <c r="F21" s="1078">
        <v>0</v>
      </c>
      <c r="G21" s="1078">
        <v>0</v>
      </c>
      <c r="H21" s="1078">
        <v>0</v>
      </c>
      <c r="I21" s="1078">
        <v>2285.23</v>
      </c>
      <c r="J21" s="1078">
        <v>2687.84</v>
      </c>
      <c r="K21" s="1078">
        <v>0</v>
      </c>
      <c r="L21" s="1078">
        <v>0</v>
      </c>
      <c r="M21" s="1078">
        <v>80.709999999999994</v>
      </c>
      <c r="N21" s="1078">
        <v>69.180000000000007</v>
      </c>
      <c r="O21" s="1078">
        <v>57.65</v>
      </c>
      <c r="P21" s="1078">
        <v>46.12</v>
      </c>
      <c r="Q21" s="1082">
        <v>756293</v>
      </c>
      <c r="R21" s="1082">
        <v>126048</v>
      </c>
      <c r="S21" s="1081">
        <v>13</v>
      </c>
    </row>
    <row r="22" spans="1:19">
      <c r="A22" s="1077">
        <v>17</v>
      </c>
      <c r="B22" s="1023">
        <v>10173</v>
      </c>
      <c r="C22" s="1024" t="s">
        <v>60</v>
      </c>
      <c r="D22" s="1078">
        <v>23.72</v>
      </c>
      <c r="E22" s="1078">
        <v>8956.2199999999993</v>
      </c>
      <c r="F22" s="1078">
        <v>0</v>
      </c>
      <c r="G22" s="1078">
        <v>0</v>
      </c>
      <c r="H22" s="1078">
        <v>0</v>
      </c>
      <c r="I22" s="1078">
        <v>234.45</v>
      </c>
      <c r="J22" s="1078">
        <v>0</v>
      </c>
      <c r="K22" s="1078">
        <v>0</v>
      </c>
      <c r="L22" s="1078">
        <v>0</v>
      </c>
      <c r="M22" s="1078">
        <v>80.709999999999994</v>
      </c>
      <c r="N22" s="1078">
        <v>69.180000000000007</v>
      </c>
      <c r="O22" s="1078">
        <v>57.65</v>
      </c>
      <c r="P22" s="1078">
        <v>46.12</v>
      </c>
      <c r="Q22" s="1082">
        <v>756293</v>
      </c>
      <c r="R22" s="1082">
        <v>126048</v>
      </c>
      <c r="S22" s="1081">
        <v>6</v>
      </c>
    </row>
    <row r="23" spans="1:19">
      <c r="A23" s="1077">
        <v>18</v>
      </c>
      <c r="B23" s="1023">
        <v>10181</v>
      </c>
      <c r="C23" s="1024" t="s">
        <v>61</v>
      </c>
      <c r="D23" s="1078">
        <v>8.68</v>
      </c>
      <c r="E23" s="1078">
        <v>3095.65</v>
      </c>
      <c r="F23" s="1078">
        <v>0</v>
      </c>
      <c r="G23" s="1078">
        <v>0</v>
      </c>
      <c r="H23" s="1078">
        <v>0</v>
      </c>
      <c r="I23" s="1078">
        <v>501</v>
      </c>
      <c r="J23" s="1078">
        <v>0</v>
      </c>
      <c r="K23" s="1078">
        <v>0</v>
      </c>
      <c r="L23" s="1078">
        <v>0</v>
      </c>
      <c r="M23" s="1078">
        <v>80.709999999999994</v>
      </c>
      <c r="N23" s="1078">
        <v>69.180000000000007</v>
      </c>
      <c r="O23" s="1078">
        <v>57.65</v>
      </c>
      <c r="P23" s="1078">
        <v>46.12</v>
      </c>
      <c r="Q23" s="1082">
        <v>756293</v>
      </c>
      <c r="R23" s="1082">
        <v>126048</v>
      </c>
      <c r="S23" s="1081">
        <v>10</v>
      </c>
    </row>
    <row r="24" spans="1:19">
      <c r="A24" s="1077">
        <v>19</v>
      </c>
      <c r="B24" s="1023">
        <v>10199</v>
      </c>
      <c r="C24" s="1024" t="s">
        <v>45</v>
      </c>
      <c r="D24" s="1078">
        <v>1027.95</v>
      </c>
      <c r="E24" s="1078">
        <v>1075569.1499999999</v>
      </c>
      <c r="F24" s="1078">
        <v>0</v>
      </c>
      <c r="G24" s="1078">
        <v>0</v>
      </c>
      <c r="H24" s="1078">
        <v>0</v>
      </c>
      <c r="I24" s="1078">
        <v>197994.16</v>
      </c>
      <c r="J24" s="1078">
        <v>0</v>
      </c>
      <c r="K24" s="1078">
        <v>0</v>
      </c>
      <c r="L24" s="1078">
        <v>0</v>
      </c>
      <c r="M24" s="1078">
        <v>80.709999999999994</v>
      </c>
      <c r="N24" s="1078">
        <v>69.180000000000007</v>
      </c>
      <c r="O24" s="1078">
        <v>57.65</v>
      </c>
      <c r="P24" s="1078">
        <v>46.12</v>
      </c>
      <c r="Q24" s="1082">
        <v>756293</v>
      </c>
      <c r="R24" s="1082">
        <v>126048</v>
      </c>
      <c r="S24" s="1081">
        <v>79</v>
      </c>
    </row>
    <row r="25" spans="1:19">
      <c r="A25" s="1077">
        <v>20</v>
      </c>
      <c r="B25" s="1023">
        <v>10207</v>
      </c>
      <c r="C25" s="1024" t="s">
        <v>124</v>
      </c>
      <c r="D25" s="1078">
        <v>320.70999999999998</v>
      </c>
      <c r="E25" s="1078">
        <v>27982.54</v>
      </c>
      <c r="F25" s="1078">
        <v>0</v>
      </c>
      <c r="G25" s="1078">
        <v>0</v>
      </c>
      <c r="H25" s="1078">
        <v>0</v>
      </c>
      <c r="I25" s="1078">
        <v>1838.73</v>
      </c>
      <c r="J25" s="1078">
        <v>0</v>
      </c>
      <c r="K25" s="1078">
        <v>260.42</v>
      </c>
      <c r="L25" s="1078">
        <v>12.82</v>
      </c>
      <c r="M25" s="1078">
        <v>80.709999999999994</v>
      </c>
      <c r="N25" s="1078">
        <v>69.180000000000007</v>
      </c>
      <c r="O25" s="1078">
        <v>57.65</v>
      </c>
      <c r="P25" s="1078">
        <v>46.12</v>
      </c>
      <c r="Q25" s="1082">
        <v>756293</v>
      </c>
      <c r="R25" s="1082">
        <v>126048</v>
      </c>
      <c r="S25" s="1081">
        <v>9</v>
      </c>
    </row>
    <row r="26" spans="1:19">
      <c r="A26" s="1077">
        <v>21</v>
      </c>
      <c r="B26" s="1023">
        <v>10215</v>
      </c>
      <c r="C26" s="1024" t="s">
        <v>62</v>
      </c>
      <c r="D26" s="1078">
        <v>235</v>
      </c>
      <c r="E26" s="1078">
        <v>28429.42</v>
      </c>
      <c r="F26" s="1078">
        <v>0</v>
      </c>
      <c r="G26" s="1078">
        <v>147.38999999999999</v>
      </c>
      <c r="H26" s="1078">
        <v>0</v>
      </c>
      <c r="I26" s="1078">
        <v>456.55</v>
      </c>
      <c r="J26" s="1078">
        <v>0</v>
      </c>
      <c r="K26" s="1078">
        <v>0</v>
      </c>
      <c r="L26" s="1078">
        <v>24.04</v>
      </c>
      <c r="M26" s="1078">
        <v>80.709999999999994</v>
      </c>
      <c r="N26" s="1078">
        <v>69.180000000000007</v>
      </c>
      <c r="O26" s="1078">
        <v>57.65</v>
      </c>
      <c r="P26" s="1078">
        <v>46.12</v>
      </c>
      <c r="Q26" s="1082">
        <v>756293</v>
      </c>
      <c r="R26" s="1082">
        <v>126048</v>
      </c>
      <c r="S26" s="1081">
        <v>17</v>
      </c>
    </row>
    <row r="27" spans="1:19">
      <c r="A27" s="1077">
        <v>22</v>
      </c>
      <c r="B27" s="1023">
        <v>10223</v>
      </c>
      <c r="C27" s="1024" t="s">
        <v>63</v>
      </c>
      <c r="D27" s="1078">
        <v>33.049999999999997</v>
      </c>
      <c r="E27" s="1078">
        <v>1564.46</v>
      </c>
      <c r="F27" s="1078">
        <v>0</v>
      </c>
      <c r="G27" s="1078">
        <v>0</v>
      </c>
      <c r="H27" s="1078">
        <v>0</v>
      </c>
      <c r="I27" s="1078">
        <v>128.88</v>
      </c>
      <c r="J27" s="1078">
        <v>0</v>
      </c>
      <c r="K27" s="1078">
        <v>0</v>
      </c>
      <c r="L27" s="1078">
        <v>0</v>
      </c>
      <c r="M27" s="1078">
        <v>80.709999999999994</v>
      </c>
      <c r="N27" s="1078">
        <v>69.180000000000007</v>
      </c>
      <c r="O27" s="1078">
        <v>57.65</v>
      </c>
      <c r="P27" s="1078">
        <v>46.12</v>
      </c>
      <c r="Q27" s="1082">
        <v>756293</v>
      </c>
      <c r="R27" s="1082">
        <v>126048</v>
      </c>
      <c r="S27" s="1081">
        <v>1</v>
      </c>
    </row>
    <row r="28" spans="1:19">
      <c r="A28" s="1077">
        <v>23</v>
      </c>
      <c r="B28" s="1023">
        <v>10231</v>
      </c>
      <c r="C28" s="1024" t="s">
        <v>64</v>
      </c>
      <c r="D28" s="1078">
        <v>70.790000000000006</v>
      </c>
      <c r="E28" s="1078">
        <v>10664.22</v>
      </c>
      <c r="F28" s="1078">
        <v>0</v>
      </c>
      <c r="G28" s="1078">
        <v>47.83</v>
      </c>
      <c r="H28" s="1078">
        <v>0</v>
      </c>
      <c r="I28" s="1078">
        <v>1147.6099999999999</v>
      </c>
      <c r="J28" s="1078">
        <v>0</v>
      </c>
      <c r="K28" s="1078">
        <v>0</v>
      </c>
      <c r="L28" s="1078">
        <v>0</v>
      </c>
      <c r="M28" s="1078">
        <v>80.709999999999994</v>
      </c>
      <c r="N28" s="1078">
        <v>69.180000000000007</v>
      </c>
      <c r="O28" s="1078">
        <v>57.65</v>
      </c>
      <c r="P28" s="1078">
        <v>46.12</v>
      </c>
      <c r="Q28" s="1082">
        <v>756293</v>
      </c>
      <c r="R28" s="1082">
        <v>126048</v>
      </c>
      <c r="S28" s="1081">
        <v>12</v>
      </c>
    </row>
    <row r="29" spans="1:19">
      <c r="A29" s="1077">
        <v>24</v>
      </c>
      <c r="B29" s="1023">
        <v>10249</v>
      </c>
      <c r="C29" s="1024" t="s">
        <v>65</v>
      </c>
      <c r="D29" s="1078">
        <v>974.75</v>
      </c>
      <c r="E29" s="1078">
        <v>54585.120000000003</v>
      </c>
      <c r="F29" s="1078">
        <v>0</v>
      </c>
      <c r="G29" s="1078">
        <v>0</v>
      </c>
      <c r="H29" s="1078">
        <v>0</v>
      </c>
      <c r="I29" s="1078">
        <v>599.23</v>
      </c>
      <c r="J29" s="1078">
        <v>0</v>
      </c>
      <c r="K29" s="1078">
        <v>0</v>
      </c>
      <c r="L29" s="1078">
        <v>0</v>
      </c>
      <c r="M29" s="1078">
        <v>80.709999999999994</v>
      </c>
      <c r="N29" s="1078">
        <v>69.180000000000007</v>
      </c>
      <c r="O29" s="1078">
        <v>57.65</v>
      </c>
      <c r="P29" s="1078">
        <v>46.12</v>
      </c>
      <c r="Q29" s="1082">
        <v>756293</v>
      </c>
      <c r="R29" s="1082">
        <v>126048</v>
      </c>
      <c r="S29" s="1081">
        <v>20</v>
      </c>
    </row>
    <row r="30" spans="1:19">
      <c r="A30" s="1077">
        <v>25</v>
      </c>
      <c r="B30" s="1023">
        <v>10256</v>
      </c>
      <c r="C30" s="1024" t="s">
        <v>66</v>
      </c>
      <c r="D30" s="1078">
        <v>9.92</v>
      </c>
      <c r="E30" s="1078">
        <v>1267.21</v>
      </c>
      <c r="F30" s="1078">
        <v>0</v>
      </c>
      <c r="G30" s="1078">
        <v>0</v>
      </c>
      <c r="H30" s="1078">
        <v>0</v>
      </c>
      <c r="I30" s="1078">
        <v>0</v>
      </c>
      <c r="J30" s="1078">
        <v>0</v>
      </c>
      <c r="K30" s="1078">
        <v>0</v>
      </c>
      <c r="L30" s="1078">
        <v>0</v>
      </c>
      <c r="M30" s="1078">
        <v>80.709999999999994</v>
      </c>
      <c r="N30" s="1078">
        <v>69.180000000000007</v>
      </c>
      <c r="O30" s="1078">
        <v>57.65</v>
      </c>
      <c r="P30" s="1078">
        <v>46.12</v>
      </c>
      <c r="Q30" s="1082">
        <v>756293</v>
      </c>
      <c r="R30" s="1082">
        <v>126048</v>
      </c>
      <c r="S30" s="1081">
        <v>3</v>
      </c>
    </row>
    <row r="31" spans="1:19">
      <c r="A31" s="1077">
        <v>26</v>
      </c>
      <c r="B31" s="1023">
        <v>10264</v>
      </c>
      <c r="C31" s="1024" t="s">
        <v>35</v>
      </c>
      <c r="D31" s="1078">
        <v>13.87</v>
      </c>
      <c r="E31" s="1078">
        <v>1436.17</v>
      </c>
      <c r="F31" s="1078">
        <v>0</v>
      </c>
      <c r="G31" s="1078">
        <v>0</v>
      </c>
      <c r="H31" s="1078">
        <v>0</v>
      </c>
      <c r="I31" s="1078">
        <v>142.47</v>
      </c>
      <c r="J31" s="1078">
        <v>0</v>
      </c>
      <c r="K31" s="1078">
        <v>0</v>
      </c>
      <c r="L31" s="1078">
        <v>0</v>
      </c>
      <c r="M31" s="1078">
        <v>80.709999999999994</v>
      </c>
      <c r="N31" s="1078">
        <v>69.180000000000007</v>
      </c>
      <c r="O31" s="1078">
        <v>57.65</v>
      </c>
      <c r="P31" s="1078">
        <v>46.12</v>
      </c>
      <c r="Q31" s="1082">
        <v>756293</v>
      </c>
      <c r="R31" s="1082">
        <v>126048</v>
      </c>
      <c r="S31" s="1081">
        <v>2</v>
      </c>
    </row>
    <row r="32" spans="1:19">
      <c r="A32" s="1077">
        <v>27</v>
      </c>
      <c r="B32" s="1023">
        <v>10272</v>
      </c>
      <c r="C32" s="1024" t="s">
        <v>44</v>
      </c>
      <c r="D32" s="1078">
        <v>307.05</v>
      </c>
      <c r="E32" s="1078">
        <v>67456.31</v>
      </c>
      <c r="F32" s="1078">
        <v>0</v>
      </c>
      <c r="G32" s="1078">
        <v>0</v>
      </c>
      <c r="H32" s="1078">
        <v>0</v>
      </c>
      <c r="I32" s="1078">
        <v>1967.51</v>
      </c>
      <c r="J32" s="1078">
        <v>0</v>
      </c>
      <c r="K32" s="1078">
        <v>0</v>
      </c>
      <c r="L32" s="1078">
        <v>0</v>
      </c>
      <c r="M32" s="1078">
        <v>80.709999999999994</v>
      </c>
      <c r="N32" s="1078">
        <v>69.180000000000007</v>
      </c>
      <c r="O32" s="1078">
        <v>57.65</v>
      </c>
      <c r="P32" s="1078">
        <v>46.12</v>
      </c>
      <c r="Q32" s="1082">
        <v>756293</v>
      </c>
      <c r="R32" s="1082">
        <v>126048</v>
      </c>
      <c r="S32" s="1081">
        <v>24</v>
      </c>
    </row>
    <row r="33" spans="1:19">
      <c r="A33" s="1077">
        <v>28</v>
      </c>
      <c r="B33" s="1023">
        <v>10280</v>
      </c>
      <c r="C33" s="1024" t="s">
        <v>67</v>
      </c>
      <c r="D33" s="1078">
        <v>0</v>
      </c>
      <c r="E33" s="1078">
        <v>17830.13</v>
      </c>
      <c r="F33" s="1078">
        <v>0</v>
      </c>
      <c r="G33" s="1078">
        <v>62.06</v>
      </c>
      <c r="H33" s="1078">
        <v>0</v>
      </c>
      <c r="I33" s="1078">
        <v>257.75</v>
      </c>
      <c r="J33" s="1078">
        <v>0</v>
      </c>
      <c r="K33" s="1078">
        <v>0</v>
      </c>
      <c r="L33" s="1078">
        <v>0</v>
      </c>
      <c r="M33" s="1078">
        <v>80.709999999999994</v>
      </c>
      <c r="N33" s="1078">
        <v>69.180000000000007</v>
      </c>
      <c r="O33" s="1078">
        <v>57.65</v>
      </c>
      <c r="P33" s="1078">
        <v>46.12</v>
      </c>
      <c r="Q33" s="1082">
        <v>756293</v>
      </c>
      <c r="R33" s="1082">
        <v>126048</v>
      </c>
      <c r="S33" s="1081">
        <v>5</v>
      </c>
    </row>
    <row r="34" spans="1:19">
      <c r="A34" s="1077">
        <v>29</v>
      </c>
      <c r="B34" s="1023">
        <v>10298</v>
      </c>
      <c r="C34" s="1024" t="s">
        <v>34</v>
      </c>
      <c r="D34" s="1078">
        <v>60.01</v>
      </c>
      <c r="E34" s="1078">
        <v>5985.44</v>
      </c>
      <c r="F34" s="1078">
        <v>0</v>
      </c>
      <c r="G34" s="1078">
        <v>34.31</v>
      </c>
      <c r="H34" s="1078">
        <v>0</v>
      </c>
      <c r="I34" s="1078">
        <v>3886.93</v>
      </c>
      <c r="J34" s="1078">
        <v>0</v>
      </c>
      <c r="K34" s="1078">
        <v>0</v>
      </c>
      <c r="L34" s="1078">
        <v>0</v>
      </c>
      <c r="M34" s="1078">
        <v>80.709999999999994</v>
      </c>
      <c r="N34" s="1078">
        <v>69.180000000000007</v>
      </c>
      <c r="O34" s="1078">
        <v>57.65</v>
      </c>
      <c r="P34" s="1078">
        <v>46.12</v>
      </c>
      <c r="Q34" s="1082">
        <v>756293</v>
      </c>
      <c r="R34" s="1082">
        <v>126048</v>
      </c>
      <c r="S34" s="1081">
        <v>9</v>
      </c>
    </row>
    <row r="35" spans="1:19">
      <c r="A35" s="1077">
        <v>30</v>
      </c>
      <c r="B35" s="1023">
        <v>10306</v>
      </c>
      <c r="C35" s="1024" t="s">
        <v>68</v>
      </c>
      <c r="D35" s="1078">
        <v>2841.49</v>
      </c>
      <c r="E35" s="1078">
        <v>407598.94</v>
      </c>
      <c r="F35" s="1078">
        <v>117.63</v>
      </c>
      <c r="G35" s="1078">
        <v>0</v>
      </c>
      <c r="H35" s="1078">
        <v>0</v>
      </c>
      <c r="I35" s="1078">
        <v>21051.07</v>
      </c>
      <c r="J35" s="1078">
        <v>0</v>
      </c>
      <c r="K35" s="1078">
        <v>136.04</v>
      </c>
      <c r="L35" s="1078">
        <v>0</v>
      </c>
      <c r="M35" s="1078">
        <v>80.709999999999994</v>
      </c>
      <c r="N35" s="1078">
        <v>69.180000000000007</v>
      </c>
      <c r="O35" s="1078">
        <v>57.65</v>
      </c>
      <c r="P35" s="1078">
        <v>46.12</v>
      </c>
      <c r="Q35" s="1082">
        <v>756293</v>
      </c>
      <c r="R35" s="1082">
        <v>126048</v>
      </c>
      <c r="S35" s="1081">
        <v>28</v>
      </c>
    </row>
    <row r="36" spans="1:19">
      <c r="A36" s="1077">
        <v>31</v>
      </c>
      <c r="B36" s="1023">
        <v>10314</v>
      </c>
      <c r="C36" s="1024" t="s">
        <v>33</v>
      </c>
      <c r="D36" s="1078">
        <v>96.56</v>
      </c>
      <c r="E36" s="1078">
        <v>61063.99</v>
      </c>
      <c r="F36" s="1078">
        <v>0</v>
      </c>
      <c r="G36" s="1078">
        <v>0</v>
      </c>
      <c r="H36" s="1078">
        <v>0</v>
      </c>
      <c r="I36" s="1078">
        <v>9133.18</v>
      </c>
      <c r="J36" s="1078">
        <v>556.16999999999996</v>
      </c>
      <c r="K36" s="1078">
        <v>266.83</v>
      </c>
      <c r="L36" s="1078">
        <v>39.81</v>
      </c>
      <c r="M36" s="1078">
        <v>80.709999999999994</v>
      </c>
      <c r="N36" s="1078">
        <v>69.180000000000007</v>
      </c>
      <c r="O36" s="1078">
        <v>57.65</v>
      </c>
      <c r="P36" s="1078">
        <v>46.12</v>
      </c>
      <c r="Q36" s="1082">
        <v>756293</v>
      </c>
      <c r="R36" s="1082">
        <v>126048</v>
      </c>
      <c r="S36" s="1081">
        <v>16</v>
      </c>
    </row>
    <row r="37" spans="1:19">
      <c r="A37" s="1077">
        <v>32</v>
      </c>
      <c r="B37" s="1023">
        <v>10322</v>
      </c>
      <c r="C37" s="1024" t="s">
        <v>69</v>
      </c>
      <c r="D37" s="1078">
        <v>18.690000000000001</v>
      </c>
      <c r="E37" s="1078">
        <v>1635.25</v>
      </c>
      <c r="F37" s="1078">
        <v>0</v>
      </c>
      <c r="G37" s="1078">
        <v>0</v>
      </c>
      <c r="H37" s="1078">
        <v>0</v>
      </c>
      <c r="I37" s="1078">
        <v>300.31</v>
      </c>
      <c r="J37" s="1078">
        <v>0</v>
      </c>
      <c r="K37" s="1078">
        <v>0</v>
      </c>
      <c r="L37" s="1078">
        <v>0</v>
      </c>
      <c r="M37" s="1078">
        <v>80.709999999999994</v>
      </c>
      <c r="N37" s="1078">
        <v>69.180000000000007</v>
      </c>
      <c r="O37" s="1078">
        <v>57.65</v>
      </c>
      <c r="P37" s="1078">
        <v>46.12</v>
      </c>
      <c r="Q37" s="1082">
        <v>756293</v>
      </c>
      <c r="R37" s="1082">
        <v>126048</v>
      </c>
      <c r="S37" s="1081">
        <v>1</v>
      </c>
    </row>
    <row r="38" spans="1:19">
      <c r="A38" s="1077">
        <v>33</v>
      </c>
      <c r="B38" s="1023">
        <v>10330</v>
      </c>
      <c r="C38" s="1024" t="s">
        <v>32</v>
      </c>
      <c r="D38" s="1078">
        <v>508.87</v>
      </c>
      <c r="E38" s="1078">
        <v>370014.04</v>
      </c>
      <c r="F38" s="1078">
        <v>0</v>
      </c>
      <c r="G38" s="1078">
        <v>0</v>
      </c>
      <c r="H38" s="1078">
        <v>0</v>
      </c>
      <c r="I38" s="1078">
        <v>27423.08</v>
      </c>
      <c r="J38" s="1078">
        <v>0</v>
      </c>
      <c r="K38" s="1078">
        <v>323.49</v>
      </c>
      <c r="L38" s="1078">
        <v>23.04</v>
      </c>
      <c r="M38" s="1078">
        <v>80.709999999999994</v>
      </c>
      <c r="N38" s="1078">
        <v>69.180000000000007</v>
      </c>
      <c r="O38" s="1078">
        <v>57.65</v>
      </c>
      <c r="P38" s="1078">
        <v>46.12</v>
      </c>
      <c r="Q38" s="1082">
        <v>756293</v>
      </c>
      <c r="R38" s="1082">
        <v>126048</v>
      </c>
      <c r="S38" s="1081">
        <v>23</v>
      </c>
    </row>
    <row r="39" spans="1:19">
      <c r="A39" s="1077">
        <v>34</v>
      </c>
      <c r="B39" s="1023">
        <v>10348</v>
      </c>
      <c r="C39" s="1024" t="s">
        <v>43</v>
      </c>
      <c r="D39" s="1078">
        <v>664.59</v>
      </c>
      <c r="E39" s="1078">
        <v>190218.45</v>
      </c>
      <c r="F39" s="1078">
        <v>0</v>
      </c>
      <c r="G39" s="1078">
        <v>0</v>
      </c>
      <c r="H39" s="1078">
        <v>0</v>
      </c>
      <c r="I39" s="1078">
        <v>34933.74</v>
      </c>
      <c r="J39" s="1078">
        <v>0</v>
      </c>
      <c r="K39" s="1078">
        <v>0</v>
      </c>
      <c r="L39" s="1078">
        <v>0</v>
      </c>
      <c r="M39" s="1078">
        <v>80.709999999999994</v>
      </c>
      <c r="N39" s="1078">
        <v>69.180000000000007</v>
      </c>
      <c r="O39" s="1078">
        <v>57.65</v>
      </c>
      <c r="P39" s="1078">
        <v>46.12</v>
      </c>
      <c r="Q39" s="1082">
        <v>756293</v>
      </c>
      <c r="R39" s="1082">
        <v>126048</v>
      </c>
      <c r="S39" s="1081">
        <v>13</v>
      </c>
    </row>
    <row r="40" spans="1:19">
      <c r="A40" s="1077">
        <v>35</v>
      </c>
      <c r="B40" s="1023">
        <v>10355</v>
      </c>
      <c r="C40" s="1024" t="s">
        <v>70</v>
      </c>
      <c r="D40" s="1078">
        <v>24.65</v>
      </c>
      <c r="E40" s="1078">
        <v>10284.030000000001</v>
      </c>
      <c r="F40" s="1078">
        <v>0</v>
      </c>
      <c r="G40" s="1078">
        <v>0</v>
      </c>
      <c r="H40" s="1078">
        <v>0</v>
      </c>
      <c r="I40" s="1078">
        <v>514.05999999999995</v>
      </c>
      <c r="J40" s="1078">
        <v>0</v>
      </c>
      <c r="K40" s="1078">
        <v>0</v>
      </c>
      <c r="L40" s="1078">
        <v>0</v>
      </c>
      <c r="M40" s="1078">
        <v>80.709999999999994</v>
      </c>
      <c r="N40" s="1078">
        <v>69.180000000000007</v>
      </c>
      <c r="O40" s="1078">
        <v>57.65</v>
      </c>
      <c r="P40" s="1078">
        <v>46.12</v>
      </c>
      <c r="Q40" s="1082">
        <v>756293</v>
      </c>
      <c r="R40" s="1082">
        <v>126048</v>
      </c>
      <c r="S40" s="1081">
        <v>11</v>
      </c>
    </row>
    <row r="41" spans="1:19">
      <c r="A41" s="1077">
        <v>36</v>
      </c>
      <c r="B41" s="1023">
        <v>10363</v>
      </c>
      <c r="C41" s="1024" t="s">
        <v>110</v>
      </c>
      <c r="D41" s="1078">
        <v>1572.11</v>
      </c>
      <c r="E41" s="1078">
        <v>340871.54</v>
      </c>
      <c r="F41" s="1078">
        <v>0</v>
      </c>
      <c r="G41" s="1078">
        <v>0</v>
      </c>
      <c r="H41" s="1078">
        <v>0</v>
      </c>
      <c r="I41" s="1078">
        <v>36500.730000000003</v>
      </c>
      <c r="J41" s="1078">
        <v>0</v>
      </c>
      <c r="K41" s="1078">
        <v>0</v>
      </c>
      <c r="L41" s="1078">
        <v>0</v>
      </c>
      <c r="M41" s="1078">
        <v>80.709999999999994</v>
      </c>
      <c r="N41" s="1078">
        <v>69.180000000000007</v>
      </c>
      <c r="O41" s="1078">
        <v>57.65</v>
      </c>
      <c r="P41" s="1078">
        <v>46.12</v>
      </c>
      <c r="Q41" s="1082">
        <v>756293</v>
      </c>
      <c r="R41" s="1082">
        <v>126048</v>
      </c>
      <c r="S41" s="1081">
        <v>33</v>
      </c>
    </row>
    <row r="42" spans="1:19">
      <c r="A42" s="1077">
        <v>37</v>
      </c>
      <c r="B42" s="1023">
        <v>10371</v>
      </c>
      <c r="C42" s="1024" t="s">
        <v>71</v>
      </c>
      <c r="D42" s="1078">
        <v>379</v>
      </c>
      <c r="E42" s="1078">
        <v>380486.52</v>
      </c>
      <c r="F42" s="1078">
        <v>0</v>
      </c>
      <c r="G42" s="1078">
        <v>54.89</v>
      </c>
      <c r="H42" s="1078">
        <v>0</v>
      </c>
      <c r="I42" s="1078">
        <v>78503.19</v>
      </c>
      <c r="J42" s="1078">
        <v>0</v>
      </c>
      <c r="K42" s="1078">
        <v>0</v>
      </c>
      <c r="L42" s="1078">
        <v>0</v>
      </c>
      <c r="M42" s="1078">
        <v>80.709999999999994</v>
      </c>
      <c r="N42" s="1078">
        <v>69.180000000000007</v>
      </c>
      <c r="O42" s="1078">
        <v>57.65</v>
      </c>
      <c r="P42" s="1078">
        <v>46.12</v>
      </c>
      <c r="Q42" s="1082">
        <v>756293</v>
      </c>
      <c r="R42" s="1082">
        <v>126048</v>
      </c>
      <c r="S42" s="1081">
        <v>42</v>
      </c>
    </row>
    <row r="43" spans="1:19">
      <c r="A43" s="1077">
        <v>38</v>
      </c>
      <c r="B43" s="1023">
        <v>10389</v>
      </c>
      <c r="C43" s="1024" t="s">
        <v>111</v>
      </c>
      <c r="D43" s="1078">
        <v>27.68</v>
      </c>
      <c r="E43" s="1078">
        <v>46865.29</v>
      </c>
      <c r="F43" s="1078">
        <v>0</v>
      </c>
      <c r="G43" s="1078">
        <v>0</v>
      </c>
      <c r="H43" s="1078">
        <v>0</v>
      </c>
      <c r="I43" s="1078">
        <v>6055.6</v>
      </c>
      <c r="J43" s="1078">
        <v>0</v>
      </c>
      <c r="K43" s="1078">
        <v>0</v>
      </c>
      <c r="L43" s="1078">
        <v>0</v>
      </c>
      <c r="M43" s="1078">
        <v>80.709999999999994</v>
      </c>
      <c r="N43" s="1078">
        <v>69.180000000000007</v>
      </c>
      <c r="O43" s="1078">
        <v>57.65</v>
      </c>
      <c r="P43" s="1078">
        <v>46.12</v>
      </c>
      <c r="Q43" s="1082">
        <v>756293</v>
      </c>
      <c r="R43" s="1082">
        <v>126048</v>
      </c>
      <c r="S43" s="1081">
        <v>1</v>
      </c>
    </row>
    <row r="44" spans="1:19">
      <c r="A44" s="1077">
        <v>39</v>
      </c>
      <c r="B44" s="1023">
        <v>10397</v>
      </c>
      <c r="C44" s="1024" t="s">
        <v>112</v>
      </c>
      <c r="D44" s="1078">
        <v>1032.18</v>
      </c>
      <c r="E44" s="1078">
        <v>119854.49</v>
      </c>
      <c r="F44" s="1078">
        <v>0</v>
      </c>
      <c r="G44" s="1078">
        <v>0</v>
      </c>
      <c r="H44" s="1078">
        <v>0</v>
      </c>
      <c r="I44" s="1078">
        <v>21021.4</v>
      </c>
      <c r="J44" s="1078">
        <v>0</v>
      </c>
      <c r="K44" s="1078">
        <v>2119.44</v>
      </c>
      <c r="L44" s="1078">
        <v>95.67</v>
      </c>
      <c r="M44" s="1078">
        <v>80.709999999999994</v>
      </c>
      <c r="N44" s="1078">
        <v>69.180000000000007</v>
      </c>
      <c r="O44" s="1078">
        <v>57.65</v>
      </c>
      <c r="P44" s="1078">
        <v>46.12</v>
      </c>
      <c r="Q44" s="1082">
        <v>756293</v>
      </c>
      <c r="R44" s="1082">
        <v>126048</v>
      </c>
      <c r="S44" s="1081">
        <v>14</v>
      </c>
    </row>
    <row r="45" spans="1:19">
      <c r="A45" s="1077">
        <v>40</v>
      </c>
      <c r="B45" s="1023">
        <v>10405</v>
      </c>
      <c r="C45" s="1024" t="s">
        <v>113</v>
      </c>
      <c r="D45" s="1078">
        <v>17.100000000000001</v>
      </c>
      <c r="E45" s="1078">
        <v>30347.06</v>
      </c>
      <c r="F45" s="1078">
        <v>0</v>
      </c>
      <c r="G45" s="1078">
        <v>0</v>
      </c>
      <c r="H45" s="1078">
        <v>0</v>
      </c>
      <c r="I45" s="1078">
        <v>697.48</v>
      </c>
      <c r="J45" s="1078">
        <v>0</v>
      </c>
      <c r="K45" s="1078">
        <v>0</v>
      </c>
      <c r="L45" s="1078">
        <v>0</v>
      </c>
      <c r="M45" s="1078">
        <v>80.709999999999994</v>
      </c>
      <c r="N45" s="1078">
        <v>69.180000000000007</v>
      </c>
      <c r="O45" s="1078">
        <v>57.65</v>
      </c>
      <c r="P45" s="1078">
        <v>46.12</v>
      </c>
      <c r="Q45" s="1082">
        <v>756293</v>
      </c>
      <c r="R45" s="1082">
        <v>126048</v>
      </c>
      <c r="S45" s="1081">
        <v>10</v>
      </c>
    </row>
    <row r="46" spans="1:19">
      <c r="A46" s="1077">
        <v>41</v>
      </c>
      <c r="B46" s="1023">
        <v>10413</v>
      </c>
      <c r="C46" s="1024" t="s">
        <v>114</v>
      </c>
      <c r="D46" s="1078">
        <v>96.73</v>
      </c>
      <c r="E46" s="1078">
        <v>74866.259999999995</v>
      </c>
      <c r="F46" s="1078">
        <v>0</v>
      </c>
      <c r="G46" s="1078">
        <v>329.42</v>
      </c>
      <c r="H46" s="1078">
        <v>0</v>
      </c>
      <c r="I46" s="1078">
        <v>6011.43</v>
      </c>
      <c r="J46" s="1078">
        <v>0</v>
      </c>
      <c r="K46" s="1078">
        <v>0</v>
      </c>
      <c r="L46" s="1078">
        <v>0</v>
      </c>
      <c r="M46" s="1078">
        <v>80.709999999999994</v>
      </c>
      <c r="N46" s="1078">
        <v>69.180000000000007</v>
      </c>
      <c r="O46" s="1078">
        <v>57.65</v>
      </c>
      <c r="P46" s="1078">
        <v>46.12</v>
      </c>
      <c r="Q46" s="1082">
        <v>756293</v>
      </c>
      <c r="R46" s="1082">
        <v>126048</v>
      </c>
      <c r="S46" s="1081">
        <v>23</v>
      </c>
    </row>
    <row r="47" spans="1:19">
      <c r="A47" s="1077">
        <v>42</v>
      </c>
      <c r="B47" s="1023">
        <v>10421</v>
      </c>
      <c r="C47" s="1024" t="s">
        <v>115</v>
      </c>
      <c r="D47" s="1078">
        <v>65.510000000000005</v>
      </c>
      <c r="E47" s="1078">
        <v>59686.04</v>
      </c>
      <c r="F47" s="1078">
        <v>0</v>
      </c>
      <c r="G47" s="1078">
        <v>23.21</v>
      </c>
      <c r="H47" s="1078">
        <v>0</v>
      </c>
      <c r="I47" s="1078">
        <v>4329.1499999999996</v>
      </c>
      <c r="J47" s="1078">
        <v>0</v>
      </c>
      <c r="K47" s="1078">
        <v>0</v>
      </c>
      <c r="L47" s="1078">
        <v>0</v>
      </c>
      <c r="M47" s="1078">
        <v>80.709999999999994</v>
      </c>
      <c r="N47" s="1078">
        <v>69.180000000000007</v>
      </c>
      <c r="O47" s="1078">
        <v>57.65</v>
      </c>
      <c r="P47" s="1078">
        <v>46.12</v>
      </c>
      <c r="Q47" s="1082">
        <v>756293</v>
      </c>
      <c r="R47" s="1082">
        <v>126048</v>
      </c>
      <c r="S47" s="1081">
        <v>20</v>
      </c>
    </row>
    <row r="48" spans="1:19">
      <c r="A48" s="1077">
        <v>43</v>
      </c>
      <c r="B48" s="1023">
        <v>10439</v>
      </c>
      <c r="C48" s="1024" t="s">
        <v>116</v>
      </c>
      <c r="D48" s="1078">
        <v>929.45</v>
      </c>
      <c r="E48" s="1078">
        <v>200113.62</v>
      </c>
      <c r="F48" s="1078">
        <v>0</v>
      </c>
      <c r="G48" s="1078">
        <v>438.33</v>
      </c>
      <c r="H48" s="1078">
        <v>0</v>
      </c>
      <c r="I48" s="1078">
        <v>27555.57</v>
      </c>
      <c r="J48" s="1078">
        <v>0</v>
      </c>
      <c r="K48" s="1078">
        <v>135.91</v>
      </c>
      <c r="L48" s="1078">
        <v>44.84</v>
      </c>
      <c r="M48" s="1078">
        <v>80.709999999999994</v>
      </c>
      <c r="N48" s="1078">
        <v>69.180000000000007</v>
      </c>
      <c r="O48" s="1078">
        <v>57.65</v>
      </c>
      <c r="P48" s="1078">
        <v>46.12</v>
      </c>
      <c r="Q48" s="1082">
        <v>756293</v>
      </c>
      <c r="R48" s="1082">
        <v>126048</v>
      </c>
      <c r="S48" s="1081">
        <v>31</v>
      </c>
    </row>
    <row r="49" spans="1:19">
      <c r="A49" s="1077">
        <v>44</v>
      </c>
      <c r="B49" s="1023">
        <v>10447</v>
      </c>
      <c r="C49" s="1024" t="s">
        <v>117</v>
      </c>
      <c r="D49" s="1078">
        <v>97.76</v>
      </c>
      <c r="E49" s="1078">
        <v>29161.88</v>
      </c>
      <c r="F49" s="1078">
        <v>0</v>
      </c>
      <c r="G49" s="1078">
        <v>0</v>
      </c>
      <c r="H49" s="1078">
        <v>0</v>
      </c>
      <c r="I49" s="1078">
        <v>6931.98</v>
      </c>
      <c r="J49" s="1078">
        <v>0</v>
      </c>
      <c r="K49" s="1078">
        <v>0</v>
      </c>
      <c r="L49" s="1078">
        <v>0</v>
      </c>
      <c r="M49" s="1078">
        <v>80.709999999999994</v>
      </c>
      <c r="N49" s="1078">
        <v>69.180000000000007</v>
      </c>
      <c r="O49" s="1078">
        <v>57.65</v>
      </c>
      <c r="P49" s="1078">
        <v>46.12</v>
      </c>
      <c r="Q49" s="1082">
        <v>756293</v>
      </c>
      <c r="R49" s="1082">
        <v>126048</v>
      </c>
      <c r="S49" s="1081">
        <v>11</v>
      </c>
    </row>
    <row r="50" spans="1:19">
      <c r="A50" s="1077">
        <v>45</v>
      </c>
      <c r="B50" s="1023">
        <v>10454</v>
      </c>
      <c r="C50" s="1024" t="s">
        <v>72</v>
      </c>
      <c r="D50" s="1078">
        <v>119.91</v>
      </c>
      <c r="E50" s="1078">
        <v>20307.810000000001</v>
      </c>
      <c r="F50" s="1078">
        <v>0</v>
      </c>
      <c r="G50" s="1078">
        <v>0</v>
      </c>
      <c r="H50" s="1078">
        <v>0</v>
      </c>
      <c r="I50" s="1078">
        <v>4425.95</v>
      </c>
      <c r="J50" s="1078">
        <v>0</v>
      </c>
      <c r="K50" s="1078">
        <v>0</v>
      </c>
      <c r="L50" s="1078">
        <v>0</v>
      </c>
      <c r="M50" s="1078">
        <v>80.709999999999994</v>
      </c>
      <c r="N50" s="1078">
        <v>69.180000000000007</v>
      </c>
      <c r="O50" s="1078">
        <v>57.65</v>
      </c>
      <c r="P50" s="1078">
        <v>46.12</v>
      </c>
      <c r="Q50" s="1082">
        <v>756293</v>
      </c>
      <c r="R50" s="1082">
        <v>126048</v>
      </c>
      <c r="S50" s="1081">
        <v>25</v>
      </c>
    </row>
    <row r="51" spans="1:19">
      <c r="A51" s="1077">
        <v>46</v>
      </c>
      <c r="B51" s="1023">
        <v>10462</v>
      </c>
      <c r="C51" s="1024" t="s">
        <v>73</v>
      </c>
      <c r="D51" s="1078">
        <v>15.01</v>
      </c>
      <c r="E51" s="1078">
        <v>349.64</v>
      </c>
      <c r="F51" s="1078">
        <v>0</v>
      </c>
      <c r="G51" s="1078">
        <v>0</v>
      </c>
      <c r="H51" s="1078">
        <v>0</v>
      </c>
      <c r="I51" s="1078">
        <v>0</v>
      </c>
      <c r="J51" s="1078">
        <v>0</v>
      </c>
      <c r="K51" s="1078">
        <v>0</v>
      </c>
      <c r="L51" s="1078">
        <v>0</v>
      </c>
      <c r="M51" s="1078">
        <v>80.709999999999994</v>
      </c>
      <c r="N51" s="1078">
        <v>69.180000000000007</v>
      </c>
      <c r="O51" s="1078">
        <v>57.65</v>
      </c>
      <c r="P51" s="1078">
        <v>46.12</v>
      </c>
      <c r="Q51" s="1082">
        <v>756293</v>
      </c>
      <c r="R51" s="1082">
        <v>126048</v>
      </c>
      <c r="S51" s="1081">
        <v>1</v>
      </c>
    </row>
    <row r="52" spans="1:19">
      <c r="A52" s="1077">
        <v>47</v>
      </c>
      <c r="B52" s="1023">
        <v>10470</v>
      </c>
      <c r="C52" s="1024" t="s">
        <v>42</v>
      </c>
      <c r="D52" s="1078">
        <v>78.42</v>
      </c>
      <c r="E52" s="1078">
        <v>4749.8599999999997</v>
      </c>
      <c r="F52" s="1078">
        <v>0</v>
      </c>
      <c r="G52" s="1078">
        <v>0</v>
      </c>
      <c r="H52" s="1078">
        <v>0</v>
      </c>
      <c r="I52" s="1078">
        <v>592.99</v>
      </c>
      <c r="J52" s="1078">
        <v>0</v>
      </c>
      <c r="K52" s="1078">
        <v>0</v>
      </c>
      <c r="L52" s="1078">
        <v>0</v>
      </c>
      <c r="M52" s="1078">
        <v>80.709999999999994</v>
      </c>
      <c r="N52" s="1078">
        <v>69.180000000000007</v>
      </c>
      <c r="O52" s="1078">
        <v>57.65</v>
      </c>
      <c r="P52" s="1078">
        <v>46.12</v>
      </c>
      <c r="Q52" s="1082">
        <v>756293</v>
      </c>
      <c r="R52" s="1082">
        <v>126048</v>
      </c>
      <c r="S52" s="1081">
        <v>25</v>
      </c>
    </row>
    <row r="53" spans="1:19">
      <c r="A53" s="1077">
        <v>48</v>
      </c>
      <c r="B53" s="1023">
        <v>10488</v>
      </c>
      <c r="C53" s="1024" t="s">
        <v>74</v>
      </c>
      <c r="D53" s="1078">
        <v>237.09</v>
      </c>
      <c r="E53" s="1078">
        <v>51972.43</v>
      </c>
      <c r="F53" s="1078">
        <v>0</v>
      </c>
      <c r="G53" s="1078">
        <v>0</v>
      </c>
      <c r="H53" s="1078">
        <v>0</v>
      </c>
      <c r="I53" s="1078">
        <v>5005.03</v>
      </c>
      <c r="J53" s="1078">
        <v>0</v>
      </c>
      <c r="K53" s="1078">
        <v>0</v>
      </c>
      <c r="L53" s="1078">
        <v>0</v>
      </c>
      <c r="M53" s="1078">
        <v>80.709999999999994</v>
      </c>
      <c r="N53" s="1078">
        <v>69.180000000000007</v>
      </c>
      <c r="O53" s="1078">
        <v>57.65</v>
      </c>
      <c r="P53" s="1078">
        <v>46.12</v>
      </c>
      <c r="Q53" s="1082">
        <v>756293</v>
      </c>
      <c r="R53" s="1082">
        <v>126048</v>
      </c>
      <c r="S53" s="1081">
        <v>6</v>
      </c>
    </row>
    <row r="54" spans="1:19">
      <c r="A54" s="1077">
        <v>49</v>
      </c>
      <c r="B54" s="1023">
        <v>10496</v>
      </c>
      <c r="C54" s="1024" t="s">
        <v>75</v>
      </c>
      <c r="D54" s="1078">
        <v>242.66</v>
      </c>
      <c r="E54" s="1078">
        <v>43805</v>
      </c>
      <c r="F54" s="1078">
        <v>0</v>
      </c>
      <c r="G54" s="1078">
        <v>133.21</v>
      </c>
      <c r="H54" s="1078">
        <v>0</v>
      </c>
      <c r="I54" s="1078">
        <v>16996.599999999999</v>
      </c>
      <c r="J54" s="1078">
        <v>0</v>
      </c>
      <c r="K54" s="1078">
        <v>0</v>
      </c>
      <c r="L54" s="1078">
        <v>0</v>
      </c>
      <c r="M54" s="1078">
        <v>80.709999999999994</v>
      </c>
      <c r="N54" s="1078">
        <v>69.180000000000007</v>
      </c>
      <c r="O54" s="1078">
        <v>57.65</v>
      </c>
      <c r="P54" s="1078">
        <v>46.12</v>
      </c>
      <c r="Q54" s="1082">
        <v>756293</v>
      </c>
      <c r="R54" s="1082">
        <v>126048</v>
      </c>
      <c r="S54" s="1081">
        <v>40</v>
      </c>
    </row>
    <row r="55" spans="1:19">
      <c r="A55" s="1077">
        <v>50</v>
      </c>
      <c r="B55" s="1023">
        <v>10504</v>
      </c>
      <c r="C55" s="1024" t="s">
        <v>41</v>
      </c>
      <c r="D55" s="1078">
        <v>703.33</v>
      </c>
      <c r="E55" s="1078">
        <v>91790.05</v>
      </c>
      <c r="F55" s="1078">
        <v>0</v>
      </c>
      <c r="G55" s="1078">
        <v>0</v>
      </c>
      <c r="H55" s="1078">
        <v>0</v>
      </c>
      <c r="I55" s="1078">
        <v>7632.13</v>
      </c>
      <c r="J55" s="1078">
        <v>1012.31</v>
      </c>
      <c r="K55" s="1078">
        <v>723.33</v>
      </c>
      <c r="L55" s="1078">
        <v>9.26</v>
      </c>
      <c r="M55" s="1078">
        <v>80.709999999999994</v>
      </c>
      <c r="N55" s="1078">
        <v>69.180000000000007</v>
      </c>
      <c r="O55" s="1078">
        <v>57.65</v>
      </c>
      <c r="P55" s="1078">
        <v>46.12</v>
      </c>
      <c r="Q55" s="1082">
        <v>756293</v>
      </c>
      <c r="R55" s="1082">
        <v>126048</v>
      </c>
      <c r="S55" s="1081">
        <v>25</v>
      </c>
    </row>
    <row r="56" spans="1:19">
      <c r="A56" s="1077">
        <v>51</v>
      </c>
      <c r="B56" s="1023">
        <v>10512</v>
      </c>
      <c r="C56" s="1024" t="s">
        <v>76</v>
      </c>
      <c r="D56" s="1078">
        <v>286.99</v>
      </c>
      <c r="E56" s="1078">
        <v>14923.57</v>
      </c>
      <c r="F56" s="1078">
        <v>0</v>
      </c>
      <c r="G56" s="1078">
        <v>0</v>
      </c>
      <c r="H56" s="1078">
        <v>0</v>
      </c>
      <c r="I56" s="1078">
        <v>7326.09</v>
      </c>
      <c r="J56" s="1078">
        <v>0</v>
      </c>
      <c r="K56" s="1078">
        <v>3.62</v>
      </c>
      <c r="L56" s="1078">
        <v>3.31</v>
      </c>
      <c r="M56" s="1078">
        <v>80.709999999999994</v>
      </c>
      <c r="N56" s="1078">
        <v>69.180000000000007</v>
      </c>
      <c r="O56" s="1078">
        <v>57.65</v>
      </c>
      <c r="P56" s="1078">
        <v>46.12</v>
      </c>
      <c r="Q56" s="1082">
        <v>756293</v>
      </c>
      <c r="R56" s="1082">
        <v>126048</v>
      </c>
      <c r="S56" s="1081">
        <v>12</v>
      </c>
    </row>
    <row r="57" spans="1:19">
      <c r="A57" s="1077">
        <v>52</v>
      </c>
      <c r="B57" s="1023">
        <v>10520</v>
      </c>
      <c r="C57" s="1024" t="s">
        <v>77</v>
      </c>
      <c r="D57" s="1078">
        <v>51.04</v>
      </c>
      <c r="E57" s="1078">
        <v>9909.36</v>
      </c>
      <c r="F57" s="1078">
        <v>0</v>
      </c>
      <c r="G57" s="1078">
        <v>0</v>
      </c>
      <c r="H57" s="1078">
        <v>0</v>
      </c>
      <c r="I57" s="1078">
        <v>339.22</v>
      </c>
      <c r="J57" s="1078">
        <v>0</v>
      </c>
      <c r="K57" s="1078">
        <v>89.06</v>
      </c>
      <c r="L57" s="1078">
        <v>0</v>
      </c>
      <c r="M57" s="1078">
        <v>80.709999999999994</v>
      </c>
      <c r="N57" s="1078">
        <v>69.180000000000007</v>
      </c>
      <c r="O57" s="1078">
        <v>57.65</v>
      </c>
      <c r="P57" s="1078">
        <v>46.12</v>
      </c>
      <c r="Q57" s="1082">
        <v>756293</v>
      </c>
      <c r="R57" s="1082">
        <v>126048</v>
      </c>
      <c r="S57" s="1081">
        <v>13</v>
      </c>
    </row>
    <row r="58" spans="1:19">
      <c r="A58" s="1077">
        <v>53</v>
      </c>
      <c r="B58" s="1023">
        <v>10538</v>
      </c>
      <c r="C58" s="1024" t="s">
        <v>78</v>
      </c>
      <c r="D58" s="1078">
        <v>9.65</v>
      </c>
      <c r="E58" s="1078">
        <v>1347.44</v>
      </c>
      <c r="F58" s="1078">
        <v>0</v>
      </c>
      <c r="G58" s="1078">
        <v>0</v>
      </c>
      <c r="H58" s="1078">
        <v>0</v>
      </c>
      <c r="I58" s="1078">
        <v>0</v>
      </c>
      <c r="J58" s="1078">
        <v>0</v>
      </c>
      <c r="K58" s="1078">
        <v>53.19</v>
      </c>
      <c r="L58" s="1078">
        <v>6.99</v>
      </c>
      <c r="M58" s="1078">
        <v>80.709999999999994</v>
      </c>
      <c r="N58" s="1078">
        <v>69.180000000000007</v>
      </c>
      <c r="O58" s="1078">
        <v>57.65</v>
      </c>
      <c r="P58" s="1078">
        <v>46.12</v>
      </c>
      <c r="Q58" s="1082">
        <v>756293</v>
      </c>
      <c r="R58" s="1082">
        <v>126048</v>
      </c>
      <c r="S58" s="1081">
        <v>9</v>
      </c>
    </row>
    <row r="59" spans="1:19">
      <c r="A59" s="1077">
        <v>54</v>
      </c>
      <c r="B59" s="1023">
        <v>10546</v>
      </c>
      <c r="C59" s="1024" t="s">
        <v>31</v>
      </c>
      <c r="D59" s="1078">
        <v>834.58</v>
      </c>
      <c r="E59" s="1078">
        <v>88547.93</v>
      </c>
      <c r="F59" s="1078">
        <v>0</v>
      </c>
      <c r="G59" s="1078">
        <v>0</v>
      </c>
      <c r="H59" s="1078">
        <v>0</v>
      </c>
      <c r="I59" s="1078">
        <v>9598.9</v>
      </c>
      <c r="J59" s="1078">
        <v>0</v>
      </c>
      <c r="K59" s="1078">
        <v>0</v>
      </c>
      <c r="L59" s="1078">
        <v>0</v>
      </c>
      <c r="M59" s="1078">
        <v>80.709999999999994</v>
      </c>
      <c r="N59" s="1078">
        <v>69.180000000000007</v>
      </c>
      <c r="O59" s="1078">
        <v>57.65</v>
      </c>
      <c r="P59" s="1078">
        <v>46.12</v>
      </c>
      <c r="Q59" s="1082">
        <v>756293</v>
      </c>
      <c r="R59" s="1082">
        <v>126048</v>
      </c>
      <c r="S59" s="1081">
        <v>43</v>
      </c>
    </row>
    <row r="60" spans="1:19">
      <c r="A60" s="1077">
        <v>55</v>
      </c>
      <c r="B60" s="1023">
        <v>10553</v>
      </c>
      <c r="C60" s="1024" t="s">
        <v>40</v>
      </c>
      <c r="D60" s="1078">
        <v>83.96</v>
      </c>
      <c r="E60" s="1078">
        <v>4825.45</v>
      </c>
      <c r="F60" s="1078">
        <v>0</v>
      </c>
      <c r="G60" s="1078">
        <v>0</v>
      </c>
      <c r="H60" s="1078">
        <v>0</v>
      </c>
      <c r="I60" s="1078">
        <v>634.42999999999995</v>
      </c>
      <c r="J60" s="1078">
        <v>0</v>
      </c>
      <c r="K60" s="1078">
        <v>0</v>
      </c>
      <c r="L60" s="1078">
        <v>0</v>
      </c>
      <c r="M60" s="1078">
        <v>80.709999999999994</v>
      </c>
      <c r="N60" s="1078">
        <v>69.180000000000007</v>
      </c>
      <c r="O60" s="1078">
        <v>57.65</v>
      </c>
      <c r="P60" s="1078">
        <v>46.12</v>
      </c>
      <c r="Q60" s="1082">
        <v>756293</v>
      </c>
      <c r="R60" s="1082">
        <v>126048</v>
      </c>
      <c r="S60" s="1081">
        <v>11</v>
      </c>
    </row>
    <row r="61" spans="1:19">
      <c r="A61" s="1077">
        <v>56</v>
      </c>
      <c r="B61" s="1023">
        <v>10561</v>
      </c>
      <c r="C61" s="1024" t="s">
        <v>39</v>
      </c>
      <c r="D61" s="1078">
        <v>417.91</v>
      </c>
      <c r="E61" s="1078">
        <v>115719.34</v>
      </c>
      <c r="F61" s="1078">
        <v>0</v>
      </c>
      <c r="G61" s="1078">
        <v>0</v>
      </c>
      <c r="H61" s="1078">
        <v>0</v>
      </c>
      <c r="I61" s="1078">
        <v>5700.19</v>
      </c>
      <c r="J61" s="1078">
        <v>0</v>
      </c>
      <c r="K61" s="1078">
        <v>0</v>
      </c>
      <c r="L61" s="1078">
        <v>0</v>
      </c>
      <c r="M61" s="1078">
        <v>80.709999999999994</v>
      </c>
      <c r="N61" s="1078">
        <v>69.180000000000007</v>
      </c>
      <c r="O61" s="1078">
        <v>57.65</v>
      </c>
      <c r="P61" s="1078">
        <v>46.12</v>
      </c>
      <c r="Q61" s="1082">
        <v>756293</v>
      </c>
      <c r="R61" s="1082">
        <v>126048</v>
      </c>
      <c r="S61" s="1081">
        <v>19</v>
      </c>
    </row>
    <row r="62" spans="1:19">
      <c r="A62" s="1077">
        <v>57</v>
      </c>
      <c r="B62" s="1023">
        <v>10579</v>
      </c>
      <c r="C62" s="1024" t="s">
        <v>38</v>
      </c>
      <c r="D62" s="1078">
        <v>138.11000000000001</v>
      </c>
      <c r="E62" s="1078">
        <v>25368.97</v>
      </c>
      <c r="F62" s="1078">
        <v>0</v>
      </c>
      <c r="G62" s="1078">
        <v>0</v>
      </c>
      <c r="H62" s="1078">
        <v>0</v>
      </c>
      <c r="I62" s="1078">
        <v>2615.09</v>
      </c>
      <c r="J62" s="1078">
        <v>0</v>
      </c>
      <c r="K62" s="1078">
        <v>0</v>
      </c>
      <c r="L62" s="1078">
        <v>0</v>
      </c>
      <c r="M62" s="1078">
        <v>80.709999999999994</v>
      </c>
      <c r="N62" s="1078">
        <v>69.180000000000007</v>
      </c>
      <c r="O62" s="1078">
        <v>57.65</v>
      </c>
      <c r="P62" s="1078">
        <v>46.12</v>
      </c>
      <c r="Q62" s="1082">
        <v>756293</v>
      </c>
      <c r="R62" s="1082">
        <v>126048</v>
      </c>
      <c r="S62" s="1081">
        <v>5</v>
      </c>
    </row>
    <row r="63" spans="1:19">
      <c r="A63" s="1077">
        <v>58</v>
      </c>
      <c r="B63" s="1023">
        <v>10587</v>
      </c>
      <c r="C63" s="1024" t="s">
        <v>79</v>
      </c>
      <c r="D63" s="1078">
        <v>152.5</v>
      </c>
      <c r="E63" s="1078">
        <v>12737.8</v>
      </c>
      <c r="F63" s="1078">
        <v>0</v>
      </c>
      <c r="G63" s="1078">
        <v>0</v>
      </c>
      <c r="H63" s="1078">
        <v>0</v>
      </c>
      <c r="I63" s="1078">
        <v>1358.87</v>
      </c>
      <c r="J63" s="1078">
        <v>0</v>
      </c>
      <c r="K63" s="1078">
        <v>0</v>
      </c>
      <c r="L63" s="1078">
        <v>0</v>
      </c>
      <c r="M63" s="1078">
        <v>80.709999999999994</v>
      </c>
      <c r="N63" s="1078">
        <v>69.180000000000007</v>
      </c>
      <c r="O63" s="1078">
        <v>57.65</v>
      </c>
      <c r="P63" s="1078">
        <v>46.12</v>
      </c>
      <c r="Q63" s="1082">
        <v>756293</v>
      </c>
      <c r="R63" s="1082">
        <v>126048</v>
      </c>
      <c r="S63" s="1081">
        <v>5</v>
      </c>
    </row>
    <row r="64" spans="1:19">
      <c r="C64" s="31">
        <f>SUM(C6:C63)</f>
        <v>0</v>
      </c>
      <c r="D64" s="31">
        <f t="shared" ref="D64:S64" si="0">SUM(D6:D63)</f>
        <v>17327.880000000005</v>
      </c>
      <c r="E64" s="31">
        <f t="shared" si="0"/>
        <v>4930672.6799999988</v>
      </c>
      <c r="F64" s="31">
        <f t="shared" si="0"/>
        <v>117.63</v>
      </c>
      <c r="G64" s="31">
        <f t="shared" si="0"/>
        <v>1381.58</v>
      </c>
      <c r="H64" s="31">
        <f t="shared" si="0"/>
        <v>0</v>
      </c>
      <c r="I64" s="31">
        <f t="shared" si="0"/>
        <v>634987.46999999974</v>
      </c>
      <c r="J64" s="31">
        <f t="shared" si="0"/>
        <v>6594.84</v>
      </c>
      <c r="K64" s="31">
        <f t="shared" si="0"/>
        <v>6156.39</v>
      </c>
      <c r="L64" s="31">
        <f t="shared" si="0"/>
        <v>552</v>
      </c>
      <c r="M64" s="31"/>
      <c r="N64" s="31"/>
      <c r="O64" s="31"/>
      <c r="P64" s="31"/>
      <c r="Q64" s="31"/>
      <c r="R64" s="31"/>
      <c r="S64" s="31">
        <f t="shared" si="0"/>
        <v>940</v>
      </c>
    </row>
    <row r="66" spans="4:4">
      <c r="D66" s="929">
        <f>SUM(D64:S64)</f>
        <v>5598730.4699999979</v>
      </c>
    </row>
    <row r="67" spans="4:4">
      <c r="D67" s="344" t="s">
        <v>163</v>
      </c>
    </row>
  </sheetData>
  <phoneticPr fontId="51" type="noConversion"/>
  <conditionalFormatting sqref="D6:S63">
    <cfRule type="cellIs" dxfId="20" priority="1" operator="equal">
      <formula>0</formula>
    </cfRule>
  </conditionalFormatting>
  <pageMargins left="0.25" right="0.25" top="0.25" bottom="0.25" header="0.3" footer="0.3"/>
  <pageSetup paperSize="5" scale="50" orientation="landscape" r:id="rId1"/>
  <headerFooter>
    <oddFooter>&amp;R&amp;F
&amp;A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S67"/>
  <sheetViews>
    <sheetView zoomScale="80" zoomScaleNormal="80" workbookViewId="0">
      <pane xSplit="2" ySplit="5" topLeftCell="C42" activePane="bottomRight" state="frozen"/>
      <selection activeCell="A2" sqref="A2"/>
      <selection pane="topRight" activeCell="A2" sqref="A2"/>
      <selection pane="bottomLeft" activeCell="A2" sqref="A2"/>
      <selection pane="bottomRight" activeCell="A3" sqref="A3"/>
    </sheetView>
  </sheetViews>
  <sheetFormatPr defaultColWidth="8.88671875" defaultRowHeight="14.4"/>
  <cols>
    <col min="1" max="2" width="11.6640625" style="30" customWidth="1"/>
    <col min="3" max="3" width="41.6640625" style="30" customWidth="1"/>
    <col min="4" max="7" width="15.6640625" style="30" customWidth="1"/>
    <col min="8" max="10" width="15.44140625" style="30" customWidth="1"/>
    <col min="11" max="11" width="16.44140625" style="30" customWidth="1"/>
    <col min="12" max="14" width="17" style="30" customWidth="1"/>
    <col min="15" max="15" width="18.109375" style="30" customWidth="1"/>
    <col min="16" max="16" width="14.44140625" style="30" customWidth="1"/>
    <col min="17" max="19" width="14.6640625" style="30" customWidth="1"/>
    <col min="20" max="16384" width="8.88671875" style="30"/>
  </cols>
  <sheetData>
    <row r="1" spans="1:19" ht="18">
      <c r="A1" s="792" t="s">
        <v>320</v>
      </c>
      <c r="E1" s="345" t="s">
        <v>1634</v>
      </c>
    </row>
    <row r="2" spans="1:19" ht="18">
      <c r="A2" s="930" t="s">
        <v>1777</v>
      </c>
      <c r="B2" s="790"/>
      <c r="C2" s="924"/>
    </row>
    <row r="3" spans="1:19" ht="21" customHeight="1">
      <c r="A3" s="791" t="str">
        <f>+'Data Entry'!G10</f>
        <v>2020-21</v>
      </c>
      <c r="B3" s="794" t="s">
        <v>1458</v>
      </c>
      <c r="C3" s="341"/>
      <c r="D3" s="786" t="s">
        <v>1413</v>
      </c>
      <c r="E3" s="786" t="s">
        <v>1414</v>
      </c>
      <c r="F3" s="786" t="s">
        <v>1415</v>
      </c>
      <c r="G3" s="786" t="s">
        <v>1416</v>
      </c>
      <c r="H3" s="786" t="s">
        <v>1417</v>
      </c>
      <c r="I3" s="786" t="s">
        <v>1418</v>
      </c>
      <c r="J3" s="786" t="s">
        <v>1419</v>
      </c>
      <c r="K3" s="786" t="s">
        <v>1420</v>
      </c>
      <c r="L3" s="786" t="s">
        <v>1421</v>
      </c>
      <c r="M3" s="786" t="s">
        <v>1422</v>
      </c>
      <c r="N3" s="786" t="s">
        <v>1423</v>
      </c>
      <c r="O3" s="786" t="s">
        <v>1424</v>
      </c>
      <c r="P3" s="786" t="s">
        <v>492</v>
      </c>
      <c r="Q3" s="786" t="s">
        <v>493</v>
      </c>
      <c r="R3" s="786" t="s">
        <v>494</v>
      </c>
      <c r="S3" s="786" t="s">
        <v>1425</v>
      </c>
    </row>
    <row r="4" spans="1:19" s="313" customFormat="1" ht="123.75" customHeight="1">
      <c r="A4" s="342" t="s">
        <v>16</v>
      </c>
      <c r="B4" s="342" t="s">
        <v>8</v>
      </c>
      <c r="C4" s="342" t="s">
        <v>20</v>
      </c>
      <c r="D4" s="342" t="s">
        <v>482</v>
      </c>
      <c r="E4" s="342" t="s">
        <v>483</v>
      </c>
      <c r="F4" s="342" t="s">
        <v>484</v>
      </c>
      <c r="G4" s="342" t="s">
        <v>485</v>
      </c>
      <c r="H4" s="342" t="s">
        <v>486</v>
      </c>
      <c r="I4" s="342" t="s">
        <v>487</v>
      </c>
      <c r="J4" s="342" t="s">
        <v>488</v>
      </c>
      <c r="K4" s="342" t="s">
        <v>489</v>
      </c>
      <c r="L4" s="342" t="s">
        <v>490</v>
      </c>
      <c r="M4" s="342" t="s">
        <v>495</v>
      </c>
      <c r="N4" s="342" t="s">
        <v>496</v>
      </c>
      <c r="O4" s="342" t="s">
        <v>497</v>
      </c>
      <c r="P4" s="342" t="s">
        <v>498</v>
      </c>
      <c r="Q4" s="342" t="s">
        <v>502</v>
      </c>
      <c r="R4" s="342" t="s">
        <v>503</v>
      </c>
      <c r="S4" s="342" t="s">
        <v>491</v>
      </c>
    </row>
    <row r="5" spans="1:19" s="313" customFormat="1" ht="30" customHeight="1">
      <c r="A5" s="342"/>
      <c r="B5" s="342"/>
      <c r="C5" s="342"/>
      <c r="D5" s="343" t="s">
        <v>11</v>
      </c>
      <c r="E5" s="343" t="s">
        <v>13</v>
      </c>
      <c r="F5" s="343" t="s">
        <v>9</v>
      </c>
      <c r="G5" s="343" t="s">
        <v>93</v>
      </c>
      <c r="H5" s="343" t="s">
        <v>92</v>
      </c>
      <c r="I5" s="343" t="s">
        <v>91</v>
      </c>
      <c r="J5" s="343" t="s">
        <v>90</v>
      </c>
      <c r="K5" s="343" t="s">
        <v>89</v>
      </c>
      <c r="L5" s="343" t="s">
        <v>88</v>
      </c>
      <c r="M5" s="343" t="s">
        <v>87</v>
      </c>
      <c r="N5" s="343" t="s">
        <v>499</v>
      </c>
      <c r="O5" s="343" t="s">
        <v>500</v>
      </c>
      <c r="P5" s="343" t="s">
        <v>501</v>
      </c>
      <c r="Q5" s="343" t="s">
        <v>99</v>
      </c>
      <c r="R5" s="343" t="s">
        <v>97</v>
      </c>
      <c r="S5" s="343" t="s">
        <v>50</v>
      </c>
    </row>
    <row r="6" spans="1:19">
      <c r="A6" s="490">
        <v>1</v>
      </c>
      <c r="B6" s="490">
        <v>10017</v>
      </c>
      <c r="C6" s="925" t="s">
        <v>49</v>
      </c>
      <c r="D6" s="926">
        <v>0</v>
      </c>
      <c r="E6" s="926">
        <v>194510.63</v>
      </c>
      <c r="F6" s="926">
        <v>0</v>
      </c>
      <c r="G6" s="926">
        <v>0</v>
      </c>
      <c r="H6" s="926">
        <v>0</v>
      </c>
      <c r="I6" s="926">
        <v>21929.13</v>
      </c>
      <c r="J6" s="926">
        <v>0</v>
      </c>
      <c r="K6" s="926">
        <v>121.98</v>
      </c>
      <c r="L6" s="926">
        <v>5.16</v>
      </c>
      <c r="M6" s="927">
        <v>76.819999999999993</v>
      </c>
      <c r="N6" s="927">
        <v>65.84</v>
      </c>
      <c r="O6" s="927">
        <v>54.86</v>
      </c>
      <c r="P6" s="927">
        <v>43.9</v>
      </c>
      <c r="Q6" s="928">
        <v>719783</v>
      </c>
      <c r="R6" s="928">
        <v>119963</v>
      </c>
      <c r="S6" s="346">
        <v>18</v>
      </c>
    </row>
    <row r="7" spans="1:19">
      <c r="A7" s="490">
        <v>2</v>
      </c>
      <c r="B7" s="490">
        <v>10025</v>
      </c>
      <c r="C7" s="925" t="s">
        <v>51</v>
      </c>
      <c r="D7" s="926">
        <v>40.86</v>
      </c>
      <c r="E7" s="926">
        <v>68.7</v>
      </c>
      <c r="F7" s="926">
        <v>0</v>
      </c>
      <c r="G7" s="926">
        <v>0</v>
      </c>
      <c r="H7" s="926">
        <v>0</v>
      </c>
      <c r="I7" s="926">
        <v>0</v>
      </c>
      <c r="J7" s="926">
        <v>0</v>
      </c>
      <c r="K7" s="926">
        <v>0</v>
      </c>
      <c r="L7" s="926">
        <v>0</v>
      </c>
      <c r="M7" s="926">
        <v>76.819999999999993</v>
      </c>
      <c r="N7" s="926">
        <v>65.84</v>
      </c>
      <c r="O7" s="926">
        <v>54.86</v>
      </c>
      <c r="P7" s="926">
        <v>43.9</v>
      </c>
      <c r="Q7" s="346">
        <v>719783</v>
      </c>
      <c r="R7" s="346">
        <v>119963</v>
      </c>
      <c r="S7" s="346">
        <v>1</v>
      </c>
    </row>
    <row r="8" spans="1:19">
      <c r="A8" s="490">
        <v>3</v>
      </c>
      <c r="B8" s="490">
        <v>10033</v>
      </c>
      <c r="C8" s="925" t="s">
        <v>52</v>
      </c>
      <c r="D8" s="926">
        <v>184.64</v>
      </c>
      <c r="E8" s="926">
        <v>3723.58</v>
      </c>
      <c r="F8" s="926">
        <v>0</v>
      </c>
      <c r="G8" s="926">
        <v>0</v>
      </c>
      <c r="H8" s="926">
        <v>0</v>
      </c>
      <c r="I8" s="926">
        <v>0</v>
      </c>
      <c r="J8" s="926">
        <v>0</v>
      </c>
      <c r="K8" s="926">
        <v>0</v>
      </c>
      <c r="L8" s="926">
        <v>0</v>
      </c>
      <c r="M8" s="926">
        <v>76.819999999999993</v>
      </c>
      <c r="N8" s="926">
        <v>65.84</v>
      </c>
      <c r="O8" s="926">
        <v>54.86</v>
      </c>
      <c r="P8" s="926">
        <v>43.9</v>
      </c>
      <c r="Q8" s="346">
        <v>719783</v>
      </c>
      <c r="R8" s="346">
        <v>119963</v>
      </c>
      <c r="S8" s="346">
        <v>1</v>
      </c>
    </row>
    <row r="9" spans="1:19">
      <c r="A9" s="490">
        <v>4</v>
      </c>
      <c r="B9" s="490">
        <v>10041</v>
      </c>
      <c r="C9" s="925" t="s">
        <v>53</v>
      </c>
      <c r="D9" s="926">
        <v>104.46</v>
      </c>
      <c r="E9" s="926">
        <v>24557.26</v>
      </c>
      <c r="F9" s="926">
        <v>0</v>
      </c>
      <c r="G9" s="926">
        <v>0</v>
      </c>
      <c r="H9" s="926">
        <v>0</v>
      </c>
      <c r="I9" s="926">
        <v>3668.36</v>
      </c>
      <c r="J9" s="926">
        <v>0</v>
      </c>
      <c r="K9" s="926">
        <v>182.28</v>
      </c>
      <c r="L9" s="926">
        <v>0</v>
      </c>
      <c r="M9" s="926">
        <v>76.819999999999993</v>
      </c>
      <c r="N9" s="926">
        <v>65.84</v>
      </c>
      <c r="O9" s="926">
        <v>54.86</v>
      </c>
      <c r="P9" s="926">
        <v>43.9</v>
      </c>
      <c r="Q9" s="346">
        <v>719783</v>
      </c>
      <c r="R9" s="346">
        <v>119963</v>
      </c>
      <c r="S9" s="346">
        <v>13</v>
      </c>
    </row>
    <row r="10" spans="1:19">
      <c r="A10" s="490">
        <v>5</v>
      </c>
      <c r="B10" s="490">
        <v>10058</v>
      </c>
      <c r="C10" s="925" t="s">
        <v>54</v>
      </c>
      <c r="D10" s="926">
        <v>23.16</v>
      </c>
      <c r="E10" s="926">
        <v>4576.55</v>
      </c>
      <c r="F10" s="926">
        <v>0</v>
      </c>
      <c r="G10" s="926">
        <v>0</v>
      </c>
      <c r="H10" s="926">
        <v>0</v>
      </c>
      <c r="I10" s="926">
        <v>375.67</v>
      </c>
      <c r="J10" s="926">
        <v>0</v>
      </c>
      <c r="K10" s="926">
        <v>0</v>
      </c>
      <c r="L10" s="926">
        <v>0</v>
      </c>
      <c r="M10" s="926">
        <v>76.819999999999993</v>
      </c>
      <c r="N10" s="926">
        <v>65.84</v>
      </c>
      <c r="O10" s="926">
        <v>54.86</v>
      </c>
      <c r="P10" s="926">
        <v>43.9</v>
      </c>
      <c r="Q10" s="346">
        <v>719783</v>
      </c>
      <c r="R10" s="346">
        <v>119963</v>
      </c>
      <c r="S10" s="346">
        <v>4</v>
      </c>
    </row>
    <row r="11" spans="1:19">
      <c r="A11" s="490">
        <v>6</v>
      </c>
      <c r="B11" s="490">
        <v>10066</v>
      </c>
      <c r="C11" s="925" t="s">
        <v>55</v>
      </c>
      <c r="D11" s="926">
        <v>16.23</v>
      </c>
      <c r="E11" s="926">
        <v>4452.24</v>
      </c>
      <c r="F11" s="926">
        <v>0</v>
      </c>
      <c r="G11" s="926">
        <v>0</v>
      </c>
      <c r="H11" s="926">
        <v>0</v>
      </c>
      <c r="I11" s="926">
        <v>0</v>
      </c>
      <c r="J11" s="926">
        <v>0</v>
      </c>
      <c r="K11" s="926">
        <v>0</v>
      </c>
      <c r="L11" s="926">
        <v>0</v>
      </c>
      <c r="M11" s="926">
        <v>76.819999999999993</v>
      </c>
      <c r="N11" s="926">
        <v>65.84</v>
      </c>
      <c r="O11" s="926">
        <v>54.86</v>
      </c>
      <c r="P11" s="926">
        <v>43.9</v>
      </c>
      <c r="Q11" s="346">
        <v>719783</v>
      </c>
      <c r="R11" s="346">
        <v>119963</v>
      </c>
      <c r="S11" s="346">
        <v>4</v>
      </c>
    </row>
    <row r="12" spans="1:19">
      <c r="A12" s="490">
        <v>7</v>
      </c>
      <c r="B12" s="490">
        <v>10074</v>
      </c>
      <c r="C12" s="925" t="s">
        <v>109</v>
      </c>
      <c r="D12" s="926">
        <v>208.42</v>
      </c>
      <c r="E12" s="926">
        <v>158273.98000000001</v>
      </c>
      <c r="F12" s="926">
        <v>0</v>
      </c>
      <c r="G12" s="926">
        <v>0</v>
      </c>
      <c r="H12" s="926">
        <v>0</v>
      </c>
      <c r="I12" s="926">
        <v>11731.48</v>
      </c>
      <c r="J12" s="926">
        <v>0</v>
      </c>
      <c r="K12" s="926">
        <v>75.17</v>
      </c>
      <c r="L12" s="926">
        <v>34.99</v>
      </c>
      <c r="M12" s="926">
        <v>76.819999999999993</v>
      </c>
      <c r="N12" s="926">
        <v>65.84</v>
      </c>
      <c r="O12" s="926">
        <v>54.86</v>
      </c>
      <c r="P12" s="926">
        <v>43.9</v>
      </c>
      <c r="Q12" s="346">
        <v>719783</v>
      </c>
      <c r="R12" s="346">
        <v>119963</v>
      </c>
      <c r="S12" s="346">
        <v>18</v>
      </c>
    </row>
    <row r="13" spans="1:19">
      <c r="A13" s="490">
        <v>8</v>
      </c>
      <c r="B13" s="490">
        <v>10082</v>
      </c>
      <c r="C13" s="925" t="s">
        <v>56</v>
      </c>
      <c r="D13" s="926">
        <v>25.8</v>
      </c>
      <c r="E13" s="926">
        <v>3450.7</v>
      </c>
      <c r="F13" s="926">
        <v>0</v>
      </c>
      <c r="G13" s="926">
        <v>0</v>
      </c>
      <c r="H13" s="926">
        <v>0</v>
      </c>
      <c r="I13" s="926">
        <v>584.05999999999995</v>
      </c>
      <c r="J13" s="926">
        <v>0</v>
      </c>
      <c r="K13" s="926">
        <v>0</v>
      </c>
      <c r="L13" s="926">
        <v>0</v>
      </c>
      <c r="M13" s="926">
        <v>76.819999999999993</v>
      </c>
      <c r="N13" s="926">
        <v>65.84</v>
      </c>
      <c r="O13" s="926">
        <v>54.86</v>
      </c>
      <c r="P13" s="926">
        <v>43.9</v>
      </c>
      <c r="Q13" s="346">
        <v>719783</v>
      </c>
      <c r="R13" s="346">
        <v>119963</v>
      </c>
      <c r="S13" s="346">
        <v>1</v>
      </c>
    </row>
    <row r="14" spans="1:19">
      <c r="A14" s="490">
        <v>9</v>
      </c>
      <c r="B14" s="490">
        <v>10090</v>
      </c>
      <c r="C14" s="925" t="s">
        <v>37</v>
      </c>
      <c r="D14" s="926">
        <v>188.12</v>
      </c>
      <c r="E14" s="926">
        <v>22911.84</v>
      </c>
      <c r="F14" s="926">
        <v>0</v>
      </c>
      <c r="G14" s="926">
        <v>0</v>
      </c>
      <c r="H14" s="926">
        <v>0</v>
      </c>
      <c r="I14" s="926">
        <v>6181.01</v>
      </c>
      <c r="J14" s="926">
        <v>0</v>
      </c>
      <c r="K14" s="926">
        <v>321.43</v>
      </c>
      <c r="L14" s="926">
        <v>436.52</v>
      </c>
      <c r="M14" s="926">
        <v>76.819999999999993</v>
      </c>
      <c r="N14" s="926">
        <v>65.84</v>
      </c>
      <c r="O14" s="926">
        <v>54.86</v>
      </c>
      <c r="P14" s="926">
        <v>43.9</v>
      </c>
      <c r="Q14" s="346">
        <v>719783</v>
      </c>
      <c r="R14" s="346">
        <v>119963</v>
      </c>
      <c r="S14" s="346">
        <v>15</v>
      </c>
    </row>
    <row r="15" spans="1:19">
      <c r="A15" s="490">
        <v>10</v>
      </c>
      <c r="B15" s="490">
        <v>10108</v>
      </c>
      <c r="C15" s="925" t="s">
        <v>48</v>
      </c>
      <c r="D15" s="926">
        <v>588.74</v>
      </c>
      <c r="E15" s="926">
        <v>182398.61</v>
      </c>
      <c r="F15" s="926">
        <v>0</v>
      </c>
      <c r="G15" s="926">
        <v>30.13</v>
      </c>
      <c r="H15" s="926">
        <v>0</v>
      </c>
      <c r="I15" s="926">
        <v>13580.49</v>
      </c>
      <c r="J15" s="926">
        <v>2342.4299999999998</v>
      </c>
      <c r="K15" s="926">
        <v>0</v>
      </c>
      <c r="L15" s="926">
        <v>0</v>
      </c>
      <c r="M15" s="926">
        <v>76.819999999999993</v>
      </c>
      <c r="N15" s="926">
        <v>65.84</v>
      </c>
      <c r="O15" s="926">
        <v>54.86</v>
      </c>
      <c r="P15" s="926">
        <v>43.9</v>
      </c>
      <c r="Q15" s="346">
        <v>719783</v>
      </c>
      <c r="R15" s="346">
        <v>119963</v>
      </c>
      <c r="S15" s="346">
        <v>32</v>
      </c>
    </row>
    <row r="16" spans="1:19">
      <c r="A16" s="490">
        <v>11</v>
      </c>
      <c r="B16" s="490">
        <v>10116</v>
      </c>
      <c r="C16" s="925" t="s">
        <v>47</v>
      </c>
      <c r="D16" s="926">
        <v>71.16</v>
      </c>
      <c r="E16" s="926">
        <v>4948.5600000000004</v>
      </c>
      <c r="F16" s="926">
        <v>0</v>
      </c>
      <c r="G16" s="926">
        <v>0</v>
      </c>
      <c r="H16" s="926">
        <v>0</v>
      </c>
      <c r="I16" s="926">
        <v>675.06</v>
      </c>
      <c r="J16" s="926">
        <v>0</v>
      </c>
      <c r="K16" s="926">
        <v>98.68</v>
      </c>
      <c r="L16" s="926">
        <v>0</v>
      </c>
      <c r="M16" s="926">
        <v>76.819999999999993</v>
      </c>
      <c r="N16" s="926">
        <v>65.84</v>
      </c>
      <c r="O16" s="926">
        <v>54.86</v>
      </c>
      <c r="P16" s="926">
        <v>43.9</v>
      </c>
      <c r="Q16" s="346">
        <v>719783</v>
      </c>
      <c r="R16" s="346">
        <v>119963</v>
      </c>
      <c r="S16" s="346">
        <v>8</v>
      </c>
    </row>
    <row r="17" spans="1:19">
      <c r="A17" s="490">
        <v>12</v>
      </c>
      <c r="B17" s="490">
        <v>10124</v>
      </c>
      <c r="C17" s="925" t="s">
        <v>57</v>
      </c>
      <c r="D17" s="926">
        <v>133.68</v>
      </c>
      <c r="E17" s="926">
        <v>14491.46</v>
      </c>
      <c r="F17" s="926">
        <v>0</v>
      </c>
      <c r="G17" s="926">
        <v>0</v>
      </c>
      <c r="H17" s="926">
        <v>0</v>
      </c>
      <c r="I17" s="926">
        <v>2543.15</v>
      </c>
      <c r="J17" s="926">
        <v>0</v>
      </c>
      <c r="K17" s="926">
        <v>0</v>
      </c>
      <c r="L17" s="926">
        <v>0</v>
      </c>
      <c r="M17" s="926">
        <v>76.819999999999993</v>
      </c>
      <c r="N17" s="926">
        <v>65.84</v>
      </c>
      <c r="O17" s="926">
        <v>54.86</v>
      </c>
      <c r="P17" s="926">
        <v>43.9</v>
      </c>
      <c r="Q17" s="346">
        <v>719783</v>
      </c>
      <c r="R17" s="346">
        <v>119963</v>
      </c>
      <c r="S17" s="346">
        <v>31</v>
      </c>
    </row>
    <row r="18" spans="1:19">
      <c r="A18" s="490">
        <v>13</v>
      </c>
      <c r="B18" s="490">
        <v>10132</v>
      </c>
      <c r="C18" s="925" t="s">
        <v>58</v>
      </c>
      <c r="D18" s="926">
        <v>408.8</v>
      </c>
      <c r="E18" s="926">
        <v>34614.71</v>
      </c>
      <c r="F18" s="926">
        <v>0</v>
      </c>
      <c r="G18" s="926">
        <v>0</v>
      </c>
      <c r="H18" s="926">
        <v>0</v>
      </c>
      <c r="I18" s="926">
        <v>355.35</v>
      </c>
      <c r="J18" s="926">
        <v>0</v>
      </c>
      <c r="K18" s="926">
        <v>175.42</v>
      </c>
      <c r="L18" s="926">
        <v>0</v>
      </c>
      <c r="M18" s="926">
        <v>76.819999999999993</v>
      </c>
      <c r="N18" s="926">
        <v>65.84</v>
      </c>
      <c r="O18" s="926">
        <v>54.86</v>
      </c>
      <c r="P18" s="926">
        <v>43.9</v>
      </c>
      <c r="Q18" s="346">
        <v>719783</v>
      </c>
      <c r="R18" s="346">
        <v>119963</v>
      </c>
      <c r="S18" s="346">
        <v>16</v>
      </c>
    </row>
    <row r="19" spans="1:19">
      <c r="A19" s="490">
        <v>14</v>
      </c>
      <c r="B19" s="490">
        <v>10140</v>
      </c>
      <c r="C19" s="925" t="s">
        <v>36</v>
      </c>
      <c r="D19" s="926">
        <v>5.76</v>
      </c>
      <c r="E19" s="926">
        <v>2566.34</v>
      </c>
      <c r="F19" s="926">
        <v>0</v>
      </c>
      <c r="G19" s="926">
        <v>22.43</v>
      </c>
      <c r="H19" s="926">
        <v>0</v>
      </c>
      <c r="I19" s="926">
        <v>1293.1300000000001</v>
      </c>
      <c r="J19" s="926">
        <v>0</v>
      </c>
      <c r="K19" s="926">
        <v>0</v>
      </c>
      <c r="L19" s="926">
        <v>0</v>
      </c>
      <c r="M19" s="926">
        <v>76.819999999999993</v>
      </c>
      <c r="N19" s="926">
        <v>65.84</v>
      </c>
      <c r="O19" s="926">
        <v>54.86</v>
      </c>
      <c r="P19" s="926">
        <v>43.9</v>
      </c>
      <c r="Q19" s="346">
        <v>719783</v>
      </c>
      <c r="R19" s="346">
        <v>119963</v>
      </c>
      <c r="S19" s="346">
        <v>6</v>
      </c>
    </row>
    <row r="20" spans="1:19">
      <c r="A20" s="490">
        <v>15</v>
      </c>
      <c r="B20" s="490">
        <v>10157</v>
      </c>
      <c r="C20" s="925" t="s">
        <v>46</v>
      </c>
      <c r="D20" s="926">
        <v>593.83000000000004</v>
      </c>
      <c r="E20" s="926">
        <v>169876.49</v>
      </c>
      <c r="F20" s="926">
        <v>0</v>
      </c>
      <c r="G20" s="926">
        <v>75.010000000000005</v>
      </c>
      <c r="H20" s="926">
        <v>0</v>
      </c>
      <c r="I20" s="926">
        <v>18141.28</v>
      </c>
      <c r="J20" s="926">
        <v>0</v>
      </c>
      <c r="K20" s="926">
        <v>1072.5</v>
      </c>
      <c r="L20" s="926">
        <v>0</v>
      </c>
      <c r="M20" s="926">
        <v>76.819999999999993</v>
      </c>
      <c r="N20" s="926">
        <v>65.84</v>
      </c>
      <c r="O20" s="926">
        <v>54.86</v>
      </c>
      <c r="P20" s="926">
        <v>43.9</v>
      </c>
      <c r="Q20" s="346">
        <v>719783</v>
      </c>
      <c r="R20" s="346">
        <v>119963</v>
      </c>
      <c r="S20" s="346">
        <v>47</v>
      </c>
    </row>
    <row r="21" spans="1:19">
      <c r="A21" s="490">
        <v>16</v>
      </c>
      <c r="B21" s="490">
        <v>10165</v>
      </c>
      <c r="C21" s="925" t="s">
        <v>59</v>
      </c>
      <c r="D21" s="926">
        <v>276.24</v>
      </c>
      <c r="E21" s="926">
        <v>23568.49</v>
      </c>
      <c r="F21" s="926">
        <v>0</v>
      </c>
      <c r="G21" s="926">
        <v>0</v>
      </c>
      <c r="H21" s="926">
        <v>0</v>
      </c>
      <c r="I21" s="926">
        <v>2105.8000000000002</v>
      </c>
      <c r="J21" s="926">
        <v>2730.27</v>
      </c>
      <c r="K21" s="926">
        <v>0</v>
      </c>
      <c r="L21" s="926">
        <v>0</v>
      </c>
      <c r="M21" s="926">
        <v>76.819999999999993</v>
      </c>
      <c r="N21" s="926">
        <v>65.84</v>
      </c>
      <c r="O21" s="926">
        <v>54.86</v>
      </c>
      <c r="P21" s="926">
        <v>43.9</v>
      </c>
      <c r="Q21" s="346">
        <v>719783</v>
      </c>
      <c r="R21" s="346">
        <v>119963</v>
      </c>
      <c r="S21" s="346">
        <v>13</v>
      </c>
    </row>
    <row r="22" spans="1:19">
      <c r="A22" s="490">
        <v>17</v>
      </c>
      <c r="B22" s="490">
        <v>10173</v>
      </c>
      <c r="C22" s="925" t="s">
        <v>60</v>
      </c>
      <c r="D22" s="926">
        <v>25.65</v>
      </c>
      <c r="E22" s="926">
        <v>8819.18</v>
      </c>
      <c r="F22" s="926">
        <v>0</v>
      </c>
      <c r="G22" s="926">
        <v>0</v>
      </c>
      <c r="H22" s="926">
        <v>0</v>
      </c>
      <c r="I22" s="926">
        <v>254.86</v>
      </c>
      <c r="J22" s="926">
        <v>0</v>
      </c>
      <c r="K22" s="926">
        <v>0</v>
      </c>
      <c r="L22" s="926">
        <v>0</v>
      </c>
      <c r="M22" s="926">
        <v>76.819999999999993</v>
      </c>
      <c r="N22" s="926">
        <v>65.84</v>
      </c>
      <c r="O22" s="926">
        <v>54.86</v>
      </c>
      <c r="P22" s="926">
        <v>43.9</v>
      </c>
      <c r="Q22" s="346">
        <v>719783</v>
      </c>
      <c r="R22" s="346">
        <v>119963</v>
      </c>
      <c r="S22" s="346">
        <v>6</v>
      </c>
    </row>
    <row r="23" spans="1:19">
      <c r="A23" s="490">
        <v>18</v>
      </c>
      <c r="B23" s="490">
        <v>10181</v>
      </c>
      <c r="C23" s="925" t="s">
        <v>61</v>
      </c>
      <c r="D23" s="926">
        <v>10.210000000000001</v>
      </c>
      <c r="E23" s="926">
        <v>3137.47</v>
      </c>
      <c r="F23" s="926">
        <v>0</v>
      </c>
      <c r="G23" s="926">
        <v>0</v>
      </c>
      <c r="H23" s="926">
        <v>0</v>
      </c>
      <c r="I23" s="926">
        <v>509.91</v>
      </c>
      <c r="J23" s="926">
        <v>0</v>
      </c>
      <c r="K23" s="926">
        <v>0</v>
      </c>
      <c r="L23" s="926">
        <v>0</v>
      </c>
      <c r="M23" s="926">
        <v>76.819999999999993</v>
      </c>
      <c r="N23" s="926">
        <v>65.84</v>
      </c>
      <c r="O23" s="926">
        <v>54.86</v>
      </c>
      <c r="P23" s="926">
        <v>43.9</v>
      </c>
      <c r="Q23" s="346">
        <v>719783</v>
      </c>
      <c r="R23" s="346">
        <v>119963</v>
      </c>
      <c r="S23" s="346">
        <v>10</v>
      </c>
    </row>
    <row r="24" spans="1:19">
      <c r="A24" s="490">
        <v>19</v>
      </c>
      <c r="B24" s="490">
        <v>10199</v>
      </c>
      <c r="C24" s="925" t="s">
        <v>45</v>
      </c>
      <c r="D24" s="926">
        <v>1149.1099999999999</v>
      </c>
      <c r="E24" s="926">
        <v>1163550.97</v>
      </c>
      <c r="F24" s="926">
        <v>0</v>
      </c>
      <c r="G24" s="926">
        <v>0</v>
      </c>
      <c r="H24" s="926">
        <v>0</v>
      </c>
      <c r="I24" s="926">
        <v>213408.57</v>
      </c>
      <c r="J24" s="926">
        <v>0</v>
      </c>
      <c r="K24" s="926">
        <v>0</v>
      </c>
      <c r="L24" s="926">
        <v>0</v>
      </c>
      <c r="M24" s="926">
        <v>76.819999999999993</v>
      </c>
      <c r="N24" s="926">
        <v>65.84</v>
      </c>
      <c r="O24" s="926">
        <v>54.86</v>
      </c>
      <c r="P24" s="926">
        <v>43.9</v>
      </c>
      <c r="Q24" s="346">
        <v>719783</v>
      </c>
      <c r="R24" s="346">
        <v>119963</v>
      </c>
      <c r="S24" s="346">
        <v>80</v>
      </c>
    </row>
    <row r="25" spans="1:19">
      <c r="A25" s="490">
        <v>20</v>
      </c>
      <c r="B25" s="490">
        <v>10207</v>
      </c>
      <c r="C25" s="925" t="s">
        <v>124</v>
      </c>
      <c r="D25" s="926">
        <v>305.02999999999997</v>
      </c>
      <c r="E25" s="926">
        <v>27845.96</v>
      </c>
      <c r="F25" s="926">
        <v>0</v>
      </c>
      <c r="G25" s="926">
        <v>0</v>
      </c>
      <c r="H25" s="926">
        <v>0</v>
      </c>
      <c r="I25" s="926">
        <v>1833.26</v>
      </c>
      <c r="J25" s="926">
        <v>0</v>
      </c>
      <c r="K25" s="926">
        <v>316.97000000000003</v>
      </c>
      <c r="L25" s="926">
        <v>25.23</v>
      </c>
      <c r="M25" s="926">
        <v>76.819999999999993</v>
      </c>
      <c r="N25" s="926">
        <v>65.84</v>
      </c>
      <c r="O25" s="926">
        <v>54.86</v>
      </c>
      <c r="P25" s="926">
        <v>43.9</v>
      </c>
      <c r="Q25" s="346">
        <v>719783</v>
      </c>
      <c r="R25" s="346">
        <v>119963</v>
      </c>
      <c r="S25" s="346">
        <v>9</v>
      </c>
    </row>
    <row r="26" spans="1:19">
      <c r="A26" s="490">
        <v>21</v>
      </c>
      <c r="B26" s="490">
        <v>10215</v>
      </c>
      <c r="C26" s="925" t="s">
        <v>62</v>
      </c>
      <c r="D26" s="926">
        <v>247.34</v>
      </c>
      <c r="E26" s="926">
        <v>30903.83</v>
      </c>
      <c r="F26" s="926">
        <v>0</v>
      </c>
      <c r="G26" s="926">
        <v>114.84</v>
      </c>
      <c r="H26" s="926">
        <v>0</v>
      </c>
      <c r="I26" s="926">
        <v>809.64</v>
      </c>
      <c r="J26" s="926">
        <v>0</v>
      </c>
      <c r="K26" s="926">
        <v>0</v>
      </c>
      <c r="L26" s="926">
        <v>14.18</v>
      </c>
      <c r="M26" s="926">
        <v>76.819999999999993</v>
      </c>
      <c r="N26" s="926">
        <v>65.84</v>
      </c>
      <c r="O26" s="926">
        <v>54.86</v>
      </c>
      <c r="P26" s="926">
        <v>43.9</v>
      </c>
      <c r="Q26" s="346">
        <v>719783</v>
      </c>
      <c r="R26" s="346">
        <v>119963</v>
      </c>
      <c r="S26" s="346">
        <v>18</v>
      </c>
    </row>
    <row r="27" spans="1:19">
      <c r="A27" s="490">
        <v>22</v>
      </c>
      <c r="B27" s="490">
        <v>10223</v>
      </c>
      <c r="C27" s="925" t="s">
        <v>63</v>
      </c>
      <c r="D27" s="926">
        <v>38.049999999999997</v>
      </c>
      <c r="E27" s="926">
        <v>1573.93</v>
      </c>
      <c r="F27" s="926">
        <v>0</v>
      </c>
      <c r="G27" s="926">
        <v>0</v>
      </c>
      <c r="H27" s="926">
        <v>0</v>
      </c>
      <c r="I27" s="926">
        <v>143.30000000000001</v>
      </c>
      <c r="J27" s="926">
        <v>0</v>
      </c>
      <c r="K27" s="926">
        <v>0</v>
      </c>
      <c r="L27" s="926">
        <v>0</v>
      </c>
      <c r="M27" s="926">
        <v>76.819999999999993</v>
      </c>
      <c r="N27" s="926">
        <v>65.84</v>
      </c>
      <c r="O27" s="926">
        <v>54.86</v>
      </c>
      <c r="P27" s="926">
        <v>43.9</v>
      </c>
      <c r="Q27" s="346">
        <v>719783</v>
      </c>
      <c r="R27" s="346">
        <v>119963</v>
      </c>
      <c r="S27" s="346">
        <v>1</v>
      </c>
    </row>
    <row r="28" spans="1:19">
      <c r="A28" s="490">
        <v>23</v>
      </c>
      <c r="B28" s="490">
        <v>10231</v>
      </c>
      <c r="C28" s="925" t="s">
        <v>64</v>
      </c>
      <c r="D28" s="926">
        <v>75.3</v>
      </c>
      <c r="E28" s="926">
        <v>11188.89</v>
      </c>
      <c r="F28" s="926">
        <v>0</v>
      </c>
      <c r="G28" s="926">
        <v>66.38</v>
      </c>
      <c r="H28" s="926">
        <v>0</v>
      </c>
      <c r="I28" s="926">
        <v>1117.47</v>
      </c>
      <c r="J28" s="926">
        <v>0</v>
      </c>
      <c r="K28" s="926">
        <v>0</v>
      </c>
      <c r="L28" s="926">
        <v>0</v>
      </c>
      <c r="M28" s="926">
        <v>76.819999999999993</v>
      </c>
      <c r="N28" s="926">
        <v>65.84</v>
      </c>
      <c r="O28" s="926">
        <v>54.86</v>
      </c>
      <c r="P28" s="926">
        <v>43.9</v>
      </c>
      <c r="Q28" s="346">
        <v>719783</v>
      </c>
      <c r="R28" s="346">
        <v>119963</v>
      </c>
      <c r="S28" s="346">
        <v>12</v>
      </c>
    </row>
    <row r="29" spans="1:19">
      <c r="A29" s="490">
        <v>24</v>
      </c>
      <c r="B29" s="490">
        <v>10249</v>
      </c>
      <c r="C29" s="925" t="s">
        <v>65</v>
      </c>
      <c r="D29" s="926">
        <v>906.25</v>
      </c>
      <c r="E29" s="926">
        <v>54855.4</v>
      </c>
      <c r="F29" s="926">
        <v>0</v>
      </c>
      <c r="G29" s="926">
        <v>0</v>
      </c>
      <c r="H29" s="926">
        <v>0</v>
      </c>
      <c r="I29" s="926">
        <v>540.04999999999995</v>
      </c>
      <c r="J29" s="926">
        <v>0</v>
      </c>
      <c r="K29" s="926">
        <v>0</v>
      </c>
      <c r="L29" s="926">
        <v>0</v>
      </c>
      <c r="M29" s="926">
        <v>76.819999999999993</v>
      </c>
      <c r="N29" s="926">
        <v>65.84</v>
      </c>
      <c r="O29" s="926">
        <v>54.86</v>
      </c>
      <c r="P29" s="926">
        <v>43.9</v>
      </c>
      <c r="Q29" s="346">
        <v>719783</v>
      </c>
      <c r="R29" s="346">
        <v>119963</v>
      </c>
      <c r="S29" s="346">
        <v>20</v>
      </c>
    </row>
    <row r="30" spans="1:19">
      <c r="A30" s="490">
        <v>25</v>
      </c>
      <c r="B30" s="490">
        <v>10256</v>
      </c>
      <c r="C30" s="925" t="s">
        <v>66</v>
      </c>
      <c r="D30" s="926">
        <v>35.94</v>
      </c>
      <c r="E30" s="926">
        <v>1277.56</v>
      </c>
      <c r="F30" s="926">
        <v>0</v>
      </c>
      <c r="G30" s="926">
        <v>0</v>
      </c>
      <c r="H30" s="926">
        <v>0</v>
      </c>
      <c r="I30" s="926">
        <v>0</v>
      </c>
      <c r="J30" s="926">
        <v>0</v>
      </c>
      <c r="K30" s="926">
        <v>0</v>
      </c>
      <c r="L30" s="926">
        <v>0</v>
      </c>
      <c r="M30" s="926">
        <v>76.819999999999993</v>
      </c>
      <c r="N30" s="926">
        <v>65.84</v>
      </c>
      <c r="O30" s="926">
        <v>54.86</v>
      </c>
      <c r="P30" s="926">
        <v>43.9</v>
      </c>
      <c r="Q30" s="346">
        <v>719783</v>
      </c>
      <c r="R30" s="346">
        <v>119963</v>
      </c>
      <c r="S30" s="346">
        <v>3</v>
      </c>
    </row>
    <row r="31" spans="1:19">
      <c r="A31" s="490">
        <v>26</v>
      </c>
      <c r="B31" s="490">
        <v>10264</v>
      </c>
      <c r="C31" s="925" t="s">
        <v>35</v>
      </c>
      <c r="D31" s="926">
        <v>9.5399999999999991</v>
      </c>
      <c r="E31" s="926">
        <v>1529.4</v>
      </c>
      <c r="F31" s="926">
        <v>0</v>
      </c>
      <c r="G31" s="926">
        <v>0</v>
      </c>
      <c r="H31" s="926">
        <v>0</v>
      </c>
      <c r="I31" s="926">
        <v>237.87</v>
      </c>
      <c r="J31" s="926">
        <v>0</v>
      </c>
      <c r="K31" s="926">
        <v>0</v>
      </c>
      <c r="L31" s="926">
        <v>0</v>
      </c>
      <c r="M31" s="926">
        <v>76.819999999999993</v>
      </c>
      <c r="N31" s="926">
        <v>65.84</v>
      </c>
      <c r="O31" s="926">
        <v>54.86</v>
      </c>
      <c r="P31" s="926">
        <v>43.9</v>
      </c>
      <c r="Q31" s="346">
        <v>719783</v>
      </c>
      <c r="R31" s="346">
        <v>119963</v>
      </c>
      <c r="S31" s="346">
        <v>2</v>
      </c>
    </row>
    <row r="32" spans="1:19">
      <c r="A32" s="490">
        <v>27</v>
      </c>
      <c r="B32" s="490">
        <v>10272</v>
      </c>
      <c r="C32" s="925" t="s">
        <v>44</v>
      </c>
      <c r="D32" s="926">
        <v>314.73</v>
      </c>
      <c r="E32" s="926">
        <v>71102.5</v>
      </c>
      <c r="F32" s="926">
        <v>0</v>
      </c>
      <c r="G32" s="926">
        <v>0</v>
      </c>
      <c r="H32" s="926">
        <v>0</v>
      </c>
      <c r="I32" s="926">
        <v>2131.2800000000002</v>
      </c>
      <c r="J32" s="926">
        <v>0</v>
      </c>
      <c r="K32" s="926">
        <v>0</v>
      </c>
      <c r="L32" s="926">
        <v>0</v>
      </c>
      <c r="M32" s="926">
        <v>76.819999999999993</v>
      </c>
      <c r="N32" s="926">
        <v>65.84</v>
      </c>
      <c r="O32" s="926">
        <v>54.86</v>
      </c>
      <c r="P32" s="926">
        <v>43.9</v>
      </c>
      <c r="Q32" s="346">
        <v>719783</v>
      </c>
      <c r="R32" s="346">
        <v>119963</v>
      </c>
      <c r="S32" s="346">
        <v>24</v>
      </c>
    </row>
    <row r="33" spans="1:19">
      <c r="A33" s="490">
        <v>28</v>
      </c>
      <c r="B33" s="490">
        <v>10280</v>
      </c>
      <c r="C33" s="925" t="s">
        <v>67</v>
      </c>
      <c r="D33" s="926">
        <v>0</v>
      </c>
      <c r="E33" s="926">
        <v>18784.91</v>
      </c>
      <c r="F33" s="926">
        <v>0</v>
      </c>
      <c r="G33" s="926">
        <v>52.88</v>
      </c>
      <c r="H33" s="926">
        <v>0</v>
      </c>
      <c r="I33" s="926">
        <v>260.64</v>
      </c>
      <c r="J33" s="926">
        <v>0</v>
      </c>
      <c r="K33" s="926">
        <v>0</v>
      </c>
      <c r="L33" s="926">
        <v>0</v>
      </c>
      <c r="M33" s="926">
        <v>76.819999999999993</v>
      </c>
      <c r="N33" s="926">
        <v>65.84</v>
      </c>
      <c r="O33" s="926">
        <v>54.86</v>
      </c>
      <c r="P33" s="926">
        <v>43.9</v>
      </c>
      <c r="Q33" s="346">
        <v>719783</v>
      </c>
      <c r="R33" s="346">
        <v>119963</v>
      </c>
      <c r="S33" s="346">
        <v>5</v>
      </c>
    </row>
    <row r="34" spans="1:19">
      <c r="A34" s="490">
        <v>29</v>
      </c>
      <c r="B34" s="490">
        <v>10298</v>
      </c>
      <c r="C34" s="925" t="s">
        <v>34</v>
      </c>
      <c r="D34" s="926">
        <v>61.89</v>
      </c>
      <c r="E34" s="926">
        <v>6413.37</v>
      </c>
      <c r="F34" s="926">
        <v>0</v>
      </c>
      <c r="G34" s="926">
        <v>60.26</v>
      </c>
      <c r="H34" s="926">
        <v>0</v>
      </c>
      <c r="I34" s="926">
        <v>4335.91</v>
      </c>
      <c r="J34" s="926">
        <v>0</v>
      </c>
      <c r="K34" s="926">
        <v>0</v>
      </c>
      <c r="L34" s="926">
        <v>0</v>
      </c>
      <c r="M34" s="926">
        <v>76.819999999999993</v>
      </c>
      <c r="N34" s="926">
        <v>65.84</v>
      </c>
      <c r="O34" s="926">
        <v>54.86</v>
      </c>
      <c r="P34" s="926">
        <v>43.9</v>
      </c>
      <c r="Q34" s="346">
        <v>719783</v>
      </c>
      <c r="R34" s="346">
        <v>119963</v>
      </c>
      <c r="S34" s="346">
        <v>9</v>
      </c>
    </row>
    <row r="35" spans="1:19">
      <c r="A35" s="490">
        <v>30</v>
      </c>
      <c r="B35" s="490">
        <v>10306</v>
      </c>
      <c r="C35" s="925" t="s">
        <v>68</v>
      </c>
      <c r="D35" s="926">
        <v>3619.32</v>
      </c>
      <c r="E35" s="926">
        <v>433240.39</v>
      </c>
      <c r="F35" s="926">
        <v>99.66</v>
      </c>
      <c r="G35" s="926">
        <v>0</v>
      </c>
      <c r="H35" s="926">
        <v>0</v>
      </c>
      <c r="I35" s="926">
        <v>20146.22</v>
      </c>
      <c r="J35" s="926">
        <v>0</v>
      </c>
      <c r="K35" s="926">
        <v>238.87</v>
      </c>
      <c r="L35" s="926">
        <v>0</v>
      </c>
      <c r="M35" s="926">
        <v>76.819999999999993</v>
      </c>
      <c r="N35" s="926">
        <v>65.84</v>
      </c>
      <c r="O35" s="926">
        <v>54.86</v>
      </c>
      <c r="P35" s="926">
        <v>43.9</v>
      </c>
      <c r="Q35" s="346">
        <v>719783</v>
      </c>
      <c r="R35" s="346">
        <v>119963</v>
      </c>
      <c r="S35" s="346">
        <v>27</v>
      </c>
    </row>
    <row r="36" spans="1:19">
      <c r="A36" s="490">
        <v>31</v>
      </c>
      <c r="B36" s="490">
        <v>10314</v>
      </c>
      <c r="C36" s="925" t="s">
        <v>33</v>
      </c>
      <c r="D36" s="926">
        <v>140.29</v>
      </c>
      <c r="E36" s="926">
        <v>62427.96</v>
      </c>
      <c r="F36" s="926">
        <v>0</v>
      </c>
      <c r="G36" s="926">
        <v>0</v>
      </c>
      <c r="H36" s="926">
        <v>0</v>
      </c>
      <c r="I36" s="926">
        <v>9189.0499999999993</v>
      </c>
      <c r="J36" s="926">
        <v>573.05999999999995</v>
      </c>
      <c r="K36" s="926">
        <v>253.58</v>
      </c>
      <c r="L36" s="926">
        <v>65.88</v>
      </c>
      <c r="M36" s="926">
        <v>76.819999999999993</v>
      </c>
      <c r="N36" s="926">
        <v>65.84</v>
      </c>
      <c r="O36" s="926">
        <v>54.86</v>
      </c>
      <c r="P36" s="926">
        <v>43.9</v>
      </c>
      <c r="Q36" s="346">
        <v>719783</v>
      </c>
      <c r="R36" s="346">
        <v>119963</v>
      </c>
      <c r="S36" s="346">
        <v>16</v>
      </c>
    </row>
    <row r="37" spans="1:19">
      <c r="A37" s="490">
        <v>32</v>
      </c>
      <c r="B37" s="490">
        <v>10322</v>
      </c>
      <c r="C37" s="925" t="s">
        <v>69</v>
      </c>
      <c r="D37" s="926">
        <v>30.32</v>
      </c>
      <c r="E37" s="926">
        <v>1699.56</v>
      </c>
      <c r="F37" s="926">
        <v>0</v>
      </c>
      <c r="G37" s="926">
        <v>0</v>
      </c>
      <c r="H37" s="926">
        <v>0</v>
      </c>
      <c r="I37" s="926">
        <v>320.62</v>
      </c>
      <c r="J37" s="926">
        <v>0</v>
      </c>
      <c r="K37" s="926">
        <v>0</v>
      </c>
      <c r="L37" s="926">
        <v>0</v>
      </c>
      <c r="M37" s="926">
        <v>76.819999999999993</v>
      </c>
      <c r="N37" s="926">
        <v>65.84</v>
      </c>
      <c r="O37" s="926">
        <v>54.86</v>
      </c>
      <c r="P37" s="926">
        <v>43.9</v>
      </c>
      <c r="Q37" s="346">
        <v>719783</v>
      </c>
      <c r="R37" s="346">
        <v>119963</v>
      </c>
      <c r="S37" s="346">
        <v>1</v>
      </c>
    </row>
    <row r="38" spans="1:19">
      <c r="A38" s="490">
        <v>33</v>
      </c>
      <c r="B38" s="490">
        <v>10330</v>
      </c>
      <c r="C38" s="925" t="s">
        <v>32</v>
      </c>
      <c r="D38" s="926">
        <v>697.03</v>
      </c>
      <c r="E38" s="926">
        <v>382244.05</v>
      </c>
      <c r="F38" s="926">
        <v>0</v>
      </c>
      <c r="G38" s="926">
        <v>0</v>
      </c>
      <c r="H38" s="926">
        <v>0</v>
      </c>
      <c r="I38" s="926">
        <v>27173.23</v>
      </c>
      <c r="J38" s="926">
        <v>0</v>
      </c>
      <c r="K38" s="926">
        <v>774.03</v>
      </c>
      <c r="L38" s="926">
        <v>40.82</v>
      </c>
      <c r="M38" s="926">
        <v>76.819999999999993</v>
      </c>
      <c r="N38" s="926">
        <v>65.84</v>
      </c>
      <c r="O38" s="926">
        <v>54.86</v>
      </c>
      <c r="P38" s="926">
        <v>43.9</v>
      </c>
      <c r="Q38" s="346">
        <v>719783</v>
      </c>
      <c r="R38" s="346">
        <v>119963</v>
      </c>
      <c r="S38" s="346">
        <v>23</v>
      </c>
    </row>
    <row r="39" spans="1:19">
      <c r="A39" s="490">
        <v>34</v>
      </c>
      <c r="B39" s="490">
        <v>10348</v>
      </c>
      <c r="C39" s="925" t="s">
        <v>43</v>
      </c>
      <c r="D39" s="926">
        <v>771.64</v>
      </c>
      <c r="E39" s="926">
        <v>201698.42</v>
      </c>
      <c r="F39" s="926">
        <v>0</v>
      </c>
      <c r="G39" s="926">
        <v>0</v>
      </c>
      <c r="H39" s="926">
        <v>0</v>
      </c>
      <c r="I39" s="926">
        <v>35045.25</v>
      </c>
      <c r="J39" s="926">
        <v>0</v>
      </c>
      <c r="K39" s="926">
        <v>0</v>
      </c>
      <c r="L39" s="926">
        <v>0</v>
      </c>
      <c r="M39" s="926">
        <v>76.819999999999993</v>
      </c>
      <c r="N39" s="926">
        <v>65.84</v>
      </c>
      <c r="O39" s="926">
        <v>54.86</v>
      </c>
      <c r="P39" s="926">
        <v>43.9</v>
      </c>
      <c r="Q39" s="346">
        <v>719783</v>
      </c>
      <c r="R39" s="346">
        <v>119963</v>
      </c>
      <c r="S39" s="346">
        <v>13</v>
      </c>
    </row>
    <row r="40" spans="1:19">
      <c r="A40" s="490">
        <v>35</v>
      </c>
      <c r="B40" s="490">
        <v>10355</v>
      </c>
      <c r="C40" s="925" t="s">
        <v>70</v>
      </c>
      <c r="D40" s="926">
        <v>17.8</v>
      </c>
      <c r="E40" s="926">
        <v>10390.91</v>
      </c>
      <c r="F40" s="926">
        <v>0</v>
      </c>
      <c r="G40" s="926">
        <v>0</v>
      </c>
      <c r="H40" s="926">
        <v>0</v>
      </c>
      <c r="I40" s="926">
        <v>520.98</v>
      </c>
      <c r="J40" s="926">
        <v>0</v>
      </c>
      <c r="K40" s="926">
        <v>0</v>
      </c>
      <c r="L40" s="926">
        <v>0</v>
      </c>
      <c r="M40" s="926">
        <v>76.819999999999993</v>
      </c>
      <c r="N40" s="926">
        <v>65.84</v>
      </c>
      <c r="O40" s="926">
        <v>54.86</v>
      </c>
      <c r="P40" s="926">
        <v>43.9</v>
      </c>
      <c r="Q40" s="346">
        <v>719783</v>
      </c>
      <c r="R40" s="346">
        <v>119963</v>
      </c>
      <c r="S40" s="346">
        <v>11</v>
      </c>
    </row>
    <row r="41" spans="1:19">
      <c r="A41" s="490">
        <v>36</v>
      </c>
      <c r="B41" s="490">
        <v>10363</v>
      </c>
      <c r="C41" s="925" t="s">
        <v>110</v>
      </c>
      <c r="D41" s="926">
        <v>1437.79</v>
      </c>
      <c r="E41" s="926">
        <v>353703.07</v>
      </c>
      <c r="F41" s="926">
        <v>0</v>
      </c>
      <c r="G41" s="926">
        <v>0</v>
      </c>
      <c r="H41" s="926">
        <v>0</v>
      </c>
      <c r="I41" s="926">
        <v>34802.83</v>
      </c>
      <c r="J41" s="926">
        <v>0</v>
      </c>
      <c r="K41" s="926">
        <v>0</v>
      </c>
      <c r="L41" s="926">
        <v>0</v>
      </c>
      <c r="M41" s="926">
        <v>76.819999999999993</v>
      </c>
      <c r="N41" s="926">
        <v>65.84</v>
      </c>
      <c r="O41" s="926">
        <v>54.86</v>
      </c>
      <c r="P41" s="926">
        <v>43.9</v>
      </c>
      <c r="Q41" s="346">
        <v>719783</v>
      </c>
      <c r="R41" s="346">
        <v>119963</v>
      </c>
      <c r="S41" s="346">
        <v>33</v>
      </c>
    </row>
    <row r="42" spans="1:19">
      <c r="A42" s="490">
        <v>37</v>
      </c>
      <c r="B42" s="490">
        <v>10371</v>
      </c>
      <c r="C42" s="925" t="s">
        <v>71</v>
      </c>
      <c r="D42" s="926">
        <v>490.25</v>
      </c>
      <c r="E42" s="926">
        <v>403389.77</v>
      </c>
      <c r="F42" s="926">
        <v>0</v>
      </c>
      <c r="G42" s="926">
        <v>57.79</v>
      </c>
      <c r="H42" s="926">
        <v>0</v>
      </c>
      <c r="I42" s="926">
        <v>79179.649999999994</v>
      </c>
      <c r="J42" s="926">
        <v>0</v>
      </c>
      <c r="K42" s="926">
        <v>0</v>
      </c>
      <c r="L42" s="926">
        <v>0</v>
      </c>
      <c r="M42" s="926">
        <v>76.819999999999993</v>
      </c>
      <c r="N42" s="926">
        <v>65.84</v>
      </c>
      <c r="O42" s="926">
        <v>54.86</v>
      </c>
      <c r="P42" s="926">
        <v>43.9</v>
      </c>
      <c r="Q42" s="346">
        <v>719783</v>
      </c>
      <c r="R42" s="346">
        <v>119963</v>
      </c>
      <c r="S42" s="346">
        <v>42</v>
      </c>
    </row>
    <row r="43" spans="1:19">
      <c r="A43" s="490">
        <v>38</v>
      </c>
      <c r="B43" s="490">
        <v>10389</v>
      </c>
      <c r="C43" s="925" t="s">
        <v>111</v>
      </c>
      <c r="D43" s="926">
        <v>38.840000000000003</v>
      </c>
      <c r="E43" s="926">
        <v>50226.6</v>
      </c>
      <c r="F43" s="926">
        <v>0</v>
      </c>
      <c r="G43" s="926">
        <v>0</v>
      </c>
      <c r="H43" s="926">
        <v>0</v>
      </c>
      <c r="I43" s="926">
        <v>7596.97</v>
      </c>
      <c r="J43" s="926">
        <v>0</v>
      </c>
      <c r="K43" s="926">
        <v>0</v>
      </c>
      <c r="L43" s="926">
        <v>0</v>
      </c>
      <c r="M43" s="926">
        <v>76.819999999999993</v>
      </c>
      <c r="N43" s="926">
        <v>65.84</v>
      </c>
      <c r="O43" s="926">
        <v>54.86</v>
      </c>
      <c r="P43" s="926">
        <v>43.9</v>
      </c>
      <c r="Q43" s="346">
        <v>719783</v>
      </c>
      <c r="R43" s="346">
        <v>119963</v>
      </c>
      <c r="S43" s="346">
        <v>1</v>
      </c>
    </row>
    <row r="44" spans="1:19">
      <c r="A44" s="490">
        <v>39</v>
      </c>
      <c r="B44" s="490">
        <v>10397</v>
      </c>
      <c r="C44" s="925" t="s">
        <v>112</v>
      </c>
      <c r="D44" s="926">
        <v>942.58</v>
      </c>
      <c r="E44" s="926">
        <v>121758.25</v>
      </c>
      <c r="F44" s="926">
        <v>0</v>
      </c>
      <c r="G44" s="926">
        <v>0</v>
      </c>
      <c r="H44" s="926">
        <v>0</v>
      </c>
      <c r="I44" s="926">
        <v>19569.669999999998</v>
      </c>
      <c r="J44" s="926">
        <v>0</v>
      </c>
      <c r="K44" s="926">
        <v>2287.83</v>
      </c>
      <c r="L44" s="926">
        <v>244.06</v>
      </c>
      <c r="M44" s="926">
        <v>76.819999999999993</v>
      </c>
      <c r="N44" s="926">
        <v>65.84</v>
      </c>
      <c r="O44" s="926">
        <v>54.86</v>
      </c>
      <c r="P44" s="926">
        <v>43.9</v>
      </c>
      <c r="Q44" s="346">
        <v>719783</v>
      </c>
      <c r="R44" s="346">
        <v>119963</v>
      </c>
      <c r="S44" s="346">
        <v>14</v>
      </c>
    </row>
    <row r="45" spans="1:19">
      <c r="A45" s="490">
        <v>40</v>
      </c>
      <c r="B45" s="490">
        <v>10405</v>
      </c>
      <c r="C45" s="925" t="s">
        <v>113</v>
      </c>
      <c r="D45" s="926">
        <v>32.950000000000003</v>
      </c>
      <c r="E45" s="926">
        <v>31921.31</v>
      </c>
      <c r="F45" s="926">
        <v>0</v>
      </c>
      <c r="G45" s="926">
        <v>0</v>
      </c>
      <c r="H45" s="926">
        <v>0</v>
      </c>
      <c r="I45" s="926">
        <v>695.96</v>
      </c>
      <c r="J45" s="926">
        <v>0</v>
      </c>
      <c r="K45" s="926">
        <v>0</v>
      </c>
      <c r="L45" s="926">
        <v>0</v>
      </c>
      <c r="M45" s="926">
        <v>76.819999999999993</v>
      </c>
      <c r="N45" s="926">
        <v>65.84</v>
      </c>
      <c r="O45" s="926">
        <v>54.86</v>
      </c>
      <c r="P45" s="926">
        <v>43.9</v>
      </c>
      <c r="Q45" s="346">
        <v>719783</v>
      </c>
      <c r="R45" s="346">
        <v>119963</v>
      </c>
      <c r="S45" s="346">
        <v>10</v>
      </c>
    </row>
    <row r="46" spans="1:19">
      <c r="A46" s="490">
        <v>41</v>
      </c>
      <c r="B46" s="490">
        <v>10413</v>
      </c>
      <c r="C46" s="925" t="s">
        <v>114</v>
      </c>
      <c r="D46" s="926">
        <v>152.77000000000001</v>
      </c>
      <c r="E46" s="926">
        <v>82775.03</v>
      </c>
      <c r="F46" s="926">
        <v>0</v>
      </c>
      <c r="G46" s="926">
        <v>337.96</v>
      </c>
      <c r="H46" s="926">
        <v>0</v>
      </c>
      <c r="I46" s="926">
        <v>5878.43</v>
      </c>
      <c r="J46" s="926">
        <v>0</v>
      </c>
      <c r="K46" s="926">
        <v>0</v>
      </c>
      <c r="L46" s="926">
        <v>0</v>
      </c>
      <c r="M46" s="926">
        <v>76.819999999999993</v>
      </c>
      <c r="N46" s="926">
        <v>65.84</v>
      </c>
      <c r="O46" s="926">
        <v>54.86</v>
      </c>
      <c r="P46" s="926">
        <v>43.9</v>
      </c>
      <c r="Q46" s="346">
        <v>719783</v>
      </c>
      <c r="R46" s="346">
        <v>119963</v>
      </c>
      <c r="S46" s="346">
        <v>23</v>
      </c>
    </row>
    <row r="47" spans="1:19">
      <c r="A47" s="490">
        <v>42</v>
      </c>
      <c r="B47" s="490">
        <v>10421</v>
      </c>
      <c r="C47" s="925" t="s">
        <v>115</v>
      </c>
      <c r="D47" s="926">
        <v>80.94</v>
      </c>
      <c r="E47" s="926">
        <v>61554.49</v>
      </c>
      <c r="F47" s="926">
        <v>0</v>
      </c>
      <c r="G47" s="926">
        <v>22.76</v>
      </c>
      <c r="H47" s="926">
        <v>0</v>
      </c>
      <c r="I47" s="926">
        <v>4373.1400000000003</v>
      </c>
      <c r="J47" s="926">
        <v>0</v>
      </c>
      <c r="K47" s="926">
        <v>0</v>
      </c>
      <c r="L47" s="926">
        <v>0</v>
      </c>
      <c r="M47" s="926">
        <v>76.819999999999993</v>
      </c>
      <c r="N47" s="926">
        <v>65.84</v>
      </c>
      <c r="O47" s="926">
        <v>54.86</v>
      </c>
      <c r="P47" s="926">
        <v>43.9</v>
      </c>
      <c r="Q47" s="346">
        <v>719783</v>
      </c>
      <c r="R47" s="346">
        <v>119963</v>
      </c>
      <c r="S47" s="346">
        <v>20</v>
      </c>
    </row>
    <row r="48" spans="1:19">
      <c r="A48" s="490">
        <v>43</v>
      </c>
      <c r="B48" s="490">
        <v>10439</v>
      </c>
      <c r="C48" s="925" t="s">
        <v>116</v>
      </c>
      <c r="D48" s="926">
        <v>1067.47</v>
      </c>
      <c r="E48" s="926">
        <v>221603.79</v>
      </c>
      <c r="F48" s="926">
        <v>0</v>
      </c>
      <c r="G48" s="926">
        <v>580.16</v>
      </c>
      <c r="H48" s="926">
        <v>0</v>
      </c>
      <c r="I48" s="926">
        <v>29701.200000000001</v>
      </c>
      <c r="J48" s="926">
        <v>0</v>
      </c>
      <c r="K48" s="926">
        <v>215.33</v>
      </c>
      <c r="L48" s="926">
        <v>80.03</v>
      </c>
      <c r="M48" s="926">
        <v>76.819999999999993</v>
      </c>
      <c r="N48" s="926">
        <v>65.84</v>
      </c>
      <c r="O48" s="926">
        <v>54.86</v>
      </c>
      <c r="P48" s="926">
        <v>43.9</v>
      </c>
      <c r="Q48" s="346">
        <v>719783</v>
      </c>
      <c r="R48" s="346">
        <v>119963</v>
      </c>
      <c r="S48" s="346">
        <v>31</v>
      </c>
    </row>
    <row r="49" spans="1:19">
      <c r="A49" s="490">
        <v>44</v>
      </c>
      <c r="B49" s="490">
        <v>10447</v>
      </c>
      <c r="C49" s="925" t="s">
        <v>117</v>
      </c>
      <c r="D49" s="926">
        <v>88.9</v>
      </c>
      <c r="E49" s="926">
        <v>31228.74</v>
      </c>
      <c r="F49" s="926">
        <v>0</v>
      </c>
      <c r="G49" s="926">
        <v>0</v>
      </c>
      <c r="H49" s="926">
        <v>0</v>
      </c>
      <c r="I49" s="926">
        <v>6503.95</v>
      </c>
      <c r="J49" s="926">
        <v>0</v>
      </c>
      <c r="K49" s="926">
        <v>0</v>
      </c>
      <c r="L49" s="926">
        <v>0</v>
      </c>
      <c r="M49" s="926">
        <v>76.819999999999993</v>
      </c>
      <c r="N49" s="926">
        <v>65.84</v>
      </c>
      <c r="O49" s="926">
        <v>54.86</v>
      </c>
      <c r="P49" s="926">
        <v>43.9</v>
      </c>
      <c r="Q49" s="346">
        <v>719783</v>
      </c>
      <c r="R49" s="346">
        <v>119963</v>
      </c>
      <c r="S49" s="346">
        <v>11</v>
      </c>
    </row>
    <row r="50" spans="1:19">
      <c r="A50" s="490">
        <v>45</v>
      </c>
      <c r="B50" s="490">
        <v>10454</v>
      </c>
      <c r="C50" s="925" t="s">
        <v>72</v>
      </c>
      <c r="D50" s="926">
        <v>136.01</v>
      </c>
      <c r="E50" s="926">
        <v>21029.13</v>
      </c>
      <c r="F50" s="926">
        <v>0</v>
      </c>
      <c r="G50" s="926">
        <v>0</v>
      </c>
      <c r="H50" s="926">
        <v>0</v>
      </c>
      <c r="I50" s="926">
        <v>4499.0200000000004</v>
      </c>
      <c r="J50" s="926">
        <v>0</v>
      </c>
      <c r="K50" s="926">
        <v>0</v>
      </c>
      <c r="L50" s="926">
        <v>0</v>
      </c>
      <c r="M50" s="926">
        <v>76.819999999999993</v>
      </c>
      <c r="N50" s="926">
        <v>65.84</v>
      </c>
      <c r="O50" s="926">
        <v>54.86</v>
      </c>
      <c r="P50" s="926">
        <v>43.9</v>
      </c>
      <c r="Q50" s="346">
        <v>719783</v>
      </c>
      <c r="R50" s="346">
        <v>119963</v>
      </c>
      <c r="S50" s="346">
        <v>25</v>
      </c>
    </row>
    <row r="51" spans="1:19">
      <c r="A51" s="490">
        <v>46</v>
      </c>
      <c r="B51" s="490">
        <v>10462</v>
      </c>
      <c r="C51" s="925" t="s">
        <v>73</v>
      </c>
      <c r="D51" s="926">
        <v>20.43</v>
      </c>
      <c r="E51" s="926">
        <v>409.3</v>
      </c>
      <c r="F51" s="926">
        <v>0</v>
      </c>
      <c r="G51" s="926">
        <v>0</v>
      </c>
      <c r="H51" s="926">
        <v>0</v>
      </c>
      <c r="I51" s="926">
        <v>0</v>
      </c>
      <c r="J51" s="926">
        <v>0</v>
      </c>
      <c r="K51" s="926">
        <v>0</v>
      </c>
      <c r="L51" s="926">
        <v>0</v>
      </c>
      <c r="M51" s="926">
        <v>76.819999999999993</v>
      </c>
      <c r="N51" s="926">
        <v>65.84</v>
      </c>
      <c r="O51" s="926">
        <v>54.86</v>
      </c>
      <c r="P51" s="926">
        <v>43.9</v>
      </c>
      <c r="Q51" s="346">
        <v>719783</v>
      </c>
      <c r="R51" s="346">
        <v>119963</v>
      </c>
      <c r="S51" s="346">
        <v>1</v>
      </c>
    </row>
    <row r="52" spans="1:19">
      <c r="A52" s="490">
        <v>47</v>
      </c>
      <c r="B52" s="490">
        <v>10470</v>
      </c>
      <c r="C52" s="925" t="s">
        <v>42</v>
      </c>
      <c r="D52" s="926">
        <v>49.04</v>
      </c>
      <c r="E52" s="926">
        <v>5051.8599999999997</v>
      </c>
      <c r="F52" s="926">
        <v>0</v>
      </c>
      <c r="G52" s="926">
        <v>0</v>
      </c>
      <c r="H52" s="926">
        <v>0</v>
      </c>
      <c r="I52" s="926">
        <v>632.36</v>
      </c>
      <c r="J52" s="926">
        <v>0</v>
      </c>
      <c r="K52" s="926">
        <v>0</v>
      </c>
      <c r="L52" s="926">
        <v>0</v>
      </c>
      <c r="M52" s="926">
        <v>76.819999999999993</v>
      </c>
      <c r="N52" s="926">
        <v>65.84</v>
      </c>
      <c r="O52" s="926">
        <v>54.86</v>
      </c>
      <c r="P52" s="926">
        <v>43.9</v>
      </c>
      <c r="Q52" s="346">
        <v>719783</v>
      </c>
      <c r="R52" s="346">
        <v>119963</v>
      </c>
      <c r="S52" s="346">
        <v>25</v>
      </c>
    </row>
    <row r="53" spans="1:19">
      <c r="A53" s="490">
        <v>48</v>
      </c>
      <c r="B53" s="490">
        <v>10488</v>
      </c>
      <c r="C53" s="925" t="s">
        <v>74</v>
      </c>
      <c r="D53" s="926">
        <v>261.49</v>
      </c>
      <c r="E53" s="926">
        <v>54226.79</v>
      </c>
      <c r="F53" s="926">
        <v>0</v>
      </c>
      <c r="G53" s="926">
        <v>0</v>
      </c>
      <c r="H53" s="926">
        <v>0</v>
      </c>
      <c r="I53" s="926">
        <v>5174.6499999999996</v>
      </c>
      <c r="J53" s="926">
        <v>0</v>
      </c>
      <c r="K53" s="926">
        <v>0</v>
      </c>
      <c r="L53" s="926">
        <v>0</v>
      </c>
      <c r="M53" s="926">
        <v>76.819999999999993</v>
      </c>
      <c r="N53" s="926">
        <v>65.84</v>
      </c>
      <c r="O53" s="926">
        <v>54.86</v>
      </c>
      <c r="P53" s="926">
        <v>43.9</v>
      </c>
      <c r="Q53" s="346">
        <v>719783</v>
      </c>
      <c r="R53" s="346">
        <v>119963</v>
      </c>
      <c r="S53" s="346">
        <v>6</v>
      </c>
    </row>
    <row r="54" spans="1:19">
      <c r="A54" s="490">
        <v>49</v>
      </c>
      <c r="B54" s="490">
        <v>10496</v>
      </c>
      <c r="C54" s="925" t="s">
        <v>75</v>
      </c>
      <c r="D54" s="926">
        <v>367.71</v>
      </c>
      <c r="E54" s="926">
        <v>46405.68</v>
      </c>
      <c r="F54" s="926">
        <v>0</v>
      </c>
      <c r="G54" s="926">
        <v>230.51</v>
      </c>
      <c r="H54" s="926">
        <v>0</v>
      </c>
      <c r="I54" s="926">
        <v>17444.759999999998</v>
      </c>
      <c r="J54" s="926">
        <v>0</v>
      </c>
      <c r="K54" s="926">
        <v>0</v>
      </c>
      <c r="L54" s="926">
        <v>0</v>
      </c>
      <c r="M54" s="926">
        <v>76.819999999999993</v>
      </c>
      <c r="N54" s="926">
        <v>65.84</v>
      </c>
      <c r="O54" s="926">
        <v>54.86</v>
      </c>
      <c r="P54" s="926">
        <v>43.9</v>
      </c>
      <c r="Q54" s="346">
        <v>719783</v>
      </c>
      <c r="R54" s="346">
        <v>119963</v>
      </c>
      <c r="S54" s="346">
        <v>40</v>
      </c>
    </row>
    <row r="55" spans="1:19">
      <c r="A55" s="490">
        <v>50</v>
      </c>
      <c r="B55" s="490">
        <v>10504</v>
      </c>
      <c r="C55" s="925" t="s">
        <v>41</v>
      </c>
      <c r="D55" s="926">
        <v>1109.97</v>
      </c>
      <c r="E55" s="926">
        <v>94076.56</v>
      </c>
      <c r="F55" s="926">
        <v>0</v>
      </c>
      <c r="G55" s="926">
        <v>0</v>
      </c>
      <c r="H55" s="926">
        <v>0</v>
      </c>
      <c r="I55" s="926">
        <v>8303.15</v>
      </c>
      <c r="J55" s="926">
        <v>1022.73</v>
      </c>
      <c r="K55" s="926">
        <v>956.52</v>
      </c>
      <c r="L55" s="926">
        <v>3.58</v>
      </c>
      <c r="M55" s="926">
        <v>76.819999999999993</v>
      </c>
      <c r="N55" s="926">
        <v>65.84</v>
      </c>
      <c r="O55" s="926">
        <v>54.86</v>
      </c>
      <c r="P55" s="926">
        <v>43.9</v>
      </c>
      <c r="Q55" s="346">
        <v>719783</v>
      </c>
      <c r="R55" s="346">
        <v>119963</v>
      </c>
      <c r="S55" s="346">
        <v>25</v>
      </c>
    </row>
    <row r="56" spans="1:19">
      <c r="A56" s="490">
        <v>51</v>
      </c>
      <c r="B56" s="490">
        <v>10512</v>
      </c>
      <c r="C56" s="925" t="s">
        <v>76</v>
      </c>
      <c r="D56" s="926">
        <v>298.66000000000003</v>
      </c>
      <c r="E56" s="926">
        <v>16239.98</v>
      </c>
      <c r="F56" s="926">
        <v>0</v>
      </c>
      <c r="G56" s="926">
        <v>0</v>
      </c>
      <c r="H56" s="926">
        <v>0</v>
      </c>
      <c r="I56" s="926">
        <v>5752.55</v>
      </c>
      <c r="J56" s="926">
        <v>0</v>
      </c>
      <c r="K56" s="926">
        <v>12.1</v>
      </c>
      <c r="L56" s="926">
        <v>3.8</v>
      </c>
      <c r="M56" s="926">
        <v>76.819999999999993</v>
      </c>
      <c r="N56" s="926">
        <v>65.84</v>
      </c>
      <c r="O56" s="926">
        <v>54.86</v>
      </c>
      <c r="P56" s="926">
        <v>43.9</v>
      </c>
      <c r="Q56" s="346">
        <v>719783</v>
      </c>
      <c r="R56" s="346">
        <v>119963</v>
      </c>
      <c r="S56" s="346">
        <v>12</v>
      </c>
    </row>
    <row r="57" spans="1:19">
      <c r="A57" s="490">
        <v>52</v>
      </c>
      <c r="B57" s="490">
        <v>10520</v>
      </c>
      <c r="C57" s="925" t="s">
        <v>77</v>
      </c>
      <c r="D57" s="926">
        <v>54.62</v>
      </c>
      <c r="E57" s="926">
        <v>10188.56</v>
      </c>
      <c r="F57" s="926">
        <v>0</v>
      </c>
      <c r="G57" s="926">
        <v>0</v>
      </c>
      <c r="H57" s="926">
        <v>0</v>
      </c>
      <c r="I57" s="926">
        <v>327.41000000000003</v>
      </c>
      <c r="J57" s="926">
        <v>0</v>
      </c>
      <c r="K57" s="926">
        <v>68.28</v>
      </c>
      <c r="L57" s="926">
        <v>0</v>
      </c>
      <c r="M57" s="926">
        <v>76.819999999999993</v>
      </c>
      <c r="N57" s="926">
        <v>65.84</v>
      </c>
      <c r="O57" s="926">
        <v>54.86</v>
      </c>
      <c r="P57" s="926">
        <v>43.9</v>
      </c>
      <c r="Q57" s="346">
        <v>719783</v>
      </c>
      <c r="R57" s="346">
        <v>119963</v>
      </c>
      <c r="S57" s="346">
        <v>13</v>
      </c>
    </row>
    <row r="58" spans="1:19">
      <c r="A58" s="490">
        <v>53</v>
      </c>
      <c r="B58" s="490">
        <v>10538</v>
      </c>
      <c r="C58" s="925" t="s">
        <v>78</v>
      </c>
      <c r="D58" s="926">
        <v>8.15</v>
      </c>
      <c r="E58" s="926">
        <v>1397.63</v>
      </c>
      <c r="F58" s="926">
        <v>0</v>
      </c>
      <c r="G58" s="926">
        <v>0</v>
      </c>
      <c r="H58" s="926">
        <v>0</v>
      </c>
      <c r="I58" s="926">
        <v>0</v>
      </c>
      <c r="J58" s="926">
        <v>0</v>
      </c>
      <c r="K58" s="926">
        <v>55.54</v>
      </c>
      <c r="L58" s="926">
        <v>7.32</v>
      </c>
      <c r="M58" s="926">
        <v>76.819999999999993</v>
      </c>
      <c r="N58" s="926">
        <v>65.84</v>
      </c>
      <c r="O58" s="926">
        <v>54.86</v>
      </c>
      <c r="P58" s="926">
        <v>43.9</v>
      </c>
      <c r="Q58" s="346">
        <v>719783</v>
      </c>
      <c r="R58" s="346">
        <v>119963</v>
      </c>
      <c r="S58" s="346">
        <v>9</v>
      </c>
    </row>
    <row r="59" spans="1:19">
      <c r="A59" s="490">
        <v>54</v>
      </c>
      <c r="B59" s="490">
        <v>10546</v>
      </c>
      <c r="C59" s="925" t="s">
        <v>31</v>
      </c>
      <c r="D59" s="926">
        <v>915.3</v>
      </c>
      <c r="E59" s="926">
        <v>90594.77</v>
      </c>
      <c r="F59" s="926">
        <v>0</v>
      </c>
      <c r="G59" s="926">
        <v>0</v>
      </c>
      <c r="H59" s="926">
        <v>0</v>
      </c>
      <c r="I59" s="926">
        <v>8858.4699999999993</v>
      </c>
      <c r="J59" s="926">
        <v>0</v>
      </c>
      <c r="K59" s="926">
        <v>0</v>
      </c>
      <c r="L59" s="926">
        <v>0</v>
      </c>
      <c r="M59" s="926">
        <v>76.819999999999993</v>
      </c>
      <c r="N59" s="926">
        <v>65.84</v>
      </c>
      <c r="O59" s="926">
        <v>54.86</v>
      </c>
      <c r="P59" s="926">
        <v>43.9</v>
      </c>
      <c r="Q59" s="346">
        <v>719783</v>
      </c>
      <c r="R59" s="346">
        <v>119963</v>
      </c>
      <c r="S59" s="346">
        <v>43</v>
      </c>
    </row>
    <row r="60" spans="1:19">
      <c r="A60" s="490">
        <v>55</v>
      </c>
      <c r="B60" s="490">
        <v>10553</v>
      </c>
      <c r="C60" s="925" t="s">
        <v>40</v>
      </c>
      <c r="D60" s="926">
        <v>79.8</v>
      </c>
      <c r="E60" s="926">
        <v>4922.68</v>
      </c>
      <c r="F60" s="926">
        <v>0</v>
      </c>
      <c r="G60" s="926">
        <v>0</v>
      </c>
      <c r="H60" s="926">
        <v>0</v>
      </c>
      <c r="I60" s="926">
        <v>672.86</v>
      </c>
      <c r="J60" s="926">
        <v>0</v>
      </c>
      <c r="K60" s="926">
        <v>0</v>
      </c>
      <c r="L60" s="926">
        <v>0</v>
      </c>
      <c r="M60" s="926">
        <v>76.819999999999993</v>
      </c>
      <c r="N60" s="926">
        <v>65.84</v>
      </c>
      <c r="O60" s="926">
        <v>54.86</v>
      </c>
      <c r="P60" s="926">
        <v>43.9</v>
      </c>
      <c r="Q60" s="346">
        <v>719783</v>
      </c>
      <c r="R60" s="346">
        <v>119963</v>
      </c>
      <c r="S60" s="346">
        <v>11</v>
      </c>
    </row>
    <row r="61" spans="1:19">
      <c r="A61" s="490">
        <v>56</v>
      </c>
      <c r="B61" s="490">
        <v>10561</v>
      </c>
      <c r="C61" s="925" t="s">
        <v>39</v>
      </c>
      <c r="D61" s="926">
        <v>546.91999999999996</v>
      </c>
      <c r="E61" s="926">
        <v>123606.15</v>
      </c>
      <c r="F61" s="926">
        <v>0</v>
      </c>
      <c r="G61" s="926">
        <v>0</v>
      </c>
      <c r="H61" s="926">
        <v>0</v>
      </c>
      <c r="I61" s="926">
        <v>6771.2</v>
      </c>
      <c r="J61" s="926">
        <v>0</v>
      </c>
      <c r="K61" s="926">
        <v>0</v>
      </c>
      <c r="L61" s="926">
        <v>0</v>
      </c>
      <c r="M61" s="926">
        <v>76.819999999999993</v>
      </c>
      <c r="N61" s="926">
        <v>65.84</v>
      </c>
      <c r="O61" s="926">
        <v>54.86</v>
      </c>
      <c r="P61" s="926">
        <v>43.9</v>
      </c>
      <c r="Q61" s="346">
        <v>719783</v>
      </c>
      <c r="R61" s="346">
        <v>119963</v>
      </c>
      <c r="S61" s="346">
        <v>19</v>
      </c>
    </row>
    <row r="62" spans="1:19">
      <c r="A62" s="490">
        <v>57</v>
      </c>
      <c r="B62" s="490">
        <v>10579</v>
      </c>
      <c r="C62" s="925" t="s">
        <v>38</v>
      </c>
      <c r="D62" s="926">
        <v>138.22</v>
      </c>
      <c r="E62" s="926">
        <v>26395.37</v>
      </c>
      <c r="F62" s="926">
        <v>0</v>
      </c>
      <c r="G62" s="926">
        <v>0</v>
      </c>
      <c r="H62" s="926">
        <v>0</v>
      </c>
      <c r="I62" s="926">
        <v>2615.7800000000002</v>
      </c>
      <c r="J62" s="926">
        <v>0</v>
      </c>
      <c r="K62" s="926">
        <v>0</v>
      </c>
      <c r="L62" s="926">
        <v>0</v>
      </c>
      <c r="M62" s="926">
        <v>76.819999999999993</v>
      </c>
      <c r="N62" s="926">
        <v>65.84</v>
      </c>
      <c r="O62" s="926">
        <v>54.86</v>
      </c>
      <c r="P62" s="926">
        <v>43.9</v>
      </c>
      <c r="Q62" s="346">
        <v>719783</v>
      </c>
      <c r="R62" s="346">
        <v>119963</v>
      </c>
      <c r="S62" s="346">
        <v>5</v>
      </c>
    </row>
    <row r="63" spans="1:19">
      <c r="A63" s="490">
        <v>58</v>
      </c>
      <c r="B63" s="490">
        <v>10587</v>
      </c>
      <c r="C63" s="925" t="s">
        <v>79</v>
      </c>
      <c r="D63" s="926">
        <v>159.93</v>
      </c>
      <c r="E63" s="926">
        <v>12611.46</v>
      </c>
      <c r="F63" s="926">
        <v>0</v>
      </c>
      <c r="G63" s="926">
        <v>0</v>
      </c>
      <c r="H63" s="926">
        <v>0</v>
      </c>
      <c r="I63" s="926">
        <v>1459.6</v>
      </c>
      <c r="J63" s="926">
        <v>0</v>
      </c>
      <c r="K63" s="926">
        <v>0</v>
      </c>
      <c r="L63" s="926">
        <v>0</v>
      </c>
      <c r="M63" s="926">
        <v>76.819999999999993</v>
      </c>
      <c r="N63" s="926">
        <v>65.84</v>
      </c>
      <c r="O63" s="926">
        <v>54.86</v>
      </c>
      <c r="P63" s="926">
        <v>43.9</v>
      </c>
      <c r="Q63" s="346">
        <v>719783</v>
      </c>
      <c r="R63" s="346">
        <v>119963</v>
      </c>
      <c r="S63" s="346">
        <v>5</v>
      </c>
    </row>
    <row r="64" spans="1:19">
      <c r="C64" s="31"/>
      <c r="D64" s="31">
        <f t="shared" ref="D64:S64" si="0">SUM(D6:D63)</f>
        <v>19804.080000000002</v>
      </c>
      <c r="E64" s="31">
        <f t="shared" si="0"/>
        <v>5206991.7699999996</v>
      </c>
      <c r="F64" s="31">
        <f t="shared" si="0"/>
        <v>99.66</v>
      </c>
      <c r="G64" s="31">
        <f t="shared" si="0"/>
        <v>1651.11</v>
      </c>
      <c r="H64" s="31">
        <f t="shared" si="0"/>
        <v>0</v>
      </c>
      <c r="I64" s="31">
        <f t="shared" si="0"/>
        <v>651955.68999999994</v>
      </c>
      <c r="J64" s="31">
        <f t="shared" si="0"/>
        <v>6668.49</v>
      </c>
      <c r="K64" s="31">
        <f t="shared" si="0"/>
        <v>7226.51</v>
      </c>
      <c r="L64" s="31">
        <f t="shared" si="0"/>
        <v>961.56999999999994</v>
      </c>
      <c r="M64" s="31"/>
      <c r="N64" s="31"/>
      <c r="O64" s="31"/>
      <c r="P64" s="31"/>
      <c r="Q64" s="31"/>
      <c r="R64" s="31"/>
      <c r="S64" s="31">
        <f t="shared" si="0"/>
        <v>942</v>
      </c>
    </row>
    <row r="66" spans="4:4">
      <c r="D66" s="54">
        <f>SUM(D64:S64)</f>
        <v>5896300.8800000008</v>
      </c>
    </row>
    <row r="67" spans="4:4">
      <c r="D67" s="344" t="s">
        <v>163</v>
      </c>
    </row>
  </sheetData>
  <pageMargins left="0.25" right="0.25" top="0.25" bottom="0.25" header="0.3" footer="0.3"/>
  <pageSetup paperSize="5" scale="50" orientation="landscape" r:id="rId1"/>
  <headerFooter>
    <oddFooter>&amp;R&amp;F
&amp;A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X67"/>
  <sheetViews>
    <sheetView zoomScale="70" zoomScaleNormal="70" workbookViewId="0">
      <pane ySplit="5" topLeftCell="A6" activePane="bottomLeft" state="frozen"/>
      <selection activeCell="A2" sqref="A2"/>
      <selection pane="bottomLeft"/>
    </sheetView>
  </sheetViews>
  <sheetFormatPr defaultColWidth="8.88671875" defaultRowHeight="15"/>
  <cols>
    <col min="1" max="1" width="14.5546875" style="35" customWidth="1"/>
    <col min="2" max="2" width="41.44140625" style="96" customWidth="1"/>
    <col min="3" max="7" width="17" style="35" customWidth="1"/>
    <col min="8" max="10" width="25" style="35" customWidth="1"/>
    <col min="11" max="11" width="17" style="35" customWidth="1"/>
    <col min="12" max="12" width="19.109375" style="61" customWidth="1"/>
    <col min="13" max="13" width="17" style="35" customWidth="1"/>
    <col min="14" max="14" width="17" style="5" customWidth="1"/>
    <col min="15" max="15" width="17" style="35" customWidth="1"/>
    <col min="16" max="16" width="22" style="35" customWidth="1"/>
    <col min="17" max="19" width="17" style="96" customWidth="1"/>
    <col min="20" max="20" width="20.109375" style="96" customWidth="1"/>
    <col min="21" max="23" width="17" style="96" customWidth="1"/>
    <col min="24" max="24" width="17.44140625" style="35" customWidth="1"/>
    <col min="25" max="28" width="10.88671875" style="35" customWidth="1"/>
    <col min="29" max="16384" width="8.88671875" style="35"/>
  </cols>
  <sheetData>
    <row r="1" spans="1:24" ht="28.5" customHeight="1">
      <c r="A1" s="796" t="s">
        <v>319</v>
      </c>
      <c r="E1" s="137"/>
      <c r="F1" s="243" t="s">
        <v>1835</v>
      </c>
      <c r="G1" s="46"/>
      <c r="H1" s="62"/>
      <c r="I1" s="62"/>
      <c r="J1" s="62"/>
      <c r="K1" s="62"/>
      <c r="M1" s="62"/>
      <c r="N1" s="62"/>
      <c r="O1" s="62"/>
    </row>
    <row r="2" spans="1:24" s="135" customFormat="1" ht="28.5" customHeight="1">
      <c r="A2" s="1109" t="s">
        <v>1773</v>
      </c>
      <c r="B2" s="805"/>
      <c r="C2" s="798"/>
      <c r="D2" s="806"/>
      <c r="E2" s="806"/>
      <c r="F2" s="797"/>
      <c r="G2" s="336"/>
      <c r="H2" s="337"/>
      <c r="I2" s="1084" t="s">
        <v>1816</v>
      </c>
      <c r="J2" s="1084" t="s">
        <v>1819</v>
      </c>
      <c r="K2" s="337"/>
      <c r="L2" s="338"/>
      <c r="M2" s="337"/>
      <c r="N2" s="337"/>
      <c r="O2" s="337"/>
      <c r="Q2" s="339"/>
      <c r="R2" s="339"/>
      <c r="S2" s="339"/>
      <c r="U2" s="339"/>
      <c r="V2" s="339"/>
      <c r="W2" s="339"/>
      <c r="X2" s="337" t="s">
        <v>1752</v>
      </c>
    </row>
    <row r="3" spans="1:24" s="5" customFormat="1" ht="36" customHeight="1">
      <c r="A3" s="796" t="str">
        <f>+'Data Entry'!I10</f>
        <v>2022-23</v>
      </c>
      <c r="C3" s="774" t="s">
        <v>1489</v>
      </c>
      <c r="D3" s="774" t="s">
        <v>1490</v>
      </c>
      <c r="E3" s="774" t="s">
        <v>1491</v>
      </c>
      <c r="F3" s="774" t="s">
        <v>1492</v>
      </c>
      <c r="G3" s="774" t="s">
        <v>1493</v>
      </c>
      <c r="H3" s="774" t="s">
        <v>1486</v>
      </c>
      <c r="I3" s="774" t="s">
        <v>1487</v>
      </c>
      <c r="J3" s="774" t="s">
        <v>1488</v>
      </c>
      <c r="K3" s="774" t="s">
        <v>1682</v>
      </c>
      <c r="L3" s="774" t="s">
        <v>1500</v>
      </c>
      <c r="M3" s="774" t="s">
        <v>1494</v>
      </c>
      <c r="N3" s="774" t="s">
        <v>1499</v>
      </c>
      <c r="O3" s="774" t="s">
        <v>1498</v>
      </c>
      <c r="P3" s="774" t="s">
        <v>1834</v>
      </c>
      <c r="Q3" s="774" t="s">
        <v>1497</v>
      </c>
      <c r="R3" s="801" t="s">
        <v>1495</v>
      </c>
      <c r="S3" s="774" t="s">
        <v>1496</v>
      </c>
      <c r="T3" s="337" t="s">
        <v>1752</v>
      </c>
      <c r="U3" s="774" t="s">
        <v>1501</v>
      </c>
      <c r="V3" s="774" t="s">
        <v>1502</v>
      </c>
      <c r="W3" s="802" t="s">
        <v>1503</v>
      </c>
      <c r="X3" s="802" t="s">
        <v>1503</v>
      </c>
    </row>
    <row r="4" spans="1:24" s="41" customFormat="1" ht="165" customHeight="1">
      <c r="A4" s="326" t="s">
        <v>16</v>
      </c>
      <c r="B4" s="330" t="s">
        <v>20</v>
      </c>
      <c r="C4" s="327" t="s">
        <v>462</v>
      </c>
      <c r="D4" s="326" t="s">
        <v>463</v>
      </c>
      <c r="E4" s="326" t="s">
        <v>464</v>
      </c>
      <c r="F4" s="326" t="s">
        <v>465</v>
      </c>
      <c r="G4" s="326" t="s">
        <v>504</v>
      </c>
      <c r="H4" s="326" t="s">
        <v>466</v>
      </c>
      <c r="I4" s="1083" t="s">
        <v>1815</v>
      </c>
      <c r="J4" s="1083" t="s">
        <v>1818</v>
      </c>
      <c r="K4" s="326" t="s">
        <v>1680</v>
      </c>
      <c r="L4" s="326" t="s">
        <v>471</v>
      </c>
      <c r="M4" s="326" t="s">
        <v>472</v>
      </c>
      <c r="N4" s="326" t="s">
        <v>473</v>
      </c>
      <c r="O4" s="326" t="s">
        <v>474</v>
      </c>
      <c r="P4" s="1083" t="s">
        <v>1812</v>
      </c>
      <c r="Q4" s="326" t="s">
        <v>475</v>
      </c>
      <c r="R4" s="326" t="s">
        <v>476</v>
      </c>
      <c r="S4" s="326" t="s">
        <v>477</v>
      </c>
      <c r="T4" s="1083" t="s">
        <v>1809</v>
      </c>
      <c r="U4" s="326" t="s">
        <v>478</v>
      </c>
      <c r="V4" s="326" t="s">
        <v>479</v>
      </c>
      <c r="W4" s="326" t="s">
        <v>480</v>
      </c>
      <c r="X4" s="1083" t="s">
        <v>1813</v>
      </c>
    </row>
    <row r="5" spans="1:24" ht="28.5" customHeight="1">
      <c r="A5" s="328"/>
      <c r="B5" s="328"/>
      <c r="C5" s="329" t="s">
        <v>13</v>
      </c>
      <c r="D5" s="328" t="s">
        <v>9</v>
      </c>
      <c r="E5" s="328" t="s">
        <v>92</v>
      </c>
      <c r="F5" s="329" t="s">
        <v>91</v>
      </c>
      <c r="G5" s="329" t="s">
        <v>293</v>
      </c>
      <c r="H5" s="328" t="s">
        <v>469</v>
      </c>
      <c r="I5" s="328" t="s">
        <v>470</v>
      </c>
      <c r="J5" s="328" t="s">
        <v>1817</v>
      </c>
      <c r="K5" s="328" t="s">
        <v>99</v>
      </c>
      <c r="L5" s="328" t="s">
        <v>14</v>
      </c>
      <c r="M5" s="328" t="s">
        <v>97</v>
      </c>
      <c r="N5" s="328" t="s">
        <v>511</v>
      </c>
      <c r="O5" s="328" t="s">
        <v>481</v>
      </c>
      <c r="P5" s="328" t="s">
        <v>1811</v>
      </c>
      <c r="Q5" s="328" t="s">
        <v>131</v>
      </c>
      <c r="R5" s="328" t="s">
        <v>127</v>
      </c>
      <c r="S5" s="328" t="s">
        <v>82</v>
      </c>
      <c r="T5" s="328" t="s">
        <v>1810</v>
      </c>
      <c r="U5" s="328" t="s">
        <v>10</v>
      </c>
      <c r="V5" s="328" t="s">
        <v>96</v>
      </c>
      <c r="W5" s="328" t="s">
        <v>104</v>
      </c>
      <c r="X5" s="328" t="s">
        <v>1814</v>
      </c>
    </row>
    <row r="6" spans="1:24">
      <c r="A6" s="1085">
        <v>1</v>
      </c>
      <c r="B6" s="1086" t="s">
        <v>49</v>
      </c>
      <c r="C6" s="1087">
        <v>45.02</v>
      </c>
      <c r="D6" s="1087">
        <v>6.63</v>
      </c>
      <c r="E6" s="1087">
        <v>73.11</v>
      </c>
      <c r="F6" s="1087">
        <v>0</v>
      </c>
      <c r="G6" s="1088">
        <v>13782.94</v>
      </c>
      <c r="H6" s="1089">
        <v>0</v>
      </c>
      <c r="I6" s="1089">
        <v>0</v>
      </c>
      <c r="J6" s="1090">
        <v>0</v>
      </c>
      <c r="K6" s="1085" t="b">
        <v>1</v>
      </c>
      <c r="L6" s="1089">
        <v>10203962</v>
      </c>
      <c r="M6" s="1088">
        <v>8540.69</v>
      </c>
      <c r="N6" s="1089">
        <v>6408060</v>
      </c>
      <c r="O6" s="1089">
        <v>0</v>
      </c>
      <c r="P6" s="1089">
        <v>1511160</v>
      </c>
      <c r="Q6" s="1089">
        <v>18336381</v>
      </c>
      <c r="R6" s="1089">
        <v>24952</v>
      </c>
      <c r="S6" s="1089">
        <v>6408060</v>
      </c>
      <c r="T6" s="1089">
        <v>1511160</v>
      </c>
      <c r="U6" s="1089">
        <v>22203</v>
      </c>
      <c r="V6" s="1089">
        <v>94999</v>
      </c>
      <c r="W6" s="1089">
        <v>3133333</v>
      </c>
      <c r="X6" s="1089">
        <v>0</v>
      </c>
    </row>
    <row r="7" spans="1:24">
      <c r="A7" s="1085">
        <v>2</v>
      </c>
      <c r="B7" s="1086" t="s">
        <v>51</v>
      </c>
      <c r="C7" s="1087">
        <v>0</v>
      </c>
      <c r="D7" s="1087">
        <v>0</v>
      </c>
      <c r="E7" s="1087">
        <v>0</v>
      </c>
      <c r="F7" s="1087">
        <v>0</v>
      </c>
      <c r="G7" s="1087">
        <v>13782.94</v>
      </c>
      <c r="H7" s="1090">
        <v>0</v>
      </c>
      <c r="I7" s="1090">
        <v>0</v>
      </c>
      <c r="J7" s="1090">
        <v>0</v>
      </c>
      <c r="K7" s="1085" t="b">
        <v>1</v>
      </c>
      <c r="L7" s="1090">
        <v>686430</v>
      </c>
      <c r="M7" s="1087">
        <v>0</v>
      </c>
      <c r="N7" s="1090">
        <v>1195</v>
      </c>
      <c r="O7" s="1090">
        <v>0</v>
      </c>
      <c r="P7" s="1090">
        <v>69866</v>
      </c>
      <c r="Q7" s="1090">
        <v>0</v>
      </c>
      <c r="R7" s="1090">
        <v>310398</v>
      </c>
      <c r="S7" s="1090">
        <v>1195</v>
      </c>
      <c r="T7" s="1090">
        <v>69866</v>
      </c>
      <c r="U7" s="1090">
        <v>22203</v>
      </c>
      <c r="V7" s="1090">
        <v>94999</v>
      </c>
      <c r="W7" s="1090">
        <v>200000</v>
      </c>
      <c r="X7" s="1090">
        <v>0</v>
      </c>
    </row>
    <row r="8" spans="1:24">
      <c r="A8" s="1085">
        <v>3</v>
      </c>
      <c r="B8" s="1086" t="s">
        <v>52</v>
      </c>
      <c r="C8" s="1087">
        <v>1.68</v>
      </c>
      <c r="D8" s="1087">
        <v>0</v>
      </c>
      <c r="E8" s="1087">
        <v>0</v>
      </c>
      <c r="F8" s="1087">
        <v>0</v>
      </c>
      <c r="G8" s="1087">
        <v>13782.94</v>
      </c>
      <c r="H8" s="1090">
        <v>0</v>
      </c>
      <c r="I8" s="1090">
        <v>217289</v>
      </c>
      <c r="J8" s="1090">
        <v>149049</v>
      </c>
      <c r="K8" s="1085" t="b">
        <v>0</v>
      </c>
      <c r="L8" s="1090">
        <v>1299258</v>
      </c>
      <c r="M8" s="1087">
        <v>8532.51</v>
      </c>
      <c r="N8" s="1090">
        <v>671038</v>
      </c>
      <c r="O8" s="1090">
        <v>0</v>
      </c>
      <c r="P8" s="1090">
        <v>94831</v>
      </c>
      <c r="Q8" s="1090">
        <v>984916</v>
      </c>
      <c r="R8" s="1090">
        <v>328677</v>
      </c>
      <c r="S8" s="1090">
        <v>671038</v>
      </c>
      <c r="T8" s="1090">
        <v>94831</v>
      </c>
      <c r="U8" s="1090">
        <v>0</v>
      </c>
      <c r="V8" s="1090">
        <v>0</v>
      </c>
      <c r="W8" s="1090">
        <v>200000</v>
      </c>
      <c r="X8" s="1090">
        <v>0</v>
      </c>
    </row>
    <row r="9" spans="1:24">
      <c r="A9" s="1085">
        <v>4</v>
      </c>
      <c r="B9" s="1086" t="s">
        <v>53</v>
      </c>
      <c r="C9" s="1087">
        <v>4.01</v>
      </c>
      <c r="D9" s="1087">
        <v>0</v>
      </c>
      <c r="E9" s="1087">
        <v>18.170000000000002</v>
      </c>
      <c r="F9" s="1087">
        <v>0</v>
      </c>
      <c r="G9" s="1087">
        <v>13782.94</v>
      </c>
      <c r="H9" s="1090">
        <v>0</v>
      </c>
      <c r="I9" s="1090">
        <v>15176</v>
      </c>
      <c r="J9" s="1090">
        <v>0</v>
      </c>
      <c r="K9" s="1085" t="b">
        <v>0</v>
      </c>
      <c r="L9" s="1090">
        <v>2698579</v>
      </c>
      <c r="M9" s="1087">
        <v>8532.57</v>
      </c>
      <c r="N9" s="1090">
        <v>3332701</v>
      </c>
      <c r="O9" s="1090">
        <v>0</v>
      </c>
      <c r="P9" s="1090">
        <v>502639</v>
      </c>
      <c r="Q9" s="1090">
        <v>2317375</v>
      </c>
      <c r="R9" s="1090">
        <v>570457</v>
      </c>
      <c r="S9" s="1090">
        <v>3332701</v>
      </c>
      <c r="T9" s="1090">
        <v>502639</v>
      </c>
      <c r="U9" s="1090">
        <v>0</v>
      </c>
      <c r="V9" s="1090">
        <v>0</v>
      </c>
      <c r="W9" s="1090">
        <v>1200000</v>
      </c>
      <c r="X9" s="1090">
        <v>0</v>
      </c>
    </row>
    <row r="10" spans="1:24">
      <c r="A10" s="1085">
        <v>5</v>
      </c>
      <c r="B10" s="1086" t="s">
        <v>54</v>
      </c>
      <c r="C10" s="1087">
        <v>28.33</v>
      </c>
      <c r="D10" s="1087">
        <v>0</v>
      </c>
      <c r="E10" s="1087">
        <v>0</v>
      </c>
      <c r="F10" s="1087">
        <v>0</v>
      </c>
      <c r="G10" s="1087">
        <v>13782.94</v>
      </c>
      <c r="H10" s="1090">
        <v>0</v>
      </c>
      <c r="I10" s="1090">
        <v>0</v>
      </c>
      <c r="J10" s="1090">
        <v>0</v>
      </c>
      <c r="K10" s="1085" t="b">
        <v>0</v>
      </c>
      <c r="L10" s="1090">
        <v>857128</v>
      </c>
      <c r="M10" s="1087">
        <v>8533.98</v>
      </c>
      <c r="N10" s="1090">
        <v>1224781</v>
      </c>
      <c r="O10" s="1090">
        <v>0</v>
      </c>
      <c r="P10" s="1090">
        <v>192396</v>
      </c>
      <c r="Q10" s="1090">
        <v>757931</v>
      </c>
      <c r="R10" s="1090">
        <v>340965</v>
      </c>
      <c r="S10" s="1090">
        <v>1224781</v>
      </c>
      <c r="T10" s="1090">
        <v>192396</v>
      </c>
      <c r="U10" s="1090">
        <v>0</v>
      </c>
      <c r="V10" s="1090">
        <v>0</v>
      </c>
      <c r="W10" s="1090">
        <v>700000</v>
      </c>
      <c r="X10" s="1090">
        <v>0</v>
      </c>
    </row>
    <row r="11" spans="1:24">
      <c r="A11" s="1085">
        <v>6</v>
      </c>
      <c r="B11" s="1086" t="s">
        <v>55</v>
      </c>
      <c r="C11" s="1087">
        <v>19.21</v>
      </c>
      <c r="D11" s="1087">
        <v>0</v>
      </c>
      <c r="E11" s="1087">
        <v>0</v>
      </c>
      <c r="F11" s="1087">
        <v>0</v>
      </c>
      <c r="G11" s="1087">
        <v>13782.94</v>
      </c>
      <c r="H11" s="1090">
        <v>0</v>
      </c>
      <c r="I11" s="1090">
        <v>92975</v>
      </c>
      <c r="J11" s="1090">
        <v>0</v>
      </c>
      <c r="K11" s="1085" t="b">
        <v>1</v>
      </c>
      <c r="L11" s="1090">
        <v>1185600</v>
      </c>
      <c r="M11" s="1087">
        <v>8532.42</v>
      </c>
      <c r="N11" s="1090">
        <v>309028</v>
      </c>
      <c r="O11" s="1090">
        <v>0</v>
      </c>
      <c r="P11" s="1090">
        <v>180700</v>
      </c>
      <c r="Q11" s="1090">
        <v>100413</v>
      </c>
      <c r="R11" s="1090">
        <v>610237</v>
      </c>
      <c r="S11" s="1090">
        <v>309028</v>
      </c>
      <c r="T11" s="1090">
        <v>180700</v>
      </c>
      <c r="U11" s="1090">
        <v>22203</v>
      </c>
      <c r="V11" s="1090">
        <v>94999</v>
      </c>
      <c r="W11" s="1090">
        <v>400000</v>
      </c>
      <c r="X11" s="1090">
        <v>0</v>
      </c>
    </row>
    <row r="12" spans="1:24">
      <c r="A12" s="1085">
        <v>7</v>
      </c>
      <c r="B12" s="1086" t="s">
        <v>109</v>
      </c>
      <c r="C12" s="1087">
        <v>0</v>
      </c>
      <c r="D12" s="1087">
        <v>23.58</v>
      </c>
      <c r="E12" s="1087">
        <v>58.42</v>
      </c>
      <c r="F12" s="1087">
        <v>0</v>
      </c>
      <c r="G12" s="1087">
        <v>13782.94</v>
      </c>
      <c r="H12" s="1090">
        <v>0</v>
      </c>
      <c r="I12" s="1090">
        <v>799189</v>
      </c>
      <c r="J12" s="1090">
        <v>0</v>
      </c>
      <c r="K12" s="1085" t="b">
        <v>0</v>
      </c>
      <c r="L12" s="1090">
        <v>8888302</v>
      </c>
      <c r="M12" s="1087">
        <v>8532.58</v>
      </c>
      <c r="N12" s="1090">
        <v>12153515</v>
      </c>
      <c r="O12" s="1090">
        <v>0</v>
      </c>
      <c r="P12" s="1090">
        <v>1298586</v>
      </c>
      <c r="Q12" s="1090">
        <v>18737723</v>
      </c>
      <c r="R12" s="1090">
        <v>16400</v>
      </c>
      <c r="S12" s="1090">
        <v>12153515</v>
      </c>
      <c r="T12" s="1090">
        <v>1298586</v>
      </c>
      <c r="U12" s="1090">
        <v>0</v>
      </c>
      <c r="V12" s="1090">
        <v>0</v>
      </c>
      <c r="W12" s="1090">
        <v>2133333</v>
      </c>
      <c r="X12" s="1090">
        <v>0</v>
      </c>
    </row>
    <row r="13" spans="1:24">
      <c r="A13" s="1085">
        <v>8</v>
      </c>
      <c r="B13" s="1086" t="s">
        <v>56</v>
      </c>
      <c r="C13" s="1087">
        <v>8.2899999999999991</v>
      </c>
      <c r="D13" s="1087">
        <v>0</v>
      </c>
      <c r="E13" s="1087">
        <v>4.53</v>
      </c>
      <c r="F13" s="1087">
        <v>0</v>
      </c>
      <c r="G13" s="1087">
        <v>13782.94</v>
      </c>
      <c r="H13" s="1090">
        <v>0</v>
      </c>
      <c r="I13" s="1090">
        <v>0</v>
      </c>
      <c r="J13" s="1090">
        <v>0</v>
      </c>
      <c r="K13" s="1085" t="b">
        <v>0</v>
      </c>
      <c r="L13" s="1090">
        <v>2378396</v>
      </c>
      <c r="M13" s="1087">
        <v>8532.59</v>
      </c>
      <c r="N13" s="1090">
        <v>318069</v>
      </c>
      <c r="O13" s="1090">
        <v>0</v>
      </c>
      <c r="P13" s="1090">
        <v>109665</v>
      </c>
      <c r="Q13" s="1090">
        <v>45058</v>
      </c>
      <c r="R13" s="1090">
        <v>1124956</v>
      </c>
      <c r="S13" s="1090">
        <v>318069</v>
      </c>
      <c r="T13" s="1090">
        <v>109665</v>
      </c>
      <c r="U13" s="1090">
        <v>0</v>
      </c>
      <c r="V13" s="1090">
        <v>0</v>
      </c>
      <c r="W13" s="1090">
        <v>200000</v>
      </c>
      <c r="X13" s="1090">
        <v>0</v>
      </c>
    </row>
    <row r="14" spans="1:24">
      <c r="A14" s="1085">
        <v>9</v>
      </c>
      <c r="B14" s="1086" t="s">
        <v>37</v>
      </c>
      <c r="C14" s="1087">
        <v>0</v>
      </c>
      <c r="D14" s="1087">
        <v>332.07</v>
      </c>
      <c r="E14" s="1087">
        <v>11.01</v>
      </c>
      <c r="F14" s="1087">
        <v>41.6</v>
      </c>
      <c r="G14" s="1087">
        <v>13782.94</v>
      </c>
      <c r="H14" s="1090">
        <v>0</v>
      </c>
      <c r="I14" s="1090">
        <v>442444</v>
      </c>
      <c r="J14" s="1090">
        <v>0</v>
      </c>
      <c r="K14" s="1085" t="b">
        <v>1</v>
      </c>
      <c r="L14" s="1090">
        <v>2446627</v>
      </c>
      <c r="M14" s="1087">
        <v>8532.58</v>
      </c>
      <c r="N14" s="1090">
        <v>1622304</v>
      </c>
      <c r="O14" s="1090">
        <v>0</v>
      </c>
      <c r="P14" s="1090">
        <v>924355</v>
      </c>
      <c r="Q14" s="1090">
        <v>6710649</v>
      </c>
      <c r="R14" s="1090">
        <v>76936</v>
      </c>
      <c r="S14" s="1090">
        <v>1622304</v>
      </c>
      <c r="T14" s="1090">
        <v>924355</v>
      </c>
      <c r="U14" s="1090">
        <v>22203</v>
      </c>
      <c r="V14" s="1090">
        <v>94999</v>
      </c>
      <c r="W14" s="1090">
        <v>1433333</v>
      </c>
      <c r="X14" s="1090">
        <v>0</v>
      </c>
    </row>
    <row r="15" spans="1:24">
      <c r="A15" s="1085">
        <v>10</v>
      </c>
      <c r="B15" s="1086" t="s">
        <v>48</v>
      </c>
      <c r="C15" s="1087">
        <v>17.02</v>
      </c>
      <c r="D15" s="1087">
        <v>0</v>
      </c>
      <c r="E15" s="1087">
        <v>168.74</v>
      </c>
      <c r="F15" s="1087">
        <v>0</v>
      </c>
      <c r="G15" s="1087">
        <v>13782.94</v>
      </c>
      <c r="H15" s="1090">
        <v>0</v>
      </c>
      <c r="I15" s="1090">
        <v>927131</v>
      </c>
      <c r="J15" s="1090">
        <v>0</v>
      </c>
      <c r="K15" s="1085" t="b">
        <v>0</v>
      </c>
      <c r="L15" s="1090">
        <v>9722633</v>
      </c>
      <c r="M15" s="1087">
        <v>8532.58</v>
      </c>
      <c r="N15" s="1090">
        <v>15002727</v>
      </c>
      <c r="O15" s="1090">
        <v>0</v>
      </c>
      <c r="P15" s="1090">
        <v>1850357</v>
      </c>
      <c r="Q15" s="1090">
        <v>17822842</v>
      </c>
      <c r="R15" s="1090">
        <v>37152</v>
      </c>
      <c r="S15" s="1090">
        <v>15002727</v>
      </c>
      <c r="T15" s="1090">
        <v>1850357</v>
      </c>
      <c r="U15" s="1090">
        <v>0</v>
      </c>
      <c r="V15" s="1090">
        <v>0</v>
      </c>
      <c r="W15" s="1090">
        <v>2500000</v>
      </c>
      <c r="X15" s="1090">
        <v>0</v>
      </c>
    </row>
    <row r="16" spans="1:24">
      <c r="A16" s="1085">
        <v>11</v>
      </c>
      <c r="B16" s="1086" t="s">
        <v>47</v>
      </c>
      <c r="C16" s="1087">
        <v>8.0299999999999994</v>
      </c>
      <c r="D16" s="1087">
        <v>0</v>
      </c>
      <c r="E16" s="1087">
        <v>0</v>
      </c>
      <c r="F16" s="1087">
        <v>0</v>
      </c>
      <c r="G16" s="1087">
        <v>13782.94</v>
      </c>
      <c r="H16" s="1090">
        <v>0</v>
      </c>
      <c r="I16" s="1090">
        <v>289651</v>
      </c>
      <c r="J16" s="1090">
        <v>0</v>
      </c>
      <c r="K16" s="1085" t="b">
        <v>0</v>
      </c>
      <c r="L16" s="1090">
        <v>2162502</v>
      </c>
      <c r="M16" s="1087">
        <v>8532.59</v>
      </c>
      <c r="N16" s="1090">
        <v>2026783</v>
      </c>
      <c r="O16" s="1090">
        <v>0</v>
      </c>
      <c r="P16" s="1090">
        <v>251735</v>
      </c>
      <c r="Q16" s="1090">
        <v>340876</v>
      </c>
      <c r="R16" s="1090">
        <v>1008849</v>
      </c>
      <c r="S16" s="1090">
        <v>2026783</v>
      </c>
      <c r="T16" s="1090">
        <v>251735</v>
      </c>
      <c r="U16" s="1090">
        <v>0</v>
      </c>
      <c r="V16" s="1090">
        <v>0</v>
      </c>
      <c r="W16" s="1090">
        <v>533333</v>
      </c>
      <c r="X16" s="1090">
        <v>0</v>
      </c>
    </row>
    <row r="17" spans="1:24">
      <c r="A17" s="1085">
        <v>12</v>
      </c>
      <c r="B17" s="1086" t="s">
        <v>57</v>
      </c>
      <c r="C17" s="1087">
        <v>92.16</v>
      </c>
      <c r="D17" s="1087">
        <v>0</v>
      </c>
      <c r="E17" s="1087">
        <v>8.6</v>
      </c>
      <c r="F17" s="1087">
        <v>0</v>
      </c>
      <c r="G17" s="1087">
        <v>13782.94</v>
      </c>
      <c r="H17" s="1090">
        <v>0</v>
      </c>
      <c r="I17" s="1090">
        <v>404123</v>
      </c>
      <c r="J17" s="1090">
        <v>0</v>
      </c>
      <c r="K17" s="1085" t="b">
        <v>1</v>
      </c>
      <c r="L17" s="1090">
        <v>2385008</v>
      </c>
      <c r="M17" s="1087">
        <v>8542.5300000000007</v>
      </c>
      <c r="N17" s="1090">
        <v>3916204</v>
      </c>
      <c r="O17" s="1090">
        <v>0</v>
      </c>
      <c r="P17" s="1090">
        <v>887329</v>
      </c>
      <c r="Q17" s="1090">
        <v>1365550</v>
      </c>
      <c r="R17" s="1090">
        <v>1467704</v>
      </c>
      <c r="S17" s="1090">
        <v>3916204</v>
      </c>
      <c r="T17" s="1090">
        <v>887329</v>
      </c>
      <c r="U17" s="1090">
        <v>22203</v>
      </c>
      <c r="V17" s="1090">
        <v>94999</v>
      </c>
      <c r="W17" s="1090">
        <v>1233333</v>
      </c>
      <c r="X17" s="1090">
        <v>0</v>
      </c>
    </row>
    <row r="18" spans="1:24">
      <c r="A18" s="1085">
        <v>13</v>
      </c>
      <c r="B18" s="1086" t="s">
        <v>58</v>
      </c>
      <c r="C18" s="1087">
        <v>126.58</v>
      </c>
      <c r="D18" s="1087">
        <v>0</v>
      </c>
      <c r="E18" s="1087">
        <v>15.98</v>
      </c>
      <c r="F18" s="1087">
        <v>0</v>
      </c>
      <c r="G18" s="1087">
        <v>13782.94</v>
      </c>
      <c r="H18" s="1090">
        <v>0</v>
      </c>
      <c r="I18" s="1090">
        <v>13535</v>
      </c>
      <c r="J18" s="1090">
        <v>0</v>
      </c>
      <c r="K18" s="1085" t="b">
        <v>1</v>
      </c>
      <c r="L18" s="1090">
        <v>2593316</v>
      </c>
      <c r="M18" s="1087">
        <v>8540.9500000000007</v>
      </c>
      <c r="N18" s="1090">
        <v>3340762</v>
      </c>
      <c r="O18" s="1090">
        <v>0</v>
      </c>
      <c r="P18" s="1090">
        <v>750189</v>
      </c>
      <c r="Q18" s="1090">
        <v>666819</v>
      </c>
      <c r="R18" s="1090">
        <v>1723265</v>
      </c>
      <c r="S18" s="1090">
        <v>3340762</v>
      </c>
      <c r="T18" s="1090">
        <v>750189</v>
      </c>
      <c r="U18" s="1090">
        <v>22203</v>
      </c>
      <c r="V18" s="1090">
        <v>94999</v>
      </c>
      <c r="W18" s="1090">
        <v>1233333</v>
      </c>
      <c r="X18" s="1090">
        <v>0</v>
      </c>
    </row>
    <row r="19" spans="1:24">
      <c r="A19" s="1085">
        <v>14</v>
      </c>
      <c r="B19" s="1086" t="s">
        <v>36</v>
      </c>
      <c r="C19" s="1087">
        <v>3.54</v>
      </c>
      <c r="D19" s="1087">
        <v>0</v>
      </c>
      <c r="E19" s="1087">
        <v>0</v>
      </c>
      <c r="F19" s="1087">
        <v>0</v>
      </c>
      <c r="G19" s="1087">
        <v>13782.94</v>
      </c>
      <c r="H19" s="1090">
        <v>0</v>
      </c>
      <c r="I19" s="1090">
        <v>0</v>
      </c>
      <c r="J19" s="1090">
        <v>0</v>
      </c>
      <c r="K19" s="1085" t="b">
        <v>0</v>
      </c>
      <c r="L19" s="1090">
        <v>2318751</v>
      </c>
      <c r="M19" s="1087">
        <v>8544.19</v>
      </c>
      <c r="N19" s="1090">
        <v>2061392</v>
      </c>
      <c r="O19" s="1090">
        <v>0</v>
      </c>
      <c r="P19" s="1090">
        <v>192154</v>
      </c>
      <c r="Q19" s="1090">
        <v>3018194</v>
      </c>
      <c r="R19" s="1090">
        <v>708</v>
      </c>
      <c r="S19" s="1090">
        <v>2061392</v>
      </c>
      <c r="T19" s="1090">
        <v>192154</v>
      </c>
      <c r="U19" s="1090">
        <v>0</v>
      </c>
      <c r="V19" s="1090">
        <v>0</v>
      </c>
      <c r="W19" s="1090">
        <v>366667</v>
      </c>
      <c r="X19" s="1090">
        <v>0</v>
      </c>
    </row>
    <row r="20" spans="1:24">
      <c r="A20" s="1085">
        <v>15</v>
      </c>
      <c r="B20" s="1086" t="s">
        <v>46</v>
      </c>
      <c r="C20" s="1087">
        <v>309.36</v>
      </c>
      <c r="D20" s="1087">
        <v>0</v>
      </c>
      <c r="E20" s="1087">
        <v>333.69</v>
      </c>
      <c r="F20" s="1087">
        <v>0</v>
      </c>
      <c r="G20" s="1087">
        <v>13782.94</v>
      </c>
      <c r="H20" s="1090">
        <v>0</v>
      </c>
      <c r="I20" s="1090">
        <v>2270357</v>
      </c>
      <c r="J20" s="1090">
        <v>155000</v>
      </c>
      <c r="K20" s="1085" t="b">
        <v>1</v>
      </c>
      <c r="L20" s="1090">
        <v>10607614</v>
      </c>
      <c r="M20" s="1087">
        <v>8541.9699999999993</v>
      </c>
      <c r="N20" s="1090">
        <v>11404874</v>
      </c>
      <c r="O20" s="1090">
        <v>0</v>
      </c>
      <c r="P20" s="1090">
        <v>2662966</v>
      </c>
      <c r="Q20" s="1090">
        <v>16194113</v>
      </c>
      <c r="R20" s="1090">
        <v>128610</v>
      </c>
      <c r="S20" s="1090">
        <v>11404874</v>
      </c>
      <c r="T20" s="1090">
        <v>2662966</v>
      </c>
      <c r="U20" s="1090">
        <v>22203</v>
      </c>
      <c r="V20" s="1090">
        <v>94999</v>
      </c>
      <c r="W20" s="1090">
        <v>3500000</v>
      </c>
      <c r="X20" s="1090">
        <v>0</v>
      </c>
    </row>
    <row r="21" spans="1:24">
      <c r="A21" s="1085">
        <v>16</v>
      </c>
      <c r="B21" s="1086" t="s">
        <v>59</v>
      </c>
      <c r="C21" s="1087">
        <v>0</v>
      </c>
      <c r="D21" s="1087">
        <v>0</v>
      </c>
      <c r="E21" s="1087">
        <v>40.17</v>
      </c>
      <c r="F21" s="1087">
        <v>0</v>
      </c>
      <c r="G21" s="1087">
        <v>13782.94</v>
      </c>
      <c r="H21" s="1090">
        <v>0</v>
      </c>
      <c r="I21" s="1090">
        <v>0</v>
      </c>
      <c r="J21" s="1090">
        <v>0</v>
      </c>
      <c r="K21" s="1085" t="b">
        <v>1</v>
      </c>
      <c r="L21" s="1090">
        <v>2251371</v>
      </c>
      <c r="M21" s="1087">
        <v>8538.48</v>
      </c>
      <c r="N21" s="1090">
        <v>2397952</v>
      </c>
      <c r="O21" s="1090">
        <v>0</v>
      </c>
      <c r="P21" s="1090">
        <v>530199</v>
      </c>
      <c r="Q21" s="1090">
        <v>2252581</v>
      </c>
      <c r="R21" s="1090">
        <v>341781</v>
      </c>
      <c r="S21" s="1090">
        <v>2397952</v>
      </c>
      <c r="T21" s="1090">
        <v>530199</v>
      </c>
      <c r="U21" s="1090">
        <v>22203</v>
      </c>
      <c r="V21" s="1090">
        <v>94999</v>
      </c>
      <c r="W21" s="1090">
        <v>1200000</v>
      </c>
      <c r="X21" s="1090">
        <v>0</v>
      </c>
    </row>
    <row r="22" spans="1:24">
      <c r="A22" s="1085">
        <v>17</v>
      </c>
      <c r="B22" s="1086" t="s">
        <v>60</v>
      </c>
      <c r="C22" s="1087">
        <v>8.5399999999999991</v>
      </c>
      <c r="D22" s="1087">
        <v>0</v>
      </c>
      <c r="E22" s="1087">
        <v>0</v>
      </c>
      <c r="F22" s="1087">
        <v>0</v>
      </c>
      <c r="G22" s="1087">
        <v>13782.94</v>
      </c>
      <c r="H22" s="1090">
        <v>0</v>
      </c>
      <c r="I22" s="1090">
        <v>247267</v>
      </c>
      <c r="J22" s="1090">
        <v>0</v>
      </c>
      <c r="K22" s="1085" t="b">
        <v>0</v>
      </c>
      <c r="L22" s="1090">
        <v>1408894</v>
      </c>
      <c r="M22" s="1087">
        <v>8532.6</v>
      </c>
      <c r="N22" s="1090">
        <v>1856141</v>
      </c>
      <c r="O22" s="1090">
        <v>0</v>
      </c>
      <c r="P22" s="1090">
        <v>232915</v>
      </c>
      <c r="Q22" s="1090">
        <v>2200466</v>
      </c>
      <c r="R22" s="1090">
        <v>1708</v>
      </c>
      <c r="S22" s="1090">
        <v>1856141</v>
      </c>
      <c r="T22" s="1090">
        <v>232915</v>
      </c>
      <c r="U22" s="1090">
        <v>0</v>
      </c>
      <c r="V22" s="1090">
        <v>0</v>
      </c>
      <c r="W22" s="1090">
        <v>766667</v>
      </c>
      <c r="X22" s="1090">
        <v>0</v>
      </c>
    </row>
    <row r="23" spans="1:24">
      <c r="A23" s="1085">
        <v>18</v>
      </c>
      <c r="B23" s="1086" t="s">
        <v>61</v>
      </c>
      <c r="C23" s="1087">
        <v>0</v>
      </c>
      <c r="D23" s="1087">
        <v>0</v>
      </c>
      <c r="E23" s="1087">
        <v>0</v>
      </c>
      <c r="F23" s="1087">
        <v>0</v>
      </c>
      <c r="G23" s="1087">
        <v>13782.94</v>
      </c>
      <c r="H23" s="1090">
        <v>0</v>
      </c>
      <c r="I23" s="1090">
        <v>54736</v>
      </c>
      <c r="J23" s="1090">
        <v>0</v>
      </c>
      <c r="K23" s="1085" t="b">
        <v>0</v>
      </c>
      <c r="L23" s="1090">
        <v>1720438</v>
      </c>
      <c r="M23" s="1087">
        <v>8532.65</v>
      </c>
      <c r="N23" s="1090">
        <v>728638</v>
      </c>
      <c r="O23" s="1090">
        <v>0</v>
      </c>
      <c r="P23" s="1090">
        <v>268816</v>
      </c>
      <c r="Q23" s="1090">
        <v>421945</v>
      </c>
      <c r="R23" s="1090">
        <v>777968</v>
      </c>
      <c r="S23" s="1090">
        <v>728638</v>
      </c>
      <c r="T23" s="1090">
        <v>268816</v>
      </c>
      <c r="U23" s="1090">
        <v>0</v>
      </c>
      <c r="V23" s="1090">
        <v>0</v>
      </c>
      <c r="W23" s="1090">
        <v>600000</v>
      </c>
      <c r="X23" s="1090">
        <v>0</v>
      </c>
    </row>
    <row r="24" spans="1:24">
      <c r="A24" s="1085">
        <v>19</v>
      </c>
      <c r="B24" s="1086" t="s">
        <v>45</v>
      </c>
      <c r="C24" s="1087">
        <v>43.76</v>
      </c>
      <c r="D24" s="1087">
        <v>0</v>
      </c>
      <c r="E24" s="1087">
        <v>533.16</v>
      </c>
      <c r="F24" s="1087">
        <v>0</v>
      </c>
      <c r="G24" s="1087">
        <v>13782.94</v>
      </c>
      <c r="H24" s="1090">
        <v>0</v>
      </c>
      <c r="I24" s="1090">
        <v>0</v>
      </c>
      <c r="J24" s="1090">
        <v>0</v>
      </c>
      <c r="K24" s="1085" t="b">
        <v>0</v>
      </c>
      <c r="L24" s="1090">
        <v>72923035</v>
      </c>
      <c r="M24" s="1087">
        <v>8532.58</v>
      </c>
      <c r="N24" s="1090">
        <v>58214193</v>
      </c>
      <c r="O24" s="1090">
        <v>0</v>
      </c>
      <c r="P24" s="1090">
        <v>7297135</v>
      </c>
      <c r="Q24" s="1090">
        <v>87236267</v>
      </c>
      <c r="R24" s="1090">
        <v>115384</v>
      </c>
      <c r="S24" s="1090">
        <v>58214193</v>
      </c>
      <c r="T24" s="1090">
        <v>7297135</v>
      </c>
      <c r="U24" s="1090">
        <v>0</v>
      </c>
      <c r="V24" s="1090">
        <v>0</v>
      </c>
      <c r="W24" s="1090">
        <v>9700000</v>
      </c>
      <c r="X24" s="1090">
        <v>0</v>
      </c>
    </row>
    <row r="25" spans="1:24">
      <c r="A25" s="1085">
        <v>20</v>
      </c>
      <c r="B25" s="1086" t="s">
        <v>124</v>
      </c>
      <c r="C25" s="1087">
        <v>0</v>
      </c>
      <c r="D25" s="1087">
        <v>15.14</v>
      </c>
      <c r="E25" s="1087">
        <v>32.4</v>
      </c>
      <c r="F25" s="1087">
        <v>0</v>
      </c>
      <c r="G25" s="1087">
        <v>13782.94</v>
      </c>
      <c r="H25" s="1090">
        <v>0</v>
      </c>
      <c r="I25" s="1090">
        <v>316487</v>
      </c>
      <c r="J25" s="1090">
        <v>100750</v>
      </c>
      <c r="K25" s="1085" t="b">
        <v>1</v>
      </c>
      <c r="L25" s="1090">
        <v>2503042</v>
      </c>
      <c r="M25" s="1087">
        <v>8536.7000000000007</v>
      </c>
      <c r="N25" s="1090">
        <v>1242089</v>
      </c>
      <c r="O25" s="1090">
        <v>0</v>
      </c>
      <c r="P25" s="1090">
        <v>472035</v>
      </c>
      <c r="Q25" s="1090">
        <v>3929591</v>
      </c>
      <c r="R25" s="1090">
        <v>9508</v>
      </c>
      <c r="S25" s="1090">
        <v>1242089</v>
      </c>
      <c r="T25" s="1090">
        <v>472035</v>
      </c>
      <c r="U25" s="1090">
        <v>22203</v>
      </c>
      <c r="V25" s="1090">
        <v>94999</v>
      </c>
      <c r="W25" s="1090">
        <v>900000</v>
      </c>
      <c r="X25" s="1090">
        <v>0</v>
      </c>
    </row>
    <row r="26" spans="1:24">
      <c r="A26" s="1085">
        <v>21</v>
      </c>
      <c r="B26" s="1086" t="s">
        <v>62</v>
      </c>
      <c r="C26" s="1087">
        <v>12.99</v>
      </c>
      <c r="D26" s="1087">
        <v>11.91</v>
      </c>
      <c r="E26" s="1087">
        <v>7.35</v>
      </c>
      <c r="F26" s="1087">
        <v>0</v>
      </c>
      <c r="G26" s="1087">
        <v>13782.94</v>
      </c>
      <c r="H26" s="1090">
        <v>0</v>
      </c>
      <c r="I26" s="1090">
        <v>0</v>
      </c>
      <c r="J26" s="1090">
        <v>0</v>
      </c>
      <c r="K26" s="1085" t="b">
        <v>0</v>
      </c>
      <c r="L26" s="1090">
        <v>4244374</v>
      </c>
      <c r="M26" s="1087">
        <v>8532.58</v>
      </c>
      <c r="N26" s="1090">
        <v>2173275</v>
      </c>
      <c r="O26" s="1090">
        <v>1323967</v>
      </c>
      <c r="P26" s="1090">
        <v>600833</v>
      </c>
      <c r="Q26" s="1090">
        <v>10695100</v>
      </c>
      <c r="R26" s="1090">
        <v>6450</v>
      </c>
      <c r="S26" s="1090">
        <v>2173275</v>
      </c>
      <c r="T26" s="1090">
        <v>0</v>
      </c>
      <c r="U26" s="1090">
        <v>0</v>
      </c>
      <c r="V26" s="1090">
        <v>0</v>
      </c>
      <c r="W26" s="1090">
        <v>700000</v>
      </c>
      <c r="X26" s="1090">
        <v>0</v>
      </c>
    </row>
    <row r="27" spans="1:24">
      <c r="A27" s="1085">
        <v>22</v>
      </c>
      <c r="B27" s="1086" t="s">
        <v>63</v>
      </c>
      <c r="C27" s="1087">
        <v>0.9</v>
      </c>
      <c r="D27" s="1087">
        <v>0</v>
      </c>
      <c r="E27" s="1087">
        <v>0</v>
      </c>
      <c r="F27" s="1087">
        <v>0</v>
      </c>
      <c r="G27" s="1087">
        <v>13782.94</v>
      </c>
      <c r="H27" s="1090">
        <v>0</v>
      </c>
      <c r="I27" s="1090">
        <v>20010</v>
      </c>
      <c r="J27" s="1090">
        <v>0</v>
      </c>
      <c r="K27" s="1085" t="b">
        <v>0</v>
      </c>
      <c r="L27" s="1090">
        <v>1163796</v>
      </c>
      <c r="M27" s="1087">
        <v>8553.9699999999993</v>
      </c>
      <c r="N27" s="1090">
        <v>67784</v>
      </c>
      <c r="O27" s="1090">
        <v>0</v>
      </c>
      <c r="P27" s="1090">
        <v>80822</v>
      </c>
      <c r="Q27" s="1090">
        <v>0</v>
      </c>
      <c r="R27" s="1090">
        <v>529741</v>
      </c>
      <c r="S27" s="1090">
        <v>67784</v>
      </c>
      <c r="T27" s="1090">
        <v>80822</v>
      </c>
      <c r="U27" s="1090">
        <v>0</v>
      </c>
      <c r="V27" s="1090">
        <v>0</v>
      </c>
      <c r="W27" s="1090">
        <v>200000</v>
      </c>
      <c r="X27" s="1090">
        <v>0</v>
      </c>
    </row>
    <row r="28" spans="1:24">
      <c r="A28" s="1085">
        <v>23</v>
      </c>
      <c r="B28" s="1086" t="s">
        <v>64</v>
      </c>
      <c r="C28" s="1087">
        <v>8.26</v>
      </c>
      <c r="D28" s="1087">
        <v>0</v>
      </c>
      <c r="E28" s="1087">
        <v>12.82</v>
      </c>
      <c r="F28" s="1087">
        <v>0</v>
      </c>
      <c r="G28" s="1087">
        <v>13782.94</v>
      </c>
      <c r="H28" s="1090">
        <v>0</v>
      </c>
      <c r="I28" s="1090">
        <v>400582</v>
      </c>
      <c r="J28" s="1090">
        <v>0</v>
      </c>
      <c r="K28" s="1085" t="b">
        <v>0</v>
      </c>
      <c r="L28" s="1090">
        <v>1535094</v>
      </c>
      <c r="M28" s="1087">
        <v>9132.51</v>
      </c>
      <c r="N28" s="1090">
        <v>4626149</v>
      </c>
      <c r="O28" s="1090">
        <v>0</v>
      </c>
      <c r="P28" s="1090">
        <v>385190</v>
      </c>
      <c r="Q28" s="1090">
        <v>3863781</v>
      </c>
      <c r="R28" s="1090">
        <v>4216</v>
      </c>
      <c r="S28" s="1090">
        <v>4626149</v>
      </c>
      <c r="T28" s="1090">
        <v>385190</v>
      </c>
      <c r="U28" s="1090">
        <v>0</v>
      </c>
      <c r="V28" s="1090">
        <v>0</v>
      </c>
      <c r="W28" s="1090">
        <v>900000</v>
      </c>
      <c r="X28" s="1090">
        <v>0</v>
      </c>
    </row>
    <row r="29" spans="1:24">
      <c r="A29" s="1085">
        <v>24</v>
      </c>
      <c r="B29" s="1086" t="s">
        <v>65</v>
      </c>
      <c r="C29" s="1087">
        <v>230.57</v>
      </c>
      <c r="D29" s="1087">
        <v>0</v>
      </c>
      <c r="E29" s="1087">
        <v>32.35</v>
      </c>
      <c r="F29" s="1087">
        <v>0</v>
      </c>
      <c r="G29" s="1087">
        <v>13782.94</v>
      </c>
      <c r="H29" s="1090">
        <v>0</v>
      </c>
      <c r="I29" s="1090">
        <v>1118476</v>
      </c>
      <c r="J29" s="1090">
        <v>0</v>
      </c>
      <c r="K29" s="1085" t="b">
        <v>0</v>
      </c>
      <c r="L29" s="1090">
        <v>5666876</v>
      </c>
      <c r="M29" s="1087">
        <v>8544.6</v>
      </c>
      <c r="N29" s="1090">
        <v>7747476</v>
      </c>
      <c r="O29" s="1090">
        <v>0</v>
      </c>
      <c r="P29" s="1090">
        <v>1097092</v>
      </c>
      <c r="Q29" s="1090">
        <v>10212587</v>
      </c>
      <c r="R29" s="1090">
        <v>52584</v>
      </c>
      <c r="S29" s="1090">
        <v>7747476</v>
      </c>
      <c r="T29" s="1090">
        <v>1097092</v>
      </c>
      <c r="U29" s="1090">
        <v>0</v>
      </c>
      <c r="V29" s="1090">
        <v>0</v>
      </c>
      <c r="W29" s="1090">
        <v>1366667</v>
      </c>
      <c r="X29" s="1090">
        <v>0</v>
      </c>
    </row>
    <row r="30" spans="1:24">
      <c r="A30" s="1085">
        <v>25</v>
      </c>
      <c r="B30" s="1086" t="s">
        <v>66</v>
      </c>
      <c r="C30" s="1087">
        <v>0</v>
      </c>
      <c r="D30" s="1087">
        <v>0</v>
      </c>
      <c r="E30" s="1087">
        <v>0</v>
      </c>
      <c r="F30" s="1087">
        <v>0</v>
      </c>
      <c r="G30" s="1087">
        <v>13782.94</v>
      </c>
      <c r="H30" s="1090">
        <v>0</v>
      </c>
      <c r="I30" s="1090">
        <v>12797</v>
      </c>
      <c r="J30" s="1090">
        <v>0</v>
      </c>
      <c r="K30" s="1085" t="b">
        <v>1</v>
      </c>
      <c r="L30" s="1090">
        <v>865614</v>
      </c>
      <c r="M30" s="1087">
        <v>8532.58</v>
      </c>
      <c r="N30" s="1090">
        <v>372934</v>
      </c>
      <c r="O30" s="1090">
        <v>0</v>
      </c>
      <c r="P30" s="1090">
        <v>116477</v>
      </c>
      <c r="Q30" s="1090">
        <v>806422</v>
      </c>
      <c r="R30" s="1090">
        <v>59192</v>
      </c>
      <c r="S30" s="1090">
        <v>372934</v>
      </c>
      <c r="T30" s="1090">
        <v>116477</v>
      </c>
      <c r="U30" s="1090">
        <v>22203</v>
      </c>
      <c r="V30" s="1090">
        <v>94999</v>
      </c>
      <c r="W30" s="1090">
        <v>333333</v>
      </c>
      <c r="X30" s="1090">
        <v>0</v>
      </c>
    </row>
    <row r="31" spans="1:24">
      <c r="A31" s="1085">
        <v>26</v>
      </c>
      <c r="B31" s="1086" t="s">
        <v>35</v>
      </c>
      <c r="C31" s="1087">
        <v>0</v>
      </c>
      <c r="D31" s="1087">
        <v>0</v>
      </c>
      <c r="E31" s="1087">
        <v>0</v>
      </c>
      <c r="F31" s="1087">
        <v>0</v>
      </c>
      <c r="G31" s="1087">
        <v>13782.94</v>
      </c>
      <c r="H31" s="1090">
        <v>0</v>
      </c>
      <c r="I31" s="1090">
        <v>0</v>
      </c>
      <c r="J31" s="1090">
        <v>0</v>
      </c>
      <c r="K31" s="1085" t="b">
        <v>0</v>
      </c>
      <c r="L31" s="1090">
        <v>2092359</v>
      </c>
      <c r="M31" s="1087">
        <v>8553.89</v>
      </c>
      <c r="N31" s="1090">
        <v>392278</v>
      </c>
      <c r="O31" s="1090">
        <v>2978</v>
      </c>
      <c r="P31" s="1090">
        <v>98762</v>
      </c>
      <c r="Q31" s="1090">
        <v>2503012</v>
      </c>
      <c r="R31" s="1090">
        <v>0</v>
      </c>
      <c r="S31" s="1090">
        <v>392278</v>
      </c>
      <c r="T31" s="1090">
        <v>98762</v>
      </c>
      <c r="U31" s="1090">
        <v>0</v>
      </c>
      <c r="V31" s="1090">
        <v>0</v>
      </c>
      <c r="W31" s="1090">
        <v>233333</v>
      </c>
      <c r="X31" s="1090">
        <v>0</v>
      </c>
    </row>
    <row r="32" spans="1:24">
      <c r="A32" s="1085">
        <v>27</v>
      </c>
      <c r="B32" s="1086" t="s">
        <v>44</v>
      </c>
      <c r="C32" s="1087">
        <v>47.08</v>
      </c>
      <c r="D32" s="1087">
        <v>0</v>
      </c>
      <c r="E32" s="1087">
        <v>55.47</v>
      </c>
      <c r="F32" s="1087">
        <v>0</v>
      </c>
      <c r="G32" s="1087">
        <v>13782.94</v>
      </c>
      <c r="H32" s="1090">
        <v>0</v>
      </c>
      <c r="I32" s="1090">
        <v>756946</v>
      </c>
      <c r="J32" s="1090">
        <v>0</v>
      </c>
      <c r="K32" s="1085" t="b">
        <v>1</v>
      </c>
      <c r="L32" s="1090">
        <v>5725806</v>
      </c>
      <c r="M32" s="1087">
        <v>8540.92</v>
      </c>
      <c r="N32" s="1090">
        <v>3799970</v>
      </c>
      <c r="O32" s="1090">
        <v>0</v>
      </c>
      <c r="P32" s="1090">
        <v>1040979</v>
      </c>
      <c r="Q32" s="1090">
        <v>18083365</v>
      </c>
      <c r="R32" s="1090">
        <v>20510</v>
      </c>
      <c r="S32" s="1090">
        <v>3799970</v>
      </c>
      <c r="T32" s="1090">
        <v>0</v>
      </c>
      <c r="U32" s="1090">
        <v>22203</v>
      </c>
      <c r="V32" s="1090">
        <v>94999</v>
      </c>
      <c r="W32" s="1090">
        <v>1733333</v>
      </c>
      <c r="X32" s="1090">
        <v>0</v>
      </c>
    </row>
    <row r="33" spans="1:24">
      <c r="A33" s="1085">
        <v>28</v>
      </c>
      <c r="B33" s="1086" t="s">
        <v>67</v>
      </c>
      <c r="C33" s="1087">
        <v>78.44</v>
      </c>
      <c r="D33" s="1087">
        <v>0</v>
      </c>
      <c r="E33" s="1087">
        <v>14.63</v>
      </c>
      <c r="F33" s="1087">
        <v>0</v>
      </c>
      <c r="G33" s="1087">
        <v>13782.94</v>
      </c>
      <c r="H33" s="1090">
        <v>0</v>
      </c>
      <c r="I33" s="1090">
        <v>140340</v>
      </c>
      <c r="J33" s="1090">
        <v>0</v>
      </c>
      <c r="K33" s="1085" t="b">
        <v>0</v>
      </c>
      <c r="L33" s="1090">
        <v>2185630</v>
      </c>
      <c r="M33" s="1087">
        <v>8538.5400000000009</v>
      </c>
      <c r="N33" s="1090">
        <v>1450300</v>
      </c>
      <c r="O33" s="1090">
        <v>1849531</v>
      </c>
      <c r="P33" s="1090">
        <v>369021</v>
      </c>
      <c r="Q33" s="1090">
        <v>9248573</v>
      </c>
      <c r="R33" s="1090">
        <v>18614</v>
      </c>
      <c r="S33" s="1090">
        <v>1450300</v>
      </c>
      <c r="T33" s="1090">
        <v>0</v>
      </c>
      <c r="U33" s="1090">
        <v>0</v>
      </c>
      <c r="V33" s="1090">
        <v>0</v>
      </c>
      <c r="W33" s="1090">
        <v>533333</v>
      </c>
      <c r="X33" s="1090">
        <v>0</v>
      </c>
    </row>
    <row r="34" spans="1:24">
      <c r="A34" s="1085">
        <v>29</v>
      </c>
      <c r="B34" s="1086" t="s">
        <v>34</v>
      </c>
      <c r="C34" s="1087">
        <v>6.17</v>
      </c>
      <c r="D34" s="1087">
        <v>0</v>
      </c>
      <c r="E34" s="1087">
        <v>0</v>
      </c>
      <c r="F34" s="1087">
        <v>0</v>
      </c>
      <c r="G34" s="1087">
        <v>13782.94</v>
      </c>
      <c r="H34" s="1090">
        <v>0</v>
      </c>
      <c r="I34" s="1090">
        <v>275165</v>
      </c>
      <c r="J34" s="1090">
        <v>0</v>
      </c>
      <c r="K34" s="1085" t="b">
        <v>1</v>
      </c>
      <c r="L34" s="1090">
        <v>1129993</v>
      </c>
      <c r="M34" s="1087">
        <v>8532.61</v>
      </c>
      <c r="N34" s="1090">
        <v>611779</v>
      </c>
      <c r="O34" s="1090">
        <v>0</v>
      </c>
      <c r="P34" s="1090">
        <v>294597</v>
      </c>
      <c r="Q34" s="1090">
        <v>1277189</v>
      </c>
      <c r="R34" s="1090">
        <v>1234</v>
      </c>
      <c r="S34" s="1090">
        <v>611779</v>
      </c>
      <c r="T34" s="1090">
        <v>294597</v>
      </c>
      <c r="U34" s="1090">
        <v>22203</v>
      </c>
      <c r="V34" s="1090">
        <v>94999</v>
      </c>
      <c r="W34" s="1090">
        <v>633333</v>
      </c>
      <c r="X34" s="1090">
        <v>0</v>
      </c>
    </row>
    <row r="35" spans="1:24">
      <c r="A35" s="1085">
        <v>30</v>
      </c>
      <c r="B35" s="1086" t="s">
        <v>68</v>
      </c>
      <c r="C35" s="1087">
        <v>951.08</v>
      </c>
      <c r="D35" s="1087">
        <v>0</v>
      </c>
      <c r="E35" s="1087">
        <v>366.34</v>
      </c>
      <c r="F35" s="1087">
        <v>0</v>
      </c>
      <c r="G35" s="1087">
        <v>13782.94</v>
      </c>
      <c r="H35" s="1090">
        <v>0</v>
      </c>
      <c r="I35" s="1090">
        <v>1626235</v>
      </c>
      <c r="J35" s="1090">
        <v>0</v>
      </c>
      <c r="K35" s="1085" t="b">
        <v>1</v>
      </c>
      <c r="L35" s="1090">
        <v>17961347</v>
      </c>
      <c r="M35" s="1087">
        <v>8541.4500000000007</v>
      </c>
      <c r="N35" s="1090">
        <v>21711724</v>
      </c>
      <c r="O35" s="1090">
        <v>0</v>
      </c>
      <c r="P35" s="1090">
        <v>4038486</v>
      </c>
      <c r="Q35" s="1090">
        <v>87587470</v>
      </c>
      <c r="R35" s="1090">
        <v>263484</v>
      </c>
      <c r="S35" s="1090">
        <v>21711724</v>
      </c>
      <c r="T35" s="1090">
        <v>0</v>
      </c>
      <c r="U35" s="1090">
        <v>22203</v>
      </c>
      <c r="V35" s="1090">
        <v>94999</v>
      </c>
      <c r="W35" s="1090">
        <v>2333333</v>
      </c>
      <c r="X35" s="1090">
        <v>0</v>
      </c>
    </row>
    <row r="36" spans="1:24">
      <c r="A36" s="1085">
        <v>31</v>
      </c>
      <c r="B36" s="1086" t="s">
        <v>33</v>
      </c>
      <c r="C36" s="1087">
        <v>0</v>
      </c>
      <c r="D36" s="1087">
        <v>64.040000000000006</v>
      </c>
      <c r="E36" s="1087">
        <v>21.23</v>
      </c>
      <c r="F36" s="1087">
        <v>0</v>
      </c>
      <c r="G36" s="1087">
        <v>13782.94</v>
      </c>
      <c r="H36" s="1090">
        <v>0</v>
      </c>
      <c r="I36" s="1090">
        <v>0</v>
      </c>
      <c r="J36" s="1090">
        <v>0</v>
      </c>
      <c r="K36" s="1085" t="b">
        <v>0</v>
      </c>
      <c r="L36" s="1090">
        <v>5383169</v>
      </c>
      <c r="M36" s="1087">
        <v>8550.7999999999993</v>
      </c>
      <c r="N36" s="1090">
        <v>1582250</v>
      </c>
      <c r="O36" s="1090">
        <v>3394098</v>
      </c>
      <c r="P36" s="1090">
        <v>857108</v>
      </c>
      <c r="Q36" s="1090">
        <v>25771359</v>
      </c>
      <c r="R36" s="1090">
        <v>17054</v>
      </c>
      <c r="S36" s="1090">
        <v>1582250</v>
      </c>
      <c r="T36" s="1090">
        <v>0</v>
      </c>
      <c r="U36" s="1090">
        <v>0</v>
      </c>
      <c r="V36" s="1090">
        <v>0</v>
      </c>
      <c r="W36" s="1090">
        <v>1200000</v>
      </c>
      <c r="X36" s="1090">
        <v>0</v>
      </c>
    </row>
    <row r="37" spans="1:24">
      <c r="A37" s="1085">
        <v>32</v>
      </c>
      <c r="B37" s="1086" t="s">
        <v>69</v>
      </c>
      <c r="C37" s="1087">
        <v>0</v>
      </c>
      <c r="D37" s="1087">
        <v>0</v>
      </c>
      <c r="E37" s="1087">
        <v>0</v>
      </c>
      <c r="F37" s="1087">
        <v>0</v>
      </c>
      <c r="G37" s="1087">
        <v>13782.94</v>
      </c>
      <c r="H37" s="1090">
        <v>0</v>
      </c>
      <c r="I37" s="1090">
        <v>0</v>
      </c>
      <c r="J37" s="1090">
        <v>0</v>
      </c>
      <c r="K37" s="1085" t="b">
        <v>0</v>
      </c>
      <c r="L37" s="1090">
        <v>845586</v>
      </c>
      <c r="M37" s="1087">
        <v>9220</v>
      </c>
      <c r="N37" s="1090">
        <v>918594</v>
      </c>
      <c r="O37" s="1090">
        <v>0</v>
      </c>
      <c r="P37" s="1090">
        <v>81055</v>
      </c>
      <c r="Q37" s="1090">
        <v>75696</v>
      </c>
      <c r="R37" s="1090">
        <v>382367</v>
      </c>
      <c r="S37" s="1090">
        <v>918594</v>
      </c>
      <c r="T37" s="1090">
        <v>81055</v>
      </c>
      <c r="U37" s="1090">
        <v>0</v>
      </c>
      <c r="V37" s="1090">
        <v>0</v>
      </c>
      <c r="W37" s="1090">
        <v>200000</v>
      </c>
      <c r="X37" s="1090">
        <v>0</v>
      </c>
    </row>
    <row r="38" spans="1:24">
      <c r="A38" s="1085">
        <v>33</v>
      </c>
      <c r="B38" s="1086" t="s">
        <v>32</v>
      </c>
      <c r="C38" s="1087">
        <v>83.92</v>
      </c>
      <c r="D38" s="1087">
        <v>28.54</v>
      </c>
      <c r="E38" s="1087">
        <v>157.08000000000001</v>
      </c>
      <c r="F38" s="1087">
        <v>0</v>
      </c>
      <c r="G38" s="1087">
        <v>13782.94</v>
      </c>
      <c r="H38" s="1090">
        <v>0</v>
      </c>
      <c r="I38" s="1090">
        <v>0</v>
      </c>
      <c r="J38" s="1090">
        <v>0</v>
      </c>
      <c r="K38" s="1085" t="b">
        <v>0</v>
      </c>
      <c r="L38" s="1090">
        <v>19797710</v>
      </c>
      <c r="M38" s="1087">
        <v>8532.58</v>
      </c>
      <c r="N38" s="1090">
        <v>16271136</v>
      </c>
      <c r="O38" s="1090">
        <v>15409278</v>
      </c>
      <c r="P38" s="1090">
        <v>2542605</v>
      </c>
      <c r="Q38" s="1090">
        <v>62610110</v>
      </c>
      <c r="R38" s="1090">
        <v>53908</v>
      </c>
      <c r="S38" s="1090">
        <v>16271136</v>
      </c>
      <c r="T38" s="1090">
        <v>0</v>
      </c>
      <c r="U38" s="1090">
        <v>0</v>
      </c>
      <c r="V38" s="1090">
        <v>0</v>
      </c>
      <c r="W38" s="1090">
        <v>4100000</v>
      </c>
      <c r="X38" s="1090">
        <v>0</v>
      </c>
    </row>
    <row r="39" spans="1:24">
      <c r="A39" s="1085">
        <v>34</v>
      </c>
      <c r="B39" s="1086" t="s">
        <v>43</v>
      </c>
      <c r="C39" s="1087">
        <v>23.06</v>
      </c>
      <c r="D39" s="1087">
        <v>0</v>
      </c>
      <c r="E39" s="1087">
        <v>134.41999999999999</v>
      </c>
      <c r="F39" s="1087">
        <v>0</v>
      </c>
      <c r="G39" s="1087">
        <v>13782.94</v>
      </c>
      <c r="H39" s="1090">
        <v>0</v>
      </c>
      <c r="I39" s="1090">
        <v>0</v>
      </c>
      <c r="J39" s="1090">
        <v>0</v>
      </c>
      <c r="K39" s="1085" t="b">
        <v>0</v>
      </c>
      <c r="L39" s="1090">
        <v>8759526</v>
      </c>
      <c r="M39" s="1087">
        <v>8535.32</v>
      </c>
      <c r="N39" s="1090">
        <v>17378821</v>
      </c>
      <c r="O39" s="1090">
        <v>0</v>
      </c>
      <c r="P39" s="1090">
        <v>1568945</v>
      </c>
      <c r="Q39" s="1090">
        <v>7565515</v>
      </c>
      <c r="R39" s="1090">
        <v>2538153</v>
      </c>
      <c r="S39" s="1090">
        <v>17378821</v>
      </c>
      <c r="T39" s="1090">
        <v>1568945</v>
      </c>
      <c r="U39" s="1090">
        <v>0</v>
      </c>
      <c r="V39" s="1090">
        <v>0</v>
      </c>
      <c r="W39" s="1090">
        <v>2666667</v>
      </c>
      <c r="X39" s="1090">
        <v>0</v>
      </c>
    </row>
    <row r="40" spans="1:24">
      <c r="A40" s="1085">
        <v>35</v>
      </c>
      <c r="B40" s="1086" t="s">
        <v>70</v>
      </c>
      <c r="C40" s="1087">
        <v>6.9</v>
      </c>
      <c r="D40" s="1087">
        <v>0</v>
      </c>
      <c r="E40" s="1087">
        <v>5.87</v>
      </c>
      <c r="F40" s="1087">
        <v>0</v>
      </c>
      <c r="G40" s="1087">
        <v>13782.94</v>
      </c>
      <c r="H40" s="1090">
        <v>0</v>
      </c>
      <c r="I40" s="1090">
        <v>158967</v>
      </c>
      <c r="J40" s="1090">
        <v>0</v>
      </c>
      <c r="K40" s="1085" t="b">
        <v>1</v>
      </c>
      <c r="L40" s="1090">
        <v>2377884</v>
      </c>
      <c r="M40" s="1087">
        <v>8532.59</v>
      </c>
      <c r="N40" s="1090">
        <v>344056</v>
      </c>
      <c r="O40" s="1090">
        <v>0</v>
      </c>
      <c r="P40" s="1090">
        <v>350713</v>
      </c>
      <c r="Q40" s="1090">
        <v>2245174</v>
      </c>
      <c r="R40" s="1090">
        <v>241671</v>
      </c>
      <c r="S40" s="1090">
        <v>344056</v>
      </c>
      <c r="T40" s="1090">
        <v>350713</v>
      </c>
      <c r="U40" s="1090">
        <v>22203</v>
      </c>
      <c r="V40" s="1090">
        <v>94999</v>
      </c>
      <c r="W40" s="1090">
        <v>633333</v>
      </c>
      <c r="X40" s="1090">
        <v>0</v>
      </c>
    </row>
    <row r="41" spans="1:24">
      <c r="A41" s="1085">
        <v>36</v>
      </c>
      <c r="B41" s="1086" t="s">
        <v>110</v>
      </c>
      <c r="C41" s="1087">
        <v>393.44</v>
      </c>
      <c r="D41" s="1087">
        <v>0</v>
      </c>
      <c r="E41" s="1087">
        <v>157.32</v>
      </c>
      <c r="F41" s="1087">
        <v>0</v>
      </c>
      <c r="G41" s="1087">
        <v>13782.94</v>
      </c>
      <c r="H41" s="1090">
        <v>0</v>
      </c>
      <c r="I41" s="1090">
        <v>1972281</v>
      </c>
      <c r="J41" s="1090">
        <v>0</v>
      </c>
      <c r="K41" s="1085" t="b">
        <v>0</v>
      </c>
      <c r="L41" s="1090">
        <v>15964318</v>
      </c>
      <c r="M41" s="1087">
        <v>8532.58</v>
      </c>
      <c r="N41" s="1090">
        <v>21324026</v>
      </c>
      <c r="O41" s="1090">
        <v>0</v>
      </c>
      <c r="P41" s="1090">
        <v>3001719</v>
      </c>
      <c r="Q41" s="1090">
        <v>9063961</v>
      </c>
      <c r="R41" s="1090">
        <v>9343971</v>
      </c>
      <c r="S41" s="1090">
        <v>21324026</v>
      </c>
      <c r="T41" s="1090">
        <v>3001719</v>
      </c>
      <c r="U41" s="1090">
        <v>0</v>
      </c>
      <c r="V41" s="1090">
        <v>0</v>
      </c>
      <c r="W41" s="1090">
        <v>5633333</v>
      </c>
      <c r="X41" s="1090">
        <v>0</v>
      </c>
    </row>
    <row r="42" spans="1:24">
      <c r="A42" s="1085">
        <v>37</v>
      </c>
      <c r="B42" s="1086" t="s">
        <v>71</v>
      </c>
      <c r="C42" s="1087">
        <v>540.78</v>
      </c>
      <c r="D42" s="1087">
        <v>0</v>
      </c>
      <c r="E42" s="1087">
        <v>324.39999999999998</v>
      </c>
      <c r="F42" s="1087">
        <v>0</v>
      </c>
      <c r="G42" s="1087">
        <v>13782.94</v>
      </c>
      <c r="H42" s="1090">
        <v>0</v>
      </c>
      <c r="I42" s="1090">
        <v>0</v>
      </c>
      <c r="J42" s="1090">
        <v>0</v>
      </c>
      <c r="K42" s="1085" t="b">
        <v>0</v>
      </c>
      <c r="L42" s="1090">
        <v>22104179</v>
      </c>
      <c r="M42" s="1087">
        <v>8538.82</v>
      </c>
      <c r="N42" s="1090">
        <v>34697863</v>
      </c>
      <c r="O42" s="1090">
        <v>9658681</v>
      </c>
      <c r="P42" s="1090">
        <v>3903318</v>
      </c>
      <c r="Q42" s="1090">
        <v>100638281</v>
      </c>
      <c r="R42" s="1090">
        <v>173036</v>
      </c>
      <c r="S42" s="1090">
        <v>34697863</v>
      </c>
      <c r="T42" s="1090">
        <v>0</v>
      </c>
      <c r="U42" s="1090">
        <v>0</v>
      </c>
      <c r="V42" s="1090">
        <v>0</v>
      </c>
      <c r="W42" s="1090">
        <v>4466667</v>
      </c>
      <c r="X42" s="1090">
        <v>0</v>
      </c>
    </row>
    <row r="43" spans="1:24">
      <c r="A43" s="1085">
        <v>38</v>
      </c>
      <c r="B43" s="1086" t="s">
        <v>111</v>
      </c>
      <c r="C43" s="1087">
        <v>10.31</v>
      </c>
      <c r="D43" s="1087">
        <v>0</v>
      </c>
      <c r="E43" s="1087">
        <v>14.93</v>
      </c>
      <c r="F43" s="1087">
        <v>0</v>
      </c>
      <c r="G43" s="1087">
        <v>13782.94</v>
      </c>
      <c r="H43" s="1090">
        <v>0</v>
      </c>
      <c r="I43" s="1090">
        <v>4405904</v>
      </c>
      <c r="J43" s="1090">
        <v>0</v>
      </c>
      <c r="K43" s="1085" t="b">
        <v>1</v>
      </c>
      <c r="L43" s="1090">
        <v>2455622</v>
      </c>
      <c r="M43" s="1087">
        <v>8532.58</v>
      </c>
      <c r="N43" s="1090">
        <v>6989791</v>
      </c>
      <c r="O43" s="1090">
        <v>0</v>
      </c>
      <c r="P43" s="1090">
        <v>397484</v>
      </c>
      <c r="Q43" s="1090">
        <v>2991113</v>
      </c>
      <c r="R43" s="1090">
        <v>5048</v>
      </c>
      <c r="S43" s="1090">
        <v>6989791</v>
      </c>
      <c r="T43" s="1090">
        <v>397484</v>
      </c>
      <c r="U43" s="1090">
        <v>22203</v>
      </c>
      <c r="V43" s="1090">
        <v>94999</v>
      </c>
      <c r="W43" s="1090">
        <v>200000</v>
      </c>
      <c r="X43" s="1090">
        <v>0</v>
      </c>
    </row>
    <row r="44" spans="1:24">
      <c r="A44" s="1085">
        <v>39</v>
      </c>
      <c r="B44" s="1086" t="s">
        <v>112</v>
      </c>
      <c r="C44" s="1087">
        <v>965.67</v>
      </c>
      <c r="D44" s="1087">
        <v>221.45</v>
      </c>
      <c r="E44" s="1087">
        <v>65.41</v>
      </c>
      <c r="F44" s="1087">
        <v>0</v>
      </c>
      <c r="G44" s="1087">
        <v>13782.94</v>
      </c>
      <c r="H44" s="1090">
        <v>0</v>
      </c>
      <c r="I44" s="1090">
        <v>638628</v>
      </c>
      <c r="J44" s="1090">
        <v>0</v>
      </c>
      <c r="K44" s="1085" t="b">
        <v>1</v>
      </c>
      <c r="L44" s="1090">
        <v>6812752</v>
      </c>
      <c r="M44" s="1087">
        <v>8546.9500000000007</v>
      </c>
      <c r="N44" s="1090">
        <v>13774189</v>
      </c>
      <c r="O44" s="1090">
        <v>0</v>
      </c>
      <c r="P44" s="1090">
        <v>2560115</v>
      </c>
      <c r="Q44" s="1090">
        <v>13449284</v>
      </c>
      <c r="R44" s="1090">
        <v>4068779</v>
      </c>
      <c r="S44" s="1090">
        <v>13774189</v>
      </c>
      <c r="T44" s="1090">
        <v>2560115</v>
      </c>
      <c r="U44" s="1090">
        <v>0</v>
      </c>
      <c r="V44" s="1090">
        <v>0</v>
      </c>
      <c r="W44" s="1090">
        <v>1900000</v>
      </c>
      <c r="X44" s="1090">
        <v>0</v>
      </c>
    </row>
    <row r="45" spans="1:24">
      <c r="A45" s="1085">
        <v>40</v>
      </c>
      <c r="B45" s="1086" t="s">
        <v>113</v>
      </c>
      <c r="C45" s="1087">
        <v>46</v>
      </c>
      <c r="D45" s="1087">
        <v>0</v>
      </c>
      <c r="E45" s="1087">
        <v>14.2</v>
      </c>
      <c r="F45" s="1087">
        <v>0</v>
      </c>
      <c r="G45" s="1087">
        <v>13782.94</v>
      </c>
      <c r="H45" s="1090">
        <v>0</v>
      </c>
      <c r="I45" s="1090">
        <v>0</v>
      </c>
      <c r="J45" s="1090">
        <v>0</v>
      </c>
      <c r="K45" s="1085" t="b">
        <v>1</v>
      </c>
      <c r="L45" s="1090">
        <v>2944817</v>
      </c>
      <c r="M45" s="1087">
        <v>8533.24</v>
      </c>
      <c r="N45" s="1090">
        <v>816785</v>
      </c>
      <c r="O45" s="1090">
        <v>0</v>
      </c>
      <c r="P45" s="1090">
        <v>509973</v>
      </c>
      <c r="Q45" s="1090">
        <v>13549706</v>
      </c>
      <c r="R45" s="1090">
        <v>12040</v>
      </c>
      <c r="S45" s="1090">
        <v>816785</v>
      </c>
      <c r="T45" s="1090">
        <v>0</v>
      </c>
      <c r="U45" s="1090">
        <v>22203</v>
      </c>
      <c r="V45" s="1090">
        <v>94999</v>
      </c>
      <c r="W45" s="1090">
        <v>800000</v>
      </c>
      <c r="X45" s="1090">
        <v>0</v>
      </c>
    </row>
    <row r="46" spans="1:24">
      <c r="A46" s="1085">
        <v>41</v>
      </c>
      <c r="B46" s="1086" t="s">
        <v>114</v>
      </c>
      <c r="C46" s="1087">
        <v>0</v>
      </c>
      <c r="D46" s="1087">
        <v>0</v>
      </c>
      <c r="E46" s="1087">
        <v>26.71</v>
      </c>
      <c r="F46" s="1087">
        <v>0</v>
      </c>
      <c r="G46" s="1087">
        <v>13782.94</v>
      </c>
      <c r="H46" s="1090">
        <v>71986</v>
      </c>
      <c r="I46" s="1090">
        <v>2908330</v>
      </c>
      <c r="J46" s="1090">
        <v>0</v>
      </c>
      <c r="K46" s="1085" t="b">
        <v>0</v>
      </c>
      <c r="L46" s="1090">
        <v>12395774</v>
      </c>
      <c r="M46" s="1087">
        <v>8532.58</v>
      </c>
      <c r="N46" s="1090">
        <v>6082425</v>
      </c>
      <c r="O46" s="1090">
        <v>4976537</v>
      </c>
      <c r="P46" s="1090">
        <v>976183</v>
      </c>
      <c r="Q46" s="1090">
        <v>56202144</v>
      </c>
      <c r="R46" s="1090">
        <v>5342</v>
      </c>
      <c r="S46" s="1090">
        <v>6082425</v>
      </c>
      <c r="T46" s="1090">
        <v>0</v>
      </c>
      <c r="U46" s="1090">
        <v>0</v>
      </c>
      <c r="V46" s="1090">
        <v>0</v>
      </c>
      <c r="W46" s="1090">
        <v>1733333</v>
      </c>
      <c r="X46" s="1090">
        <v>0</v>
      </c>
    </row>
    <row r="47" spans="1:24">
      <c r="A47" s="1085">
        <v>42</v>
      </c>
      <c r="B47" s="1086" t="s">
        <v>115</v>
      </c>
      <c r="C47" s="1087">
        <v>1.74</v>
      </c>
      <c r="D47" s="1087">
        <v>0</v>
      </c>
      <c r="E47" s="1087">
        <v>33.21</v>
      </c>
      <c r="F47" s="1087">
        <v>0</v>
      </c>
      <c r="G47" s="1087">
        <v>13782.94</v>
      </c>
      <c r="H47" s="1090">
        <v>0</v>
      </c>
      <c r="I47" s="1090">
        <v>154970</v>
      </c>
      <c r="J47" s="1090">
        <v>0</v>
      </c>
      <c r="K47" s="1085" t="b">
        <v>0</v>
      </c>
      <c r="L47" s="1090">
        <v>5665464</v>
      </c>
      <c r="M47" s="1087">
        <v>8532.58</v>
      </c>
      <c r="N47" s="1090">
        <v>2852650</v>
      </c>
      <c r="O47" s="1090">
        <v>3738138</v>
      </c>
      <c r="P47" s="1090">
        <v>847869</v>
      </c>
      <c r="Q47" s="1090">
        <v>22199868</v>
      </c>
      <c r="R47" s="1090">
        <v>6990</v>
      </c>
      <c r="S47" s="1090">
        <v>2852650</v>
      </c>
      <c r="T47" s="1090">
        <v>0</v>
      </c>
      <c r="U47" s="1090">
        <v>0</v>
      </c>
      <c r="V47" s="1090">
        <v>0</v>
      </c>
      <c r="W47" s="1090">
        <v>1666667</v>
      </c>
      <c r="X47" s="1090">
        <v>0</v>
      </c>
    </row>
    <row r="48" spans="1:24">
      <c r="A48" s="1085">
        <v>43</v>
      </c>
      <c r="B48" s="1086" t="s">
        <v>116</v>
      </c>
      <c r="C48" s="1087">
        <v>79.28</v>
      </c>
      <c r="D48" s="1087">
        <v>68.53</v>
      </c>
      <c r="E48" s="1087">
        <v>84.98</v>
      </c>
      <c r="F48" s="1087">
        <v>0</v>
      </c>
      <c r="G48" s="1087">
        <v>13782.94</v>
      </c>
      <c r="H48" s="1090">
        <v>13184</v>
      </c>
      <c r="I48" s="1090">
        <v>977663</v>
      </c>
      <c r="J48" s="1090">
        <v>0</v>
      </c>
      <c r="K48" s="1085" t="b">
        <v>0</v>
      </c>
      <c r="L48" s="1090">
        <v>19532160</v>
      </c>
      <c r="M48" s="1087">
        <v>8768.84</v>
      </c>
      <c r="N48" s="1090">
        <v>5168697</v>
      </c>
      <c r="O48" s="1090">
        <v>5386110</v>
      </c>
      <c r="P48" s="1090">
        <v>1985279</v>
      </c>
      <c r="Q48" s="1090">
        <v>79548467</v>
      </c>
      <c r="R48" s="1090">
        <v>46558</v>
      </c>
      <c r="S48" s="1090">
        <v>5168697</v>
      </c>
      <c r="T48" s="1090">
        <v>0</v>
      </c>
      <c r="U48" s="1090">
        <v>0</v>
      </c>
      <c r="V48" s="1090">
        <v>0</v>
      </c>
      <c r="W48" s="1090">
        <v>2900000</v>
      </c>
      <c r="X48" s="1090">
        <v>0</v>
      </c>
    </row>
    <row r="49" spans="1:24">
      <c r="A49" s="1085">
        <v>44</v>
      </c>
      <c r="B49" s="1086" t="s">
        <v>117</v>
      </c>
      <c r="C49" s="1087">
        <v>904.45</v>
      </c>
      <c r="D49" s="1087">
        <v>0</v>
      </c>
      <c r="E49" s="1087">
        <v>74.94</v>
      </c>
      <c r="F49" s="1087">
        <v>0</v>
      </c>
      <c r="G49" s="1087">
        <v>13782.94</v>
      </c>
      <c r="H49" s="1090">
        <v>0</v>
      </c>
      <c r="I49" s="1090">
        <v>0</v>
      </c>
      <c r="J49" s="1090">
        <v>0</v>
      </c>
      <c r="K49" s="1085" t="b">
        <v>0</v>
      </c>
      <c r="L49" s="1090">
        <v>3963282</v>
      </c>
      <c r="M49" s="1087">
        <v>8545.81</v>
      </c>
      <c r="N49" s="1090">
        <v>9203286</v>
      </c>
      <c r="O49" s="1090">
        <v>0</v>
      </c>
      <c r="P49" s="1090">
        <v>1477175</v>
      </c>
      <c r="Q49" s="1090">
        <v>5578059</v>
      </c>
      <c r="R49" s="1090">
        <v>5576868</v>
      </c>
      <c r="S49" s="1090">
        <v>9203286</v>
      </c>
      <c r="T49" s="1090">
        <v>1477175</v>
      </c>
      <c r="U49" s="1090">
        <v>0</v>
      </c>
      <c r="V49" s="1090">
        <v>0</v>
      </c>
      <c r="W49" s="1090">
        <v>733333</v>
      </c>
      <c r="X49" s="1090">
        <v>0</v>
      </c>
    </row>
    <row r="50" spans="1:24">
      <c r="A50" s="1085">
        <v>45</v>
      </c>
      <c r="B50" s="1086" t="s">
        <v>72</v>
      </c>
      <c r="C50" s="1087">
        <v>0</v>
      </c>
      <c r="D50" s="1087">
        <v>0</v>
      </c>
      <c r="E50" s="1087">
        <v>40.19</v>
      </c>
      <c r="F50" s="1087">
        <v>0</v>
      </c>
      <c r="G50" s="1087">
        <v>13782.94</v>
      </c>
      <c r="H50" s="1090">
        <v>0</v>
      </c>
      <c r="I50" s="1090">
        <v>1057463</v>
      </c>
      <c r="J50" s="1090">
        <v>89982</v>
      </c>
      <c r="K50" s="1085" t="b">
        <v>1</v>
      </c>
      <c r="L50" s="1090">
        <v>2924990</v>
      </c>
      <c r="M50" s="1087">
        <v>10112.049999999999</v>
      </c>
      <c r="N50" s="1090">
        <v>1632441</v>
      </c>
      <c r="O50" s="1090">
        <v>0</v>
      </c>
      <c r="P50" s="1090">
        <v>727316</v>
      </c>
      <c r="Q50" s="1090">
        <v>4041411</v>
      </c>
      <c r="R50" s="1090">
        <v>8038</v>
      </c>
      <c r="S50" s="1090">
        <v>1632441</v>
      </c>
      <c r="T50" s="1090">
        <v>727316</v>
      </c>
      <c r="U50" s="1090">
        <v>22203</v>
      </c>
      <c r="V50" s="1090">
        <v>94999</v>
      </c>
      <c r="W50" s="1090">
        <v>1400000</v>
      </c>
      <c r="X50" s="1090">
        <v>0</v>
      </c>
    </row>
    <row r="51" spans="1:24">
      <c r="A51" s="1085">
        <v>46</v>
      </c>
      <c r="B51" s="1086" t="s">
        <v>73</v>
      </c>
      <c r="C51" s="1087">
        <v>0</v>
      </c>
      <c r="D51" s="1087">
        <v>0</v>
      </c>
      <c r="E51" s="1087">
        <v>0</v>
      </c>
      <c r="F51" s="1087">
        <v>0</v>
      </c>
      <c r="G51" s="1087">
        <v>13782.94</v>
      </c>
      <c r="H51" s="1090">
        <v>0</v>
      </c>
      <c r="I51" s="1090">
        <v>0</v>
      </c>
      <c r="J51" s="1090">
        <v>0</v>
      </c>
      <c r="K51" s="1085" t="b">
        <v>1</v>
      </c>
      <c r="L51" s="1090">
        <v>486164</v>
      </c>
      <c r="M51" s="1087">
        <v>0</v>
      </c>
      <c r="N51" s="1090">
        <v>103124</v>
      </c>
      <c r="O51" s="1090">
        <v>0</v>
      </c>
      <c r="P51" s="1090">
        <v>71652</v>
      </c>
      <c r="Q51" s="1090">
        <v>68769</v>
      </c>
      <c r="R51" s="1090">
        <v>219840</v>
      </c>
      <c r="S51" s="1090">
        <v>103124</v>
      </c>
      <c r="T51" s="1090">
        <v>71652</v>
      </c>
      <c r="U51" s="1090">
        <v>22203</v>
      </c>
      <c r="V51" s="1090">
        <v>94999</v>
      </c>
      <c r="W51" s="1090">
        <v>200000</v>
      </c>
      <c r="X51" s="1090">
        <v>0</v>
      </c>
    </row>
    <row r="52" spans="1:24">
      <c r="A52" s="1085">
        <v>47</v>
      </c>
      <c r="B52" s="1086" t="s">
        <v>42</v>
      </c>
      <c r="C52" s="1087">
        <v>0</v>
      </c>
      <c r="D52" s="1087">
        <v>0</v>
      </c>
      <c r="E52" s="1087">
        <v>0</v>
      </c>
      <c r="F52" s="1087">
        <v>0</v>
      </c>
      <c r="G52" s="1087">
        <v>13782.94</v>
      </c>
      <c r="H52" s="1090">
        <v>0</v>
      </c>
      <c r="I52" s="1090">
        <v>158466</v>
      </c>
      <c r="J52" s="1090">
        <v>0</v>
      </c>
      <c r="K52" s="1085" t="b">
        <v>1</v>
      </c>
      <c r="L52" s="1090">
        <v>1128423</v>
      </c>
      <c r="M52" s="1087">
        <v>10739.8</v>
      </c>
      <c r="N52" s="1090">
        <v>330914</v>
      </c>
      <c r="O52" s="1090">
        <v>0</v>
      </c>
      <c r="P52" s="1090">
        <v>575393</v>
      </c>
      <c r="Q52" s="1090">
        <v>1121609</v>
      </c>
      <c r="R52" s="1090">
        <v>6814</v>
      </c>
      <c r="S52" s="1090">
        <v>330914</v>
      </c>
      <c r="T52" s="1090">
        <v>575393</v>
      </c>
      <c r="U52" s="1090">
        <v>22203</v>
      </c>
      <c r="V52" s="1090">
        <v>94999</v>
      </c>
      <c r="W52" s="1090">
        <v>700000</v>
      </c>
      <c r="X52" s="1090">
        <v>0</v>
      </c>
    </row>
    <row r="53" spans="1:24">
      <c r="A53" s="1085">
        <v>48</v>
      </c>
      <c r="B53" s="1086" t="s">
        <v>74</v>
      </c>
      <c r="C53" s="1087">
        <v>14.44</v>
      </c>
      <c r="D53" s="1087">
        <v>0</v>
      </c>
      <c r="E53" s="1087">
        <v>27.96</v>
      </c>
      <c r="F53" s="1087">
        <v>0</v>
      </c>
      <c r="G53" s="1087">
        <v>13782.94</v>
      </c>
      <c r="H53" s="1090">
        <v>0</v>
      </c>
      <c r="I53" s="1090">
        <v>937834</v>
      </c>
      <c r="J53" s="1090">
        <v>0</v>
      </c>
      <c r="K53" s="1085" t="b">
        <v>0</v>
      </c>
      <c r="L53" s="1090">
        <v>3169476</v>
      </c>
      <c r="M53" s="1087">
        <v>8540.8799999999992</v>
      </c>
      <c r="N53" s="1090">
        <v>5475276</v>
      </c>
      <c r="O53" s="1090">
        <v>0</v>
      </c>
      <c r="P53" s="1090">
        <v>540405</v>
      </c>
      <c r="Q53" s="1090">
        <v>6685335</v>
      </c>
      <c r="R53" s="1090">
        <v>8480</v>
      </c>
      <c r="S53" s="1090">
        <v>5475276</v>
      </c>
      <c r="T53" s="1090">
        <v>540405</v>
      </c>
      <c r="U53" s="1090">
        <v>0</v>
      </c>
      <c r="V53" s="1090">
        <v>0</v>
      </c>
      <c r="W53" s="1090">
        <v>1200000</v>
      </c>
      <c r="X53" s="1090">
        <v>0</v>
      </c>
    </row>
    <row r="54" spans="1:24">
      <c r="A54" s="1085">
        <v>49</v>
      </c>
      <c r="B54" s="1086" t="s">
        <v>75</v>
      </c>
      <c r="C54" s="1087">
        <v>37.5</v>
      </c>
      <c r="D54" s="1087">
        <v>0</v>
      </c>
      <c r="E54" s="1087">
        <v>36.67</v>
      </c>
      <c r="F54" s="1087">
        <v>0</v>
      </c>
      <c r="G54" s="1087">
        <v>13782.94</v>
      </c>
      <c r="H54" s="1090">
        <v>0</v>
      </c>
      <c r="I54" s="1090">
        <v>0</v>
      </c>
      <c r="J54" s="1090">
        <v>0</v>
      </c>
      <c r="K54" s="1085" t="b">
        <v>0</v>
      </c>
      <c r="L54" s="1090">
        <v>5973719</v>
      </c>
      <c r="M54" s="1087">
        <v>8539.35</v>
      </c>
      <c r="N54" s="1090">
        <v>6509603</v>
      </c>
      <c r="O54" s="1090">
        <v>1082524</v>
      </c>
      <c r="P54" s="1090">
        <v>1269973</v>
      </c>
      <c r="Q54" s="1090">
        <v>14414491</v>
      </c>
      <c r="R54" s="1090">
        <v>14834</v>
      </c>
      <c r="S54" s="1090">
        <v>6509603</v>
      </c>
      <c r="T54" s="1090">
        <v>1269973</v>
      </c>
      <c r="U54" s="1090">
        <v>0</v>
      </c>
      <c r="V54" s="1090">
        <v>0</v>
      </c>
      <c r="W54" s="1090">
        <v>2000000</v>
      </c>
      <c r="X54" s="1090">
        <v>0</v>
      </c>
    </row>
    <row r="55" spans="1:24">
      <c r="A55" s="1085">
        <v>50</v>
      </c>
      <c r="B55" s="1086" t="s">
        <v>41</v>
      </c>
      <c r="C55" s="1087">
        <v>12.75</v>
      </c>
      <c r="D55" s="1087">
        <v>8.52</v>
      </c>
      <c r="E55" s="1087">
        <v>73.62</v>
      </c>
      <c r="F55" s="1087">
        <v>0</v>
      </c>
      <c r="G55" s="1087">
        <v>13782.94</v>
      </c>
      <c r="H55" s="1090">
        <v>0</v>
      </c>
      <c r="I55" s="1090">
        <v>1390938</v>
      </c>
      <c r="J55" s="1090">
        <v>0</v>
      </c>
      <c r="K55" s="1085" t="b">
        <v>0</v>
      </c>
      <c r="L55" s="1090">
        <v>6901270</v>
      </c>
      <c r="M55" s="1087">
        <v>8532.59</v>
      </c>
      <c r="N55" s="1090">
        <v>10405858</v>
      </c>
      <c r="O55" s="1090">
        <v>2258441</v>
      </c>
      <c r="P55" s="1090">
        <v>1189472</v>
      </c>
      <c r="Q55" s="1090">
        <v>18850455</v>
      </c>
      <c r="R55" s="1090">
        <v>18978</v>
      </c>
      <c r="S55" s="1090">
        <v>10405858</v>
      </c>
      <c r="T55" s="1090">
        <v>1189472</v>
      </c>
      <c r="U55" s="1090">
        <v>0</v>
      </c>
      <c r="V55" s="1090">
        <v>0</v>
      </c>
      <c r="W55" s="1090">
        <v>2700000</v>
      </c>
      <c r="X55" s="1090">
        <v>0</v>
      </c>
    </row>
    <row r="56" spans="1:24">
      <c r="A56" s="1085">
        <v>51</v>
      </c>
      <c r="B56" s="1086" t="s">
        <v>76</v>
      </c>
      <c r="C56" s="1087">
        <v>34.46</v>
      </c>
      <c r="D56" s="1087">
        <v>7.44</v>
      </c>
      <c r="E56" s="1087">
        <v>0</v>
      </c>
      <c r="F56" s="1087">
        <v>0</v>
      </c>
      <c r="G56" s="1087">
        <v>13782.94</v>
      </c>
      <c r="H56" s="1090">
        <v>0</v>
      </c>
      <c r="I56" s="1090">
        <v>0</v>
      </c>
      <c r="J56" s="1090">
        <v>0</v>
      </c>
      <c r="K56" s="1085" t="b">
        <v>0</v>
      </c>
      <c r="L56" s="1090">
        <v>2124384</v>
      </c>
      <c r="M56" s="1087">
        <v>8551.36</v>
      </c>
      <c r="N56" s="1090">
        <v>6124435</v>
      </c>
      <c r="O56" s="1090">
        <v>0</v>
      </c>
      <c r="P56" s="1090">
        <v>479676</v>
      </c>
      <c r="Q56" s="1090">
        <v>1028117</v>
      </c>
      <c r="R56" s="1090">
        <v>1122651</v>
      </c>
      <c r="S56" s="1090">
        <v>6124435</v>
      </c>
      <c r="T56" s="1090">
        <v>479676</v>
      </c>
      <c r="U56" s="1090">
        <v>0</v>
      </c>
      <c r="V56" s="1090">
        <v>0</v>
      </c>
      <c r="W56" s="1090">
        <v>600000</v>
      </c>
      <c r="X56" s="1090">
        <v>0</v>
      </c>
    </row>
    <row r="57" spans="1:24">
      <c r="A57" s="1085">
        <v>52</v>
      </c>
      <c r="B57" s="1086" t="s">
        <v>77</v>
      </c>
      <c r="C57" s="1087">
        <v>0</v>
      </c>
      <c r="D57" s="1087">
        <v>0</v>
      </c>
      <c r="E57" s="1087">
        <v>17.63</v>
      </c>
      <c r="F57" s="1087">
        <v>0</v>
      </c>
      <c r="G57" s="1087">
        <v>13782.94</v>
      </c>
      <c r="H57" s="1090">
        <v>0</v>
      </c>
      <c r="I57" s="1090">
        <v>390254</v>
      </c>
      <c r="J57" s="1090">
        <v>0</v>
      </c>
      <c r="K57" s="1085" t="b">
        <v>0</v>
      </c>
      <c r="L57" s="1090">
        <v>1201702</v>
      </c>
      <c r="M57" s="1087">
        <v>8532.59</v>
      </c>
      <c r="N57" s="1090">
        <v>3157922</v>
      </c>
      <c r="O57" s="1090">
        <v>0</v>
      </c>
      <c r="P57" s="1090">
        <v>391252</v>
      </c>
      <c r="Q57" s="1090">
        <v>1721998</v>
      </c>
      <c r="R57" s="1090">
        <v>3526</v>
      </c>
      <c r="S57" s="1090">
        <v>3157922</v>
      </c>
      <c r="T57" s="1090">
        <v>391252</v>
      </c>
      <c r="U57" s="1090">
        <v>0</v>
      </c>
      <c r="V57" s="1090">
        <v>0</v>
      </c>
      <c r="W57" s="1090">
        <v>766667</v>
      </c>
      <c r="X57" s="1090">
        <v>0</v>
      </c>
    </row>
    <row r="58" spans="1:24">
      <c r="A58" s="1085">
        <v>53</v>
      </c>
      <c r="B58" s="1086" t="s">
        <v>78</v>
      </c>
      <c r="C58" s="1087">
        <v>6.28</v>
      </c>
      <c r="D58" s="1087">
        <v>8.74</v>
      </c>
      <c r="E58" s="1087">
        <v>0</v>
      </c>
      <c r="F58" s="1087">
        <v>0</v>
      </c>
      <c r="G58" s="1087">
        <v>13782.94</v>
      </c>
      <c r="H58" s="1090">
        <v>0</v>
      </c>
      <c r="I58" s="1090">
        <v>8433</v>
      </c>
      <c r="J58" s="1090">
        <v>0</v>
      </c>
      <c r="K58" s="1085" t="b">
        <v>1</v>
      </c>
      <c r="L58" s="1090">
        <v>496856</v>
      </c>
      <c r="M58" s="1087">
        <v>8532.67</v>
      </c>
      <c r="N58" s="1090">
        <v>142295</v>
      </c>
      <c r="O58" s="1090">
        <v>0</v>
      </c>
      <c r="P58" s="1090">
        <v>254149</v>
      </c>
      <c r="Q58" s="1090">
        <v>686030</v>
      </c>
      <c r="R58" s="1090">
        <v>3004</v>
      </c>
      <c r="S58" s="1090">
        <v>142295</v>
      </c>
      <c r="T58" s="1090">
        <v>254149</v>
      </c>
      <c r="U58" s="1090">
        <v>22203</v>
      </c>
      <c r="V58" s="1090">
        <v>94999</v>
      </c>
      <c r="W58" s="1090">
        <v>266667</v>
      </c>
      <c r="X58" s="1090">
        <v>0</v>
      </c>
    </row>
    <row r="59" spans="1:24">
      <c r="A59" s="1085">
        <v>54</v>
      </c>
      <c r="B59" s="1086" t="s">
        <v>31</v>
      </c>
      <c r="C59" s="1087">
        <v>11.93</v>
      </c>
      <c r="D59" s="1087">
        <v>0</v>
      </c>
      <c r="E59" s="1087">
        <v>83.01</v>
      </c>
      <c r="F59" s="1087">
        <v>0</v>
      </c>
      <c r="G59" s="1087">
        <v>13782.94</v>
      </c>
      <c r="H59" s="1090">
        <v>0</v>
      </c>
      <c r="I59" s="1090">
        <v>1802742</v>
      </c>
      <c r="J59" s="1090">
        <v>0</v>
      </c>
      <c r="K59" s="1085" t="b">
        <v>1</v>
      </c>
      <c r="L59" s="1090">
        <v>6482234</v>
      </c>
      <c r="M59" s="1087">
        <v>8532.58</v>
      </c>
      <c r="N59" s="1090">
        <v>4292033</v>
      </c>
      <c r="O59" s="1090">
        <v>0</v>
      </c>
      <c r="P59" s="1090">
        <v>1537515</v>
      </c>
      <c r="Q59" s="1090">
        <v>4957687</v>
      </c>
      <c r="R59" s="1090">
        <v>2334630</v>
      </c>
      <c r="S59" s="1090">
        <v>4292033</v>
      </c>
      <c r="T59" s="1090">
        <v>1537515</v>
      </c>
      <c r="U59" s="1090">
        <v>22203</v>
      </c>
      <c r="V59" s="1090">
        <v>94999</v>
      </c>
      <c r="W59" s="1090">
        <v>2533333</v>
      </c>
      <c r="X59" s="1090">
        <v>0</v>
      </c>
    </row>
    <row r="60" spans="1:24">
      <c r="A60" s="1085">
        <v>55</v>
      </c>
      <c r="B60" s="1086" t="s">
        <v>40</v>
      </c>
      <c r="C60" s="1087">
        <v>3.01</v>
      </c>
      <c r="D60" s="1087">
        <v>0</v>
      </c>
      <c r="E60" s="1087">
        <v>11.67</v>
      </c>
      <c r="F60" s="1087">
        <v>0</v>
      </c>
      <c r="G60" s="1087">
        <v>13782.94</v>
      </c>
      <c r="H60" s="1090">
        <v>0</v>
      </c>
      <c r="I60" s="1090">
        <v>0</v>
      </c>
      <c r="J60" s="1090">
        <v>0</v>
      </c>
      <c r="K60" s="1085" t="b">
        <v>1</v>
      </c>
      <c r="L60" s="1090">
        <v>1005851</v>
      </c>
      <c r="M60" s="1087">
        <v>8551.7099999999991</v>
      </c>
      <c r="N60" s="1090">
        <v>386873</v>
      </c>
      <c r="O60" s="1090">
        <v>0</v>
      </c>
      <c r="P60" s="1090">
        <v>317866</v>
      </c>
      <c r="Q60" s="1090">
        <v>663966</v>
      </c>
      <c r="R60" s="1090">
        <v>467424</v>
      </c>
      <c r="S60" s="1090">
        <v>386873</v>
      </c>
      <c r="T60" s="1090">
        <v>317866</v>
      </c>
      <c r="U60" s="1090">
        <v>22203</v>
      </c>
      <c r="V60" s="1090">
        <v>94999</v>
      </c>
      <c r="W60" s="1090">
        <v>666667</v>
      </c>
      <c r="X60" s="1090">
        <v>0</v>
      </c>
    </row>
    <row r="61" spans="1:24">
      <c r="A61" s="1085">
        <v>56</v>
      </c>
      <c r="B61" s="1086" t="s">
        <v>39</v>
      </c>
      <c r="C61" s="1087">
        <v>50.7</v>
      </c>
      <c r="D61" s="1087">
        <v>0</v>
      </c>
      <c r="E61" s="1087">
        <v>51.52</v>
      </c>
      <c r="F61" s="1087">
        <v>0</v>
      </c>
      <c r="G61" s="1087">
        <v>13782.94</v>
      </c>
      <c r="H61" s="1090">
        <v>0</v>
      </c>
      <c r="I61" s="1090">
        <v>2700753</v>
      </c>
      <c r="J61" s="1090">
        <v>0</v>
      </c>
      <c r="K61" s="1085" t="b">
        <v>0</v>
      </c>
      <c r="L61" s="1090">
        <v>7612982</v>
      </c>
      <c r="M61" s="1087">
        <v>8532.58</v>
      </c>
      <c r="N61" s="1090">
        <v>10970148</v>
      </c>
      <c r="O61" s="1090">
        <v>0</v>
      </c>
      <c r="P61" s="1090">
        <v>1175349</v>
      </c>
      <c r="Q61" s="1090">
        <v>15286562</v>
      </c>
      <c r="R61" s="1090">
        <v>20444</v>
      </c>
      <c r="S61" s="1090">
        <v>10970148</v>
      </c>
      <c r="T61" s="1090">
        <v>1175349</v>
      </c>
      <c r="U61" s="1090">
        <v>0</v>
      </c>
      <c r="V61" s="1090">
        <v>0</v>
      </c>
      <c r="W61" s="1090">
        <v>1833333</v>
      </c>
      <c r="X61" s="1090">
        <v>0</v>
      </c>
    </row>
    <row r="62" spans="1:24">
      <c r="A62" s="1085">
        <v>57</v>
      </c>
      <c r="B62" s="1086" t="s">
        <v>38</v>
      </c>
      <c r="C62" s="1087">
        <v>27.8</v>
      </c>
      <c r="D62" s="1087">
        <v>0</v>
      </c>
      <c r="E62" s="1087">
        <v>2.33</v>
      </c>
      <c r="F62" s="1087">
        <v>0</v>
      </c>
      <c r="G62" s="1087">
        <v>13782.94</v>
      </c>
      <c r="H62" s="1090">
        <v>0</v>
      </c>
      <c r="I62" s="1090">
        <v>0</v>
      </c>
      <c r="J62" s="1090">
        <v>0</v>
      </c>
      <c r="K62" s="1085" t="b">
        <v>1</v>
      </c>
      <c r="L62" s="1090">
        <v>2082634</v>
      </c>
      <c r="M62" s="1087">
        <v>8532.59</v>
      </c>
      <c r="N62" s="1090">
        <v>1590762</v>
      </c>
      <c r="O62" s="1090">
        <v>0</v>
      </c>
      <c r="P62" s="1090">
        <v>354397</v>
      </c>
      <c r="Q62" s="1090">
        <v>2512396</v>
      </c>
      <c r="R62" s="1090">
        <v>6026</v>
      </c>
      <c r="S62" s="1090">
        <v>1590762</v>
      </c>
      <c r="T62" s="1090">
        <v>354397</v>
      </c>
      <c r="U62" s="1090">
        <v>22203</v>
      </c>
      <c r="V62" s="1090">
        <v>94999</v>
      </c>
      <c r="W62" s="1090">
        <v>733333</v>
      </c>
      <c r="X62" s="1090">
        <v>0</v>
      </c>
    </row>
    <row r="63" spans="1:24">
      <c r="A63" s="1085">
        <v>58</v>
      </c>
      <c r="B63" s="1086" t="s">
        <v>79</v>
      </c>
      <c r="C63" s="1087">
        <v>34.049999999999997</v>
      </c>
      <c r="D63" s="1087">
        <v>0</v>
      </c>
      <c r="E63" s="1087">
        <v>30.31</v>
      </c>
      <c r="F63" s="1087">
        <v>0</v>
      </c>
      <c r="G63" s="1087">
        <v>13782.94</v>
      </c>
      <c r="H63" s="1090">
        <v>0</v>
      </c>
      <c r="I63" s="1090">
        <v>0</v>
      </c>
      <c r="J63" s="1090">
        <v>0</v>
      </c>
      <c r="K63" s="1085" t="b">
        <v>1</v>
      </c>
      <c r="L63" s="1090">
        <v>1391533</v>
      </c>
      <c r="M63" s="1087">
        <v>8532.58</v>
      </c>
      <c r="N63" s="1090">
        <v>344539</v>
      </c>
      <c r="O63" s="1090">
        <v>0</v>
      </c>
      <c r="P63" s="1090">
        <v>319947</v>
      </c>
      <c r="Q63" s="1090">
        <v>2239043</v>
      </c>
      <c r="R63" s="1090">
        <v>12872</v>
      </c>
      <c r="S63" s="1090">
        <v>344539</v>
      </c>
      <c r="T63" s="1090">
        <v>319947</v>
      </c>
      <c r="U63" s="1090">
        <v>22203</v>
      </c>
      <c r="V63" s="1090">
        <v>94999</v>
      </c>
      <c r="W63" s="1090">
        <v>566667</v>
      </c>
      <c r="X63" s="1090">
        <v>0</v>
      </c>
    </row>
    <row r="64" spans="1:24">
      <c r="A64" s="1091"/>
      <c r="C64" s="1092">
        <f t="shared" ref="C64:J64" si="0">SUM(C6:C63)</f>
        <v>5339.49</v>
      </c>
      <c r="D64" s="1092">
        <f t="shared" si="0"/>
        <v>796.59</v>
      </c>
      <c r="E64" s="1092">
        <f t="shared" si="0"/>
        <v>3276.5499999999997</v>
      </c>
      <c r="F64" s="1092">
        <f t="shared" si="0"/>
        <v>41.6</v>
      </c>
      <c r="G64" s="1092"/>
      <c r="H64" s="1092">
        <f t="shared" si="0"/>
        <v>85170</v>
      </c>
      <c r="I64" s="1092">
        <f t="shared" si="0"/>
        <v>30104537</v>
      </c>
      <c r="J64" s="1092">
        <f t="shared" si="0"/>
        <v>494781</v>
      </c>
      <c r="K64" s="1092"/>
      <c r="L64" s="1092">
        <f t="shared" ref="L64:V64" si="1">SUM(L6:L63)</f>
        <v>355796236</v>
      </c>
      <c r="M64" s="1092">
        <f t="shared" si="1"/>
        <v>483379.99000000022</v>
      </c>
      <c r="N64" s="1092">
        <f t="shared" si="1"/>
        <v>360056907</v>
      </c>
      <c r="O64" s="1092">
        <f t="shared" si="1"/>
        <v>49080283</v>
      </c>
      <c r="P64" s="1092">
        <f t="shared" si="1"/>
        <v>58666190</v>
      </c>
      <c r="Q64" s="1092">
        <f t="shared" si="1"/>
        <v>803483795</v>
      </c>
      <c r="R64" s="1092">
        <f t="shared" si="1"/>
        <v>36691986</v>
      </c>
      <c r="S64" s="1092">
        <f t="shared" si="1"/>
        <v>360056907</v>
      </c>
      <c r="T64" s="1092">
        <f t="shared" si="1"/>
        <v>40994536</v>
      </c>
      <c r="U64" s="1092">
        <f t="shared" si="1"/>
        <v>532872</v>
      </c>
      <c r="V64" s="1092">
        <f t="shared" si="1"/>
        <v>2279976</v>
      </c>
      <c r="W64" s="1092">
        <f>SUM(W6:W63)</f>
        <v>86099997</v>
      </c>
      <c r="X64" s="1092">
        <f>SUM(X6:X63)</f>
        <v>0</v>
      </c>
    </row>
    <row r="66" spans="2:2" ht="15.6">
      <c r="B66" s="912">
        <f>SUM(C64:X64)</f>
        <v>2184917007.2200003</v>
      </c>
    </row>
    <row r="67" spans="2:2">
      <c r="B67" s="62" t="s">
        <v>559</v>
      </c>
    </row>
  </sheetData>
  <phoneticPr fontId="51" type="noConversion"/>
  <pageMargins left="0.25" right="0.25" top="0.25" bottom="0.55000000000000004" header="0.3" footer="0.3"/>
  <pageSetup paperSize="5" scale="47" orientation="landscape" horizontalDpi="4294967295" verticalDpi="4294967295" r:id="rId1"/>
  <headerFooter>
    <oddFooter>&amp;R&amp;F
&amp;A</oddFooter>
  </headerFooter>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Y66"/>
  <sheetViews>
    <sheetView zoomScale="70" zoomScaleNormal="70" workbookViewId="0">
      <pane ySplit="5" topLeftCell="A6" activePane="bottomLeft" state="frozen"/>
      <selection activeCell="A2" sqref="A2"/>
      <selection pane="bottomLeft"/>
    </sheetView>
  </sheetViews>
  <sheetFormatPr defaultColWidth="8.88671875" defaultRowHeight="15"/>
  <cols>
    <col min="1" max="1" width="12" style="35" customWidth="1"/>
    <col min="2" max="2" width="50" style="96" customWidth="1"/>
    <col min="3" max="11" width="18.6640625" style="35" customWidth="1"/>
    <col min="12" max="12" width="18.6640625" style="61" customWidth="1"/>
    <col min="13" max="13" width="18.6640625" style="35" customWidth="1"/>
    <col min="14" max="14" width="18.6640625" style="5" customWidth="1"/>
    <col min="15" max="16" width="18.6640625" style="35" customWidth="1"/>
    <col min="17" max="24" width="18.6640625" style="96" customWidth="1"/>
    <col min="25" max="28" width="10.88671875" style="35" customWidth="1"/>
    <col min="29" max="16384" width="8.88671875" style="35"/>
  </cols>
  <sheetData>
    <row r="1" spans="1:24" s="135" customFormat="1" ht="30.75" customHeight="1">
      <c r="A1" s="796" t="s">
        <v>319</v>
      </c>
      <c r="B1" s="339"/>
      <c r="D1" s="352" t="s">
        <v>1838</v>
      </c>
      <c r="E1" s="335"/>
      <c r="G1" s="336"/>
      <c r="H1" s="337"/>
      <c r="I1" s="337"/>
      <c r="J1" s="337"/>
      <c r="K1" s="337"/>
      <c r="L1" s="338"/>
      <c r="M1" s="337"/>
      <c r="N1" s="337"/>
      <c r="O1" s="337"/>
      <c r="P1" s="337"/>
      <c r="Q1" s="339"/>
      <c r="R1" s="339"/>
      <c r="S1" s="339"/>
      <c r="T1" s="339"/>
      <c r="U1" s="339"/>
      <c r="V1" s="339"/>
      <c r="W1" s="339"/>
      <c r="X1" s="339"/>
    </row>
    <row r="2" spans="1:24" s="135" customFormat="1" ht="32.25" customHeight="1">
      <c r="A2" s="807" t="s">
        <v>1808</v>
      </c>
      <c r="B2" s="808"/>
      <c r="C2" s="809"/>
      <c r="D2" s="809"/>
      <c r="E2" s="335"/>
      <c r="F2" s="336"/>
      <c r="G2" s="336"/>
      <c r="H2" s="337"/>
      <c r="I2" s="1112" t="s">
        <v>1820</v>
      </c>
      <c r="J2" s="1112" t="s">
        <v>1821</v>
      </c>
      <c r="K2" s="337"/>
      <c r="L2" s="338"/>
      <c r="M2" s="337"/>
      <c r="N2" s="337"/>
      <c r="O2" s="337"/>
      <c r="P2" s="1116" t="s">
        <v>1832</v>
      </c>
      <c r="Q2" s="339"/>
      <c r="R2" s="339"/>
      <c r="S2" s="339"/>
      <c r="T2" s="1110" t="s">
        <v>1830</v>
      </c>
      <c r="U2" s="339"/>
      <c r="V2" s="339"/>
      <c r="W2" s="339"/>
      <c r="X2" s="1110" t="s">
        <v>1830</v>
      </c>
    </row>
    <row r="3" spans="1:24" s="5" customFormat="1" ht="19.2">
      <c r="A3" s="308" t="str">
        <f>+'Data Entry'!H10</f>
        <v>2021-22</v>
      </c>
      <c r="C3" s="774" t="s">
        <v>1505</v>
      </c>
      <c r="D3" s="774" t="s">
        <v>1506</v>
      </c>
      <c r="E3" s="774" t="s">
        <v>1507</v>
      </c>
      <c r="F3" s="774" t="s">
        <v>1508</v>
      </c>
      <c r="G3" s="774" t="s">
        <v>1509</v>
      </c>
      <c r="H3" s="774" t="s">
        <v>1510</v>
      </c>
      <c r="I3" s="774" t="s">
        <v>1528</v>
      </c>
      <c r="J3" s="774" t="s">
        <v>1511</v>
      </c>
      <c r="K3" s="774" t="s">
        <v>1683</v>
      </c>
      <c r="L3" s="774" t="s">
        <v>1512</v>
      </c>
      <c r="M3" s="774" t="s">
        <v>1516</v>
      </c>
      <c r="N3" s="774" t="s">
        <v>1513</v>
      </c>
      <c r="O3" s="774" t="s">
        <v>1514</v>
      </c>
      <c r="P3" s="786" t="s">
        <v>1826</v>
      </c>
      <c r="Q3" s="774" t="s">
        <v>1515</v>
      </c>
      <c r="R3" s="755" t="s">
        <v>1517</v>
      </c>
      <c r="S3" s="774" t="s">
        <v>1518</v>
      </c>
      <c r="T3" s="774"/>
      <c r="U3" s="774" t="s">
        <v>1519</v>
      </c>
      <c r="V3" s="774" t="s">
        <v>1520</v>
      </c>
      <c r="W3" s="774" t="s">
        <v>1521</v>
      </c>
      <c r="X3" s="774"/>
    </row>
    <row r="4" spans="1:24" s="41" customFormat="1" ht="204" customHeight="1">
      <c r="A4" s="326" t="s">
        <v>16</v>
      </c>
      <c r="B4" s="330" t="s">
        <v>20</v>
      </c>
      <c r="C4" s="327" t="s">
        <v>462</v>
      </c>
      <c r="D4" s="326" t="s">
        <v>463</v>
      </c>
      <c r="E4" s="326" t="s">
        <v>464</v>
      </c>
      <c r="F4" s="326" t="s">
        <v>465</v>
      </c>
      <c r="G4" s="326" t="s">
        <v>504</v>
      </c>
      <c r="H4" s="326" t="s">
        <v>466</v>
      </c>
      <c r="I4" s="1083" t="s">
        <v>467</v>
      </c>
      <c r="J4" s="1083" t="s">
        <v>468</v>
      </c>
      <c r="K4" s="326" t="s">
        <v>1681</v>
      </c>
      <c r="L4" s="326" t="s">
        <v>471</v>
      </c>
      <c r="M4" s="326" t="s">
        <v>472</v>
      </c>
      <c r="N4" s="326" t="s">
        <v>473</v>
      </c>
      <c r="O4" s="326" t="s">
        <v>474</v>
      </c>
      <c r="P4" s="1083" t="s">
        <v>1836</v>
      </c>
      <c r="Q4" s="326" t="s">
        <v>475</v>
      </c>
      <c r="R4" s="326" t="s">
        <v>476</v>
      </c>
      <c r="S4" s="326" t="s">
        <v>477</v>
      </c>
      <c r="T4" s="1083" t="s">
        <v>1831</v>
      </c>
      <c r="U4" s="326" t="s">
        <v>478</v>
      </c>
      <c r="V4" s="326" t="s">
        <v>479</v>
      </c>
      <c r="W4" s="326" t="s">
        <v>480</v>
      </c>
      <c r="X4" s="1104" t="s">
        <v>1813</v>
      </c>
    </row>
    <row r="5" spans="1:24" ht="28.5" customHeight="1">
      <c r="A5" s="328"/>
      <c r="B5" s="328"/>
      <c r="C5" s="329" t="s">
        <v>13</v>
      </c>
      <c r="D5" s="328" t="s">
        <v>9</v>
      </c>
      <c r="E5" s="328" t="s">
        <v>92</v>
      </c>
      <c r="F5" s="329" t="s">
        <v>91</v>
      </c>
      <c r="G5" s="329" t="s">
        <v>293</v>
      </c>
      <c r="H5" s="328" t="s">
        <v>469</v>
      </c>
      <c r="I5" s="328" t="s">
        <v>470</v>
      </c>
      <c r="J5" s="328" t="s">
        <v>1817</v>
      </c>
      <c r="K5" s="328" t="s">
        <v>99</v>
      </c>
      <c r="L5" s="328" t="s">
        <v>14</v>
      </c>
      <c r="M5" s="328" t="s">
        <v>97</v>
      </c>
      <c r="N5" s="328" t="s">
        <v>511</v>
      </c>
      <c r="O5" s="328" t="s">
        <v>481</v>
      </c>
      <c r="P5" s="328" t="s">
        <v>1811</v>
      </c>
      <c r="Q5" s="328" t="s">
        <v>131</v>
      </c>
      <c r="R5" s="328" t="s">
        <v>127</v>
      </c>
      <c r="S5" s="328" t="s">
        <v>82</v>
      </c>
      <c r="T5" s="328" t="s">
        <v>1810</v>
      </c>
      <c r="U5" s="328" t="s">
        <v>10</v>
      </c>
      <c r="V5" s="328" t="s">
        <v>96</v>
      </c>
      <c r="W5" s="328" t="s">
        <v>104</v>
      </c>
      <c r="X5" s="328" t="s">
        <v>1814</v>
      </c>
    </row>
    <row r="6" spans="1:24">
      <c r="A6" s="1093">
        <v>1</v>
      </c>
      <c r="B6" s="920" t="s">
        <v>49</v>
      </c>
      <c r="C6" s="1094">
        <v>51.55</v>
      </c>
      <c r="D6" s="1094">
        <v>7.49</v>
      </c>
      <c r="E6" s="1094">
        <v>69.45</v>
      </c>
      <c r="F6" s="1094">
        <v>0</v>
      </c>
      <c r="G6" s="1095">
        <v>12934.44</v>
      </c>
      <c r="H6" s="1096">
        <v>0</v>
      </c>
      <c r="I6" s="1096">
        <v>0</v>
      </c>
      <c r="J6" s="1096">
        <v>0</v>
      </c>
      <c r="K6" s="1095" t="b">
        <v>1</v>
      </c>
      <c r="L6" s="1096">
        <v>10203962</v>
      </c>
      <c r="M6" s="1097">
        <v>8540.69</v>
      </c>
      <c r="N6" s="1096">
        <v>6408060</v>
      </c>
      <c r="O6" s="1096">
        <v>0</v>
      </c>
      <c r="P6" s="1096"/>
      <c r="Q6" s="1096">
        <v>16836503</v>
      </c>
      <c r="R6" s="1096">
        <v>25698</v>
      </c>
      <c r="S6" s="1096">
        <v>6408060</v>
      </c>
      <c r="T6" s="1096"/>
      <c r="U6" s="1096">
        <v>20836</v>
      </c>
      <c r="V6" s="1096">
        <v>89151</v>
      </c>
      <c r="W6" s="1096">
        <v>2800000</v>
      </c>
      <c r="X6" s="1096"/>
    </row>
    <row r="7" spans="1:24">
      <c r="A7" s="1093">
        <v>2</v>
      </c>
      <c r="B7" s="920" t="s">
        <v>51</v>
      </c>
      <c r="C7" s="1098">
        <v>0</v>
      </c>
      <c r="D7" s="1098">
        <v>0</v>
      </c>
      <c r="E7" s="1098">
        <v>0</v>
      </c>
      <c r="F7" s="1098">
        <v>0</v>
      </c>
      <c r="G7" s="1098">
        <v>12934.44</v>
      </c>
      <c r="H7" s="1099">
        <v>0</v>
      </c>
      <c r="I7" s="1099">
        <v>0</v>
      </c>
      <c r="J7" s="1099">
        <v>0</v>
      </c>
      <c r="K7" s="1100" t="b">
        <v>1</v>
      </c>
      <c r="L7" s="1099">
        <v>686430</v>
      </c>
      <c r="M7" s="1098">
        <v>0</v>
      </c>
      <c r="N7" s="1099">
        <v>1195</v>
      </c>
      <c r="O7" s="1099">
        <v>0</v>
      </c>
      <c r="P7" s="1099"/>
      <c r="Q7" s="1099">
        <v>0</v>
      </c>
      <c r="R7" s="1099">
        <v>517373</v>
      </c>
      <c r="S7" s="1099">
        <v>1195</v>
      </c>
      <c r="T7" s="1099"/>
      <c r="U7" s="1099">
        <v>20836</v>
      </c>
      <c r="V7" s="1099">
        <v>89151</v>
      </c>
      <c r="W7" s="1099">
        <v>0</v>
      </c>
      <c r="X7" s="1099"/>
    </row>
    <row r="8" spans="1:24">
      <c r="A8" s="1093">
        <v>3</v>
      </c>
      <c r="B8" s="920" t="s">
        <v>52</v>
      </c>
      <c r="C8" s="1098">
        <v>1.82</v>
      </c>
      <c r="D8" s="1098">
        <v>0</v>
      </c>
      <c r="E8" s="1098">
        <v>0</v>
      </c>
      <c r="F8" s="1098">
        <v>0</v>
      </c>
      <c r="G8" s="1098">
        <v>12934.44</v>
      </c>
      <c r="H8" s="1099">
        <v>0</v>
      </c>
      <c r="I8" s="1099">
        <v>217289</v>
      </c>
      <c r="J8" s="1099">
        <v>149049</v>
      </c>
      <c r="K8" s="1100" t="b">
        <v>0</v>
      </c>
      <c r="L8" s="1099">
        <v>1299258</v>
      </c>
      <c r="M8" s="1098">
        <v>8532.51</v>
      </c>
      <c r="N8" s="1099">
        <v>671038</v>
      </c>
      <c r="O8" s="1099">
        <v>0</v>
      </c>
      <c r="P8" s="1099"/>
      <c r="Q8" s="1099">
        <v>933137</v>
      </c>
      <c r="R8" s="1099">
        <v>381650</v>
      </c>
      <c r="S8" s="1099">
        <v>671038</v>
      </c>
      <c r="T8" s="1099"/>
      <c r="U8" s="1099">
        <v>0</v>
      </c>
      <c r="V8" s="1099">
        <v>0</v>
      </c>
      <c r="W8" s="1099">
        <v>0</v>
      </c>
      <c r="X8" s="1099"/>
    </row>
    <row r="9" spans="1:24">
      <c r="A9" s="1093">
        <v>4</v>
      </c>
      <c r="B9" s="920" t="s">
        <v>53</v>
      </c>
      <c r="C9" s="1098">
        <v>5.44</v>
      </c>
      <c r="D9" s="1098">
        <v>0</v>
      </c>
      <c r="E9" s="1098">
        <v>12.57</v>
      </c>
      <c r="F9" s="1098">
        <v>0</v>
      </c>
      <c r="G9" s="1098">
        <v>12934.44</v>
      </c>
      <c r="H9" s="1099">
        <v>0</v>
      </c>
      <c r="I9" s="1099">
        <v>15176</v>
      </c>
      <c r="J9" s="1099">
        <v>0</v>
      </c>
      <c r="K9" s="1100" t="b">
        <v>0</v>
      </c>
      <c r="L9" s="1099">
        <v>2698579</v>
      </c>
      <c r="M9" s="1098">
        <v>8532.57</v>
      </c>
      <c r="N9" s="1099">
        <v>3332701</v>
      </c>
      <c r="O9" s="1099">
        <v>0</v>
      </c>
      <c r="P9" s="1099"/>
      <c r="Q9" s="1099">
        <v>2116819</v>
      </c>
      <c r="R9" s="1099">
        <v>735431</v>
      </c>
      <c r="S9" s="1099">
        <v>3332701</v>
      </c>
      <c r="T9" s="1099"/>
      <c r="U9" s="1099">
        <v>0</v>
      </c>
      <c r="V9" s="1099">
        <v>0</v>
      </c>
      <c r="W9" s="1099">
        <v>1100000</v>
      </c>
      <c r="X9" s="1099"/>
    </row>
    <row r="10" spans="1:24">
      <c r="A10" s="1093">
        <v>5</v>
      </c>
      <c r="B10" s="920" t="s">
        <v>54</v>
      </c>
      <c r="C10" s="1098">
        <v>23.09</v>
      </c>
      <c r="D10" s="1098">
        <v>0</v>
      </c>
      <c r="E10" s="1098">
        <v>0</v>
      </c>
      <c r="F10" s="1098">
        <v>0</v>
      </c>
      <c r="G10" s="1098">
        <v>12934.44</v>
      </c>
      <c r="H10" s="1099">
        <v>0</v>
      </c>
      <c r="I10" s="1099">
        <v>0</v>
      </c>
      <c r="J10" s="1099">
        <v>0</v>
      </c>
      <c r="K10" s="1100" t="b">
        <v>0</v>
      </c>
      <c r="L10" s="1099">
        <v>857128</v>
      </c>
      <c r="M10" s="1098">
        <v>8533.98</v>
      </c>
      <c r="N10" s="1099">
        <v>1224781</v>
      </c>
      <c r="O10" s="1099">
        <v>0</v>
      </c>
      <c r="P10" s="1099"/>
      <c r="Q10" s="1099">
        <v>733548</v>
      </c>
      <c r="R10" s="1099">
        <v>320630</v>
      </c>
      <c r="S10" s="1099">
        <v>1224781</v>
      </c>
      <c r="T10" s="1099"/>
      <c r="U10" s="1099">
        <v>0</v>
      </c>
      <c r="V10" s="1099">
        <v>0</v>
      </c>
      <c r="W10" s="1099">
        <v>700000</v>
      </c>
      <c r="X10" s="1099"/>
    </row>
    <row r="11" spans="1:24">
      <c r="A11" s="1093">
        <v>6</v>
      </c>
      <c r="B11" s="920" t="s">
        <v>55</v>
      </c>
      <c r="C11" s="1098">
        <v>9.59</v>
      </c>
      <c r="D11" s="1098">
        <v>0</v>
      </c>
      <c r="E11" s="1098">
        <v>0</v>
      </c>
      <c r="F11" s="1098">
        <v>0</v>
      </c>
      <c r="G11" s="1098">
        <v>12934.44</v>
      </c>
      <c r="H11" s="1099">
        <v>0</v>
      </c>
      <c r="I11" s="1099">
        <v>92975</v>
      </c>
      <c r="J11" s="1099">
        <v>0</v>
      </c>
      <c r="K11" s="1100" t="b">
        <v>1</v>
      </c>
      <c r="L11" s="1099">
        <v>1185600</v>
      </c>
      <c r="M11" s="1098">
        <v>8532.42</v>
      </c>
      <c r="N11" s="1099">
        <v>309028</v>
      </c>
      <c r="O11" s="1099">
        <v>0</v>
      </c>
      <c r="P11" s="1099"/>
      <c r="Q11" s="1099">
        <v>95946</v>
      </c>
      <c r="R11" s="1099">
        <v>955279</v>
      </c>
      <c r="S11" s="1099">
        <v>309028</v>
      </c>
      <c r="T11" s="1099"/>
      <c r="U11" s="1099">
        <v>20836</v>
      </c>
      <c r="V11" s="1099">
        <v>89151</v>
      </c>
      <c r="W11" s="1099">
        <v>300000</v>
      </c>
      <c r="X11" s="1099"/>
    </row>
    <row r="12" spans="1:24">
      <c r="A12" s="1093">
        <v>7</v>
      </c>
      <c r="B12" s="920" t="s">
        <v>109</v>
      </c>
      <c r="C12" s="1098">
        <v>0</v>
      </c>
      <c r="D12" s="1098">
        <v>17.68</v>
      </c>
      <c r="E12" s="1098">
        <v>49</v>
      </c>
      <c r="F12" s="1098">
        <v>0</v>
      </c>
      <c r="G12" s="1098">
        <v>12934.44</v>
      </c>
      <c r="H12" s="1099">
        <v>0</v>
      </c>
      <c r="I12" s="1099">
        <v>799189</v>
      </c>
      <c r="J12" s="1099">
        <v>0</v>
      </c>
      <c r="K12" s="1100" t="b">
        <v>0</v>
      </c>
      <c r="L12" s="1099">
        <v>8888302</v>
      </c>
      <c r="M12" s="1098">
        <v>8532.58</v>
      </c>
      <c r="N12" s="1099">
        <v>12153515</v>
      </c>
      <c r="O12" s="1099">
        <v>0</v>
      </c>
      <c r="P12" s="1099"/>
      <c r="Q12" s="1099">
        <v>17022932</v>
      </c>
      <c r="R12" s="1099">
        <v>13336</v>
      </c>
      <c r="S12" s="1099">
        <v>12153515</v>
      </c>
      <c r="T12" s="1099"/>
      <c r="U12" s="1099">
        <v>0</v>
      </c>
      <c r="V12" s="1099">
        <v>0</v>
      </c>
      <c r="W12" s="1099">
        <v>2000000</v>
      </c>
      <c r="X12" s="1099"/>
    </row>
    <row r="13" spans="1:24">
      <c r="A13" s="1093">
        <v>8</v>
      </c>
      <c r="B13" s="920" t="s">
        <v>56</v>
      </c>
      <c r="C13" s="1098">
        <v>9.19</v>
      </c>
      <c r="D13" s="1098">
        <v>0</v>
      </c>
      <c r="E13" s="1098">
        <v>6.81</v>
      </c>
      <c r="F13" s="1098">
        <v>0</v>
      </c>
      <c r="G13" s="1098">
        <v>12934.44</v>
      </c>
      <c r="H13" s="1099">
        <v>0</v>
      </c>
      <c r="I13" s="1099">
        <v>0</v>
      </c>
      <c r="J13" s="1099">
        <v>0</v>
      </c>
      <c r="K13" s="1100" t="b">
        <v>0</v>
      </c>
      <c r="L13" s="1099">
        <v>2378396</v>
      </c>
      <c r="M13" s="1098">
        <v>8532.59</v>
      </c>
      <c r="N13" s="1099">
        <v>318069</v>
      </c>
      <c r="O13" s="1099">
        <v>0</v>
      </c>
      <c r="P13" s="1099"/>
      <c r="Q13" s="1099">
        <v>45058</v>
      </c>
      <c r="R13" s="1099">
        <v>1895533</v>
      </c>
      <c r="S13" s="1099">
        <v>318069</v>
      </c>
      <c r="T13" s="1099"/>
      <c r="U13" s="1099">
        <v>0</v>
      </c>
      <c r="V13" s="1099">
        <v>0</v>
      </c>
      <c r="W13" s="1099">
        <v>0</v>
      </c>
      <c r="X13" s="1099"/>
    </row>
    <row r="14" spans="1:24">
      <c r="A14" s="1093">
        <v>9</v>
      </c>
      <c r="B14" s="920" t="s">
        <v>37</v>
      </c>
      <c r="C14" s="1098">
        <v>0</v>
      </c>
      <c r="D14" s="1098">
        <v>221.78</v>
      </c>
      <c r="E14" s="1098">
        <v>6.52</v>
      </c>
      <c r="F14" s="1098">
        <v>45.27</v>
      </c>
      <c r="G14" s="1098">
        <v>12934.44</v>
      </c>
      <c r="H14" s="1099">
        <v>0</v>
      </c>
      <c r="I14" s="1099">
        <v>442444</v>
      </c>
      <c r="J14" s="1099">
        <v>0</v>
      </c>
      <c r="K14" s="1100" t="b">
        <v>1</v>
      </c>
      <c r="L14" s="1099">
        <v>2446627</v>
      </c>
      <c r="M14" s="1098">
        <v>8532.58</v>
      </c>
      <c r="N14" s="1099">
        <v>1622304</v>
      </c>
      <c r="O14" s="1099">
        <v>0</v>
      </c>
      <c r="P14" s="1099"/>
      <c r="Q14" s="1099">
        <v>6386090</v>
      </c>
      <c r="R14" s="1099">
        <v>54714</v>
      </c>
      <c r="S14" s="1099">
        <v>1622304</v>
      </c>
      <c r="T14" s="1099"/>
      <c r="U14" s="1099">
        <v>20836</v>
      </c>
      <c r="V14" s="1099">
        <v>89151</v>
      </c>
      <c r="W14" s="1099">
        <v>1300000</v>
      </c>
      <c r="X14" s="1099"/>
    </row>
    <row r="15" spans="1:24">
      <c r="A15" s="1093">
        <v>10</v>
      </c>
      <c r="B15" s="920" t="s">
        <v>48</v>
      </c>
      <c r="C15" s="1098">
        <v>15.13</v>
      </c>
      <c r="D15" s="1098">
        <v>0</v>
      </c>
      <c r="E15" s="1098">
        <v>156.13</v>
      </c>
      <c r="F15" s="1098">
        <v>0</v>
      </c>
      <c r="G15" s="1098">
        <v>12934.44</v>
      </c>
      <c r="H15" s="1099">
        <v>0</v>
      </c>
      <c r="I15" s="1099">
        <v>927131</v>
      </c>
      <c r="J15" s="1099">
        <v>0</v>
      </c>
      <c r="K15" s="1100" t="b">
        <v>0</v>
      </c>
      <c r="L15" s="1099">
        <v>9722633</v>
      </c>
      <c r="M15" s="1098">
        <v>8532.58</v>
      </c>
      <c r="N15" s="1099">
        <v>15002727</v>
      </c>
      <c r="O15" s="1099">
        <v>0</v>
      </c>
      <c r="P15" s="1099"/>
      <c r="Q15" s="1099">
        <v>16705907</v>
      </c>
      <c r="R15" s="1099">
        <v>34252</v>
      </c>
      <c r="S15" s="1099">
        <v>15002727</v>
      </c>
      <c r="T15" s="1099"/>
      <c r="U15" s="1099">
        <v>0</v>
      </c>
      <c r="V15" s="1099">
        <v>0</v>
      </c>
      <c r="W15" s="1099">
        <v>1800000</v>
      </c>
      <c r="X15" s="1099"/>
    </row>
    <row r="16" spans="1:24">
      <c r="A16" s="1093">
        <v>11</v>
      </c>
      <c r="B16" s="920" t="s">
        <v>47</v>
      </c>
      <c r="C16" s="1098">
        <v>4.57</v>
      </c>
      <c r="D16" s="1098">
        <v>0</v>
      </c>
      <c r="E16" s="1098">
        <v>0</v>
      </c>
      <c r="F16" s="1098">
        <v>0</v>
      </c>
      <c r="G16" s="1098">
        <v>12934.44</v>
      </c>
      <c r="H16" s="1099">
        <v>0</v>
      </c>
      <c r="I16" s="1099">
        <v>289651</v>
      </c>
      <c r="J16" s="1099">
        <v>0</v>
      </c>
      <c r="K16" s="1100" t="b">
        <v>0</v>
      </c>
      <c r="L16" s="1099">
        <v>2162502</v>
      </c>
      <c r="M16" s="1098">
        <v>8532.59</v>
      </c>
      <c r="N16" s="1099">
        <v>2026783</v>
      </c>
      <c r="O16" s="1099">
        <v>0</v>
      </c>
      <c r="P16" s="1099"/>
      <c r="Q16" s="1099">
        <v>329128</v>
      </c>
      <c r="R16" s="1099">
        <v>1659302</v>
      </c>
      <c r="S16" s="1099">
        <v>2026783</v>
      </c>
      <c r="T16" s="1099"/>
      <c r="U16" s="1099">
        <v>0</v>
      </c>
      <c r="V16" s="1099">
        <v>0</v>
      </c>
      <c r="W16" s="1099">
        <v>500000</v>
      </c>
      <c r="X16" s="1099"/>
    </row>
    <row r="17" spans="1:24">
      <c r="A17" s="1093">
        <v>12</v>
      </c>
      <c r="B17" s="920" t="s">
        <v>57</v>
      </c>
      <c r="C17" s="1098">
        <v>111.05</v>
      </c>
      <c r="D17" s="1098">
        <v>0</v>
      </c>
      <c r="E17" s="1098">
        <v>13.71</v>
      </c>
      <c r="F17" s="1098">
        <v>0</v>
      </c>
      <c r="G17" s="1098">
        <v>12934.44</v>
      </c>
      <c r="H17" s="1099">
        <v>0</v>
      </c>
      <c r="I17" s="1099">
        <v>404123</v>
      </c>
      <c r="J17" s="1099">
        <v>0</v>
      </c>
      <c r="K17" s="1100" t="b">
        <v>1</v>
      </c>
      <c r="L17" s="1099">
        <v>2385008</v>
      </c>
      <c r="M17" s="1098">
        <v>8542.5300000000007</v>
      </c>
      <c r="N17" s="1099">
        <v>3916204</v>
      </c>
      <c r="O17" s="1099">
        <v>0</v>
      </c>
      <c r="P17" s="1099"/>
      <c r="Q17" s="1099">
        <v>1330968</v>
      </c>
      <c r="R17" s="1099">
        <v>2119806</v>
      </c>
      <c r="S17" s="1099">
        <v>3916204</v>
      </c>
      <c r="T17" s="1099"/>
      <c r="U17" s="1099">
        <v>20836</v>
      </c>
      <c r="V17" s="1099">
        <v>89151</v>
      </c>
      <c r="W17" s="1099">
        <v>1000000</v>
      </c>
      <c r="X17" s="1099"/>
    </row>
    <row r="18" spans="1:24">
      <c r="A18" s="1093">
        <v>13</v>
      </c>
      <c r="B18" s="920" t="s">
        <v>58</v>
      </c>
      <c r="C18" s="1098">
        <v>111.7</v>
      </c>
      <c r="D18" s="1098">
        <v>0</v>
      </c>
      <c r="E18" s="1098">
        <v>10.78</v>
      </c>
      <c r="F18" s="1098">
        <v>0</v>
      </c>
      <c r="G18" s="1098">
        <v>12934.44</v>
      </c>
      <c r="H18" s="1099">
        <v>0</v>
      </c>
      <c r="I18" s="1099">
        <v>13535</v>
      </c>
      <c r="J18" s="1099">
        <v>0</v>
      </c>
      <c r="K18" s="1100" t="b">
        <v>1</v>
      </c>
      <c r="L18" s="1099">
        <v>2593316</v>
      </c>
      <c r="M18" s="1098">
        <v>8540.9500000000007</v>
      </c>
      <c r="N18" s="1099">
        <v>3340762</v>
      </c>
      <c r="O18" s="1099">
        <v>0</v>
      </c>
      <c r="P18" s="1099"/>
      <c r="Q18" s="1099">
        <v>630292</v>
      </c>
      <c r="R18" s="1099">
        <v>2743081</v>
      </c>
      <c r="S18" s="1099">
        <v>3340762</v>
      </c>
      <c r="T18" s="1099"/>
      <c r="U18" s="1099">
        <v>20836</v>
      </c>
      <c r="V18" s="1099">
        <v>89151</v>
      </c>
      <c r="W18" s="1099">
        <v>1000000</v>
      </c>
      <c r="X18" s="1099"/>
    </row>
    <row r="19" spans="1:24">
      <c r="A19" s="1093">
        <v>14</v>
      </c>
      <c r="B19" s="920" t="s">
        <v>36</v>
      </c>
      <c r="C19" s="1098">
        <v>4.76</v>
      </c>
      <c r="D19" s="1098">
        <v>0</v>
      </c>
      <c r="E19" s="1098">
        <v>0</v>
      </c>
      <c r="F19" s="1098">
        <v>0</v>
      </c>
      <c r="G19" s="1098">
        <v>12934.44</v>
      </c>
      <c r="H19" s="1099">
        <v>0</v>
      </c>
      <c r="I19" s="1099">
        <v>0</v>
      </c>
      <c r="J19" s="1099">
        <v>0</v>
      </c>
      <c r="K19" s="1100" t="b">
        <v>0</v>
      </c>
      <c r="L19" s="1099">
        <v>2318751</v>
      </c>
      <c r="M19" s="1098">
        <v>8544.19</v>
      </c>
      <c r="N19" s="1099">
        <v>2061392</v>
      </c>
      <c r="O19" s="1099">
        <v>0</v>
      </c>
      <c r="P19" s="1099"/>
      <c r="Q19" s="1099">
        <v>2798860</v>
      </c>
      <c r="R19" s="1099">
        <v>952</v>
      </c>
      <c r="S19" s="1099">
        <v>2061392</v>
      </c>
      <c r="T19" s="1099"/>
      <c r="U19" s="1099">
        <v>0</v>
      </c>
      <c r="V19" s="1099">
        <v>0</v>
      </c>
      <c r="W19" s="1099">
        <v>300000</v>
      </c>
      <c r="X19" s="1099"/>
    </row>
    <row r="20" spans="1:24">
      <c r="A20" s="1093">
        <v>15</v>
      </c>
      <c r="B20" s="920" t="s">
        <v>46</v>
      </c>
      <c r="C20" s="1098">
        <v>374.48</v>
      </c>
      <c r="D20" s="1098">
        <v>0</v>
      </c>
      <c r="E20" s="1098">
        <v>223.82</v>
      </c>
      <c r="F20" s="1098">
        <v>0</v>
      </c>
      <c r="G20" s="1098">
        <v>12934.44</v>
      </c>
      <c r="H20" s="1099">
        <v>0</v>
      </c>
      <c r="I20" s="1099">
        <v>2270357</v>
      </c>
      <c r="J20" s="1099">
        <v>155000</v>
      </c>
      <c r="K20" s="1100" t="b">
        <v>1</v>
      </c>
      <c r="L20" s="1099">
        <v>10607614</v>
      </c>
      <c r="M20" s="1098">
        <v>8541.9699999999993</v>
      </c>
      <c r="N20" s="1099">
        <v>11404874</v>
      </c>
      <c r="O20" s="1099">
        <v>0</v>
      </c>
      <c r="P20" s="1099"/>
      <c r="Q20" s="1099">
        <v>14455705</v>
      </c>
      <c r="R20" s="1099">
        <v>1262570</v>
      </c>
      <c r="S20" s="1099">
        <v>11404874</v>
      </c>
      <c r="T20" s="1099"/>
      <c r="U20" s="1099">
        <v>20836</v>
      </c>
      <c r="V20" s="1099">
        <v>89151</v>
      </c>
      <c r="W20" s="1099">
        <v>2400000</v>
      </c>
      <c r="X20" s="1099"/>
    </row>
    <row r="21" spans="1:24">
      <c r="A21" s="1093">
        <v>16</v>
      </c>
      <c r="B21" s="920" t="s">
        <v>59</v>
      </c>
      <c r="C21" s="1098">
        <v>0</v>
      </c>
      <c r="D21" s="1098">
        <v>0</v>
      </c>
      <c r="E21" s="1098">
        <v>27.99</v>
      </c>
      <c r="F21" s="1098">
        <v>0</v>
      </c>
      <c r="G21" s="1098">
        <v>12934.44</v>
      </c>
      <c r="H21" s="1099">
        <v>0</v>
      </c>
      <c r="I21" s="1099">
        <v>0</v>
      </c>
      <c r="J21" s="1099">
        <v>0</v>
      </c>
      <c r="K21" s="1100" t="b">
        <v>1</v>
      </c>
      <c r="L21" s="1099">
        <v>2251371</v>
      </c>
      <c r="M21" s="1098">
        <v>8538.48</v>
      </c>
      <c r="N21" s="1099">
        <v>2397952</v>
      </c>
      <c r="O21" s="1099">
        <v>0</v>
      </c>
      <c r="P21" s="1099"/>
      <c r="Q21" s="1099">
        <v>2215937</v>
      </c>
      <c r="R21" s="1099">
        <v>274426</v>
      </c>
      <c r="S21" s="1099">
        <v>2397952</v>
      </c>
      <c r="T21" s="1099"/>
      <c r="U21" s="1099">
        <v>20836</v>
      </c>
      <c r="V21" s="1099">
        <v>89151</v>
      </c>
      <c r="W21" s="1099">
        <v>900000</v>
      </c>
      <c r="X21" s="1099"/>
    </row>
    <row r="22" spans="1:24">
      <c r="A22" s="1093">
        <v>17</v>
      </c>
      <c r="B22" s="920" t="s">
        <v>60</v>
      </c>
      <c r="C22" s="1098">
        <v>6.92</v>
      </c>
      <c r="D22" s="1098">
        <v>0</v>
      </c>
      <c r="E22" s="1098">
        <v>0</v>
      </c>
      <c r="F22" s="1098">
        <v>0</v>
      </c>
      <c r="G22" s="1098">
        <v>12934.44</v>
      </c>
      <c r="H22" s="1099">
        <v>0</v>
      </c>
      <c r="I22" s="1099">
        <v>247267</v>
      </c>
      <c r="J22" s="1099">
        <v>0</v>
      </c>
      <c r="K22" s="1100" t="b">
        <v>0</v>
      </c>
      <c r="L22" s="1099">
        <v>1408894</v>
      </c>
      <c r="M22" s="1098">
        <v>8532.6</v>
      </c>
      <c r="N22" s="1099">
        <v>1856141</v>
      </c>
      <c r="O22" s="1099">
        <v>0</v>
      </c>
      <c r="P22" s="1099"/>
      <c r="Q22" s="1099">
        <v>2073482</v>
      </c>
      <c r="R22" s="1099">
        <v>1384</v>
      </c>
      <c r="S22" s="1099">
        <v>1856141</v>
      </c>
      <c r="T22" s="1099"/>
      <c r="U22" s="1099">
        <v>0</v>
      </c>
      <c r="V22" s="1099">
        <v>0</v>
      </c>
      <c r="W22" s="1099">
        <v>700000</v>
      </c>
      <c r="X22" s="1099"/>
    </row>
    <row r="23" spans="1:24">
      <c r="A23" s="1093">
        <v>18</v>
      </c>
      <c r="B23" s="920" t="s">
        <v>61</v>
      </c>
      <c r="C23" s="1098">
        <v>0</v>
      </c>
      <c r="D23" s="1098">
        <v>0</v>
      </c>
      <c r="E23" s="1098">
        <v>0</v>
      </c>
      <c r="F23" s="1098">
        <v>0</v>
      </c>
      <c r="G23" s="1098">
        <v>12934.44</v>
      </c>
      <c r="H23" s="1099">
        <v>0</v>
      </c>
      <c r="I23" s="1099">
        <v>54736</v>
      </c>
      <c r="J23" s="1099">
        <v>0</v>
      </c>
      <c r="K23" s="1100" t="b">
        <v>0</v>
      </c>
      <c r="L23" s="1099">
        <v>1720438</v>
      </c>
      <c r="M23" s="1098">
        <v>8532.65</v>
      </c>
      <c r="N23" s="1099">
        <v>728638</v>
      </c>
      <c r="O23" s="1099">
        <v>0</v>
      </c>
      <c r="P23" s="1099"/>
      <c r="Q23" s="1099">
        <v>415644</v>
      </c>
      <c r="R23" s="1099">
        <v>1296721</v>
      </c>
      <c r="S23" s="1099">
        <v>728638</v>
      </c>
      <c r="T23" s="1099"/>
      <c r="U23" s="1099">
        <v>0</v>
      </c>
      <c r="V23" s="1099">
        <v>0</v>
      </c>
      <c r="W23" s="1099">
        <v>500000</v>
      </c>
      <c r="X23" s="1099"/>
    </row>
    <row r="24" spans="1:24">
      <c r="A24" s="1093">
        <v>19</v>
      </c>
      <c r="B24" s="920" t="s">
        <v>45</v>
      </c>
      <c r="C24" s="1098">
        <v>46.81</v>
      </c>
      <c r="D24" s="1098">
        <v>0</v>
      </c>
      <c r="E24" s="1098">
        <v>416.71</v>
      </c>
      <c r="F24" s="1098">
        <v>0</v>
      </c>
      <c r="G24" s="1098">
        <v>12934.44</v>
      </c>
      <c r="H24" s="1099">
        <v>0</v>
      </c>
      <c r="I24" s="1099">
        <v>0</v>
      </c>
      <c r="J24" s="1099">
        <v>0</v>
      </c>
      <c r="K24" s="1100" t="b">
        <v>0</v>
      </c>
      <c r="L24" s="1099">
        <v>72923035</v>
      </c>
      <c r="M24" s="1098">
        <v>8532.58</v>
      </c>
      <c r="N24" s="1099">
        <v>58214193</v>
      </c>
      <c r="O24" s="1099">
        <v>0</v>
      </c>
      <c r="P24" s="1099"/>
      <c r="Q24" s="1099">
        <v>84412707</v>
      </c>
      <c r="R24" s="1099">
        <v>92704</v>
      </c>
      <c r="S24" s="1099">
        <v>58214193</v>
      </c>
      <c r="T24" s="1099"/>
      <c r="U24" s="1099">
        <v>0</v>
      </c>
      <c r="V24" s="1099">
        <v>0</v>
      </c>
      <c r="W24" s="1099">
        <v>7433333</v>
      </c>
      <c r="X24" s="1099"/>
    </row>
    <row r="25" spans="1:24">
      <c r="A25" s="1093">
        <v>20</v>
      </c>
      <c r="B25" s="920" t="s">
        <v>124</v>
      </c>
      <c r="C25" s="1098">
        <v>0</v>
      </c>
      <c r="D25" s="1098">
        <v>12.82</v>
      </c>
      <c r="E25" s="1098">
        <v>27.63</v>
      </c>
      <c r="F25" s="1098">
        <v>0</v>
      </c>
      <c r="G25" s="1098">
        <v>12934.44</v>
      </c>
      <c r="H25" s="1099">
        <v>0</v>
      </c>
      <c r="I25" s="1099">
        <v>316487</v>
      </c>
      <c r="J25" s="1099">
        <v>100750</v>
      </c>
      <c r="K25" s="1100" t="b">
        <v>1</v>
      </c>
      <c r="L25" s="1099">
        <v>2503042</v>
      </c>
      <c r="M25" s="1098">
        <v>8536.7000000000007</v>
      </c>
      <c r="N25" s="1099">
        <v>1242089</v>
      </c>
      <c r="O25" s="1099">
        <v>0</v>
      </c>
      <c r="P25" s="1099"/>
      <c r="Q25" s="1099">
        <v>3849019</v>
      </c>
      <c r="R25" s="1099">
        <v>8090</v>
      </c>
      <c r="S25" s="1099">
        <v>1242089</v>
      </c>
      <c r="T25" s="1099"/>
      <c r="U25" s="1099">
        <v>20836</v>
      </c>
      <c r="V25" s="1099">
        <v>89151</v>
      </c>
      <c r="W25" s="1099">
        <v>800000</v>
      </c>
      <c r="X25" s="1099"/>
    </row>
    <row r="26" spans="1:24">
      <c r="A26" s="1093">
        <v>21</v>
      </c>
      <c r="B26" s="920" t="s">
        <v>62</v>
      </c>
      <c r="C26" s="1098">
        <v>12.92</v>
      </c>
      <c r="D26" s="1098">
        <v>24.04</v>
      </c>
      <c r="E26" s="1098">
        <v>6.47</v>
      </c>
      <c r="F26" s="1098">
        <v>0</v>
      </c>
      <c r="G26" s="1098">
        <v>12934.44</v>
      </c>
      <c r="H26" s="1099">
        <v>0</v>
      </c>
      <c r="I26" s="1099">
        <v>0</v>
      </c>
      <c r="J26" s="1099">
        <v>0</v>
      </c>
      <c r="K26" s="1100" t="b">
        <v>0</v>
      </c>
      <c r="L26" s="1099">
        <v>4244374</v>
      </c>
      <c r="M26" s="1098">
        <v>8532.58</v>
      </c>
      <c r="N26" s="1099">
        <v>2173275</v>
      </c>
      <c r="O26" s="1099">
        <v>1323967</v>
      </c>
      <c r="P26" s="1099"/>
      <c r="Q26" s="1099">
        <v>10135130</v>
      </c>
      <c r="R26" s="1099">
        <v>8686</v>
      </c>
      <c r="S26" s="1099">
        <v>2173275</v>
      </c>
      <c r="T26" s="1099"/>
      <c r="U26" s="1099">
        <v>0</v>
      </c>
      <c r="V26" s="1099">
        <v>0</v>
      </c>
      <c r="W26" s="1099">
        <v>566667</v>
      </c>
      <c r="X26" s="1099"/>
    </row>
    <row r="27" spans="1:24">
      <c r="A27" s="1093">
        <v>22</v>
      </c>
      <c r="B27" s="920" t="s">
        <v>63</v>
      </c>
      <c r="C27" s="1098">
        <v>0.86</v>
      </c>
      <c r="D27" s="1098">
        <v>0</v>
      </c>
      <c r="E27" s="1098">
        <v>0</v>
      </c>
      <c r="F27" s="1098">
        <v>0</v>
      </c>
      <c r="G27" s="1098">
        <v>12934.44</v>
      </c>
      <c r="H27" s="1099">
        <v>0</v>
      </c>
      <c r="I27" s="1099">
        <v>20010</v>
      </c>
      <c r="J27" s="1099">
        <v>0</v>
      </c>
      <c r="K27" s="1100" t="b">
        <v>0</v>
      </c>
      <c r="L27" s="1099">
        <v>1163796</v>
      </c>
      <c r="M27" s="1098">
        <v>8553.9699999999993</v>
      </c>
      <c r="N27" s="1099">
        <v>67784</v>
      </c>
      <c r="O27" s="1099">
        <v>0</v>
      </c>
      <c r="P27" s="1099"/>
      <c r="Q27" s="1099">
        <v>0</v>
      </c>
      <c r="R27" s="1099">
        <v>882716</v>
      </c>
      <c r="S27" s="1099">
        <v>67784</v>
      </c>
      <c r="T27" s="1099"/>
      <c r="U27" s="1099">
        <v>0</v>
      </c>
      <c r="V27" s="1099">
        <v>0</v>
      </c>
      <c r="W27" s="1099">
        <v>0</v>
      </c>
      <c r="X27" s="1099"/>
    </row>
    <row r="28" spans="1:24">
      <c r="A28" s="1093">
        <v>23</v>
      </c>
      <c r="B28" s="920" t="s">
        <v>64</v>
      </c>
      <c r="C28" s="1098">
        <v>7.4</v>
      </c>
      <c r="D28" s="1098">
        <v>0</v>
      </c>
      <c r="E28" s="1098">
        <v>8.35</v>
      </c>
      <c r="F28" s="1098">
        <v>0</v>
      </c>
      <c r="G28" s="1098">
        <v>12934.44</v>
      </c>
      <c r="H28" s="1099">
        <v>0</v>
      </c>
      <c r="I28" s="1099">
        <v>400582</v>
      </c>
      <c r="J28" s="1099">
        <v>0</v>
      </c>
      <c r="K28" s="1100" t="b">
        <v>0</v>
      </c>
      <c r="L28" s="1099">
        <v>1535094</v>
      </c>
      <c r="M28" s="1098">
        <v>9132.51</v>
      </c>
      <c r="N28" s="1099">
        <v>4626149</v>
      </c>
      <c r="O28" s="1099">
        <v>0</v>
      </c>
      <c r="P28" s="1099"/>
      <c r="Q28" s="1099">
        <v>3739288</v>
      </c>
      <c r="R28" s="1099">
        <v>3150</v>
      </c>
      <c r="S28" s="1099">
        <v>4626149</v>
      </c>
      <c r="T28" s="1099"/>
      <c r="U28" s="1099">
        <v>0</v>
      </c>
      <c r="V28" s="1099">
        <v>0</v>
      </c>
      <c r="W28" s="1099">
        <v>800000</v>
      </c>
      <c r="X28" s="1099"/>
    </row>
    <row r="29" spans="1:24">
      <c r="A29" s="1093">
        <v>24</v>
      </c>
      <c r="B29" s="920" t="s">
        <v>65</v>
      </c>
      <c r="C29" s="1098">
        <v>157.88999999999999</v>
      </c>
      <c r="D29" s="1098">
        <v>0</v>
      </c>
      <c r="E29" s="1098">
        <v>29.42</v>
      </c>
      <c r="F29" s="1098">
        <v>0</v>
      </c>
      <c r="G29" s="1098">
        <v>12934.44</v>
      </c>
      <c r="H29" s="1099">
        <v>0</v>
      </c>
      <c r="I29" s="1099">
        <v>1118476</v>
      </c>
      <c r="J29" s="1099">
        <v>0</v>
      </c>
      <c r="K29" s="1100" t="b">
        <v>0</v>
      </c>
      <c r="L29" s="1099">
        <v>5666876</v>
      </c>
      <c r="M29" s="1098">
        <v>8544.6</v>
      </c>
      <c r="N29" s="1099">
        <v>7747476</v>
      </c>
      <c r="O29" s="1099">
        <v>0</v>
      </c>
      <c r="P29" s="1099"/>
      <c r="Q29" s="1099">
        <v>9613313</v>
      </c>
      <c r="R29" s="1099">
        <v>37462</v>
      </c>
      <c r="S29" s="1099">
        <v>7747476</v>
      </c>
      <c r="T29" s="1099"/>
      <c r="U29" s="1099">
        <v>0</v>
      </c>
      <c r="V29" s="1099">
        <v>0</v>
      </c>
      <c r="W29" s="1099">
        <v>1000000</v>
      </c>
      <c r="X29" s="1099"/>
    </row>
    <row r="30" spans="1:24">
      <c r="A30" s="1093">
        <v>25</v>
      </c>
      <c r="B30" s="920" t="s">
        <v>66</v>
      </c>
      <c r="C30" s="1098">
        <v>0</v>
      </c>
      <c r="D30" s="1098">
        <v>0</v>
      </c>
      <c r="E30" s="1098">
        <v>0</v>
      </c>
      <c r="F30" s="1098">
        <v>0</v>
      </c>
      <c r="G30" s="1098">
        <v>12934.44</v>
      </c>
      <c r="H30" s="1099">
        <v>0</v>
      </c>
      <c r="I30" s="1099">
        <v>12797</v>
      </c>
      <c r="J30" s="1099">
        <v>0</v>
      </c>
      <c r="K30" s="1100" t="b">
        <v>1</v>
      </c>
      <c r="L30" s="1099">
        <v>865614</v>
      </c>
      <c r="M30" s="1098">
        <v>8532.58</v>
      </c>
      <c r="N30" s="1099">
        <v>372934</v>
      </c>
      <c r="O30" s="1099">
        <v>0</v>
      </c>
      <c r="P30" s="1099"/>
      <c r="Q30" s="1099">
        <v>799735</v>
      </c>
      <c r="R30" s="1099">
        <v>65879</v>
      </c>
      <c r="S30" s="1099">
        <v>372934</v>
      </c>
      <c r="T30" s="1099"/>
      <c r="U30" s="1099">
        <v>20836</v>
      </c>
      <c r="V30" s="1099">
        <v>89151</v>
      </c>
      <c r="W30" s="1099">
        <v>300000</v>
      </c>
      <c r="X30" s="1099"/>
    </row>
    <row r="31" spans="1:24">
      <c r="A31" s="1093">
        <v>26</v>
      </c>
      <c r="B31" s="920" t="s">
        <v>35</v>
      </c>
      <c r="C31" s="1098">
        <v>1.21</v>
      </c>
      <c r="D31" s="1098">
        <v>0</v>
      </c>
      <c r="E31" s="1098">
        <v>0</v>
      </c>
      <c r="F31" s="1098">
        <v>0</v>
      </c>
      <c r="G31" s="1098">
        <v>12934.44</v>
      </c>
      <c r="H31" s="1099">
        <v>0</v>
      </c>
      <c r="I31" s="1099">
        <v>0</v>
      </c>
      <c r="J31" s="1099">
        <v>0</v>
      </c>
      <c r="K31" s="1100" t="b">
        <v>0</v>
      </c>
      <c r="L31" s="1099">
        <v>2092359</v>
      </c>
      <c r="M31" s="1098">
        <v>8553.89</v>
      </c>
      <c r="N31" s="1099">
        <v>392278</v>
      </c>
      <c r="O31" s="1099">
        <v>2978</v>
      </c>
      <c r="P31" s="1099"/>
      <c r="Q31" s="1099">
        <v>2484982</v>
      </c>
      <c r="R31" s="1099">
        <v>242</v>
      </c>
      <c r="S31" s="1099">
        <v>392278</v>
      </c>
      <c r="T31" s="1099"/>
      <c r="U31" s="1099">
        <v>0</v>
      </c>
      <c r="V31" s="1099">
        <v>0</v>
      </c>
      <c r="W31" s="1099">
        <v>200000</v>
      </c>
      <c r="X31" s="1099"/>
    </row>
    <row r="32" spans="1:24">
      <c r="A32" s="1093">
        <v>27</v>
      </c>
      <c r="B32" s="920" t="s">
        <v>44</v>
      </c>
      <c r="C32" s="1098">
        <v>29.04</v>
      </c>
      <c r="D32" s="1098">
        <v>0</v>
      </c>
      <c r="E32" s="1098">
        <v>48.9</v>
      </c>
      <c r="F32" s="1098">
        <v>0</v>
      </c>
      <c r="G32" s="1098">
        <v>12934.44</v>
      </c>
      <c r="H32" s="1099">
        <v>0</v>
      </c>
      <c r="I32" s="1099">
        <v>756946</v>
      </c>
      <c r="J32" s="1099">
        <v>0</v>
      </c>
      <c r="K32" s="1100" t="b">
        <v>1</v>
      </c>
      <c r="L32" s="1099">
        <v>5725806</v>
      </c>
      <c r="M32" s="1098">
        <v>8540.92</v>
      </c>
      <c r="N32" s="1099">
        <v>3799970</v>
      </c>
      <c r="O32" s="1099">
        <v>0</v>
      </c>
      <c r="P32" s="1099"/>
      <c r="Q32" s="1099">
        <v>16698160</v>
      </c>
      <c r="R32" s="1099">
        <v>15588</v>
      </c>
      <c r="S32" s="1099">
        <v>3799970</v>
      </c>
      <c r="T32" s="1099"/>
      <c r="U32" s="1099">
        <v>20836</v>
      </c>
      <c r="V32" s="1099">
        <v>89151</v>
      </c>
      <c r="W32" s="1099">
        <v>1200000</v>
      </c>
      <c r="X32" s="1099"/>
    </row>
    <row r="33" spans="1:24">
      <c r="A33" s="1093">
        <v>28</v>
      </c>
      <c r="B33" s="920" t="s">
        <v>67</v>
      </c>
      <c r="C33" s="1098">
        <v>78.7</v>
      </c>
      <c r="D33" s="1098">
        <v>0</v>
      </c>
      <c r="E33" s="1098">
        <v>7.19</v>
      </c>
      <c r="F33" s="1098">
        <v>0</v>
      </c>
      <c r="G33" s="1098">
        <v>12934.44</v>
      </c>
      <c r="H33" s="1099">
        <v>0</v>
      </c>
      <c r="I33" s="1099">
        <v>140340</v>
      </c>
      <c r="J33" s="1099">
        <v>0</v>
      </c>
      <c r="K33" s="1100" t="b">
        <v>0</v>
      </c>
      <c r="L33" s="1099">
        <v>2185630</v>
      </c>
      <c r="M33" s="1098">
        <v>8538.5400000000009</v>
      </c>
      <c r="N33" s="1099">
        <v>1450300</v>
      </c>
      <c r="O33" s="1099">
        <v>1849531</v>
      </c>
      <c r="P33" s="1099"/>
      <c r="Q33" s="1099">
        <v>8882142</v>
      </c>
      <c r="R33" s="1099">
        <v>17178</v>
      </c>
      <c r="S33" s="1099">
        <v>1450300</v>
      </c>
      <c r="T33" s="1099"/>
      <c r="U33" s="1099">
        <v>0</v>
      </c>
      <c r="V33" s="1099">
        <v>0</v>
      </c>
      <c r="W33" s="1099">
        <v>500000</v>
      </c>
      <c r="X33" s="1099"/>
    </row>
    <row r="34" spans="1:24">
      <c r="A34" s="1093">
        <v>29</v>
      </c>
      <c r="B34" s="920" t="s">
        <v>34</v>
      </c>
      <c r="C34" s="1098">
        <v>5.36</v>
      </c>
      <c r="D34" s="1098">
        <v>0</v>
      </c>
      <c r="E34" s="1098">
        <v>0</v>
      </c>
      <c r="F34" s="1098">
        <v>0</v>
      </c>
      <c r="G34" s="1098">
        <v>12934.44</v>
      </c>
      <c r="H34" s="1099">
        <v>0</v>
      </c>
      <c r="I34" s="1099">
        <v>275165</v>
      </c>
      <c r="J34" s="1099">
        <v>0</v>
      </c>
      <c r="K34" s="1100" t="b">
        <v>1</v>
      </c>
      <c r="L34" s="1099">
        <v>1129993</v>
      </c>
      <c r="M34" s="1098">
        <v>8532.61</v>
      </c>
      <c r="N34" s="1099">
        <v>611779</v>
      </c>
      <c r="O34" s="1099">
        <v>0</v>
      </c>
      <c r="P34" s="1099"/>
      <c r="Q34" s="1099">
        <v>1232800</v>
      </c>
      <c r="R34" s="1099">
        <v>1072</v>
      </c>
      <c r="S34" s="1099">
        <v>611779</v>
      </c>
      <c r="T34" s="1099"/>
      <c r="U34" s="1099">
        <v>20836</v>
      </c>
      <c r="V34" s="1099">
        <v>89151</v>
      </c>
      <c r="W34" s="1099">
        <v>600000</v>
      </c>
      <c r="X34" s="1099"/>
    </row>
    <row r="35" spans="1:24">
      <c r="A35" s="1093">
        <v>30</v>
      </c>
      <c r="B35" s="920" t="s">
        <v>68</v>
      </c>
      <c r="C35" s="1098">
        <v>600.27</v>
      </c>
      <c r="D35" s="1098">
        <v>0</v>
      </c>
      <c r="E35" s="1098">
        <v>266.81</v>
      </c>
      <c r="F35" s="1098">
        <v>0</v>
      </c>
      <c r="G35" s="1098">
        <v>12934.44</v>
      </c>
      <c r="H35" s="1099">
        <v>0</v>
      </c>
      <c r="I35" s="1099">
        <v>1626235</v>
      </c>
      <c r="J35" s="1099">
        <v>0</v>
      </c>
      <c r="K35" s="1100" t="b">
        <v>1</v>
      </c>
      <c r="L35" s="1099">
        <v>17961347</v>
      </c>
      <c r="M35" s="1098">
        <v>8541.4500000000007</v>
      </c>
      <c r="N35" s="1099">
        <v>21711724</v>
      </c>
      <c r="O35" s="1099">
        <v>0</v>
      </c>
      <c r="P35" s="1099"/>
      <c r="Q35" s="1099">
        <v>82319975</v>
      </c>
      <c r="R35" s="1099">
        <v>173416</v>
      </c>
      <c r="S35" s="1099">
        <v>21711724</v>
      </c>
      <c r="T35" s="1099"/>
      <c r="U35" s="1099">
        <v>20836</v>
      </c>
      <c r="V35" s="1099">
        <v>89151</v>
      </c>
      <c r="W35" s="1099">
        <v>1300000</v>
      </c>
      <c r="X35" s="1099"/>
    </row>
    <row r="36" spans="1:24">
      <c r="A36" s="1093">
        <v>31</v>
      </c>
      <c r="B36" s="920" t="s">
        <v>33</v>
      </c>
      <c r="C36" s="1098">
        <v>4.87</v>
      </c>
      <c r="D36" s="1098">
        <v>39.81</v>
      </c>
      <c r="E36" s="1098">
        <v>14.87</v>
      </c>
      <c r="F36" s="1098">
        <v>0</v>
      </c>
      <c r="G36" s="1098">
        <v>12934.44</v>
      </c>
      <c r="H36" s="1099">
        <v>0</v>
      </c>
      <c r="I36" s="1099">
        <v>0</v>
      </c>
      <c r="J36" s="1099">
        <v>0</v>
      </c>
      <c r="K36" s="1100" t="b">
        <v>0</v>
      </c>
      <c r="L36" s="1099">
        <v>5383169</v>
      </c>
      <c r="M36" s="1098">
        <v>8550.7999999999993</v>
      </c>
      <c r="N36" s="1099">
        <v>1582250</v>
      </c>
      <c r="O36" s="1099">
        <v>3394098</v>
      </c>
      <c r="P36" s="1099"/>
      <c r="Q36" s="1099">
        <v>24576071</v>
      </c>
      <c r="R36" s="1099">
        <v>11910</v>
      </c>
      <c r="S36" s="1099">
        <v>1582250</v>
      </c>
      <c r="T36" s="1099"/>
      <c r="U36" s="1099">
        <v>0</v>
      </c>
      <c r="V36" s="1099">
        <v>0</v>
      </c>
      <c r="W36" s="1099">
        <v>900000</v>
      </c>
      <c r="X36" s="1099"/>
    </row>
    <row r="37" spans="1:24">
      <c r="A37" s="1093">
        <v>32</v>
      </c>
      <c r="B37" s="920" t="s">
        <v>69</v>
      </c>
      <c r="C37" s="1098">
        <v>0</v>
      </c>
      <c r="D37" s="1098">
        <v>0</v>
      </c>
      <c r="E37" s="1098">
        <v>0</v>
      </c>
      <c r="F37" s="1098">
        <v>0</v>
      </c>
      <c r="G37" s="1098">
        <v>12934.44</v>
      </c>
      <c r="H37" s="1099">
        <v>0</v>
      </c>
      <c r="I37" s="1099">
        <v>0</v>
      </c>
      <c r="J37" s="1099">
        <v>0</v>
      </c>
      <c r="K37" s="1100" t="b">
        <v>0</v>
      </c>
      <c r="L37" s="1099">
        <v>845586</v>
      </c>
      <c r="M37" s="1098">
        <v>9220</v>
      </c>
      <c r="N37" s="1099">
        <v>918594</v>
      </c>
      <c r="O37" s="1099">
        <v>0</v>
      </c>
      <c r="P37" s="1099"/>
      <c r="Q37" s="1099">
        <v>71785</v>
      </c>
      <c r="R37" s="1099">
        <v>637331</v>
      </c>
      <c r="S37" s="1099">
        <v>918594</v>
      </c>
      <c r="T37" s="1099"/>
      <c r="U37" s="1099">
        <v>0</v>
      </c>
      <c r="V37" s="1099">
        <v>0</v>
      </c>
      <c r="W37" s="1099">
        <v>0</v>
      </c>
      <c r="X37" s="1099"/>
    </row>
    <row r="38" spans="1:24">
      <c r="A38" s="1093">
        <v>33</v>
      </c>
      <c r="B38" s="920" t="s">
        <v>32</v>
      </c>
      <c r="C38" s="1098">
        <v>33.56</v>
      </c>
      <c r="D38" s="1098">
        <v>23.04</v>
      </c>
      <c r="E38" s="1098">
        <v>122.14</v>
      </c>
      <c r="F38" s="1098">
        <v>0</v>
      </c>
      <c r="G38" s="1098">
        <v>12934.44</v>
      </c>
      <c r="H38" s="1099">
        <v>0</v>
      </c>
      <c r="I38" s="1099">
        <v>0</v>
      </c>
      <c r="J38" s="1099">
        <v>0</v>
      </c>
      <c r="K38" s="1100" t="b">
        <v>0</v>
      </c>
      <c r="L38" s="1099">
        <v>19797710</v>
      </c>
      <c r="M38" s="1098">
        <v>8532.58</v>
      </c>
      <c r="N38" s="1099">
        <v>16271136</v>
      </c>
      <c r="O38" s="1099">
        <v>15409278</v>
      </c>
      <c r="P38" s="1099"/>
      <c r="Q38" s="1099">
        <v>72517692</v>
      </c>
      <c r="R38" s="1099">
        <v>35748</v>
      </c>
      <c r="S38" s="1099">
        <v>16271136</v>
      </c>
      <c r="T38" s="1099"/>
      <c r="U38" s="1099">
        <v>0</v>
      </c>
      <c r="V38" s="1099">
        <v>0</v>
      </c>
      <c r="W38" s="1099">
        <v>3166667</v>
      </c>
      <c r="X38" s="1099"/>
    </row>
    <row r="39" spans="1:24">
      <c r="A39" s="1093">
        <v>34</v>
      </c>
      <c r="B39" s="920" t="s">
        <v>43</v>
      </c>
      <c r="C39" s="1098">
        <v>10.09</v>
      </c>
      <c r="D39" s="1098">
        <v>0</v>
      </c>
      <c r="E39" s="1098">
        <v>102.99</v>
      </c>
      <c r="F39" s="1098">
        <v>0</v>
      </c>
      <c r="G39" s="1098">
        <v>12934.44</v>
      </c>
      <c r="H39" s="1099">
        <v>0</v>
      </c>
      <c r="I39" s="1099">
        <v>0</v>
      </c>
      <c r="J39" s="1099">
        <v>0</v>
      </c>
      <c r="K39" s="1100" t="b">
        <v>0</v>
      </c>
      <c r="L39" s="1099">
        <v>8759526</v>
      </c>
      <c r="M39" s="1098">
        <v>8535.32</v>
      </c>
      <c r="N39" s="1099">
        <v>17378821</v>
      </c>
      <c r="O39" s="1099">
        <v>0</v>
      </c>
      <c r="P39" s="1099"/>
      <c r="Q39" s="1099">
        <v>7289673</v>
      </c>
      <c r="R39" s="1099">
        <v>2435027</v>
      </c>
      <c r="S39" s="1099">
        <v>17378821</v>
      </c>
      <c r="T39" s="1099"/>
      <c r="U39" s="1099">
        <v>0</v>
      </c>
      <c r="V39" s="1099">
        <v>0</v>
      </c>
      <c r="W39" s="1099">
        <v>2366667</v>
      </c>
      <c r="X39" s="1099"/>
    </row>
    <row r="40" spans="1:24">
      <c r="A40" s="1093">
        <v>35</v>
      </c>
      <c r="B40" s="920" t="s">
        <v>70</v>
      </c>
      <c r="C40" s="1098">
        <v>3.24</v>
      </c>
      <c r="D40" s="1098">
        <v>0</v>
      </c>
      <c r="E40" s="1098">
        <v>2.91</v>
      </c>
      <c r="F40" s="1098">
        <v>0</v>
      </c>
      <c r="G40" s="1098">
        <v>12934.44</v>
      </c>
      <c r="H40" s="1099">
        <v>0</v>
      </c>
      <c r="I40" s="1099">
        <v>158967</v>
      </c>
      <c r="J40" s="1099">
        <v>0</v>
      </c>
      <c r="K40" s="1100" t="b">
        <v>1</v>
      </c>
      <c r="L40" s="1099">
        <v>2377884</v>
      </c>
      <c r="M40" s="1098">
        <v>8532.59</v>
      </c>
      <c r="N40" s="1099">
        <v>344056</v>
      </c>
      <c r="O40" s="1099">
        <v>0</v>
      </c>
      <c r="P40" s="1099"/>
      <c r="Q40" s="1099">
        <v>2312968</v>
      </c>
      <c r="R40" s="1099">
        <v>117392</v>
      </c>
      <c r="S40" s="1099">
        <v>344056</v>
      </c>
      <c r="T40" s="1099"/>
      <c r="U40" s="1099">
        <v>20836</v>
      </c>
      <c r="V40" s="1099">
        <v>89151</v>
      </c>
      <c r="W40" s="1099">
        <v>600000</v>
      </c>
      <c r="X40" s="1099"/>
    </row>
    <row r="41" spans="1:24">
      <c r="A41" s="1093">
        <v>36</v>
      </c>
      <c r="B41" s="920" t="s">
        <v>110</v>
      </c>
      <c r="C41" s="1098">
        <v>336.87</v>
      </c>
      <c r="D41" s="1098">
        <v>0</v>
      </c>
      <c r="E41" s="1098">
        <v>109.13</v>
      </c>
      <c r="F41" s="1098">
        <v>0</v>
      </c>
      <c r="G41" s="1098">
        <v>12934.44</v>
      </c>
      <c r="H41" s="1099">
        <v>0</v>
      </c>
      <c r="I41" s="1099">
        <v>1972281</v>
      </c>
      <c r="J41" s="1099">
        <v>0</v>
      </c>
      <c r="K41" s="1100" t="b">
        <v>0</v>
      </c>
      <c r="L41" s="1099">
        <v>15964318</v>
      </c>
      <c r="M41" s="1098">
        <v>8532.58</v>
      </c>
      <c r="N41" s="1099">
        <v>21324026</v>
      </c>
      <c r="O41" s="1099">
        <v>0</v>
      </c>
      <c r="P41" s="1099"/>
      <c r="Q41" s="1099">
        <v>8764621</v>
      </c>
      <c r="R41" s="1099">
        <v>11005227</v>
      </c>
      <c r="S41" s="1099">
        <v>21324026</v>
      </c>
      <c r="T41" s="1099"/>
      <c r="U41" s="1099">
        <v>0</v>
      </c>
      <c r="V41" s="1099">
        <v>0</v>
      </c>
      <c r="W41" s="1099">
        <v>5066667</v>
      </c>
      <c r="X41" s="1099"/>
    </row>
    <row r="42" spans="1:24">
      <c r="A42" s="1093">
        <v>37</v>
      </c>
      <c r="B42" s="920" t="s">
        <v>71</v>
      </c>
      <c r="C42" s="1098">
        <v>455.99</v>
      </c>
      <c r="D42" s="1098">
        <v>0</v>
      </c>
      <c r="E42" s="1098">
        <v>242.21</v>
      </c>
      <c r="F42" s="1098">
        <v>0</v>
      </c>
      <c r="G42" s="1098">
        <v>12934.44</v>
      </c>
      <c r="H42" s="1099">
        <v>0</v>
      </c>
      <c r="I42" s="1099">
        <v>0</v>
      </c>
      <c r="J42" s="1099">
        <v>0</v>
      </c>
      <c r="K42" s="1100" t="b">
        <v>0</v>
      </c>
      <c r="L42" s="1099">
        <v>22104179</v>
      </c>
      <c r="M42" s="1098">
        <v>8538.82</v>
      </c>
      <c r="N42" s="1099">
        <v>34697863</v>
      </c>
      <c r="O42" s="1099">
        <v>9658681</v>
      </c>
      <c r="P42" s="1099"/>
      <c r="Q42" s="1099">
        <v>94320452</v>
      </c>
      <c r="R42" s="1099">
        <v>139640</v>
      </c>
      <c r="S42" s="1099">
        <v>34697863</v>
      </c>
      <c r="T42" s="1099"/>
      <c r="U42" s="1099">
        <v>0</v>
      </c>
      <c r="V42" s="1099">
        <v>0</v>
      </c>
      <c r="W42" s="1099">
        <v>3300000</v>
      </c>
      <c r="X42" s="1099"/>
    </row>
    <row r="43" spans="1:24">
      <c r="A43" s="1093">
        <v>38</v>
      </c>
      <c r="B43" s="920" t="s">
        <v>111</v>
      </c>
      <c r="C43" s="1098">
        <v>8.5399999999999991</v>
      </c>
      <c r="D43" s="1098">
        <v>0</v>
      </c>
      <c r="E43" s="1098">
        <v>9.7200000000000006</v>
      </c>
      <c r="F43" s="1098">
        <v>0</v>
      </c>
      <c r="G43" s="1098">
        <v>12934.44</v>
      </c>
      <c r="H43" s="1099">
        <v>0</v>
      </c>
      <c r="I43" s="1099">
        <v>4405904</v>
      </c>
      <c r="J43" s="1099">
        <v>0</v>
      </c>
      <c r="K43" s="1100" t="b">
        <v>1</v>
      </c>
      <c r="L43" s="1099">
        <v>2455622</v>
      </c>
      <c r="M43" s="1098">
        <v>8532.58</v>
      </c>
      <c r="N43" s="1099">
        <v>6989791</v>
      </c>
      <c r="O43" s="1099">
        <v>0</v>
      </c>
      <c r="P43" s="1099"/>
      <c r="Q43" s="1099">
        <v>2811997</v>
      </c>
      <c r="R43" s="1099">
        <v>3652</v>
      </c>
      <c r="S43" s="1099">
        <v>6989791</v>
      </c>
      <c r="T43" s="1099"/>
      <c r="U43" s="1099">
        <v>20836</v>
      </c>
      <c r="V43" s="1099">
        <v>89151</v>
      </c>
      <c r="W43" s="1099">
        <v>0</v>
      </c>
      <c r="X43" s="1099"/>
    </row>
    <row r="44" spans="1:24">
      <c r="A44" s="1093">
        <v>39</v>
      </c>
      <c r="B44" s="920" t="s">
        <v>112</v>
      </c>
      <c r="C44" s="1098">
        <v>746.52</v>
      </c>
      <c r="D44" s="1098">
        <v>95.67</v>
      </c>
      <c r="E44" s="1098">
        <v>49.99</v>
      </c>
      <c r="F44" s="1098">
        <v>0</v>
      </c>
      <c r="G44" s="1098">
        <v>12934.44</v>
      </c>
      <c r="H44" s="1099">
        <v>0</v>
      </c>
      <c r="I44" s="1099">
        <v>638628</v>
      </c>
      <c r="J44" s="1099">
        <v>0</v>
      </c>
      <c r="K44" s="1100" t="b">
        <v>1</v>
      </c>
      <c r="L44" s="1099">
        <v>6812752</v>
      </c>
      <c r="M44" s="1098">
        <v>8546.9500000000007</v>
      </c>
      <c r="N44" s="1099">
        <v>13774189</v>
      </c>
      <c r="O44" s="1099">
        <v>0</v>
      </c>
      <c r="P44" s="1099"/>
      <c r="Q44" s="1099">
        <v>13395891</v>
      </c>
      <c r="R44" s="1099">
        <v>1042279</v>
      </c>
      <c r="S44" s="1099">
        <v>13774189</v>
      </c>
      <c r="T44" s="1099"/>
      <c r="U44" s="1099">
        <v>0</v>
      </c>
      <c r="V44" s="1099">
        <v>0</v>
      </c>
      <c r="W44" s="1099">
        <v>1900000</v>
      </c>
      <c r="X44" s="1099"/>
    </row>
    <row r="45" spans="1:24">
      <c r="A45" s="1093">
        <v>40</v>
      </c>
      <c r="B45" s="920" t="s">
        <v>113</v>
      </c>
      <c r="C45" s="1098">
        <v>41.64</v>
      </c>
      <c r="D45" s="1098">
        <v>0</v>
      </c>
      <c r="E45" s="1098">
        <v>16.87</v>
      </c>
      <c r="F45" s="1098">
        <v>0</v>
      </c>
      <c r="G45" s="1098">
        <v>12934.44</v>
      </c>
      <c r="H45" s="1099">
        <v>0</v>
      </c>
      <c r="I45" s="1099">
        <v>0</v>
      </c>
      <c r="J45" s="1099">
        <v>0</v>
      </c>
      <c r="K45" s="1100" t="b">
        <v>1</v>
      </c>
      <c r="L45" s="1099">
        <v>2944817</v>
      </c>
      <c r="M45" s="1098">
        <v>8533.24</v>
      </c>
      <c r="N45" s="1099">
        <v>816785</v>
      </c>
      <c r="O45" s="1099">
        <v>0</v>
      </c>
      <c r="P45" s="1099"/>
      <c r="Q45" s="1099">
        <v>12733500</v>
      </c>
      <c r="R45" s="1099">
        <v>11702</v>
      </c>
      <c r="S45" s="1099">
        <v>816785</v>
      </c>
      <c r="T45" s="1099"/>
      <c r="U45" s="1099">
        <v>20836</v>
      </c>
      <c r="V45" s="1099">
        <v>89151</v>
      </c>
      <c r="W45" s="1099">
        <v>600000</v>
      </c>
      <c r="X45" s="1099"/>
    </row>
    <row r="46" spans="1:24">
      <c r="A46" s="1093">
        <v>41</v>
      </c>
      <c r="B46" s="920" t="s">
        <v>114</v>
      </c>
      <c r="C46" s="1098">
        <v>0.01</v>
      </c>
      <c r="D46" s="1098">
        <v>0</v>
      </c>
      <c r="E46" s="1098">
        <v>20.85</v>
      </c>
      <c r="F46" s="1098">
        <v>0</v>
      </c>
      <c r="G46" s="1098">
        <v>12934.44</v>
      </c>
      <c r="H46" s="1099">
        <v>71986</v>
      </c>
      <c r="I46" s="1099">
        <v>2908330</v>
      </c>
      <c r="J46" s="1099">
        <v>0</v>
      </c>
      <c r="K46" s="1100" t="b">
        <v>0</v>
      </c>
      <c r="L46" s="1099">
        <v>12395774</v>
      </c>
      <c r="M46" s="1098">
        <v>8532.58</v>
      </c>
      <c r="N46" s="1099">
        <v>6082425</v>
      </c>
      <c r="O46" s="1099">
        <v>4976537</v>
      </c>
      <c r="P46" s="1099"/>
      <c r="Q46" s="1099">
        <v>52045448</v>
      </c>
      <c r="R46" s="1099">
        <v>4172</v>
      </c>
      <c r="S46" s="1099">
        <v>6082425</v>
      </c>
      <c r="T46" s="1099"/>
      <c r="U46" s="1099">
        <v>0</v>
      </c>
      <c r="V46" s="1099">
        <v>0</v>
      </c>
      <c r="W46" s="1099">
        <v>1233333</v>
      </c>
      <c r="X46" s="1099"/>
    </row>
    <row r="47" spans="1:24">
      <c r="A47" s="1093">
        <v>42</v>
      </c>
      <c r="B47" s="920" t="s">
        <v>115</v>
      </c>
      <c r="C47" s="1098">
        <v>1.79</v>
      </c>
      <c r="D47" s="1098">
        <v>0</v>
      </c>
      <c r="E47" s="1098">
        <v>31.85</v>
      </c>
      <c r="F47" s="1098">
        <v>0</v>
      </c>
      <c r="G47" s="1098">
        <v>12934.44</v>
      </c>
      <c r="H47" s="1099">
        <v>0</v>
      </c>
      <c r="I47" s="1099">
        <v>154970</v>
      </c>
      <c r="J47" s="1099">
        <v>0</v>
      </c>
      <c r="K47" s="1100" t="b">
        <v>0</v>
      </c>
      <c r="L47" s="1099">
        <v>5665464</v>
      </c>
      <c r="M47" s="1098">
        <v>8532.58</v>
      </c>
      <c r="N47" s="1099">
        <v>2852650</v>
      </c>
      <c r="O47" s="1099">
        <v>3738138</v>
      </c>
      <c r="P47" s="1099"/>
      <c r="Q47" s="1099">
        <v>20645947</v>
      </c>
      <c r="R47" s="1099">
        <v>6728</v>
      </c>
      <c r="S47" s="1099">
        <v>2852650</v>
      </c>
      <c r="T47" s="1099"/>
      <c r="U47" s="1099">
        <v>0</v>
      </c>
      <c r="V47" s="1099">
        <v>0</v>
      </c>
      <c r="W47" s="1099">
        <v>1500000</v>
      </c>
      <c r="X47" s="1099"/>
    </row>
    <row r="48" spans="1:24">
      <c r="A48" s="1093">
        <v>43</v>
      </c>
      <c r="B48" s="920" t="s">
        <v>116</v>
      </c>
      <c r="C48" s="1098">
        <v>49.55</v>
      </c>
      <c r="D48" s="1098">
        <v>44.84</v>
      </c>
      <c r="E48" s="1098">
        <v>68.13</v>
      </c>
      <c r="F48" s="1098">
        <v>0</v>
      </c>
      <c r="G48" s="1098">
        <v>12934.44</v>
      </c>
      <c r="H48" s="1099">
        <v>13184</v>
      </c>
      <c r="I48" s="1099">
        <v>977663</v>
      </c>
      <c r="J48" s="1099">
        <v>0</v>
      </c>
      <c r="K48" s="1100" t="b">
        <v>0</v>
      </c>
      <c r="L48" s="1099">
        <v>19532160</v>
      </c>
      <c r="M48" s="1098">
        <v>8768.84</v>
      </c>
      <c r="N48" s="1099">
        <v>5168697</v>
      </c>
      <c r="O48" s="1099">
        <v>5386110</v>
      </c>
      <c r="P48" s="1099"/>
      <c r="Q48" s="1099">
        <v>74112366</v>
      </c>
      <c r="R48" s="1099">
        <v>32504</v>
      </c>
      <c r="S48" s="1099">
        <v>5168697</v>
      </c>
      <c r="T48" s="1099"/>
      <c r="U48" s="1099">
        <v>0</v>
      </c>
      <c r="V48" s="1099">
        <v>0</v>
      </c>
      <c r="W48" s="1099">
        <v>2400000</v>
      </c>
      <c r="X48" s="1099"/>
    </row>
    <row r="49" spans="1:25">
      <c r="A49" s="1093">
        <v>44</v>
      </c>
      <c r="B49" s="920" t="s">
        <v>117</v>
      </c>
      <c r="C49" s="1098">
        <v>807.61</v>
      </c>
      <c r="D49" s="1098">
        <v>0</v>
      </c>
      <c r="E49" s="1098">
        <v>62.64</v>
      </c>
      <c r="F49" s="1098">
        <v>0</v>
      </c>
      <c r="G49" s="1098">
        <v>12934.44</v>
      </c>
      <c r="H49" s="1099">
        <v>0</v>
      </c>
      <c r="I49" s="1099">
        <v>0</v>
      </c>
      <c r="J49" s="1099">
        <v>0</v>
      </c>
      <c r="K49" s="1100" t="b">
        <v>0</v>
      </c>
      <c r="L49" s="1099">
        <v>3963282</v>
      </c>
      <c r="M49" s="1098">
        <v>8545.81</v>
      </c>
      <c r="N49" s="1099">
        <v>9203286</v>
      </c>
      <c r="O49" s="1099">
        <v>0</v>
      </c>
      <c r="P49" s="1099"/>
      <c r="Q49" s="1099">
        <v>5862861</v>
      </c>
      <c r="R49" s="1099">
        <v>5537413</v>
      </c>
      <c r="S49" s="1099">
        <v>9203286</v>
      </c>
      <c r="T49" s="1099"/>
      <c r="U49" s="1099">
        <v>0</v>
      </c>
      <c r="V49" s="1099">
        <v>0</v>
      </c>
      <c r="W49" s="1099">
        <v>600000</v>
      </c>
      <c r="X49" s="1099"/>
    </row>
    <row r="50" spans="1:25">
      <c r="A50" s="1093">
        <v>45</v>
      </c>
      <c r="B50" s="920" t="s">
        <v>72</v>
      </c>
      <c r="C50" s="1098">
        <v>0</v>
      </c>
      <c r="D50" s="1098">
        <v>0</v>
      </c>
      <c r="E50" s="1098">
        <v>30.13</v>
      </c>
      <c r="F50" s="1098">
        <v>0</v>
      </c>
      <c r="G50" s="1098">
        <v>12934.44</v>
      </c>
      <c r="H50" s="1099">
        <v>0</v>
      </c>
      <c r="I50" s="1099">
        <v>1057463</v>
      </c>
      <c r="J50" s="1099">
        <v>89982</v>
      </c>
      <c r="K50" s="1100" t="b">
        <v>1</v>
      </c>
      <c r="L50" s="1099">
        <v>2924990</v>
      </c>
      <c r="M50" s="1098">
        <v>10112.049999999999</v>
      </c>
      <c r="N50" s="1099">
        <v>1632441</v>
      </c>
      <c r="O50" s="1099">
        <v>0</v>
      </c>
      <c r="P50" s="1099"/>
      <c r="Q50" s="1099">
        <v>3795600</v>
      </c>
      <c r="R50" s="1099">
        <v>6026</v>
      </c>
      <c r="S50" s="1099">
        <v>1632441</v>
      </c>
      <c r="T50" s="1099"/>
      <c r="U50" s="1099">
        <v>20836</v>
      </c>
      <c r="V50" s="1099">
        <v>89151</v>
      </c>
      <c r="W50" s="1099">
        <v>1000000</v>
      </c>
      <c r="X50" s="1099"/>
    </row>
    <row r="51" spans="1:25">
      <c r="A51" s="1093">
        <v>46</v>
      </c>
      <c r="B51" s="920" t="s">
        <v>73</v>
      </c>
      <c r="C51" s="1098">
        <v>0</v>
      </c>
      <c r="D51" s="1098">
        <v>0</v>
      </c>
      <c r="E51" s="1098">
        <v>0</v>
      </c>
      <c r="F51" s="1098">
        <v>0</v>
      </c>
      <c r="G51" s="1098">
        <v>12934.44</v>
      </c>
      <c r="H51" s="1099">
        <v>0</v>
      </c>
      <c r="I51" s="1099">
        <v>0</v>
      </c>
      <c r="J51" s="1099">
        <v>0</v>
      </c>
      <c r="K51" s="1100" t="b">
        <v>1</v>
      </c>
      <c r="L51" s="1099">
        <v>486164</v>
      </c>
      <c r="M51" s="1098">
        <v>0</v>
      </c>
      <c r="N51" s="1099">
        <v>103124</v>
      </c>
      <c r="O51" s="1099">
        <v>0</v>
      </c>
      <c r="P51" s="1099"/>
      <c r="Q51" s="1099">
        <v>80838</v>
      </c>
      <c r="R51" s="1099">
        <v>366429</v>
      </c>
      <c r="S51" s="1099">
        <v>103124</v>
      </c>
      <c r="T51" s="1099"/>
      <c r="U51" s="1099">
        <v>20836</v>
      </c>
      <c r="V51" s="1099">
        <v>89151</v>
      </c>
      <c r="W51" s="1099">
        <v>0</v>
      </c>
      <c r="X51" s="1099"/>
    </row>
    <row r="52" spans="1:25">
      <c r="A52" s="1093">
        <v>47</v>
      </c>
      <c r="B52" s="920" t="s">
        <v>42</v>
      </c>
      <c r="C52" s="1098">
        <v>0</v>
      </c>
      <c r="D52" s="1098">
        <v>0</v>
      </c>
      <c r="E52" s="1098">
        <v>0</v>
      </c>
      <c r="F52" s="1098">
        <v>0</v>
      </c>
      <c r="G52" s="1098">
        <v>12934.44</v>
      </c>
      <c r="H52" s="1099">
        <v>0</v>
      </c>
      <c r="I52" s="1099">
        <v>158466</v>
      </c>
      <c r="J52" s="1099">
        <v>0</v>
      </c>
      <c r="K52" s="1100" t="b">
        <v>1</v>
      </c>
      <c r="L52" s="1099">
        <v>1128423</v>
      </c>
      <c r="M52" s="1098">
        <v>10739.8</v>
      </c>
      <c r="N52" s="1099">
        <v>330914</v>
      </c>
      <c r="O52" s="1099">
        <v>0</v>
      </c>
      <c r="P52" s="1099"/>
      <c r="Q52" s="1099">
        <v>1121609</v>
      </c>
      <c r="R52" s="1099">
        <v>6814</v>
      </c>
      <c r="S52" s="1099">
        <v>330914</v>
      </c>
      <c r="T52" s="1099"/>
      <c r="U52" s="1099">
        <v>20836</v>
      </c>
      <c r="V52" s="1099">
        <v>89151</v>
      </c>
      <c r="W52" s="1099">
        <v>500000</v>
      </c>
      <c r="X52" s="1099"/>
    </row>
    <row r="53" spans="1:25">
      <c r="A53" s="1093">
        <v>48</v>
      </c>
      <c r="B53" s="920" t="s">
        <v>74</v>
      </c>
      <c r="C53" s="1098">
        <v>24.72</v>
      </c>
      <c r="D53" s="1098">
        <v>0</v>
      </c>
      <c r="E53" s="1098">
        <v>23.35</v>
      </c>
      <c r="F53" s="1098">
        <v>0</v>
      </c>
      <c r="G53" s="1098">
        <v>12934.44</v>
      </c>
      <c r="H53" s="1099">
        <v>0</v>
      </c>
      <c r="I53" s="1099">
        <v>937834</v>
      </c>
      <c r="J53" s="1099">
        <v>0</v>
      </c>
      <c r="K53" s="1100" t="b">
        <v>0</v>
      </c>
      <c r="L53" s="1099">
        <v>3169476</v>
      </c>
      <c r="M53" s="1098">
        <v>8540.8799999999992</v>
      </c>
      <c r="N53" s="1099">
        <v>5475276</v>
      </c>
      <c r="O53" s="1099">
        <v>0</v>
      </c>
      <c r="P53" s="1099"/>
      <c r="Q53" s="1099">
        <v>6572132</v>
      </c>
      <c r="R53" s="1099">
        <v>9614</v>
      </c>
      <c r="S53" s="1099">
        <v>5475276</v>
      </c>
      <c r="T53" s="1099"/>
      <c r="U53" s="1099">
        <v>0</v>
      </c>
      <c r="V53" s="1099">
        <v>0</v>
      </c>
      <c r="W53" s="1099">
        <v>1000000</v>
      </c>
      <c r="X53" s="1099"/>
    </row>
    <row r="54" spans="1:25">
      <c r="A54" s="1093">
        <v>49</v>
      </c>
      <c r="B54" s="920" t="s">
        <v>75</v>
      </c>
      <c r="C54" s="1098">
        <v>26.71</v>
      </c>
      <c r="D54" s="1098">
        <v>0</v>
      </c>
      <c r="E54" s="1098">
        <v>28.29</v>
      </c>
      <c r="F54" s="1098">
        <v>0</v>
      </c>
      <c r="G54" s="1098">
        <v>12934.44</v>
      </c>
      <c r="H54" s="1099">
        <v>0</v>
      </c>
      <c r="I54" s="1099">
        <v>0</v>
      </c>
      <c r="J54" s="1099">
        <v>0</v>
      </c>
      <c r="K54" s="1100" t="b">
        <v>0</v>
      </c>
      <c r="L54" s="1099">
        <v>5973719</v>
      </c>
      <c r="M54" s="1098">
        <v>8539.35</v>
      </c>
      <c r="N54" s="1099">
        <v>6509603</v>
      </c>
      <c r="O54" s="1099">
        <v>1082524</v>
      </c>
      <c r="P54" s="1099"/>
      <c r="Q54" s="1099">
        <v>14609762</v>
      </c>
      <c r="R54" s="1099">
        <v>11000</v>
      </c>
      <c r="S54" s="1099">
        <v>6509603</v>
      </c>
      <c r="T54" s="1099"/>
      <c r="U54" s="1099">
        <v>0</v>
      </c>
      <c r="V54" s="1099">
        <v>0</v>
      </c>
      <c r="W54" s="1099">
        <v>1800000</v>
      </c>
      <c r="X54" s="1099"/>
    </row>
    <row r="55" spans="1:25">
      <c r="A55" s="1093">
        <v>50</v>
      </c>
      <c r="B55" s="920" t="s">
        <v>41</v>
      </c>
      <c r="C55" s="1098">
        <v>14.31</v>
      </c>
      <c r="D55" s="1098">
        <v>9.26</v>
      </c>
      <c r="E55" s="1098">
        <v>61.69</v>
      </c>
      <c r="F55" s="1098">
        <v>0</v>
      </c>
      <c r="G55" s="1098">
        <v>12934.44</v>
      </c>
      <c r="H55" s="1099">
        <v>0</v>
      </c>
      <c r="I55" s="1099">
        <v>1390938</v>
      </c>
      <c r="J55" s="1099">
        <v>0</v>
      </c>
      <c r="K55" s="1100" t="b">
        <v>0</v>
      </c>
      <c r="L55" s="1099">
        <v>6901270</v>
      </c>
      <c r="M55" s="1098">
        <v>8532.59</v>
      </c>
      <c r="N55" s="1099">
        <v>10405858</v>
      </c>
      <c r="O55" s="1099">
        <v>2258441</v>
      </c>
      <c r="P55" s="1099"/>
      <c r="Q55" s="1099">
        <v>18654230</v>
      </c>
      <c r="R55" s="1099">
        <v>17052</v>
      </c>
      <c r="S55" s="1099">
        <v>10405858</v>
      </c>
      <c r="T55" s="1099"/>
      <c r="U55" s="1099">
        <v>0</v>
      </c>
      <c r="V55" s="1099">
        <v>0</v>
      </c>
      <c r="W55" s="1099">
        <v>2500000</v>
      </c>
      <c r="X55" s="1099"/>
    </row>
    <row r="56" spans="1:25">
      <c r="A56" s="1093">
        <v>51</v>
      </c>
      <c r="B56" s="920" t="s">
        <v>76</v>
      </c>
      <c r="C56" s="1098">
        <v>28.72</v>
      </c>
      <c r="D56" s="1098">
        <v>3.31</v>
      </c>
      <c r="E56" s="1098">
        <v>0</v>
      </c>
      <c r="F56" s="1098">
        <v>0</v>
      </c>
      <c r="G56" s="1098">
        <v>12934.44</v>
      </c>
      <c r="H56" s="1099">
        <v>0</v>
      </c>
      <c r="I56" s="1099">
        <v>0</v>
      </c>
      <c r="J56" s="1099">
        <v>0</v>
      </c>
      <c r="K56" s="1100" t="b">
        <v>0</v>
      </c>
      <c r="L56" s="1099">
        <v>2124384</v>
      </c>
      <c r="M56" s="1098">
        <v>8551.36</v>
      </c>
      <c r="N56" s="1099">
        <v>6124435</v>
      </c>
      <c r="O56" s="1099">
        <v>0</v>
      </c>
      <c r="P56" s="1099"/>
      <c r="Q56" s="1099">
        <v>1075355</v>
      </c>
      <c r="R56" s="1099">
        <v>1322929</v>
      </c>
      <c r="S56" s="1099">
        <v>6124435</v>
      </c>
      <c r="T56" s="1099"/>
      <c r="U56" s="1099">
        <v>0</v>
      </c>
      <c r="V56" s="1099">
        <v>0</v>
      </c>
      <c r="W56" s="1099">
        <v>500000</v>
      </c>
      <c r="X56" s="1099"/>
    </row>
    <row r="57" spans="1:25">
      <c r="A57" s="1093">
        <v>52</v>
      </c>
      <c r="B57" s="920" t="s">
        <v>77</v>
      </c>
      <c r="C57" s="1098">
        <v>0</v>
      </c>
      <c r="D57" s="1098">
        <v>0</v>
      </c>
      <c r="E57" s="1098">
        <v>22</v>
      </c>
      <c r="F57" s="1098">
        <v>0</v>
      </c>
      <c r="G57" s="1098">
        <v>12934.44</v>
      </c>
      <c r="H57" s="1099">
        <v>0</v>
      </c>
      <c r="I57" s="1099">
        <v>390254</v>
      </c>
      <c r="J57" s="1099">
        <v>0</v>
      </c>
      <c r="K57" s="1100" t="b">
        <v>0</v>
      </c>
      <c r="L57" s="1099">
        <v>1201702</v>
      </c>
      <c r="M57" s="1098">
        <v>8532.59</v>
      </c>
      <c r="N57" s="1099">
        <v>3157922</v>
      </c>
      <c r="O57" s="1099">
        <v>0</v>
      </c>
      <c r="P57" s="1099"/>
      <c r="Q57" s="1099">
        <v>1607427</v>
      </c>
      <c r="R57" s="1099">
        <v>4400</v>
      </c>
      <c r="S57" s="1099">
        <v>3157922</v>
      </c>
      <c r="T57" s="1099"/>
      <c r="U57" s="1099">
        <v>0</v>
      </c>
      <c r="V57" s="1099">
        <v>0</v>
      </c>
      <c r="W57" s="1099">
        <v>700000</v>
      </c>
      <c r="X57" s="1099"/>
    </row>
    <row r="58" spans="1:25">
      <c r="A58" s="1093">
        <v>53</v>
      </c>
      <c r="B58" s="920" t="s">
        <v>78</v>
      </c>
      <c r="C58" s="1098">
        <v>4.38</v>
      </c>
      <c r="D58" s="1098">
        <v>6.99</v>
      </c>
      <c r="E58" s="1098">
        <v>0</v>
      </c>
      <c r="F58" s="1098">
        <v>0</v>
      </c>
      <c r="G58" s="1098">
        <v>12934.44</v>
      </c>
      <c r="H58" s="1099">
        <v>0</v>
      </c>
      <c r="I58" s="1099">
        <v>8433</v>
      </c>
      <c r="J58" s="1099">
        <v>0</v>
      </c>
      <c r="K58" s="1100" t="b">
        <v>1</v>
      </c>
      <c r="L58" s="1099">
        <v>496856</v>
      </c>
      <c r="M58" s="1098">
        <v>8532.67</v>
      </c>
      <c r="N58" s="1099">
        <v>142295</v>
      </c>
      <c r="O58" s="1099">
        <v>0</v>
      </c>
      <c r="P58" s="1099"/>
      <c r="Q58" s="1099">
        <v>653695</v>
      </c>
      <c r="R58" s="1099">
        <v>2274</v>
      </c>
      <c r="S58" s="1099">
        <v>142295</v>
      </c>
      <c r="T58" s="1099"/>
      <c r="U58" s="1099">
        <v>20836</v>
      </c>
      <c r="V58" s="1099">
        <v>89151</v>
      </c>
      <c r="W58" s="1099">
        <v>200000</v>
      </c>
      <c r="X58" s="1099"/>
    </row>
    <row r="59" spans="1:25">
      <c r="A59" s="1093">
        <v>54</v>
      </c>
      <c r="B59" s="920" t="s">
        <v>31</v>
      </c>
      <c r="C59" s="1098">
        <v>8.86</v>
      </c>
      <c r="D59" s="1098">
        <v>0</v>
      </c>
      <c r="E59" s="1098">
        <v>59.2</v>
      </c>
      <c r="F59" s="1098">
        <v>0</v>
      </c>
      <c r="G59" s="1098">
        <v>12934.44</v>
      </c>
      <c r="H59" s="1099">
        <v>0</v>
      </c>
      <c r="I59" s="1099">
        <v>1802742</v>
      </c>
      <c r="J59" s="1099">
        <v>0</v>
      </c>
      <c r="K59" s="1100" t="b">
        <v>1</v>
      </c>
      <c r="L59" s="1099">
        <v>6482234</v>
      </c>
      <c r="M59" s="1098">
        <v>8532.58</v>
      </c>
      <c r="N59" s="1099">
        <v>4292033</v>
      </c>
      <c r="O59" s="1099">
        <v>0</v>
      </c>
      <c r="P59" s="1099"/>
      <c r="Q59" s="1099">
        <v>4821511</v>
      </c>
      <c r="R59" s="1099">
        <v>2241451</v>
      </c>
      <c r="S59" s="1099">
        <v>4292033</v>
      </c>
      <c r="T59" s="1099"/>
      <c r="U59" s="1099">
        <v>20836</v>
      </c>
      <c r="V59" s="1099">
        <v>89151</v>
      </c>
      <c r="W59" s="1099">
        <v>2000000</v>
      </c>
      <c r="X59" s="1099"/>
    </row>
    <row r="60" spans="1:25">
      <c r="A60" s="1093">
        <v>55</v>
      </c>
      <c r="B60" s="920" t="s">
        <v>40</v>
      </c>
      <c r="C60" s="1098">
        <v>8.76</v>
      </c>
      <c r="D60" s="1098">
        <v>0</v>
      </c>
      <c r="E60" s="1098">
        <v>13.67</v>
      </c>
      <c r="F60" s="1098">
        <v>0</v>
      </c>
      <c r="G60" s="1098">
        <v>12934.44</v>
      </c>
      <c r="H60" s="1099">
        <v>0</v>
      </c>
      <c r="I60" s="1099">
        <v>0</v>
      </c>
      <c r="J60" s="1099">
        <v>0</v>
      </c>
      <c r="K60" s="1100" t="b">
        <v>1</v>
      </c>
      <c r="L60" s="1099">
        <v>1005851</v>
      </c>
      <c r="M60" s="1098">
        <v>8551.7099999999991</v>
      </c>
      <c r="N60" s="1099">
        <v>386873</v>
      </c>
      <c r="O60" s="1099">
        <v>0</v>
      </c>
      <c r="P60" s="1099"/>
      <c r="Q60" s="1099">
        <v>625097</v>
      </c>
      <c r="R60" s="1099">
        <v>572569</v>
      </c>
      <c r="S60" s="1099">
        <v>386873</v>
      </c>
      <c r="T60" s="1099"/>
      <c r="U60" s="1099">
        <v>20836</v>
      </c>
      <c r="V60" s="1099">
        <v>89151</v>
      </c>
      <c r="W60" s="1099">
        <v>500000</v>
      </c>
      <c r="X60" s="1099"/>
    </row>
    <row r="61" spans="1:25">
      <c r="A61" s="1093">
        <v>56</v>
      </c>
      <c r="B61" s="920" t="s">
        <v>39</v>
      </c>
      <c r="C61" s="1098">
        <v>45.51</v>
      </c>
      <c r="D61" s="1098">
        <v>0</v>
      </c>
      <c r="E61" s="1098">
        <v>48</v>
      </c>
      <c r="F61" s="1098">
        <v>0</v>
      </c>
      <c r="G61" s="1098">
        <v>12934.44</v>
      </c>
      <c r="H61" s="1099">
        <v>0</v>
      </c>
      <c r="I61" s="1099">
        <v>2700753</v>
      </c>
      <c r="J61" s="1099">
        <v>0</v>
      </c>
      <c r="K61" s="1100" t="b">
        <v>0</v>
      </c>
      <c r="L61" s="1099">
        <v>7612982</v>
      </c>
      <c r="M61" s="1098">
        <v>8532.58</v>
      </c>
      <c r="N61" s="1099">
        <v>10970148</v>
      </c>
      <c r="O61" s="1099">
        <v>0</v>
      </c>
      <c r="P61" s="1099"/>
      <c r="Q61" s="1099">
        <v>15109024</v>
      </c>
      <c r="R61" s="1099">
        <v>18702</v>
      </c>
      <c r="S61" s="1099">
        <v>10970148</v>
      </c>
      <c r="T61" s="1099"/>
      <c r="U61" s="1099">
        <v>0</v>
      </c>
      <c r="V61" s="1099">
        <v>0</v>
      </c>
      <c r="W61" s="1099">
        <v>1100000</v>
      </c>
      <c r="X61" s="1099"/>
    </row>
    <row r="62" spans="1:25">
      <c r="A62" s="1093">
        <v>57</v>
      </c>
      <c r="B62" s="920" t="s">
        <v>38</v>
      </c>
      <c r="C62" s="1098">
        <v>23.75</v>
      </c>
      <c r="D62" s="1098">
        <v>0</v>
      </c>
      <c r="E62" s="1098">
        <v>4.04</v>
      </c>
      <c r="F62" s="1098">
        <v>0</v>
      </c>
      <c r="G62" s="1098">
        <v>12934.44</v>
      </c>
      <c r="H62" s="1099">
        <v>0</v>
      </c>
      <c r="I62" s="1099">
        <v>0</v>
      </c>
      <c r="J62" s="1099">
        <v>0</v>
      </c>
      <c r="K62" s="1100" t="b">
        <v>1</v>
      </c>
      <c r="L62" s="1099">
        <v>2082634</v>
      </c>
      <c r="M62" s="1098">
        <v>8532.59</v>
      </c>
      <c r="N62" s="1099">
        <v>1590762</v>
      </c>
      <c r="O62" s="1099">
        <v>0</v>
      </c>
      <c r="P62" s="1099"/>
      <c r="Q62" s="1099">
        <v>2313055</v>
      </c>
      <c r="R62" s="1099">
        <v>6700</v>
      </c>
      <c r="S62" s="1099">
        <v>1590762</v>
      </c>
      <c r="T62" s="1099"/>
      <c r="U62" s="1099">
        <v>20836</v>
      </c>
      <c r="V62" s="1099">
        <v>89151</v>
      </c>
      <c r="W62" s="1099">
        <v>600000</v>
      </c>
      <c r="X62" s="1099"/>
    </row>
    <row r="63" spans="1:25">
      <c r="A63" s="1093">
        <v>58</v>
      </c>
      <c r="B63" s="920" t="s">
        <v>79</v>
      </c>
      <c r="C63" s="1098">
        <v>37.85</v>
      </c>
      <c r="D63" s="1098">
        <v>0</v>
      </c>
      <c r="E63" s="1098">
        <v>21.23</v>
      </c>
      <c r="F63" s="1098">
        <v>0</v>
      </c>
      <c r="G63" s="1098">
        <v>12934.44</v>
      </c>
      <c r="H63" s="1099">
        <v>0</v>
      </c>
      <c r="I63" s="1099">
        <v>0</v>
      </c>
      <c r="J63" s="1099">
        <v>0</v>
      </c>
      <c r="K63" s="1100" t="b">
        <v>1</v>
      </c>
      <c r="L63" s="1099">
        <v>1391533</v>
      </c>
      <c r="M63" s="1098">
        <v>8532.58</v>
      </c>
      <c r="N63" s="1099">
        <v>344539</v>
      </c>
      <c r="O63" s="1099">
        <v>0</v>
      </c>
      <c r="P63" s="1099"/>
      <c r="Q63" s="1099">
        <v>2114270</v>
      </c>
      <c r="R63" s="1099">
        <v>11816</v>
      </c>
      <c r="S63" s="1099">
        <v>344539</v>
      </c>
      <c r="T63" s="1099"/>
      <c r="U63" s="1099">
        <v>20836</v>
      </c>
      <c r="V63" s="1099">
        <v>89151</v>
      </c>
      <c r="W63" s="1099">
        <v>500000</v>
      </c>
      <c r="X63" s="1099"/>
    </row>
    <row r="64" spans="1:25">
      <c r="C64" s="334">
        <f t="shared" ref="C64:I64" si="0">SUM(C6:C63)</f>
        <v>4393.6000000000013</v>
      </c>
      <c r="D64" s="334">
        <f t="shared" si="0"/>
        <v>506.73000000000008</v>
      </c>
      <c r="E64" s="334">
        <f t="shared" si="0"/>
        <v>2554.16</v>
      </c>
      <c r="F64" s="334">
        <f t="shared" si="0"/>
        <v>45.27</v>
      </c>
      <c r="G64" s="334"/>
      <c r="H64" s="334">
        <f t="shared" si="0"/>
        <v>85170</v>
      </c>
      <c r="I64" s="334">
        <f t="shared" si="0"/>
        <v>30104537</v>
      </c>
      <c r="J64" s="334">
        <f>SUM(J6:J63)</f>
        <v>494781</v>
      </c>
      <c r="K64" s="992"/>
      <c r="L64" s="334">
        <f>SUM(L6:L63)</f>
        <v>355796236</v>
      </c>
      <c r="M64" s="334"/>
      <c r="N64" s="334">
        <f t="shared" ref="N64:S64" si="1">SUM(N6:N63)</f>
        <v>360056907</v>
      </c>
      <c r="O64" s="334">
        <f t="shared" si="1"/>
        <v>49080283</v>
      </c>
      <c r="P64" s="992"/>
      <c r="Q64" s="334">
        <f t="shared" si="1"/>
        <v>773908084</v>
      </c>
      <c r="R64" s="334">
        <f t="shared" si="1"/>
        <v>41216822</v>
      </c>
      <c r="S64" s="334">
        <f t="shared" si="1"/>
        <v>360056907</v>
      </c>
      <c r="T64" s="992"/>
      <c r="U64" s="334">
        <f>SUM(U6:U63)</f>
        <v>500064</v>
      </c>
      <c r="V64" s="334">
        <f>SUM(V6:V63)</f>
        <v>2139624</v>
      </c>
      <c r="W64" s="334">
        <f t="shared" ref="W64:X64" si="2">SUM(W6:W63)</f>
        <v>68533334</v>
      </c>
      <c r="X64" s="334">
        <f t="shared" si="2"/>
        <v>0</v>
      </c>
      <c r="Y64" s="37"/>
    </row>
    <row r="65" spans="2:2" ht="15.6">
      <c r="B65" s="911">
        <f>SUM(C64:X64)</f>
        <v>2041980248.76</v>
      </c>
    </row>
    <row r="66" spans="2:2" ht="15.6">
      <c r="B66" s="1101" t="s">
        <v>559</v>
      </c>
    </row>
  </sheetData>
  <phoneticPr fontId="51" type="noConversion"/>
  <conditionalFormatting sqref="C7:X63">
    <cfRule type="cellIs" dxfId="19" priority="1" operator="equal">
      <formula>0</formula>
    </cfRule>
    <cfRule type="cellIs" dxfId="18" priority="2" operator="equal">
      <formula>0</formula>
    </cfRule>
  </conditionalFormatting>
  <pageMargins left="0.25" right="0.25" top="0.5" bottom="0.5" header="0.3" footer="0.3"/>
  <pageSetup paperSize="5" scale="44" orientation="landscape" horizontalDpi="4294967295" verticalDpi="4294967295" r:id="rId1"/>
  <headerFooter>
    <oddFooter>&amp;R&amp;F
&amp;A</oddFoot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Z66"/>
  <sheetViews>
    <sheetView zoomScale="70" zoomScaleNormal="70" workbookViewId="0">
      <pane ySplit="5" topLeftCell="A6" activePane="bottomLeft" state="frozen"/>
      <selection activeCell="A2" sqref="A2"/>
      <selection pane="bottomLeft" activeCell="A2" sqref="A2"/>
    </sheetView>
  </sheetViews>
  <sheetFormatPr defaultColWidth="8.88671875" defaultRowHeight="15"/>
  <cols>
    <col min="1" max="1" width="13.33203125" style="35" customWidth="1"/>
    <col min="2" max="2" width="42.6640625" style="96" customWidth="1"/>
    <col min="3" max="11" width="19.44140625" style="35" customWidth="1"/>
    <col min="12" max="12" width="19.44140625" style="61" customWidth="1"/>
    <col min="13" max="13" width="19.44140625" style="35" customWidth="1"/>
    <col min="14" max="14" width="19.44140625" style="5" customWidth="1"/>
    <col min="15" max="15" width="19.44140625" style="35" customWidth="1"/>
    <col min="16" max="16" width="27.109375" customWidth="1"/>
    <col min="17" max="17" width="17" style="35" customWidth="1"/>
    <col min="18" max="19" width="19.44140625" style="96" customWidth="1"/>
    <col min="20" max="20" width="22.33203125" style="96" customWidth="1"/>
    <col min="21" max="23" width="19.44140625" style="96" customWidth="1"/>
    <col min="24" max="24" width="22.33203125" style="96" customWidth="1"/>
    <col min="25" max="25" width="17.109375" style="35" customWidth="1"/>
    <col min="26" max="29" width="10.88671875" style="35" customWidth="1"/>
    <col min="30" max="16384" width="8.88671875" style="35"/>
  </cols>
  <sheetData>
    <row r="1" spans="1:24" ht="25.5" customHeight="1">
      <c r="A1" s="796" t="s">
        <v>319</v>
      </c>
      <c r="D1" s="243" t="s">
        <v>1838</v>
      </c>
      <c r="E1" s="137"/>
      <c r="G1" s="46"/>
      <c r="H1" s="62"/>
      <c r="K1" s="62"/>
      <c r="M1" s="62"/>
      <c r="N1" s="62"/>
      <c r="O1" s="62"/>
      <c r="P1" s="62"/>
      <c r="Q1" s="96"/>
      <c r="X1" s="35"/>
    </row>
    <row r="2" spans="1:24" ht="29.25" customHeight="1">
      <c r="A2" s="1111" t="s">
        <v>1777</v>
      </c>
      <c r="B2" s="803"/>
      <c r="C2" s="810"/>
      <c r="D2" s="137"/>
      <c r="E2" s="137"/>
      <c r="F2" s="46"/>
      <c r="G2" s="46"/>
      <c r="H2" s="62"/>
      <c r="I2" s="1102" t="s">
        <v>1820</v>
      </c>
      <c r="J2" s="1102" t="s">
        <v>1822</v>
      </c>
      <c r="K2" s="337"/>
      <c r="M2" s="62"/>
      <c r="N2" s="62"/>
      <c r="O2" s="62"/>
      <c r="P2" s="1116" t="s">
        <v>1833</v>
      </c>
      <c r="Q2" s="96"/>
      <c r="T2" s="1103" t="s">
        <v>1823</v>
      </c>
      <c r="X2" s="1103" t="s">
        <v>1823</v>
      </c>
    </row>
    <row r="3" spans="1:24" s="5" customFormat="1" ht="24.75" customHeight="1">
      <c r="A3" s="804" t="str">
        <f>+'Data Entry'!G10</f>
        <v>2020-21</v>
      </c>
      <c r="C3" s="774" t="s">
        <v>1522</v>
      </c>
      <c r="D3" s="774" t="s">
        <v>1523</v>
      </c>
      <c r="E3" s="774" t="s">
        <v>1524</v>
      </c>
      <c r="F3" s="774" t="s">
        <v>1525</v>
      </c>
      <c r="G3" s="774" t="s">
        <v>1526</v>
      </c>
      <c r="H3" s="774" t="s">
        <v>1527</v>
      </c>
      <c r="I3" s="774" t="s">
        <v>1528</v>
      </c>
      <c r="J3" s="774"/>
      <c r="K3" s="774" t="s">
        <v>1684</v>
      </c>
      <c r="L3" s="774" t="s">
        <v>1529</v>
      </c>
      <c r="M3" s="774" t="s">
        <v>1530</v>
      </c>
      <c r="N3" s="774" t="s">
        <v>1531</v>
      </c>
      <c r="O3" s="774" t="s">
        <v>1532</v>
      </c>
      <c r="P3" s="774" t="s">
        <v>1827</v>
      </c>
      <c r="Q3" s="774" t="s">
        <v>1533</v>
      </c>
      <c r="R3" s="774" t="s">
        <v>1534</v>
      </c>
      <c r="S3" s="774" t="s">
        <v>1535</v>
      </c>
      <c r="T3" s="774"/>
      <c r="U3" s="774" t="s">
        <v>1536</v>
      </c>
      <c r="V3" s="774" t="s">
        <v>1537</v>
      </c>
      <c r="W3" s="774" t="s">
        <v>1504</v>
      </c>
    </row>
    <row r="4" spans="1:24" s="41" customFormat="1" ht="249" customHeight="1">
      <c r="A4" s="326" t="s">
        <v>16</v>
      </c>
      <c r="B4" s="340" t="s">
        <v>20</v>
      </c>
      <c r="C4" s="327" t="s">
        <v>462</v>
      </c>
      <c r="D4" s="326" t="s">
        <v>463</v>
      </c>
      <c r="E4" s="326" t="s">
        <v>464</v>
      </c>
      <c r="F4" s="326" t="s">
        <v>465</v>
      </c>
      <c r="G4" s="326" t="s">
        <v>504</v>
      </c>
      <c r="H4" s="326" t="s">
        <v>466</v>
      </c>
      <c r="I4" s="1083" t="s">
        <v>467</v>
      </c>
      <c r="J4" s="1083" t="s">
        <v>468</v>
      </c>
      <c r="K4" s="326" t="s">
        <v>1681</v>
      </c>
      <c r="L4" s="326" t="s">
        <v>471</v>
      </c>
      <c r="M4" s="326" t="s">
        <v>472</v>
      </c>
      <c r="N4" s="326" t="s">
        <v>473</v>
      </c>
      <c r="O4" s="326" t="s">
        <v>474</v>
      </c>
      <c r="P4" s="1083" t="s">
        <v>1837</v>
      </c>
      <c r="Q4" s="326" t="s">
        <v>475</v>
      </c>
      <c r="R4" s="326" t="s">
        <v>476</v>
      </c>
      <c r="S4" s="326" t="s">
        <v>477</v>
      </c>
      <c r="T4" s="1083" t="s">
        <v>1824</v>
      </c>
      <c r="U4" s="326" t="s">
        <v>478</v>
      </c>
      <c r="V4" s="326" t="s">
        <v>479</v>
      </c>
      <c r="W4" s="326" t="s">
        <v>480</v>
      </c>
      <c r="X4" s="1104" t="s">
        <v>1825</v>
      </c>
    </row>
    <row r="5" spans="1:24" s="354" customFormat="1" ht="27" customHeight="1">
      <c r="A5" s="328"/>
      <c r="B5" s="328"/>
      <c r="C5" s="329" t="s">
        <v>13</v>
      </c>
      <c r="D5" s="328" t="s">
        <v>9</v>
      </c>
      <c r="E5" s="328" t="s">
        <v>92</v>
      </c>
      <c r="F5" s="329" t="s">
        <v>91</v>
      </c>
      <c r="G5" s="329" t="s">
        <v>293</v>
      </c>
      <c r="H5" s="328" t="s">
        <v>469</v>
      </c>
      <c r="I5" s="328" t="s">
        <v>470</v>
      </c>
      <c r="J5" s="328" t="s">
        <v>1817</v>
      </c>
      <c r="K5" s="328" t="s">
        <v>99</v>
      </c>
      <c r="L5" s="328" t="s">
        <v>14</v>
      </c>
      <c r="M5" s="328" t="s">
        <v>97</v>
      </c>
      <c r="N5" s="328" t="s">
        <v>511</v>
      </c>
      <c r="O5" s="328" t="s">
        <v>481</v>
      </c>
      <c r="P5" s="328" t="s">
        <v>1811</v>
      </c>
      <c r="Q5" s="328" t="s">
        <v>131</v>
      </c>
      <c r="R5" s="328" t="s">
        <v>127</v>
      </c>
      <c r="S5" s="328" t="s">
        <v>82</v>
      </c>
      <c r="T5" s="328" t="s">
        <v>1810</v>
      </c>
      <c r="U5" s="328" t="s">
        <v>10</v>
      </c>
      <c r="V5" s="328" t="s">
        <v>96</v>
      </c>
      <c r="W5" s="328" t="s">
        <v>104</v>
      </c>
      <c r="X5" s="328" t="s">
        <v>1814</v>
      </c>
    </row>
    <row r="6" spans="1:24">
      <c r="A6" s="24">
        <v>1</v>
      </c>
      <c r="B6" s="314" t="s">
        <v>49</v>
      </c>
      <c r="C6" s="331">
        <v>154.41</v>
      </c>
      <c r="D6" s="331">
        <v>5.16</v>
      </c>
      <c r="E6" s="331">
        <v>117.4</v>
      </c>
      <c r="F6" s="331">
        <v>0</v>
      </c>
      <c r="G6" s="332">
        <v>12310.03</v>
      </c>
      <c r="H6" s="27">
        <v>0</v>
      </c>
      <c r="I6" s="27">
        <v>0</v>
      </c>
      <c r="J6" s="27">
        <v>0</v>
      </c>
      <c r="K6" s="5" t="b">
        <v>1</v>
      </c>
      <c r="L6" s="27">
        <v>10203962</v>
      </c>
      <c r="M6" s="332">
        <v>8540.69</v>
      </c>
      <c r="N6" s="27">
        <v>6408060</v>
      </c>
      <c r="O6" s="27">
        <v>0</v>
      </c>
      <c r="P6" s="27"/>
      <c r="Q6" s="27">
        <v>19566419</v>
      </c>
      <c r="R6" s="27">
        <v>55394</v>
      </c>
      <c r="S6" s="27">
        <v>6408060</v>
      </c>
      <c r="T6" s="27"/>
      <c r="U6" s="27">
        <v>19830</v>
      </c>
      <c r="V6" s="27">
        <v>84847</v>
      </c>
      <c r="W6" s="27">
        <v>2866667</v>
      </c>
      <c r="X6" s="27"/>
    </row>
    <row r="7" spans="1:24">
      <c r="A7" s="24">
        <v>2</v>
      </c>
      <c r="B7" s="314" t="s">
        <v>51</v>
      </c>
      <c r="C7" s="331">
        <v>0</v>
      </c>
      <c r="D7" s="331">
        <v>0</v>
      </c>
      <c r="E7" s="331">
        <v>0</v>
      </c>
      <c r="F7" s="331">
        <v>0</v>
      </c>
      <c r="G7" s="331">
        <v>12310.03</v>
      </c>
      <c r="H7" s="28">
        <v>0</v>
      </c>
      <c r="I7" s="28">
        <v>0</v>
      </c>
      <c r="J7" s="28">
        <v>0</v>
      </c>
      <c r="K7" s="5" t="b">
        <v>1</v>
      </c>
      <c r="L7" s="28">
        <v>686430</v>
      </c>
      <c r="M7" s="331">
        <v>0</v>
      </c>
      <c r="N7" s="28">
        <v>1195</v>
      </c>
      <c r="O7" s="28">
        <v>0</v>
      </c>
      <c r="P7" s="28"/>
      <c r="Q7" s="28">
        <v>0</v>
      </c>
      <c r="R7" s="28">
        <v>567986</v>
      </c>
      <c r="S7" s="28">
        <v>1195</v>
      </c>
      <c r="T7" s="28"/>
      <c r="U7" s="28">
        <v>19830</v>
      </c>
      <c r="V7" s="28">
        <v>84847</v>
      </c>
      <c r="W7" s="28">
        <v>0</v>
      </c>
      <c r="X7" s="28"/>
    </row>
    <row r="8" spans="1:24">
      <c r="A8" s="24">
        <v>3</v>
      </c>
      <c r="B8" s="314" t="s">
        <v>52</v>
      </c>
      <c r="C8" s="331">
        <v>2.4300000000000002</v>
      </c>
      <c r="D8" s="331">
        <v>0</v>
      </c>
      <c r="E8" s="331">
        <v>0</v>
      </c>
      <c r="F8" s="331">
        <v>0</v>
      </c>
      <c r="G8" s="331">
        <v>12310.03</v>
      </c>
      <c r="H8" s="28">
        <v>0</v>
      </c>
      <c r="I8" s="28">
        <v>217289</v>
      </c>
      <c r="J8" s="28">
        <v>149049</v>
      </c>
      <c r="K8" s="5" t="b">
        <v>0</v>
      </c>
      <c r="L8" s="28">
        <v>1299258</v>
      </c>
      <c r="M8" s="331">
        <v>8532.51</v>
      </c>
      <c r="N8" s="28">
        <v>671038</v>
      </c>
      <c r="O8" s="28">
        <v>0</v>
      </c>
      <c r="P8" s="28"/>
      <c r="Q8" s="28">
        <v>884883</v>
      </c>
      <c r="R8" s="28">
        <v>435109</v>
      </c>
      <c r="S8" s="28">
        <v>671038</v>
      </c>
      <c r="T8" s="28"/>
      <c r="U8" s="28">
        <v>0</v>
      </c>
      <c r="V8" s="28">
        <v>0</v>
      </c>
      <c r="W8" s="28">
        <v>0</v>
      </c>
      <c r="X8" s="28"/>
    </row>
    <row r="9" spans="1:24">
      <c r="A9" s="24">
        <v>4</v>
      </c>
      <c r="B9" s="314" t="s">
        <v>53</v>
      </c>
      <c r="C9" s="331">
        <v>18.97</v>
      </c>
      <c r="D9" s="331">
        <v>0</v>
      </c>
      <c r="E9" s="331">
        <v>30.81</v>
      </c>
      <c r="F9" s="331">
        <v>0</v>
      </c>
      <c r="G9" s="331">
        <v>12310.03</v>
      </c>
      <c r="H9" s="28">
        <v>0</v>
      </c>
      <c r="I9" s="28">
        <v>15176</v>
      </c>
      <c r="J9" s="28">
        <v>0</v>
      </c>
      <c r="K9" s="5" t="b">
        <v>0</v>
      </c>
      <c r="L9" s="28">
        <v>2698579</v>
      </c>
      <c r="M9" s="331">
        <v>8532.57</v>
      </c>
      <c r="N9" s="28">
        <v>3332701</v>
      </c>
      <c r="O9" s="28">
        <v>0</v>
      </c>
      <c r="P9" s="28"/>
      <c r="Q9" s="28">
        <v>1997826</v>
      </c>
      <c r="R9" s="28">
        <v>1125504</v>
      </c>
      <c r="S9" s="28">
        <v>3332701</v>
      </c>
      <c r="T9" s="28"/>
      <c r="U9" s="28">
        <v>0</v>
      </c>
      <c r="V9" s="28">
        <v>0</v>
      </c>
      <c r="W9" s="28">
        <v>1100000</v>
      </c>
      <c r="X9" s="28"/>
    </row>
    <row r="10" spans="1:24">
      <c r="A10" s="24">
        <v>5</v>
      </c>
      <c r="B10" s="314" t="s">
        <v>54</v>
      </c>
      <c r="C10" s="331">
        <v>30.62</v>
      </c>
      <c r="D10" s="331">
        <v>0</v>
      </c>
      <c r="E10" s="331">
        <v>0</v>
      </c>
      <c r="F10" s="331">
        <v>0</v>
      </c>
      <c r="G10" s="331">
        <v>12310.03</v>
      </c>
      <c r="H10" s="28">
        <v>0</v>
      </c>
      <c r="I10" s="28">
        <v>0</v>
      </c>
      <c r="J10" s="28">
        <v>0</v>
      </c>
      <c r="K10" s="5" t="b">
        <v>0</v>
      </c>
      <c r="L10" s="28">
        <v>857128</v>
      </c>
      <c r="M10" s="331">
        <v>8533.98</v>
      </c>
      <c r="N10" s="28">
        <v>1224781</v>
      </c>
      <c r="O10" s="28">
        <v>0</v>
      </c>
      <c r="P10" s="28"/>
      <c r="Q10" s="28">
        <v>738435</v>
      </c>
      <c r="R10" s="28">
        <v>380003</v>
      </c>
      <c r="S10" s="28">
        <v>1224781</v>
      </c>
      <c r="T10" s="28"/>
      <c r="U10" s="28">
        <v>0</v>
      </c>
      <c r="V10" s="28">
        <v>0</v>
      </c>
      <c r="W10" s="28">
        <v>633333</v>
      </c>
      <c r="X10" s="28"/>
    </row>
    <row r="11" spans="1:24">
      <c r="A11" s="24">
        <v>6</v>
      </c>
      <c r="B11" s="314" t="s">
        <v>55</v>
      </c>
      <c r="C11" s="331">
        <v>10.67</v>
      </c>
      <c r="D11" s="331">
        <v>0</v>
      </c>
      <c r="E11" s="331">
        <v>0</v>
      </c>
      <c r="F11" s="331">
        <v>0</v>
      </c>
      <c r="G11" s="331">
        <v>12310.03</v>
      </c>
      <c r="H11" s="28">
        <v>0</v>
      </c>
      <c r="I11" s="28">
        <v>92975</v>
      </c>
      <c r="J11" s="28">
        <v>0</v>
      </c>
      <c r="K11" s="5" t="b">
        <v>1</v>
      </c>
      <c r="L11" s="28">
        <v>1185600</v>
      </c>
      <c r="M11" s="331">
        <v>8532.42</v>
      </c>
      <c r="N11" s="28">
        <v>309028</v>
      </c>
      <c r="O11" s="28">
        <v>0</v>
      </c>
      <c r="P11" s="28"/>
      <c r="Q11" s="28">
        <v>93319</v>
      </c>
      <c r="R11" s="28">
        <v>1056355</v>
      </c>
      <c r="S11" s="28">
        <v>309028</v>
      </c>
      <c r="T11" s="28"/>
      <c r="U11" s="28">
        <v>19830</v>
      </c>
      <c r="V11" s="28">
        <v>84847</v>
      </c>
      <c r="W11" s="28">
        <v>333333</v>
      </c>
      <c r="X11" s="28"/>
    </row>
    <row r="12" spans="1:24">
      <c r="A12" s="24">
        <v>7</v>
      </c>
      <c r="B12" s="314" t="s">
        <v>109</v>
      </c>
      <c r="C12" s="331">
        <v>0</v>
      </c>
      <c r="D12" s="331">
        <v>34.99</v>
      </c>
      <c r="E12" s="331">
        <v>123.41</v>
      </c>
      <c r="F12" s="331">
        <v>0</v>
      </c>
      <c r="G12" s="331">
        <v>12310.03</v>
      </c>
      <c r="H12" s="28">
        <v>0</v>
      </c>
      <c r="I12" s="28">
        <v>799189</v>
      </c>
      <c r="J12" s="28">
        <v>0</v>
      </c>
      <c r="K12" s="5" t="b">
        <v>0</v>
      </c>
      <c r="L12" s="28">
        <v>8888302</v>
      </c>
      <c r="M12" s="331">
        <v>8532.58</v>
      </c>
      <c r="N12" s="28">
        <v>12153515</v>
      </c>
      <c r="O12" s="28">
        <v>0</v>
      </c>
      <c r="P12" s="28"/>
      <c r="Q12" s="28">
        <v>16275676</v>
      </c>
      <c r="R12" s="28">
        <v>31680</v>
      </c>
      <c r="S12" s="28">
        <v>12153515</v>
      </c>
      <c r="T12" s="28"/>
      <c r="U12" s="28">
        <v>0</v>
      </c>
      <c r="V12" s="28">
        <v>0</v>
      </c>
      <c r="W12" s="28">
        <v>1966667</v>
      </c>
      <c r="X12" s="28"/>
    </row>
    <row r="13" spans="1:24">
      <c r="A13" s="24">
        <v>8</v>
      </c>
      <c r="B13" s="314" t="s">
        <v>56</v>
      </c>
      <c r="C13" s="331">
        <v>15.07</v>
      </c>
      <c r="D13" s="331">
        <v>0</v>
      </c>
      <c r="E13" s="331">
        <v>12.89</v>
      </c>
      <c r="F13" s="331">
        <v>0</v>
      </c>
      <c r="G13" s="331">
        <v>12310.03</v>
      </c>
      <c r="H13" s="28">
        <v>0</v>
      </c>
      <c r="I13" s="28">
        <v>0</v>
      </c>
      <c r="J13" s="28">
        <v>0</v>
      </c>
      <c r="K13" s="5" t="b">
        <v>0</v>
      </c>
      <c r="L13" s="28">
        <v>2378396</v>
      </c>
      <c r="M13" s="331">
        <v>8532.59</v>
      </c>
      <c r="N13" s="28">
        <v>318069</v>
      </c>
      <c r="O13" s="28">
        <v>0</v>
      </c>
      <c r="P13" s="28"/>
      <c r="Q13" s="28">
        <v>49006</v>
      </c>
      <c r="R13" s="28">
        <v>2165406</v>
      </c>
      <c r="S13" s="28">
        <v>318069</v>
      </c>
      <c r="T13" s="28"/>
      <c r="U13" s="28">
        <v>0</v>
      </c>
      <c r="V13" s="28">
        <v>0</v>
      </c>
      <c r="W13" s="28">
        <v>0</v>
      </c>
      <c r="X13" s="28"/>
    </row>
    <row r="14" spans="1:24">
      <c r="A14" s="24">
        <v>9</v>
      </c>
      <c r="B14" s="314" t="s">
        <v>37</v>
      </c>
      <c r="C14" s="331">
        <v>0</v>
      </c>
      <c r="D14" s="331">
        <v>282.17</v>
      </c>
      <c r="E14" s="331">
        <v>22.06</v>
      </c>
      <c r="F14" s="331">
        <v>154.35</v>
      </c>
      <c r="G14" s="331">
        <v>12310.03</v>
      </c>
      <c r="H14" s="28">
        <v>0</v>
      </c>
      <c r="I14" s="28">
        <v>442444</v>
      </c>
      <c r="J14" s="28">
        <v>0</v>
      </c>
      <c r="K14" s="5" t="b">
        <v>1</v>
      </c>
      <c r="L14" s="28">
        <v>2446627</v>
      </c>
      <c r="M14" s="331">
        <v>8532.58</v>
      </c>
      <c r="N14" s="28">
        <v>1622304</v>
      </c>
      <c r="O14" s="28">
        <v>0</v>
      </c>
      <c r="P14" s="28"/>
      <c r="Q14" s="28">
        <v>6084110</v>
      </c>
      <c r="R14" s="28">
        <v>275387</v>
      </c>
      <c r="S14" s="28">
        <v>1622304</v>
      </c>
      <c r="T14" s="28"/>
      <c r="U14" s="28">
        <v>19830</v>
      </c>
      <c r="V14" s="28">
        <v>84847</v>
      </c>
      <c r="W14" s="28">
        <v>1166667</v>
      </c>
      <c r="X14" s="28"/>
    </row>
    <row r="15" spans="1:24">
      <c r="A15" s="24">
        <v>10</v>
      </c>
      <c r="B15" s="314" t="s">
        <v>48</v>
      </c>
      <c r="C15" s="331">
        <v>31.43</v>
      </c>
      <c r="D15" s="331">
        <v>0</v>
      </c>
      <c r="E15" s="331">
        <v>292.17</v>
      </c>
      <c r="F15" s="331">
        <v>0</v>
      </c>
      <c r="G15" s="331">
        <v>12310.03</v>
      </c>
      <c r="H15" s="28">
        <v>0</v>
      </c>
      <c r="I15" s="28">
        <v>927131</v>
      </c>
      <c r="J15" s="28">
        <v>0</v>
      </c>
      <c r="K15" s="5" t="b">
        <v>0</v>
      </c>
      <c r="L15" s="28">
        <v>9722633</v>
      </c>
      <c r="M15" s="331">
        <v>8532.58</v>
      </c>
      <c r="N15" s="28">
        <v>15002727</v>
      </c>
      <c r="O15" s="28">
        <v>0</v>
      </c>
      <c r="P15" s="28"/>
      <c r="Q15" s="28">
        <v>16014796</v>
      </c>
      <c r="R15" s="28">
        <v>64720</v>
      </c>
      <c r="S15" s="28">
        <v>15002727</v>
      </c>
      <c r="T15" s="28"/>
      <c r="U15" s="28">
        <v>0</v>
      </c>
      <c r="V15" s="28">
        <v>0</v>
      </c>
      <c r="W15" s="28">
        <v>2066667</v>
      </c>
      <c r="X15" s="28"/>
    </row>
    <row r="16" spans="1:24">
      <c r="A16" s="24">
        <v>11</v>
      </c>
      <c r="B16" s="314" t="s">
        <v>47</v>
      </c>
      <c r="C16" s="331">
        <v>8.43</v>
      </c>
      <c r="D16" s="331">
        <v>0</v>
      </c>
      <c r="E16" s="331">
        <v>0</v>
      </c>
      <c r="F16" s="331">
        <v>0</v>
      </c>
      <c r="G16" s="331">
        <v>12310.03</v>
      </c>
      <c r="H16" s="28">
        <v>0</v>
      </c>
      <c r="I16" s="28">
        <v>289651</v>
      </c>
      <c r="J16" s="28">
        <v>0</v>
      </c>
      <c r="K16" s="5" t="b">
        <v>0</v>
      </c>
      <c r="L16" s="28">
        <v>2162502</v>
      </c>
      <c r="M16" s="331">
        <v>8532.59</v>
      </c>
      <c r="N16" s="28">
        <v>2026783</v>
      </c>
      <c r="O16" s="28">
        <v>0</v>
      </c>
      <c r="P16" s="28"/>
      <c r="Q16" s="28">
        <v>306102</v>
      </c>
      <c r="R16" s="28">
        <v>1848878</v>
      </c>
      <c r="S16" s="28">
        <v>2026783</v>
      </c>
      <c r="T16" s="28"/>
      <c r="U16" s="28">
        <v>0</v>
      </c>
      <c r="V16" s="28">
        <v>0</v>
      </c>
      <c r="W16" s="28">
        <v>433333</v>
      </c>
      <c r="X16" s="28"/>
    </row>
    <row r="17" spans="1:24">
      <c r="A17" s="24">
        <v>12</v>
      </c>
      <c r="B17" s="314" t="s">
        <v>57</v>
      </c>
      <c r="C17" s="331">
        <v>128.29</v>
      </c>
      <c r="D17" s="331">
        <v>0</v>
      </c>
      <c r="E17" s="331">
        <v>18.64</v>
      </c>
      <c r="F17" s="331">
        <v>0</v>
      </c>
      <c r="G17" s="331">
        <v>12310.03</v>
      </c>
      <c r="H17" s="28">
        <v>0</v>
      </c>
      <c r="I17" s="28">
        <v>404123</v>
      </c>
      <c r="J17" s="28">
        <v>0</v>
      </c>
      <c r="K17" s="5" t="b">
        <v>1</v>
      </c>
      <c r="L17" s="28">
        <v>2385008</v>
      </c>
      <c r="M17" s="331">
        <v>8542.5300000000007</v>
      </c>
      <c r="N17" s="28">
        <v>3916204</v>
      </c>
      <c r="O17" s="28">
        <v>0</v>
      </c>
      <c r="P17" s="28"/>
      <c r="Q17" s="28">
        <v>1288156</v>
      </c>
      <c r="R17" s="28">
        <v>2352006</v>
      </c>
      <c r="S17" s="28">
        <v>3916204</v>
      </c>
      <c r="T17" s="28"/>
      <c r="U17" s="28">
        <v>19830</v>
      </c>
      <c r="V17" s="28">
        <v>84847</v>
      </c>
      <c r="W17" s="28">
        <v>1033333</v>
      </c>
      <c r="X17" s="28"/>
    </row>
    <row r="18" spans="1:24">
      <c r="A18" s="24">
        <v>13</v>
      </c>
      <c r="B18" s="314" t="s">
        <v>58</v>
      </c>
      <c r="C18" s="331">
        <v>175.39</v>
      </c>
      <c r="D18" s="331">
        <v>0</v>
      </c>
      <c r="E18" s="331">
        <v>19.05</v>
      </c>
      <c r="F18" s="331">
        <v>0</v>
      </c>
      <c r="G18" s="331">
        <v>12310.03</v>
      </c>
      <c r="H18" s="28">
        <v>0</v>
      </c>
      <c r="I18" s="28">
        <v>13535</v>
      </c>
      <c r="J18" s="28">
        <v>0</v>
      </c>
      <c r="K18" s="5" t="b">
        <v>1</v>
      </c>
      <c r="L18" s="28">
        <v>2593316</v>
      </c>
      <c r="M18" s="331">
        <v>8540.9500000000007</v>
      </c>
      <c r="N18" s="28">
        <v>3340762</v>
      </c>
      <c r="O18" s="28">
        <v>0</v>
      </c>
      <c r="P18" s="28"/>
      <c r="Q18" s="28">
        <v>616713</v>
      </c>
      <c r="R18" s="28">
        <v>3519982</v>
      </c>
      <c r="S18" s="28">
        <v>3340762</v>
      </c>
      <c r="T18" s="28"/>
      <c r="U18" s="28">
        <v>19830</v>
      </c>
      <c r="V18" s="28">
        <v>84847</v>
      </c>
      <c r="W18" s="28">
        <v>1066667</v>
      </c>
      <c r="X18" s="28"/>
    </row>
    <row r="19" spans="1:24">
      <c r="A19" s="24">
        <v>14</v>
      </c>
      <c r="B19" s="314" t="s">
        <v>36</v>
      </c>
      <c r="C19" s="331">
        <v>5.95</v>
      </c>
      <c r="D19" s="331">
        <v>0</v>
      </c>
      <c r="E19" s="331">
        <v>0</v>
      </c>
      <c r="F19" s="331">
        <v>0</v>
      </c>
      <c r="G19" s="331">
        <v>12310.03</v>
      </c>
      <c r="H19" s="28">
        <v>0</v>
      </c>
      <c r="I19" s="28">
        <v>0</v>
      </c>
      <c r="J19" s="28">
        <v>0</v>
      </c>
      <c r="K19" s="5" t="b">
        <v>0</v>
      </c>
      <c r="L19" s="28">
        <v>2318751</v>
      </c>
      <c r="M19" s="331">
        <v>8544.19</v>
      </c>
      <c r="N19" s="28">
        <v>2061392</v>
      </c>
      <c r="O19" s="28">
        <v>0</v>
      </c>
      <c r="P19" s="28"/>
      <c r="Q19" s="28">
        <v>2667828</v>
      </c>
      <c r="R19" s="28">
        <v>1190</v>
      </c>
      <c r="S19" s="28">
        <v>2061392</v>
      </c>
      <c r="T19" s="28"/>
      <c r="U19" s="28">
        <v>0</v>
      </c>
      <c r="V19" s="28">
        <v>0</v>
      </c>
      <c r="W19" s="28">
        <v>266667</v>
      </c>
      <c r="X19" s="28"/>
    </row>
    <row r="20" spans="1:24">
      <c r="A20" s="24">
        <v>15</v>
      </c>
      <c r="B20" s="314" t="s">
        <v>46</v>
      </c>
      <c r="C20" s="331">
        <v>753.2</v>
      </c>
      <c r="D20" s="331">
        <v>0</v>
      </c>
      <c r="E20" s="331">
        <v>440.7</v>
      </c>
      <c r="F20" s="331">
        <v>0</v>
      </c>
      <c r="G20" s="331">
        <v>12310.03</v>
      </c>
      <c r="H20" s="28">
        <v>0</v>
      </c>
      <c r="I20" s="28">
        <v>2270357</v>
      </c>
      <c r="J20" s="28">
        <v>155000</v>
      </c>
      <c r="K20" s="5" t="b">
        <v>1</v>
      </c>
      <c r="L20" s="28">
        <v>10607614</v>
      </c>
      <c r="M20" s="331">
        <v>8541.9699999999993</v>
      </c>
      <c r="N20" s="28">
        <v>11404874</v>
      </c>
      <c r="O20" s="28">
        <v>0</v>
      </c>
      <c r="P20" s="28"/>
      <c r="Q20" s="28">
        <v>14030319</v>
      </c>
      <c r="R20" s="28">
        <v>6775553</v>
      </c>
      <c r="S20" s="28">
        <v>11404874</v>
      </c>
      <c r="T20" s="28"/>
      <c r="U20" s="28">
        <v>19830</v>
      </c>
      <c r="V20" s="28">
        <v>84847</v>
      </c>
      <c r="W20" s="28">
        <v>2466667</v>
      </c>
      <c r="X20" s="28"/>
    </row>
    <row r="21" spans="1:24">
      <c r="A21" s="24">
        <v>16</v>
      </c>
      <c r="B21" s="314" t="s">
        <v>59</v>
      </c>
      <c r="C21" s="331">
        <v>0</v>
      </c>
      <c r="D21" s="331">
        <v>0</v>
      </c>
      <c r="E21" s="331">
        <v>51.32</v>
      </c>
      <c r="F21" s="331">
        <v>0</v>
      </c>
      <c r="G21" s="331">
        <v>12310.03</v>
      </c>
      <c r="H21" s="28">
        <v>0</v>
      </c>
      <c r="I21" s="28">
        <v>0</v>
      </c>
      <c r="J21" s="28">
        <v>0</v>
      </c>
      <c r="K21" s="5" t="b">
        <v>1</v>
      </c>
      <c r="L21" s="28">
        <v>2251371</v>
      </c>
      <c r="M21" s="331">
        <v>8538.48</v>
      </c>
      <c r="N21" s="28">
        <v>2397952</v>
      </c>
      <c r="O21" s="28">
        <v>0</v>
      </c>
      <c r="P21" s="28"/>
      <c r="Q21" s="28">
        <v>2172846</v>
      </c>
      <c r="R21" s="28">
        <v>516720</v>
      </c>
      <c r="S21" s="28">
        <v>2397952</v>
      </c>
      <c r="T21" s="28"/>
      <c r="U21" s="28">
        <v>19830</v>
      </c>
      <c r="V21" s="28">
        <v>84847</v>
      </c>
      <c r="W21" s="28">
        <v>966667</v>
      </c>
      <c r="X21" s="28"/>
    </row>
    <row r="22" spans="1:24">
      <c r="A22" s="24">
        <v>17</v>
      </c>
      <c r="B22" s="314" t="s">
        <v>60</v>
      </c>
      <c r="C22" s="331">
        <v>5.81</v>
      </c>
      <c r="D22" s="331">
        <v>0</v>
      </c>
      <c r="E22" s="331">
        <v>0</v>
      </c>
      <c r="F22" s="331">
        <v>0</v>
      </c>
      <c r="G22" s="331">
        <v>12310.03</v>
      </c>
      <c r="H22" s="28">
        <v>0</v>
      </c>
      <c r="I22" s="28">
        <v>247267</v>
      </c>
      <c r="J22" s="28">
        <v>0</v>
      </c>
      <c r="K22" s="5" t="b">
        <v>0</v>
      </c>
      <c r="L22" s="28">
        <v>1408894</v>
      </c>
      <c r="M22" s="331">
        <v>8532.6</v>
      </c>
      <c r="N22" s="28">
        <v>1856141</v>
      </c>
      <c r="O22" s="28">
        <v>0</v>
      </c>
      <c r="P22" s="28"/>
      <c r="Q22" s="28">
        <v>1974155</v>
      </c>
      <c r="R22" s="28">
        <v>1162</v>
      </c>
      <c r="S22" s="28">
        <v>1856141</v>
      </c>
      <c r="T22" s="28"/>
      <c r="U22" s="28">
        <v>0</v>
      </c>
      <c r="V22" s="28">
        <v>0</v>
      </c>
      <c r="W22" s="28">
        <v>733333</v>
      </c>
      <c r="X22" s="28"/>
    </row>
    <row r="23" spans="1:24">
      <c r="A23" s="24">
        <v>18</v>
      </c>
      <c r="B23" s="314" t="s">
        <v>61</v>
      </c>
      <c r="C23" s="331">
        <v>0</v>
      </c>
      <c r="D23" s="331">
        <v>0</v>
      </c>
      <c r="E23" s="331">
        <v>0</v>
      </c>
      <c r="F23" s="331">
        <v>0</v>
      </c>
      <c r="G23" s="331">
        <v>12310.03</v>
      </c>
      <c r="H23" s="28">
        <v>0</v>
      </c>
      <c r="I23" s="28">
        <v>54736</v>
      </c>
      <c r="J23" s="28">
        <v>0</v>
      </c>
      <c r="K23" s="5" t="b">
        <v>0</v>
      </c>
      <c r="L23" s="28">
        <v>1720438</v>
      </c>
      <c r="M23" s="331">
        <v>8532.65</v>
      </c>
      <c r="N23" s="28">
        <v>728638</v>
      </c>
      <c r="O23" s="28">
        <v>0</v>
      </c>
      <c r="P23" s="28"/>
      <c r="Q23" s="28">
        <v>393536</v>
      </c>
      <c r="R23" s="28">
        <v>1326902</v>
      </c>
      <c r="S23" s="28">
        <v>728638</v>
      </c>
      <c r="T23" s="28"/>
      <c r="U23" s="28">
        <v>0</v>
      </c>
      <c r="V23" s="28">
        <v>0</v>
      </c>
      <c r="W23" s="28">
        <v>433333</v>
      </c>
      <c r="X23" s="28"/>
    </row>
    <row r="24" spans="1:24">
      <c r="A24" s="24">
        <v>19</v>
      </c>
      <c r="B24" s="314" t="s">
        <v>45</v>
      </c>
      <c r="C24" s="331">
        <v>86.69</v>
      </c>
      <c r="D24" s="331">
        <v>0</v>
      </c>
      <c r="E24" s="331">
        <v>1254.49</v>
      </c>
      <c r="F24" s="331">
        <v>0</v>
      </c>
      <c r="G24" s="331">
        <v>12310.03</v>
      </c>
      <c r="H24" s="28">
        <v>0</v>
      </c>
      <c r="I24" s="28">
        <v>0</v>
      </c>
      <c r="J24" s="28">
        <v>0</v>
      </c>
      <c r="K24" s="5" t="b">
        <v>0</v>
      </c>
      <c r="L24" s="28">
        <v>72923035</v>
      </c>
      <c r="M24" s="331">
        <v>8532.58</v>
      </c>
      <c r="N24" s="28">
        <v>58214193</v>
      </c>
      <c r="O24" s="28">
        <v>0</v>
      </c>
      <c r="P24" s="28"/>
      <c r="Q24" s="28">
        <v>84248965</v>
      </c>
      <c r="R24" s="28">
        <v>268236</v>
      </c>
      <c r="S24" s="28">
        <v>58214193</v>
      </c>
      <c r="T24" s="28"/>
      <c r="U24" s="28">
        <v>0</v>
      </c>
      <c r="V24" s="28">
        <v>0</v>
      </c>
      <c r="W24" s="28">
        <v>7966667</v>
      </c>
      <c r="X24" s="28"/>
    </row>
    <row r="25" spans="1:24">
      <c r="A25" s="24">
        <v>20</v>
      </c>
      <c r="B25" s="314" t="s">
        <v>124</v>
      </c>
      <c r="C25" s="331">
        <v>0</v>
      </c>
      <c r="D25" s="331">
        <v>25.23</v>
      </c>
      <c r="E25" s="331">
        <v>70.52</v>
      </c>
      <c r="F25" s="331">
        <v>0</v>
      </c>
      <c r="G25" s="331">
        <v>12310.03</v>
      </c>
      <c r="H25" s="28">
        <v>0</v>
      </c>
      <c r="I25" s="28">
        <v>316487</v>
      </c>
      <c r="J25" s="28">
        <v>100750</v>
      </c>
      <c r="K25" s="5" t="b">
        <v>1</v>
      </c>
      <c r="L25" s="28">
        <v>2503042</v>
      </c>
      <c r="M25" s="331">
        <v>8536.7000000000007</v>
      </c>
      <c r="N25" s="28">
        <v>1242089</v>
      </c>
      <c r="O25" s="28">
        <v>0</v>
      </c>
      <c r="P25" s="28"/>
      <c r="Q25" s="28">
        <v>3585665</v>
      </c>
      <c r="R25" s="28">
        <v>19150</v>
      </c>
      <c r="S25" s="28">
        <v>1242089</v>
      </c>
      <c r="T25" s="28"/>
      <c r="U25" s="28">
        <v>19830</v>
      </c>
      <c r="V25" s="28">
        <v>84847</v>
      </c>
      <c r="W25" s="28">
        <v>833333</v>
      </c>
      <c r="X25" s="28"/>
    </row>
    <row r="26" spans="1:24">
      <c r="A26" s="24">
        <v>21</v>
      </c>
      <c r="B26" s="314" t="s">
        <v>62</v>
      </c>
      <c r="C26" s="331">
        <v>29.99</v>
      </c>
      <c r="D26" s="331">
        <v>14.18</v>
      </c>
      <c r="E26" s="331">
        <v>15.67</v>
      </c>
      <c r="F26" s="331">
        <v>0</v>
      </c>
      <c r="G26" s="331">
        <v>12310.03</v>
      </c>
      <c r="H26" s="28">
        <v>0</v>
      </c>
      <c r="I26" s="28">
        <v>0</v>
      </c>
      <c r="J26" s="28">
        <v>0</v>
      </c>
      <c r="K26" s="5" t="b">
        <v>0</v>
      </c>
      <c r="L26" s="28">
        <v>4244374</v>
      </c>
      <c r="M26" s="331">
        <v>8532.58</v>
      </c>
      <c r="N26" s="28">
        <v>2173275</v>
      </c>
      <c r="O26" s="28">
        <v>1323967</v>
      </c>
      <c r="P26" s="28"/>
      <c r="Q26" s="28">
        <v>9585641</v>
      </c>
      <c r="R26" s="28">
        <v>11968</v>
      </c>
      <c r="S26" s="28">
        <v>2173275</v>
      </c>
      <c r="T26" s="28"/>
      <c r="U26" s="28">
        <v>0</v>
      </c>
      <c r="V26" s="28">
        <v>0</v>
      </c>
      <c r="W26" s="28">
        <v>700000</v>
      </c>
      <c r="X26" s="28"/>
    </row>
    <row r="27" spans="1:24">
      <c r="A27" s="24">
        <v>22</v>
      </c>
      <c r="B27" s="314" t="s">
        <v>63</v>
      </c>
      <c r="C27" s="331">
        <v>2.15</v>
      </c>
      <c r="D27" s="331">
        <v>0</v>
      </c>
      <c r="E27" s="331">
        <v>0</v>
      </c>
      <c r="F27" s="331">
        <v>0</v>
      </c>
      <c r="G27" s="331">
        <v>12310.03</v>
      </c>
      <c r="H27" s="28">
        <v>0</v>
      </c>
      <c r="I27" s="28">
        <v>20010</v>
      </c>
      <c r="J27" s="28">
        <v>0</v>
      </c>
      <c r="K27" s="5" t="b">
        <v>0</v>
      </c>
      <c r="L27" s="28">
        <v>1163796</v>
      </c>
      <c r="M27" s="331">
        <v>8553.9699999999993</v>
      </c>
      <c r="N27" s="28">
        <v>67784</v>
      </c>
      <c r="O27" s="28">
        <v>0</v>
      </c>
      <c r="P27" s="28"/>
      <c r="Q27" s="28">
        <v>0</v>
      </c>
      <c r="R27" s="28">
        <v>978199</v>
      </c>
      <c r="S27" s="28">
        <v>67784</v>
      </c>
      <c r="T27" s="28"/>
      <c r="U27" s="28">
        <v>0</v>
      </c>
      <c r="V27" s="28">
        <v>0</v>
      </c>
      <c r="W27" s="28">
        <v>0</v>
      </c>
      <c r="X27" s="28"/>
    </row>
    <row r="28" spans="1:24">
      <c r="A28" s="24">
        <v>23</v>
      </c>
      <c r="B28" s="314" t="s">
        <v>64</v>
      </c>
      <c r="C28" s="331">
        <v>14.8</v>
      </c>
      <c r="D28" s="331">
        <v>0</v>
      </c>
      <c r="E28" s="331">
        <v>20.02</v>
      </c>
      <c r="F28" s="331">
        <v>0</v>
      </c>
      <c r="G28" s="331">
        <v>12310.03</v>
      </c>
      <c r="H28" s="28">
        <v>0</v>
      </c>
      <c r="I28" s="28">
        <v>400582</v>
      </c>
      <c r="J28" s="28">
        <v>0</v>
      </c>
      <c r="K28" s="5" t="b">
        <v>0</v>
      </c>
      <c r="L28" s="28">
        <v>1535094</v>
      </c>
      <c r="M28" s="331">
        <v>9132.51</v>
      </c>
      <c r="N28" s="28">
        <v>4626149</v>
      </c>
      <c r="O28" s="28">
        <v>0</v>
      </c>
      <c r="P28" s="28"/>
      <c r="Q28" s="28">
        <v>3681706</v>
      </c>
      <c r="R28" s="28">
        <v>6964</v>
      </c>
      <c r="S28" s="28">
        <v>4626149</v>
      </c>
      <c r="T28" s="28"/>
      <c r="U28" s="28">
        <v>0</v>
      </c>
      <c r="V28" s="28">
        <v>0</v>
      </c>
      <c r="W28" s="28">
        <v>766667</v>
      </c>
      <c r="X28" s="28"/>
    </row>
    <row r="29" spans="1:24">
      <c r="A29" s="24">
        <v>24</v>
      </c>
      <c r="B29" s="314" t="s">
        <v>65</v>
      </c>
      <c r="C29" s="331">
        <v>201.77</v>
      </c>
      <c r="D29" s="331">
        <v>0</v>
      </c>
      <c r="E29" s="331">
        <v>75.72</v>
      </c>
      <c r="F29" s="331">
        <v>0</v>
      </c>
      <c r="G29" s="331">
        <v>12310.03</v>
      </c>
      <c r="H29" s="28">
        <v>0</v>
      </c>
      <c r="I29" s="28">
        <v>1118476</v>
      </c>
      <c r="J29" s="28">
        <v>0</v>
      </c>
      <c r="K29" s="5" t="b">
        <v>0</v>
      </c>
      <c r="L29" s="28">
        <v>5666876</v>
      </c>
      <c r="M29" s="331">
        <v>8544.6</v>
      </c>
      <c r="N29" s="28">
        <v>7747476</v>
      </c>
      <c r="O29" s="28">
        <v>0</v>
      </c>
      <c r="P29" s="28"/>
      <c r="Q29" s="28">
        <v>8937082</v>
      </c>
      <c r="R29" s="28">
        <v>55498</v>
      </c>
      <c r="S29" s="28">
        <v>7747476</v>
      </c>
      <c r="T29" s="28"/>
      <c r="U29" s="28">
        <v>0</v>
      </c>
      <c r="V29" s="28">
        <v>0</v>
      </c>
      <c r="W29" s="28">
        <v>1200000</v>
      </c>
      <c r="X29" s="28"/>
    </row>
    <row r="30" spans="1:24">
      <c r="A30" s="24">
        <v>25</v>
      </c>
      <c r="B30" s="314" t="s">
        <v>66</v>
      </c>
      <c r="C30" s="331">
        <v>0</v>
      </c>
      <c r="D30" s="331">
        <v>0</v>
      </c>
      <c r="E30" s="331">
        <v>0</v>
      </c>
      <c r="F30" s="331">
        <v>0</v>
      </c>
      <c r="G30" s="331">
        <v>12310.03</v>
      </c>
      <c r="H30" s="28">
        <v>0</v>
      </c>
      <c r="I30" s="28">
        <v>12797</v>
      </c>
      <c r="J30" s="28">
        <v>0</v>
      </c>
      <c r="K30" s="5" t="b">
        <v>1</v>
      </c>
      <c r="L30" s="28">
        <v>865614</v>
      </c>
      <c r="M30" s="331">
        <v>8532.58</v>
      </c>
      <c r="N30" s="28">
        <v>372934</v>
      </c>
      <c r="O30" s="28">
        <v>0</v>
      </c>
      <c r="P30" s="28"/>
      <c r="Q30" s="28">
        <v>762600</v>
      </c>
      <c r="R30" s="28">
        <v>103014</v>
      </c>
      <c r="S30" s="28">
        <v>372934</v>
      </c>
      <c r="T30" s="28"/>
      <c r="U30" s="28">
        <v>19830</v>
      </c>
      <c r="V30" s="28">
        <v>84847</v>
      </c>
      <c r="W30" s="28">
        <v>300000</v>
      </c>
      <c r="X30" s="28"/>
    </row>
    <row r="31" spans="1:24">
      <c r="A31" s="24">
        <v>26</v>
      </c>
      <c r="B31" s="314" t="s">
        <v>35</v>
      </c>
      <c r="C31" s="331">
        <v>2.04</v>
      </c>
      <c r="D31" s="331">
        <v>0</v>
      </c>
      <c r="E31" s="331">
        <v>0</v>
      </c>
      <c r="F31" s="331">
        <v>0</v>
      </c>
      <c r="G31" s="331">
        <v>12310.03</v>
      </c>
      <c r="H31" s="28">
        <v>0</v>
      </c>
      <c r="I31" s="28">
        <v>0</v>
      </c>
      <c r="J31" s="28">
        <v>0</v>
      </c>
      <c r="K31" s="5" t="b">
        <v>0</v>
      </c>
      <c r="L31" s="28">
        <v>2092359</v>
      </c>
      <c r="M31" s="331">
        <v>8553.89</v>
      </c>
      <c r="N31" s="28">
        <v>392278</v>
      </c>
      <c r="O31" s="28">
        <v>2978</v>
      </c>
      <c r="P31" s="28"/>
      <c r="Q31" s="28">
        <v>2342636</v>
      </c>
      <c r="R31" s="28">
        <v>408</v>
      </c>
      <c r="S31" s="28">
        <v>392278</v>
      </c>
      <c r="T31" s="28"/>
      <c r="U31" s="28">
        <v>0</v>
      </c>
      <c r="V31" s="28">
        <v>0</v>
      </c>
      <c r="W31" s="28">
        <v>233333</v>
      </c>
      <c r="X31" s="28"/>
    </row>
    <row r="32" spans="1:24">
      <c r="A32" s="24">
        <v>27</v>
      </c>
      <c r="B32" s="314" t="s">
        <v>44</v>
      </c>
      <c r="C32" s="331">
        <v>108.61</v>
      </c>
      <c r="D32" s="331">
        <v>0</v>
      </c>
      <c r="E32" s="331">
        <v>90.64</v>
      </c>
      <c r="F32" s="331">
        <v>0</v>
      </c>
      <c r="G32" s="331">
        <v>12310.03</v>
      </c>
      <c r="H32" s="28">
        <v>0</v>
      </c>
      <c r="I32" s="28">
        <v>756946</v>
      </c>
      <c r="J32" s="28">
        <v>0</v>
      </c>
      <c r="K32" s="5" t="b">
        <v>1</v>
      </c>
      <c r="L32" s="28">
        <v>5725806</v>
      </c>
      <c r="M32" s="331">
        <v>8540.92</v>
      </c>
      <c r="N32" s="28">
        <v>3799970</v>
      </c>
      <c r="O32" s="28">
        <v>0</v>
      </c>
      <c r="P32" s="28"/>
      <c r="Q32" s="28">
        <v>16004164</v>
      </c>
      <c r="R32" s="28">
        <v>39850</v>
      </c>
      <c r="S32" s="28">
        <v>3799970</v>
      </c>
      <c r="T32" s="28"/>
      <c r="U32" s="28">
        <v>19830</v>
      </c>
      <c r="V32" s="28">
        <v>84847</v>
      </c>
      <c r="W32" s="28">
        <v>1333333</v>
      </c>
      <c r="X32" s="28"/>
    </row>
    <row r="33" spans="1:24">
      <c r="A33" s="24">
        <v>28</v>
      </c>
      <c r="B33" s="314" t="s">
        <v>67</v>
      </c>
      <c r="C33" s="331">
        <v>91.83</v>
      </c>
      <c r="D33" s="331">
        <v>0</v>
      </c>
      <c r="E33" s="331">
        <v>19.28</v>
      </c>
      <c r="F33" s="331">
        <v>0</v>
      </c>
      <c r="G33" s="331">
        <v>12310.03</v>
      </c>
      <c r="H33" s="28">
        <v>0</v>
      </c>
      <c r="I33" s="28">
        <v>140340</v>
      </c>
      <c r="J33" s="28">
        <v>0</v>
      </c>
      <c r="K33" s="5" t="b">
        <v>0</v>
      </c>
      <c r="L33" s="28">
        <v>2185630</v>
      </c>
      <c r="M33" s="331">
        <v>8538.5400000000009</v>
      </c>
      <c r="N33" s="28">
        <v>1450300</v>
      </c>
      <c r="O33" s="28">
        <v>1849531</v>
      </c>
      <c r="P33" s="28"/>
      <c r="Q33" s="28">
        <v>8403972</v>
      </c>
      <c r="R33" s="28">
        <v>22222</v>
      </c>
      <c r="S33" s="28">
        <v>1450300</v>
      </c>
      <c r="T33" s="28"/>
      <c r="U33" s="28">
        <v>0</v>
      </c>
      <c r="V33" s="28">
        <v>0</v>
      </c>
      <c r="W33" s="28">
        <v>533333</v>
      </c>
      <c r="X33" s="28"/>
    </row>
    <row r="34" spans="1:24">
      <c r="A34" s="24">
        <v>29</v>
      </c>
      <c r="B34" s="314" t="s">
        <v>34</v>
      </c>
      <c r="C34" s="331">
        <v>6.8</v>
      </c>
      <c r="D34" s="331">
        <v>0</v>
      </c>
      <c r="E34" s="331">
        <v>9.27</v>
      </c>
      <c r="F34" s="331">
        <v>0</v>
      </c>
      <c r="G34" s="331">
        <v>12310.03</v>
      </c>
      <c r="H34" s="28">
        <v>0</v>
      </c>
      <c r="I34" s="28">
        <v>275165</v>
      </c>
      <c r="J34" s="28">
        <v>0</v>
      </c>
      <c r="K34" s="5" t="b">
        <v>1</v>
      </c>
      <c r="L34" s="28">
        <v>1129993</v>
      </c>
      <c r="M34" s="331">
        <v>8532.61</v>
      </c>
      <c r="N34" s="28">
        <v>611779</v>
      </c>
      <c r="O34" s="28">
        <v>0</v>
      </c>
      <c r="P34" s="28"/>
      <c r="Q34" s="28">
        <v>1156916</v>
      </c>
      <c r="R34" s="28">
        <v>110196</v>
      </c>
      <c r="S34" s="28">
        <v>611779</v>
      </c>
      <c r="T34" s="28"/>
      <c r="U34" s="28">
        <v>19830</v>
      </c>
      <c r="V34" s="28">
        <v>84847</v>
      </c>
      <c r="W34" s="28">
        <v>666667</v>
      </c>
      <c r="X34" s="28"/>
    </row>
    <row r="35" spans="1:24">
      <c r="A35" s="24">
        <v>30</v>
      </c>
      <c r="B35" s="314" t="s">
        <v>68</v>
      </c>
      <c r="C35" s="331">
        <v>2122.25</v>
      </c>
      <c r="D35" s="331">
        <v>0</v>
      </c>
      <c r="E35" s="331">
        <v>475.03</v>
      </c>
      <c r="F35" s="331">
        <v>0</v>
      </c>
      <c r="G35" s="331">
        <v>12310.03</v>
      </c>
      <c r="H35" s="28">
        <v>0</v>
      </c>
      <c r="I35" s="28">
        <v>1626235</v>
      </c>
      <c r="J35" s="28">
        <v>0</v>
      </c>
      <c r="K35" s="5" t="b">
        <v>1</v>
      </c>
      <c r="L35" s="28">
        <v>17961347</v>
      </c>
      <c r="M35" s="331">
        <v>8541.4500000000007</v>
      </c>
      <c r="N35" s="28">
        <v>21711724</v>
      </c>
      <c r="O35" s="28">
        <v>0</v>
      </c>
      <c r="P35" s="28"/>
      <c r="Q35" s="28">
        <v>78147754</v>
      </c>
      <c r="R35" s="28">
        <v>519456</v>
      </c>
      <c r="S35" s="28">
        <v>21711724</v>
      </c>
      <c r="T35" s="28"/>
      <c r="U35" s="28">
        <v>19830</v>
      </c>
      <c r="V35" s="28">
        <v>84847</v>
      </c>
      <c r="W35" s="28">
        <v>2166667</v>
      </c>
      <c r="X35" s="28"/>
    </row>
    <row r="36" spans="1:24">
      <c r="A36" s="24">
        <v>31</v>
      </c>
      <c r="B36" s="314" t="s">
        <v>33</v>
      </c>
      <c r="C36" s="331">
        <v>46.85</v>
      </c>
      <c r="D36" s="331">
        <v>65.88</v>
      </c>
      <c r="E36" s="331">
        <v>24.85</v>
      </c>
      <c r="F36" s="331">
        <v>0</v>
      </c>
      <c r="G36" s="331">
        <v>12310.03</v>
      </c>
      <c r="H36" s="28">
        <v>0</v>
      </c>
      <c r="I36" s="28">
        <v>0</v>
      </c>
      <c r="J36" s="28">
        <v>0</v>
      </c>
      <c r="K36" s="5" t="b">
        <v>0</v>
      </c>
      <c r="L36" s="28">
        <v>5383169</v>
      </c>
      <c r="M36" s="331">
        <v>8550.7999999999993</v>
      </c>
      <c r="N36" s="28">
        <v>1582250</v>
      </c>
      <c r="O36" s="28">
        <v>3394098</v>
      </c>
      <c r="P36" s="28"/>
      <c r="Q36" s="28">
        <v>22554948</v>
      </c>
      <c r="R36" s="28">
        <v>27516</v>
      </c>
      <c r="S36" s="28">
        <v>1582250</v>
      </c>
      <c r="T36" s="28"/>
      <c r="U36" s="28">
        <v>0</v>
      </c>
      <c r="V36" s="28">
        <v>0</v>
      </c>
      <c r="W36" s="28">
        <v>966667</v>
      </c>
      <c r="X36" s="28"/>
    </row>
    <row r="37" spans="1:24">
      <c r="A37" s="24">
        <v>32</v>
      </c>
      <c r="B37" s="314" t="s">
        <v>69</v>
      </c>
      <c r="C37" s="331">
        <v>0</v>
      </c>
      <c r="D37" s="331">
        <v>0</v>
      </c>
      <c r="E37" s="331">
        <v>0</v>
      </c>
      <c r="F37" s="331">
        <v>0</v>
      </c>
      <c r="G37" s="331">
        <v>12310.03</v>
      </c>
      <c r="H37" s="28">
        <v>0</v>
      </c>
      <c r="I37" s="28">
        <v>0</v>
      </c>
      <c r="J37" s="28">
        <v>0</v>
      </c>
      <c r="K37" s="5" t="b">
        <v>0</v>
      </c>
      <c r="L37" s="28">
        <v>845586</v>
      </c>
      <c r="M37" s="331">
        <v>9220</v>
      </c>
      <c r="N37" s="28">
        <v>918594</v>
      </c>
      <c r="O37" s="28">
        <v>0</v>
      </c>
      <c r="P37" s="28"/>
      <c r="Q37" s="28">
        <v>69642</v>
      </c>
      <c r="R37" s="28">
        <v>699679</v>
      </c>
      <c r="S37" s="28">
        <v>918594</v>
      </c>
      <c r="T37" s="28"/>
      <c r="U37" s="28">
        <v>0</v>
      </c>
      <c r="V37" s="28">
        <v>0</v>
      </c>
      <c r="W37" s="28">
        <v>0</v>
      </c>
      <c r="X37" s="28"/>
    </row>
    <row r="38" spans="1:24">
      <c r="A38" s="24">
        <v>33</v>
      </c>
      <c r="B38" s="314" t="s">
        <v>32</v>
      </c>
      <c r="C38" s="331">
        <v>99.14</v>
      </c>
      <c r="D38" s="331">
        <v>40.82</v>
      </c>
      <c r="E38" s="331">
        <v>235.64</v>
      </c>
      <c r="F38" s="331">
        <v>0</v>
      </c>
      <c r="G38" s="331">
        <v>12310.03</v>
      </c>
      <c r="H38" s="28">
        <v>0</v>
      </c>
      <c r="I38" s="28">
        <v>0</v>
      </c>
      <c r="J38" s="28">
        <v>0</v>
      </c>
      <c r="K38" s="5" t="b">
        <v>0</v>
      </c>
      <c r="L38" s="28">
        <v>19797710</v>
      </c>
      <c r="M38" s="331">
        <v>8532.58</v>
      </c>
      <c r="N38" s="28">
        <v>16271136</v>
      </c>
      <c r="O38" s="28">
        <v>15409278</v>
      </c>
      <c r="P38" s="28"/>
      <c r="Q38" s="28">
        <v>67985354</v>
      </c>
      <c r="R38" s="28">
        <v>75120</v>
      </c>
      <c r="S38" s="28">
        <v>16271136</v>
      </c>
      <c r="T38" s="28"/>
      <c r="U38" s="28">
        <v>0</v>
      </c>
      <c r="V38" s="28">
        <v>0</v>
      </c>
      <c r="W38" s="28">
        <v>3500000</v>
      </c>
      <c r="X38" s="28"/>
    </row>
    <row r="39" spans="1:24">
      <c r="A39" s="24">
        <v>34</v>
      </c>
      <c r="B39" s="314" t="s">
        <v>43</v>
      </c>
      <c r="C39" s="331">
        <v>70.61</v>
      </c>
      <c r="D39" s="331">
        <v>0</v>
      </c>
      <c r="E39" s="331">
        <v>183.12</v>
      </c>
      <c r="F39" s="331">
        <v>0</v>
      </c>
      <c r="G39" s="331">
        <v>12310.03</v>
      </c>
      <c r="H39" s="28">
        <v>0</v>
      </c>
      <c r="I39" s="28">
        <v>0</v>
      </c>
      <c r="J39" s="28">
        <v>0</v>
      </c>
      <c r="K39" s="5" t="b">
        <v>0</v>
      </c>
      <c r="L39" s="28">
        <v>8759526</v>
      </c>
      <c r="M39" s="331">
        <v>8535.32</v>
      </c>
      <c r="N39" s="28">
        <v>17378821</v>
      </c>
      <c r="O39" s="28">
        <v>0</v>
      </c>
      <c r="P39" s="28"/>
      <c r="Q39" s="28">
        <v>6797569</v>
      </c>
      <c r="R39" s="28">
        <v>4127624</v>
      </c>
      <c r="S39" s="28">
        <v>17378821</v>
      </c>
      <c r="T39" s="28"/>
      <c r="U39" s="28">
        <v>0</v>
      </c>
      <c r="V39" s="28">
        <v>0</v>
      </c>
      <c r="W39" s="28">
        <v>2433333</v>
      </c>
      <c r="X39" s="28"/>
    </row>
    <row r="40" spans="1:24">
      <c r="A40" s="24">
        <v>35</v>
      </c>
      <c r="B40" s="314" t="s">
        <v>70</v>
      </c>
      <c r="C40" s="331">
        <v>5.15</v>
      </c>
      <c r="D40" s="331">
        <v>0</v>
      </c>
      <c r="E40" s="331">
        <v>7.77</v>
      </c>
      <c r="F40" s="331">
        <v>0</v>
      </c>
      <c r="G40" s="331">
        <v>12310.03</v>
      </c>
      <c r="H40" s="28">
        <v>0</v>
      </c>
      <c r="I40" s="28">
        <v>158967</v>
      </c>
      <c r="J40" s="28">
        <v>0</v>
      </c>
      <c r="K40" s="5" t="b">
        <v>1</v>
      </c>
      <c r="L40" s="28">
        <v>2377884</v>
      </c>
      <c r="M40" s="331">
        <v>8532.59</v>
      </c>
      <c r="N40" s="28">
        <v>344056</v>
      </c>
      <c r="O40" s="28">
        <v>0</v>
      </c>
      <c r="P40" s="28"/>
      <c r="Q40" s="28">
        <v>2073934</v>
      </c>
      <c r="R40" s="28">
        <v>414191</v>
      </c>
      <c r="S40" s="28">
        <v>344056</v>
      </c>
      <c r="T40" s="28"/>
      <c r="U40" s="28">
        <v>19830</v>
      </c>
      <c r="V40" s="28">
        <v>84847</v>
      </c>
      <c r="W40" s="28">
        <v>566667</v>
      </c>
      <c r="X40" s="28"/>
    </row>
    <row r="41" spans="1:24">
      <c r="A41" s="24">
        <v>36</v>
      </c>
      <c r="B41" s="314" t="s">
        <v>110</v>
      </c>
      <c r="C41" s="331">
        <v>568.04999999999995</v>
      </c>
      <c r="D41" s="331">
        <v>0</v>
      </c>
      <c r="E41" s="331">
        <v>246.4</v>
      </c>
      <c r="F41" s="331">
        <v>0</v>
      </c>
      <c r="G41" s="331">
        <v>12310.03</v>
      </c>
      <c r="H41" s="28">
        <v>0</v>
      </c>
      <c r="I41" s="28">
        <v>1972281</v>
      </c>
      <c r="J41" s="28">
        <v>0</v>
      </c>
      <c r="K41" s="5" t="b">
        <v>0</v>
      </c>
      <c r="L41" s="28">
        <v>15964318</v>
      </c>
      <c r="M41" s="331">
        <v>8532.58</v>
      </c>
      <c r="N41" s="28">
        <v>21324026</v>
      </c>
      <c r="O41" s="28">
        <v>0</v>
      </c>
      <c r="P41" s="28"/>
      <c r="Q41" s="28">
        <v>8244809</v>
      </c>
      <c r="R41" s="28">
        <v>14668869</v>
      </c>
      <c r="S41" s="28">
        <v>21324026</v>
      </c>
      <c r="T41" s="28"/>
      <c r="U41" s="28">
        <v>0</v>
      </c>
      <c r="V41" s="28">
        <v>0</v>
      </c>
      <c r="W41" s="28">
        <v>4833333</v>
      </c>
      <c r="X41" s="28"/>
    </row>
    <row r="42" spans="1:24">
      <c r="A42" s="24">
        <v>37</v>
      </c>
      <c r="B42" s="314" t="s">
        <v>71</v>
      </c>
      <c r="C42" s="331">
        <v>769.86</v>
      </c>
      <c r="D42" s="331">
        <v>0</v>
      </c>
      <c r="E42" s="331">
        <v>495.4</v>
      </c>
      <c r="F42" s="331">
        <v>0</v>
      </c>
      <c r="G42" s="331">
        <v>12310.03</v>
      </c>
      <c r="H42" s="28">
        <v>0</v>
      </c>
      <c r="I42" s="28">
        <v>0</v>
      </c>
      <c r="J42" s="28">
        <v>0</v>
      </c>
      <c r="K42" s="5" t="b">
        <v>0</v>
      </c>
      <c r="L42" s="28">
        <v>22104179</v>
      </c>
      <c r="M42" s="331">
        <v>8538.82</v>
      </c>
      <c r="N42" s="28">
        <v>34697863</v>
      </c>
      <c r="O42" s="28">
        <v>9658681</v>
      </c>
      <c r="P42" s="28"/>
      <c r="Q42" s="28">
        <v>90497312</v>
      </c>
      <c r="R42" s="28">
        <v>253052</v>
      </c>
      <c r="S42" s="28">
        <v>34697863</v>
      </c>
      <c r="T42" s="28"/>
      <c r="U42" s="28">
        <v>0</v>
      </c>
      <c r="V42" s="28">
        <v>0</v>
      </c>
      <c r="W42" s="28">
        <v>3766667</v>
      </c>
      <c r="X42" s="28"/>
    </row>
    <row r="43" spans="1:24">
      <c r="A43" s="24">
        <v>38</v>
      </c>
      <c r="B43" s="314" t="s">
        <v>111</v>
      </c>
      <c r="C43" s="331">
        <v>11.69</v>
      </c>
      <c r="D43" s="331">
        <v>0</v>
      </c>
      <c r="E43" s="331">
        <v>39.6</v>
      </c>
      <c r="F43" s="331">
        <v>0</v>
      </c>
      <c r="G43" s="331">
        <v>12310.03</v>
      </c>
      <c r="H43" s="28">
        <v>0</v>
      </c>
      <c r="I43" s="28">
        <v>4405904</v>
      </c>
      <c r="J43" s="28">
        <v>0</v>
      </c>
      <c r="K43" s="5" t="b">
        <v>1</v>
      </c>
      <c r="L43" s="28">
        <v>2455622</v>
      </c>
      <c r="M43" s="331">
        <v>8532.58</v>
      </c>
      <c r="N43" s="28">
        <v>6989791</v>
      </c>
      <c r="O43" s="28">
        <v>0</v>
      </c>
      <c r="P43" s="28"/>
      <c r="Q43" s="28">
        <v>2863174</v>
      </c>
      <c r="R43" s="28">
        <v>30084</v>
      </c>
      <c r="S43" s="28">
        <v>6989791</v>
      </c>
      <c r="T43" s="28"/>
      <c r="U43" s="28">
        <v>19830</v>
      </c>
      <c r="V43" s="28">
        <v>84847</v>
      </c>
      <c r="W43" s="28">
        <v>0</v>
      </c>
      <c r="X43" s="28"/>
    </row>
    <row r="44" spans="1:24">
      <c r="A44" s="24">
        <v>39</v>
      </c>
      <c r="B44" s="314" t="s">
        <v>112</v>
      </c>
      <c r="C44" s="331">
        <v>1043.6099999999999</v>
      </c>
      <c r="D44" s="331">
        <v>244.06</v>
      </c>
      <c r="E44" s="331">
        <v>147.99</v>
      </c>
      <c r="F44" s="331">
        <v>0</v>
      </c>
      <c r="G44" s="331">
        <v>12310.03</v>
      </c>
      <c r="H44" s="28">
        <v>0</v>
      </c>
      <c r="I44" s="28">
        <v>638628</v>
      </c>
      <c r="J44" s="28">
        <v>0</v>
      </c>
      <c r="K44" s="5" t="b">
        <v>1</v>
      </c>
      <c r="L44" s="28">
        <v>6812752</v>
      </c>
      <c r="M44" s="331">
        <v>8546.9500000000007</v>
      </c>
      <c r="N44" s="28">
        <v>13774189</v>
      </c>
      <c r="O44" s="28">
        <v>0</v>
      </c>
      <c r="P44" s="28"/>
      <c r="Q44" s="28">
        <v>12350591</v>
      </c>
      <c r="R44" s="28">
        <v>6732675</v>
      </c>
      <c r="S44" s="28">
        <v>13774189</v>
      </c>
      <c r="T44" s="28"/>
      <c r="U44" s="28">
        <v>0</v>
      </c>
      <c r="V44" s="28">
        <v>0</v>
      </c>
      <c r="W44" s="28">
        <v>1833333</v>
      </c>
      <c r="X44" s="28"/>
    </row>
    <row r="45" spans="1:24">
      <c r="A45" s="24">
        <v>40</v>
      </c>
      <c r="B45" s="314" t="s">
        <v>113</v>
      </c>
      <c r="C45" s="331">
        <v>64.510000000000005</v>
      </c>
      <c r="D45" s="331">
        <v>0</v>
      </c>
      <c r="E45" s="331">
        <v>33.29</v>
      </c>
      <c r="F45" s="331">
        <v>0</v>
      </c>
      <c r="G45" s="331">
        <v>12310.03</v>
      </c>
      <c r="H45" s="28">
        <v>0</v>
      </c>
      <c r="I45" s="28">
        <v>0</v>
      </c>
      <c r="J45" s="28">
        <v>0</v>
      </c>
      <c r="K45" s="5" t="b">
        <v>1</v>
      </c>
      <c r="L45" s="28">
        <v>2944817</v>
      </c>
      <c r="M45" s="331">
        <v>8533.24</v>
      </c>
      <c r="N45" s="28">
        <v>816785</v>
      </c>
      <c r="O45" s="28">
        <v>0</v>
      </c>
      <c r="P45" s="28"/>
      <c r="Q45" s="28">
        <v>12319482</v>
      </c>
      <c r="R45" s="28">
        <v>19560</v>
      </c>
      <c r="S45" s="28">
        <v>816785</v>
      </c>
      <c r="T45" s="28"/>
      <c r="U45" s="28">
        <v>19830</v>
      </c>
      <c r="V45" s="28">
        <v>84847</v>
      </c>
      <c r="W45" s="28">
        <v>633333</v>
      </c>
      <c r="X45" s="28"/>
    </row>
    <row r="46" spans="1:24">
      <c r="A46" s="24">
        <v>41</v>
      </c>
      <c r="B46" s="314" t="s">
        <v>114</v>
      </c>
      <c r="C46" s="331">
        <v>6.49</v>
      </c>
      <c r="D46" s="331">
        <v>0</v>
      </c>
      <c r="E46" s="331">
        <v>74.41</v>
      </c>
      <c r="F46" s="331">
        <v>0</v>
      </c>
      <c r="G46" s="331">
        <v>12310.03</v>
      </c>
      <c r="H46" s="28">
        <v>71986</v>
      </c>
      <c r="I46" s="28">
        <v>2908330</v>
      </c>
      <c r="J46" s="28">
        <v>0</v>
      </c>
      <c r="K46" s="5" t="b">
        <v>0</v>
      </c>
      <c r="L46" s="28">
        <v>12395774</v>
      </c>
      <c r="M46" s="331">
        <v>8532.58</v>
      </c>
      <c r="N46" s="28">
        <v>6082425</v>
      </c>
      <c r="O46" s="28">
        <v>4976537</v>
      </c>
      <c r="P46" s="28"/>
      <c r="Q46" s="28">
        <v>49689056</v>
      </c>
      <c r="R46" s="28">
        <v>16180</v>
      </c>
      <c r="S46" s="28">
        <v>6082425</v>
      </c>
      <c r="T46" s="28"/>
      <c r="U46" s="28">
        <v>0</v>
      </c>
      <c r="V46" s="28">
        <v>0</v>
      </c>
      <c r="W46" s="28">
        <v>1466667</v>
      </c>
      <c r="X46" s="28"/>
    </row>
    <row r="47" spans="1:24">
      <c r="A47" s="24">
        <v>42</v>
      </c>
      <c r="B47" s="314" t="s">
        <v>115</v>
      </c>
      <c r="C47" s="331">
        <v>6.69</v>
      </c>
      <c r="D47" s="331">
        <v>0</v>
      </c>
      <c r="E47" s="331">
        <v>94.21</v>
      </c>
      <c r="F47" s="331">
        <v>0</v>
      </c>
      <c r="G47" s="331">
        <v>12310.03</v>
      </c>
      <c r="H47" s="28">
        <v>0</v>
      </c>
      <c r="I47" s="28">
        <v>154970</v>
      </c>
      <c r="J47" s="28">
        <v>0</v>
      </c>
      <c r="K47" s="5" t="b">
        <v>0</v>
      </c>
      <c r="L47" s="28">
        <v>5665464</v>
      </c>
      <c r="M47" s="331">
        <v>8532.58</v>
      </c>
      <c r="N47" s="28">
        <v>2852650</v>
      </c>
      <c r="O47" s="28">
        <v>3738138</v>
      </c>
      <c r="P47" s="28"/>
      <c r="Q47" s="28">
        <v>19548304</v>
      </c>
      <c r="R47" s="28">
        <v>20180</v>
      </c>
      <c r="S47" s="28">
        <v>2852650</v>
      </c>
      <c r="T47" s="28"/>
      <c r="U47" s="28">
        <v>0</v>
      </c>
      <c r="V47" s="28">
        <v>0</v>
      </c>
      <c r="W47" s="28">
        <v>1366667</v>
      </c>
      <c r="X47" s="28"/>
    </row>
    <row r="48" spans="1:24">
      <c r="A48" s="24">
        <v>43</v>
      </c>
      <c r="B48" s="314" t="s">
        <v>116</v>
      </c>
      <c r="C48" s="331">
        <v>97.39</v>
      </c>
      <c r="D48" s="331">
        <v>80.03</v>
      </c>
      <c r="E48" s="331">
        <v>247.74</v>
      </c>
      <c r="F48" s="331">
        <v>0</v>
      </c>
      <c r="G48" s="331">
        <v>12310.03</v>
      </c>
      <c r="H48" s="28">
        <v>13184</v>
      </c>
      <c r="I48" s="28">
        <v>977663</v>
      </c>
      <c r="J48" s="28">
        <v>0</v>
      </c>
      <c r="K48" s="5" t="b">
        <v>0</v>
      </c>
      <c r="L48" s="28">
        <v>19532160</v>
      </c>
      <c r="M48" s="331">
        <v>8768.84</v>
      </c>
      <c r="N48" s="28">
        <v>5168697</v>
      </c>
      <c r="O48" s="28">
        <v>5386110</v>
      </c>
      <c r="P48" s="28"/>
      <c r="Q48" s="28">
        <v>72484052</v>
      </c>
      <c r="R48" s="28">
        <v>85032</v>
      </c>
      <c r="S48" s="28">
        <v>5168697</v>
      </c>
      <c r="T48" s="28"/>
      <c r="U48" s="28">
        <v>0</v>
      </c>
      <c r="V48" s="28">
        <v>0</v>
      </c>
      <c r="W48" s="28">
        <v>2433333</v>
      </c>
      <c r="X48" s="28"/>
    </row>
    <row r="49" spans="1:26">
      <c r="A49" s="24">
        <v>44</v>
      </c>
      <c r="B49" s="314" t="s">
        <v>117</v>
      </c>
      <c r="C49" s="331">
        <v>933.41</v>
      </c>
      <c r="D49" s="331">
        <v>0</v>
      </c>
      <c r="E49" s="331">
        <v>71.88</v>
      </c>
      <c r="F49" s="331">
        <v>0</v>
      </c>
      <c r="G49" s="331">
        <v>12310.03</v>
      </c>
      <c r="H49" s="28">
        <v>0</v>
      </c>
      <c r="I49" s="28">
        <v>0</v>
      </c>
      <c r="J49" s="28">
        <v>0</v>
      </c>
      <c r="K49" s="5" t="b">
        <v>0</v>
      </c>
      <c r="L49" s="28">
        <v>3963282</v>
      </c>
      <c r="M49" s="331">
        <v>8545.81</v>
      </c>
      <c r="N49" s="28">
        <v>9203286</v>
      </c>
      <c r="O49" s="28">
        <v>0</v>
      </c>
      <c r="P49" s="28"/>
      <c r="Q49" s="28">
        <v>5647629</v>
      </c>
      <c r="R49" s="28">
        <v>6906671</v>
      </c>
      <c r="S49" s="28">
        <v>9203286</v>
      </c>
      <c r="T49" s="28"/>
      <c r="U49" s="28">
        <v>0</v>
      </c>
      <c r="V49" s="28">
        <v>0</v>
      </c>
      <c r="W49" s="28">
        <v>666667</v>
      </c>
      <c r="X49" s="28"/>
    </row>
    <row r="50" spans="1:26">
      <c r="A50" s="24">
        <v>45</v>
      </c>
      <c r="B50" s="314" t="s">
        <v>72</v>
      </c>
      <c r="C50" s="331">
        <v>4.17</v>
      </c>
      <c r="D50" s="331">
        <v>0</v>
      </c>
      <c r="E50" s="331">
        <v>48.12</v>
      </c>
      <c r="F50" s="331">
        <v>0</v>
      </c>
      <c r="G50" s="331">
        <v>12310.03</v>
      </c>
      <c r="H50" s="28">
        <v>0</v>
      </c>
      <c r="I50" s="28">
        <v>1057463</v>
      </c>
      <c r="J50" s="28">
        <v>89982</v>
      </c>
      <c r="K50" s="5" t="b">
        <v>1</v>
      </c>
      <c r="L50" s="28">
        <v>2924990</v>
      </c>
      <c r="M50" s="331">
        <v>10112.049999999999</v>
      </c>
      <c r="N50" s="28">
        <v>1632441</v>
      </c>
      <c r="O50" s="28">
        <v>0</v>
      </c>
      <c r="P50" s="28"/>
      <c r="Q50" s="28">
        <v>3534506</v>
      </c>
      <c r="R50" s="28">
        <v>10458</v>
      </c>
      <c r="S50" s="28">
        <v>1632441</v>
      </c>
      <c r="T50" s="28"/>
      <c r="U50" s="28">
        <v>19830</v>
      </c>
      <c r="V50" s="28">
        <v>84847</v>
      </c>
      <c r="W50" s="28">
        <v>1066667</v>
      </c>
      <c r="X50" s="28"/>
    </row>
    <row r="51" spans="1:26">
      <c r="A51" s="24">
        <v>46</v>
      </c>
      <c r="B51" s="314" t="s">
        <v>73</v>
      </c>
      <c r="C51" s="331">
        <v>0</v>
      </c>
      <c r="D51" s="331">
        <v>0</v>
      </c>
      <c r="E51" s="331">
        <v>0</v>
      </c>
      <c r="F51" s="331">
        <v>0</v>
      </c>
      <c r="G51" s="331">
        <v>12310.03</v>
      </c>
      <c r="H51" s="28">
        <v>0</v>
      </c>
      <c r="I51" s="28">
        <v>0</v>
      </c>
      <c r="J51" s="28">
        <v>0</v>
      </c>
      <c r="K51" s="5" t="b">
        <v>1</v>
      </c>
      <c r="L51" s="28">
        <v>486164</v>
      </c>
      <c r="M51" s="331">
        <v>0</v>
      </c>
      <c r="N51" s="28">
        <v>103124</v>
      </c>
      <c r="O51" s="28">
        <v>0</v>
      </c>
      <c r="P51" s="28"/>
      <c r="Q51" s="28">
        <v>77598</v>
      </c>
      <c r="R51" s="28">
        <v>402276</v>
      </c>
      <c r="S51" s="28">
        <v>103124</v>
      </c>
      <c r="T51" s="28"/>
      <c r="U51" s="28">
        <v>19830</v>
      </c>
      <c r="V51" s="28">
        <v>84847</v>
      </c>
      <c r="W51" s="28">
        <v>0</v>
      </c>
      <c r="X51" s="28"/>
    </row>
    <row r="52" spans="1:26">
      <c r="A52" s="24">
        <v>47</v>
      </c>
      <c r="B52" s="314" t="s">
        <v>42</v>
      </c>
      <c r="C52" s="331">
        <v>0</v>
      </c>
      <c r="D52" s="331">
        <v>0</v>
      </c>
      <c r="E52" s="331">
        <v>9.69</v>
      </c>
      <c r="F52" s="331">
        <v>0</v>
      </c>
      <c r="G52" s="331">
        <v>12310.03</v>
      </c>
      <c r="H52" s="28">
        <v>0</v>
      </c>
      <c r="I52" s="28">
        <v>158466</v>
      </c>
      <c r="J52" s="28">
        <v>0</v>
      </c>
      <c r="K52" s="5" t="b">
        <v>1</v>
      </c>
      <c r="L52" s="28">
        <v>1128423</v>
      </c>
      <c r="M52" s="331">
        <v>10739.8</v>
      </c>
      <c r="N52" s="28">
        <v>330914</v>
      </c>
      <c r="O52" s="28">
        <v>0</v>
      </c>
      <c r="P52" s="28"/>
      <c r="Q52" s="28">
        <v>1060720</v>
      </c>
      <c r="R52" s="28">
        <v>171772</v>
      </c>
      <c r="S52" s="28">
        <v>330914</v>
      </c>
      <c r="T52" s="28"/>
      <c r="U52" s="28">
        <v>19830</v>
      </c>
      <c r="V52" s="28">
        <v>84847</v>
      </c>
      <c r="W52" s="28">
        <v>666667</v>
      </c>
      <c r="X52" s="28"/>
    </row>
    <row r="53" spans="1:26">
      <c r="A53" s="24">
        <v>48</v>
      </c>
      <c r="B53" s="314" t="s">
        <v>74</v>
      </c>
      <c r="C53" s="331">
        <v>31.72</v>
      </c>
      <c r="D53" s="331">
        <v>0</v>
      </c>
      <c r="E53" s="331">
        <v>50.9</v>
      </c>
      <c r="F53" s="331">
        <v>0</v>
      </c>
      <c r="G53" s="331">
        <v>12310.03</v>
      </c>
      <c r="H53" s="28">
        <v>0</v>
      </c>
      <c r="I53" s="28">
        <v>937834</v>
      </c>
      <c r="J53" s="28">
        <v>0</v>
      </c>
      <c r="K53" s="5" t="b">
        <v>0</v>
      </c>
      <c r="L53" s="28">
        <v>3169476</v>
      </c>
      <c r="M53" s="331">
        <v>8540.8799999999992</v>
      </c>
      <c r="N53" s="28">
        <v>5475276</v>
      </c>
      <c r="O53" s="28">
        <v>0</v>
      </c>
      <c r="P53" s="28"/>
      <c r="Q53" s="28">
        <v>6051165</v>
      </c>
      <c r="R53" s="28">
        <v>16524</v>
      </c>
      <c r="S53" s="28">
        <v>5475276</v>
      </c>
      <c r="T53" s="28"/>
      <c r="U53" s="28">
        <v>0</v>
      </c>
      <c r="V53" s="28">
        <v>0</v>
      </c>
      <c r="W53" s="28">
        <v>1166667</v>
      </c>
      <c r="X53" s="28"/>
    </row>
    <row r="54" spans="1:26">
      <c r="A54" s="24">
        <v>49</v>
      </c>
      <c r="B54" s="314" t="s">
        <v>75</v>
      </c>
      <c r="C54" s="331">
        <v>58.71</v>
      </c>
      <c r="D54" s="331">
        <v>0</v>
      </c>
      <c r="E54" s="331">
        <v>84.63</v>
      </c>
      <c r="F54" s="331">
        <v>0</v>
      </c>
      <c r="G54" s="331">
        <v>12310.03</v>
      </c>
      <c r="H54" s="28">
        <v>0</v>
      </c>
      <c r="I54" s="28">
        <v>0</v>
      </c>
      <c r="J54" s="28">
        <v>0</v>
      </c>
      <c r="K54" s="5" t="b">
        <v>0</v>
      </c>
      <c r="L54" s="28">
        <v>5973719</v>
      </c>
      <c r="M54" s="331">
        <v>8539.35</v>
      </c>
      <c r="N54" s="28">
        <v>6509603</v>
      </c>
      <c r="O54" s="28">
        <v>1082524</v>
      </c>
      <c r="P54" s="28"/>
      <c r="Q54" s="28">
        <v>13782740</v>
      </c>
      <c r="R54" s="28">
        <v>28668</v>
      </c>
      <c r="S54" s="28">
        <v>6509603</v>
      </c>
      <c r="T54" s="28"/>
      <c r="U54" s="28">
        <v>0</v>
      </c>
      <c r="V54" s="28">
        <v>0</v>
      </c>
      <c r="W54" s="28">
        <v>1700000</v>
      </c>
      <c r="X54" s="28"/>
    </row>
    <row r="55" spans="1:26">
      <c r="A55" s="24">
        <v>50</v>
      </c>
      <c r="B55" s="314" t="s">
        <v>41</v>
      </c>
      <c r="C55" s="331">
        <v>18.149999999999999</v>
      </c>
      <c r="D55" s="331">
        <v>3.58</v>
      </c>
      <c r="E55" s="331">
        <v>97.43</v>
      </c>
      <c r="F55" s="331">
        <v>0</v>
      </c>
      <c r="G55" s="331">
        <v>12310.03</v>
      </c>
      <c r="H55" s="28">
        <v>0</v>
      </c>
      <c r="I55" s="28">
        <v>1390938</v>
      </c>
      <c r="J55" s="28">
        <v>0</v>
      </c>
      <c r="K55" s="5" t="b">
        <v>0</v>
      </c>
      <c r="L55" s="28">
        <v>6901270</v>
      </c>
      <c r="M55" s="331">
        <v>8532.59</v>
      </c>
      <c r="N55" s="28">
        <v>10405858</v>
      </c>
      <c r="O55" s="28">
        <v>2258441</v>
      </c>
      <c r="P55" s="28"/>
      <c r="Q55" s="28">
        <v>17818218</v>
      </c>
      <c r="R55" s="28">
        <v>23832</v>
      </c>
      <c r="S55" s="28">
        <v>10405858</v>
      </c>
      <c r="T55" s="28"/>
      <c r="U55" s="28">
        <v>0</v>
      </c>
      <c r="V55" s="28">
        <v>0</v>
      </c>
      <c r="W55" s="28">
        <v>2400000</v>
      </c>
      <c r="X55" s="28"/>
    </row>
    <row r="56" spans="1:26">
      <c r="A56" s="24">
        <v>51</v>
      </c>
      <c r="B56" s="314" t="s">
        <v>76</v>
      </c>
      <c r="C56" s="331">
        <v>45.1</v>
      </c>
      <c r="D56" s="331">
        <v>3.8</v>
      </c>
      <c r="E56" s="331">
        <v>0</v>
      </c>
      <c r="F56" s="331">
        <v>0</v>
      </c>
      <c r="G56" s="331">
        <v>12310.03</v>
      </c>
      <c r="H56" s="28">
        <v>0</v>
      </c>
      <c r="I56" s="28">
        <v>0</v>
      </c>
      <c r="J56" s="28">
        <v>0</v>
      </c>
      <c r="K56" s="5" t="b">
        <v>0</v>
      </c>
      <c r="L56" s="28">
        <v>2124384</v>
      </c>
      <c r="M56" s="331">
        <v>8551.36</v>
      </c>
      <c r="N56" s="28">
        <v>6124435</v>
      </c>
      <c r="O56" s="28">
        <v>0</v>
      </c>
      <c r="P56" s="28"/>
      <c r="Q56" s="28">
        <v>1008054</v>
      </c>
      <c r="R56" s="28">
        <v>1534492</v>
      </c>
      <c r="S56" s="28">
        <v>6124435</v>
      </c>
      <c r="T56" s="28"/>
      <c r="U56" s="28">
        <v>0</v>
      </c>
      <c r="V56" s="28">
        <v>0</v>
      </c>
      <c r="W56" s="28">
        <v>600000</v>
      </c>
      <c r="X56" s="28"/>
    </row>
    <row r="57" spans="1:26">
      <c r="A57" s="24">
        <v>52</v>
      </c>
      <c r="B57" s="314" t="s">
        <v>77</v>
      </c>
      <c r="C57" s="331">
        <v>0</v>
      </c>
      <c r="D57" s="331">
        <v>0</v>
      </c>
      <c r="E57" s="331">
        <v>27.73</v>
      </c>
      <c r="F57" s="331">
        <v>0</v>
      </c>
      <c r="G57" s="331">
        <v>12310.03</v>
      </c>
      <c r="H57" s="28">
        <v>0</v>
      </c>
      <c r="I57" s="28">
        <v>390254</v>
      </c>
      <c r="J57" s="28">
        <v>0</v>
      </c>
      <c r="K57" s="5" t="b">
        <v>0</v>
      </c>
      <c r="L57" s="28">
        <v>1201702</v>
      </c>
      <c r="M57" s="331">
        <v>8532.59</v>
      </c>
      <c r="N57" s="28">
        <v>3157922</v>
      </c>
      <c r="O57" s="28">
        <v>0</v>
      </c>
      <c r="P57" s="28"/>
      <c r="Q57" s="28">
        <v>1516196</v>
      </c>
      <c r="R57" s="28">
        <v>5546</v>
      </c>
      <c r="S57" s="28">
        <v>3157922</v>
      </c>
      <c r="T57" s="28"/>
      <c r="U57" s="28">
        <v>0</v>
      </c>
      <c r="V57" s="28">
        <v>0</v>
      </c>
      <c r="W57" s="28">
        <v>600000</v>
      </c>
      <c r="X57" s="28"/>
    </row>
    <row r="58" spans="1:26">
      <c r="A58" s="24">
        <v>53</v>
      </c>
      <c r="B58" s="314" t="s">
        <v>78</v>
      </c>
      <c r="C58" s="331">
        <v>2.76</v>
      </c>
      <c r="D58" s="331">
        <v>7.32</v>
      </c>
      <c r="E58" s="331">
        <v>0</v>
      </c>
      <c r="F58" s="331">
        <v>0</v>
      </c>
      <c r="G58" s="331">
        <v>12310.03</v>
      </c>
      <c r="H58" s="28">
        <v>0</v>
      </c>
      <c r="I58" s="28">
        <v>8433</v>
      </c>
      <c r="J58" s="28">
        <v>0</v>
      </c>
      <c r="K58" s="5" t="b">
        <v>1</v>
      </c>
      <c r="L58" s="28">
        <v>496856</v>
      </c>
      <c r="M58" s="331">
        <v>8532.67</v>
      </c>
      <c r="N58" s="28">
        <v>142295</v>
      </c>
      <c r="O58" s="28">
        <v>0</v>
      </c>
      <c r="P58" s="28"/>
      <c r="Q58" s="28">
        <v>604545</v>
      </c>
      <c r="R58" s="28">
        <v>2016</v>
      </c>
      <c r="S58" s="28">
        <v>142295</v>
      </c>
      <c r="T58" s="28"/>
      <c r="U58" s="28">
        <v>19830</v>
      </c>
      <c r="V58" s="28">
        <v>84847</v>
      </c>
      <c r="W58" s="28">
        <v>200000</v>
      </c>
      <c r="X58" s="28"/>
    </row>
    <row r="59" spans="1:26">
      <c r="A59" s="24">
        <v>54</v>
      </c>
      <c r="B59" s="314" t="s">
        <v>31</v>
      </c>
      <c r="C59" s="331">
        <v>24.01</v>
      </c>
      <c r="D59" s="331">
        <v>0</v>
      </c>
      <c r="E59" s="331">
        <v>93.13</v>
      </c>
      <c r="F59" s="331">
        <v>0</v>
      </c>
      <c r="G59" s="331">
        <v>12310.03</v>
      </c>
      <c r="H59" s="28">
        <v>0</v>
      </c>
      <c r="I59" s="28">
        <v>1802742</v>
      </c>
      <c r="J59" s="28">
        <v>0</v>
      </c>
      <c r="K59" s="5" t="b">
        <v>1</v>
      </c>
      <c r="L59" s="28">
        <v>6482234</v>
      </c>
      <c r="M59" s="331">
        <v>8532.58</v>
      </c>
      <c r="N59" s="28">
        <v>4292033</v>
      </c>
      <c r="O59" s="28">
        <v>0</v>
      </c>
      <c r="P59" s="28"/>
      <c r="Q59" s="28">
        <v>4605270</v>
      </c>
      <c r="R59" s="28">
        <v>2876470</v>
      </c>
      <c r="S59" s="28">
        <v>4292033</v>
      </c>
      <c r="T59" s="28"/>
      <c r="U59" s="28">
        <v>19830</v>
      </c>
      <c r="V59" s="28">
        <v>84847</v>
      </c>
      <c r="W59" s="28">
        <v>1933333</v>
      </c>
      <c r="X59" s="28"/>
    </row>
    <row r="60" spans="1:26">
      <c r="A60" s="24">
        <v>55</v>
      </c>
      <c r="B60" s="314" t="s">
        <v>40</v>
      </c>
      <c r="C60" s="331">
        <v>8.8000000000000007</v>
      </c>
      <c r="D60" s="331">
        <v>0</v>
      </c>
      <c r="E60" s="331">
        <v>12.88</v>
      </c>
      <c r="F60" s="331">
        <v>0</v>
      </c>
      <c r="G60" s="331">
        <v>12310.03</v>
      </c>
      <c r="H60" s="28">
        <v>0</v>
      </c>
      <c r="I60" s="28">
        <v>0</v>
      </c>
      <c r="J60" s="28">
        <v>0</v>
      </c>
      <c r="K60" s="5" t="b">
        <v>1</v>
      </c>
      <c r="L60" s="28">
        <v>1005851</v>
      </c>
      <c r="M60" s="331">
        <v>8551.7099999999991</v>
      </c>
      <c r="N60" s="28">
        <v>386873</v>
      </c>
      <c r="O60" s="28">
        <v>0</v>
      </c>
      <c r="P60" s="28"/>
      <c r="Q60" s="28">
        <v>607156</v>
      </c>
      <c r="R60" s="28">
        <v>584096</v>
      </c>
      <c r="S60" s="28">
        <v>386873</v>
      </c>
      <c r="T60" s="28"/>
      <c r="U60" s="28">
        <v>19830</v>
      </c>
      <c r="V60" s="28">
        <v>84847</v>
      </c>
      <c r="W60" s="28">
        <v>533333</v>
      </c>
      <c r="X60" s="28"/>
    </row>
    <row r="61" spans="1:26">
      <c r="A61" s="24">
        <v>56</v>
      </c>
      <c r="B61" s="314" t="s">
        <v>39</v>
      </c>
      <c r="C61" s="331">
        <v>70.790000000000006</v>
      </c>
      <c r="D61" s="331">
        <v>0</v>
      </c>
      <c r="E61" s="331">
        <v>124.96</v>
      </c>
      <c r="F61" s="331">
        <v>0</v>
      </c>
      <c r="G61" s="331">
        <v>12310.03</v>
      </c>
      <c r="H61" s="28">
        <v>0</v>
      </c>
      <c r="I61" s="28">
        <v>2700753</v>
      </c>
      <c r="J61" s="28">
        <v>0</v>
      </c>
      <c r="K61" s="5" t="b">
        <v>0</v>
      </c>
      <c r="L61" s="28">
        <v>7612982</v>
      </c>
      <c r="M61" s="331">
        <v>8532.58</v>
      </c>
      <c r="N61" s="28">
        <v>10970148</v>
      </c>
      <c r="O61" s="28">
        <v>0</v>
      </c>
      <c r="P61" s="28"/>
      <c r="Q61" s="28">
        <v>14522143</v>
      </c>
      <c r="R61" s="28">
        <v>39150</v>
      </c>
      <c r="S61" s="28">
        <v>10970148</v>
      </c>
      <c r="T61" s="28"/>
      <c r="U61" s="28">
        <v>0</v>
      </c>
      <c r="V61" s="28">
        <v>0</v>
      </c>
      <c r="W61" s="28">
        <v>1200000</v>
      </c>
      <c r="X61" s="28"/>
    </row>
    <row r="62" spans="1:26">
      <c r="A62" s="24">
        <v>57</v>
      </c>
      <c r="B62" s="314" t="s">
        <v>38</v>
      </c>
      <c r="C62" s="331">
        <v>51.68</v>
      </c>
      <c r="D62" s="331">
        <v>0</v>
      </c>
      <c r="E62" s="331">
        <v>19.77</v>
      </c>
      <c r="F62" s="331">
        <v>0</v>
      </c>
      <c r="G62" s="331">
        <v>12310.03</v>
      </c>
      <c r="H62" s="28">
        <v>0</v>
      </c>
      <c r="I62" s="28">
        <v>0</v>
      </c>
      <c r="J62" s="28">
        <v>0</v>
      </c>
      <c r="K62" s="5" t="b">
        <v>1</v>
      </c>
      <c r="L62" s="28">
        <v>2082634</v>
      </c>
      <c r="M62" s="331">
        <v>8532.59</v>
      </c>
      <c r="N62" s="28">
        <v>1590762</v>
      </c>
      <c r="O62" s="28">
        <v>0</v>
      </c>
      <c r="P62" s="28"/>
      <c r="Q62" s="28">
        <v>2191969</v>
      </c>
      <c r="R62" s="28">
        <v>500318</v>
      </c>
      <c r="S62" s="28">
        <v>1590762</v>
      </c>
      <c r="T62" s="28"/>
      <c r="U62" s="28">
        <v>19830</v>
      </c>
      <c r="V62" s="28">
        <v>84847</v>
      </c>
      <c r="W62" s="28">
        <v>666667</v>
      </c>
      <c r="X62" s="28"/>
    </row>
    <row r="63" spans="1:26">
      <c r="A63" s="24">
        <v>58</v>
      </c>
      <c r="B63" s="314" t="s">
        <v>79</v>
      </c>
      <c r="C63" s="331">
        <v>35.119999999999997</v>
      </c>
      <c r="D63" s="331">
        <v>0</v>
      </c>
      <c r="E63" s="331">
        <v>31.47</v>
      </c>
      <c r="F63" s="331">
        <v>0</v>
      </c>
      <c r="G63" s="331">
        <v>12310.03</v>
      </c>
      <c r="H63" s="28">
        <v>0</v>
      </c>
      <c r="I63" s="28">
        <v>0</v>
      </c>
      <c r="J63" s="28">
        <v>0</v>
      </c>
      <c r="K63" s="5" t="b">
        <v>1</v>
      </c>
      <c r="L63" s="28">
        <v>1391533</v>
      </c>
      <c r="M63" s="331">
        <v>8532.58</v>
      </c>
      <c r="N63" s="28">
        <v>344539</v>
      </c>
      <c r="O63" s="28">
        <v>0</v>
      </c>
      <c r="P63" s="28"/>
      <c r="Q63" s="28">
        <v>1940453</v>
      </c>
      <c r="R63" s="28">
        <v>19264</v>
      </c>
      <c r="S63" s="28">
        <v>344539</v>
      </c>
      <c r="T63" s="28"/>
      <c r="U63" s="28">
        <v>19830</v>
      </c>
      <c r="V63" s="28">
        <v>84847</v>
      </c>
      <c r="W63" s="28">
        <v>533333</v>
      </c>
      <c r="X63" s="28"/>
    </row>
    <row r="64" spans="1:26" s="1105" customFormat="1" ht="15.6">
      <c r="C64" s="1106">
        <f t="shared" ref="C64:J64" si="0">SUM(C6:C63)</f>
        <v>8082.0599999999995</v>
      </c>
      <c r="D64" s="1106">
        <f t="shared" si="0"/>
        <v>807.22</v>
      </c>
      <c r="E64" s="1106">
        <f t="shared" si="0"/>
        <v>5662.0999999999985</v>
      </c>
      <c r="F64" s="1106">
        <f t="shared" si="0"/>
        <v>154.35</v>
      </c>
      <c r="G64" s="1106"/>
      <c r="H64" s="1106">
        <f t="shared" si="0"/>
        <v>85170</v>
      </c>
      <c r="I64" s="1106">
        <f t="shared" si="0"/>
        <v>30104537</v>
      </c>
      <c r="J64" s="1106">
        <f t="shared" si="0"/>
        <v>494781</v>
      </c>
      <c r="K64" s="1107"/>
      <c r="L64" s="1106">
        <f t="shared" ref="L64:X64" si="1">SUM(L6:L63)</f>
        <v>355796236</v>
      </c>
      <c r="M64" s="1106"/>
      <c r="N64" s="1106">
        <f t="shared" si="1"/>
        <v>360056907</v>
      </c>
      <c r="O64" s="1106">
        <f t="shared" si="1"/>
        <v>49080283</v>
      </c>
      <c r="P64" s="1106">
        <f t="shared" si="1"/>
        <v>0</v>
      </c>
      <c r="Q64" s="1106">
        <f t="shared" si="1"/>
        <v>744457815</v>
      </c>
      <c r="R64" s="1106">
        <f t="shared" si="1"/>
        <v>64926413</v>
      </c>
      <c r="S64" s="1106">
        <f t="shared" si="1"/>
        <v>360056907</v>
      </c>
      <c r="T64" s="1106">
        <f t="shared" si="1"/>
        <v>0</v>
      </c>
      <c r="U64" s="1106">
        <f t="shared" si="1"/>
        <v>475920</v>
      </c>
      <c r="V64" s="1106">
        <f t="shared" si="1"/>
        <v>2036328</v>
      </c>
      <c r="W64" s="1106">
        <f t="shared" si="1"/>
        <v>71966668</v>
      </c>
      <c r="X64" s="1106">
        <f t="shared" si="1"/>
        <v>0</v>
      </c>
      <c r="Z64" s="1108"/>
    </row>
    <row r="65" spans="2:2" ht="15.6">
      <c r="B65" s="912">
        <f>SUM(C64:X64)</f>
        <v>2039552670.73</v>
      </c>
    </row>
    <row r="66" spans="2:2" ht="15.6">
      <c r="B66" s="883" t="s">
        <v>1611</v>
      </c>
    </row>
  </sheetData>
  <phoneticPr fontId="51" type="noConversion"/>
  <pageMargins left="0.25" right="0.25" top="0.5" bottom="0.5" header="0.3" footer="0.3"/>
  <pageSetup paperSize="5" scale="43" orientation="landscape" horizontalDpi="4294967295" verticalDpi="4294967295" r:id="rId1"/>
  <headerFooter>
    <oddFooter>&amp;R&amp;F
&amp;A</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R124"/>
  <sheetViews>
    <sheetView showGridLines="0" topLeftCell="A2" zoomScale="90" zoomScaleNormal="90" workbookViewId="0">
      <selection activeCell="E6" sqref="E6"/>
    </sheetView>
  </sheetViews>
  <sheetFormatPr defaultColWidth="9.109375" defaultRowHeight="13.8"/>
  <cols>
    <col min="1" max="1" width="9.109375" style="29"/>
    <col min="2" max="2" width="31" style="3" customWidth="1"/>
    <col min="3" max="3" width="8.33203125" style="52" customWidth="1"/>
    <col min="4" max="4" width="7.88671875" style="52" customWidth="1"/>
    <col min="5" max="5" width="54.88671875" style="3" customWidth="1"/>
    <col min="6" max="6" width="52.33203125" style="52" customWidth="1"/>
    <col min="7" max="7" width="71.109375" style="3" customWidth="1"/>
    <col min="8" max="8" width="9.109375" style="3"/>
    <col min="9" max="9" width="10.44140625" style="3" bestFit="1" customWidth="1"/>
    <col min="10" max="11" width="9.109375" style="3"/>
    <col min="12" max="12" width="18" style="3" customWidth="1"/>
    <col min="13" max="16384" width="9.109375" style="3"/>
  </cols>
  <sheetData>
    <row r="1" spans="1:18" s="68" customFormat="1" ht="21" customHeight="1">
      <c r="A1" s="268" t="s">
        <v>269</v>
      </c>
      <c r="B1" s="267"/>
      <c r="C1" s="267"/>
      <c r="D1" s="267"/>
      <c r="E1" s="267"/>
      <c r="F1" s="267"/>
      <c r="G1" s="267"/>
      <c r="H1" s="267"/>
      <c r="I1" s="267"/>
      <c r="J1" s="267"/>
      <c r="K1" s="267"/>
      <c r="Q1" s="69"/>
    </row>
    <row r="2" spans="1:18" s="52" customFormat="1" ht="210.6" customHeight="1">
      <c r="A2" s="1257" t="s">
        <v>270</v>
      </c>
      <c r="B2" s="1258"/>
      <c r="C2" s="1258"/>
      <c r="D2" s="1258"/>
      <c r="E2" s="1258"/>
      <c r="F2" s="1258"/>
      <c r="G2" s="1258"/>
      <c r="H2" s="1258"/>
      <c r="I2" s="1258"/>
      <c r="J2" s="1258"/>
      <c r="K2" s="1258"/>
      <c r="Q2" s="66"/>
    </row>
    <row r="3" spans="1:18" s="52" customFormat="1" ht="14.4">
      <c r="A3" s="279" t="s">
        <v>1872</v>
      </c>
      <c r="B3" s="141"/>
      <c r="C3" s="141"/>
      <c r="D3" s="141"/>
      <c r="E3" s="141"/>
      <c r="F3" s="141"/>
      <c r="G3" s="141"/>
      <c r="H3" s="142"/>
      <c r="I3" s="141"/>
      <c r="J3" s="141"/>
      <c r="K3" s="142"/>
      <c r="Q3" s="66"/>
    </row>
    <row r="4" spans="1:18" s="52" customFormat="1" ht="14.4">
      <c r="A4" s="159" t="s">
        <v>231</v>
      </c>
      <c r="B4" s="1128"/>
      <c r="C4" s="1129"/>
      <c r="D4" s="1129"/>
      <c r="E4" s="1129"/>
      <c r="F4" s="1129"/>
      <c r="G4" s="1129"/>
      <c r="H4" s="1129"/>
      <c r="I4" s="1129"/>
      <c r="J4" s="1129"/>
      <c r="K4" s="1129"/>
      <c r="Q4" s="66"/>
    </row>
    <row r="5" spans="1:18" s="53" customFormat="1" ht="45.6" customHeight="1">
      <c r="A5" s="152"/>
      <c r="B5" s="1244" t="s">
        <v>18</v>
      </c>
      <c r="C5" s="1244"/>
      <c r="D5" s="1244"/>
      <c r="E5" s="1206" t="s">
        <v>1873</v>
      </c>
      <c r="F5" s="1252"/>
      <c r="G5" s="1252"/>
      <c r="H5" s="1252"/>
      <c r="I5" s="1252"/>
      <c r="J5" s="1252"/>
      <c r="K5" s="1252"/>
      <c r="L5" s="160"/>
      <c r="M5" s="160"/>
      <c r="N5" s="160"/>
      <c r="O5" s="160"/>
      <c r="R5" s="145"/>
    </row>
    <row r="6" spans="1:18" s="52" customFormat="1" ht="21" customHeight="1">
      <c r="A6" s="1130"/>
      <c r="B6" s="1131"/>
      <c r="C6" s="1131"/>
      <c r="D6" s="1131"/>
      <c r="E6" s="1131"/>
      <c r="F6" s="1131"/>
      <c r="G6" s="1131"/>
      <c r="H6" s="1131"/>
      <c r="I6" s="1131"/>
      <c r="J6" s="1131"/>
      <c r="K6" s="1131"/>
      <c r="Q6" s="66"/>
    </row>
    <row r="7" spans="1:18" s="68" customFormat="1" ht="15" customHeight="1">
      <c r="A7" s="279" t="s">
        <v>1866</v>
      </c>
      <c r="B7" s="141"/>
      <c r="C7" s="141"/>
      <c r="D7" s="141"/>
      <c r="E7" s="141"/>
      <c r="F7" s="141"/>
      <c r="G7" s="141"/>
      <c r="H7" s="142"/>
      <c r="I7" s="141"/>
      <c r="J7" s="141"/>
      <c r="K7" s="142"/>
    </row>
    <row r="8" spans="1:18" s="53" customFormat="1" ht="20.399999999999999" customHeight="1">
      <c r="A8" s="159" t="s">
        <v>231</v>
      </c>
      <c r="B8" s="1053"/>
      <c r="C8" s="1054"/>
      <c r="D8" s="1054"/>
      <c r="E8" s="1054"/>
      <c r="F8" s="1054"/>
      <c r="G8" s="1054"/>
      <c r="H8" s="1054"/>
      <c r="I8" s="1054"/>
      <c r="J8" s="1054"/>
      <c r="K8" s="1054"/>
      <c r="Q8" s="140"/>
    </row>
    <row r="9" spans="1:18" s="53" customFormat="1" ht="24" customHeight="1">
      <c r="A9" s="152"/>
      <c r="B9" s="1205" t="s">
        <v>161</v>
      </c>
      <c r="C9" s="1205"/>
      <c r="D9" s="1205"/>
      <c r="E9" s="1206" t="s">
        <v>1863</v>
      </c>
      <c r="F9" s="1207"/>
      <c r="G9" s="1207"/>
      <c r="H9" s="1207"/>
      <c r="I9" s="1207"/>
      <c r="J9" s="1207"/>
      <c r="K9" s="1207"/>
      <c r="L9" s="160"/>
      <c r="M9" s="160"/>
      <c r="N9" s="160"/>
      <c r="O9" s="160"/>
      <c r="R9" s="145"/>
    </row>
    <row r="10" spans="1:18" s="53" customFormat="1" ht="24" customHeight="1">
      <c r="A10" s="148"/>
      <c r="B10" s="1208" t="s">
        <v>273</v>
      </c>
      <c r="C10" s="1208"/>
      <c r="D10" s="1208"/>
      <c r="E10" s="1206" t="s">
        <v>1867</v>
      </c>
      <c r="F10" s="1207"/>
      <c r="G10" s="1207"/>
      <c r="H10" s="1207"/>
      <c r="I10" s="1207"/>
      <c r="J10" s="1207"/>
      <c r="K10" s="1207"/>
      <c r="L10" s="153"/>
      <c r="R10" s="145"/>
    </row>
    <row r="11" spans="1:18" s="53" customFormat="1" ht="66" customHeight="1">
      <c r="A11" s="152"/>
      <c r="B11" s="1241" t="s">
        <v>201</v>
      </c>
      <c r="C11" s="1241"/>
      <c r="D11" s="1241"/>
      <c r="E11" s="1206" t="s">
        <v>1868</v>
      </c>
      <c r="F11" s="1207"/>
      <c r="G11" s="1207"/>
      <c r="H11" s="1207"/>
      <c r="I11" s="1207"/>
      <c r="J11" s="1207"/>
      <c r="K11" s="1207"/>
      <c r="L11" s="160"/>
      <c r="M11" s="160"/>
      <c r="N11" s="160"/>
      <c r="O11" s="160"/>
      <c r="R11" s="145"/>
    </row>
    <row r="12" spans="1:18" s="53" customFormat="1" ht="209.25" customHeight="1">
      <c r="A12" s="152"/>
      <c r="B12" s="1244" t="s">
        <v>18</v>
      </c>
      <c r="C12" s="1244"/>
      <c r="D12" s="1244"/>
      <c r="E12" s="1206" t="s">
        <v>1865</v>
      </c>
      <c r="F12" s="1252"/>
      <c r="G12" s="1252"/>
      <c r="H12" s="1252"/>
      <c r="I12" s="1252"/>
      <c r="J12" s="1252"/>
      <c r="K12" s="1252"/>
      <c r="L12" s="160"/>
      <c r="M12" s="160"/>
      <c r="N12" s="160"/>
      <c r="O12" s="160"/>
      <c r="R12" s="145"/>
    </row>
    <row r="13" spans="1:18" s="53" customFormat="1" ht="42" customHeight="1">
      <c r="A13" s="152"/>
      <c r="B13" s="1242" t="s">
        <v>1757</v>
      </c>
      <c r="C13" s="1242"/>
      <c r="D13" s="1242"/>
      <c r="E13" s="1206" t="s">
        <v>1853</v>
      </c>
      <c r="F13" s="1207"/>
      <c r="G13" s="1207"/>
      <c r="H13" s="1207"/>
      <c r="I13" s="1207"/>
      <c r="J13" s="1207"/>
      <c r="K13" s="1207"/>
      <c r="L13" s="160"/>
      <c r="M13" s="160"/>
      <c r="N13" s="160"/>
      <c r="O13" s="160"/>
      <c r="R13" s="145"/>
    </row>
    <row r="14" spans="1:18" s="53" customFormat="1" ht="159.75" customHeight="1">
      <c r="A14" s="152"/>
      <c r="B14" s="1244" t="s">
        <v>22</v>
      </c>
      <c r="C14" s="1244"/>
      <c r="D14" s="1244"/>
      <c r="E14" s="1206" t="s">
        <v>1864</v>
      </c>
      <c r="F14" s="1207"/>
      <c r="G14" s="1207"/>
      <c r="H14" s="1207"/>
      <c r="I14" s="1207"/>
      <c r="J14" s="1207"/>
      <c r="K14" s="1207"/>
      <c r="L14" s="160"/>
      <c r="M14" s="160"/>
      <c r="N14" s="160"/>
      <c r="O14" s="160"/>
      <c r="R14" s="145"/>
    </row>
    <row r="15" spans="1:18" s="53" customFormat="1" ht="42" customHeight="1">
      <c r="A15" s="152"/>
      <c r="B15" s="1209" t="s">
        <v>1870</v>
      </c>
      <c r="C15" s="1210"/>
      <c r="D15" s="1211"/>
      <c r="E15" s="1212" t="s">
        <v>1871</v>
      </c>
      <c r="F15" s="1213"/>
      <c r="G15" s="1213"/>
      <c r="H15" s="1213"/>
      <c r="I15" s="1213"/>
      <c r="J15" s="1213"/>
      <c r="K15" s="1214"/>
      <c r="L15" s="160"/>
      <c r="M15" s="160"/>
      <c r="N15" s="160"/>
      <c r="O15" s="160"/>
      <c r="R15" s="145"/>
    </row>
    <row r="16" spans="1:18" s="53" customFormat="1" ht="20.399999999999999" customHeight="1">
      <c r="A16" s="1056"/>
      <c r="B16" s="1236" t="s">
        <v>1729</v>
      </c>
      <c r="C16" s="1237"/>
      <c r="D16" s="1237"/>
      <c r="E16" s="1237"/>
      <c r="F16" s="1237"/>
      <c r="G16" s="1237"/>
      <c r="H16" s="1237"/>
      <c r="I16" s="1237"/>
      <c r="J16" s="1237"/>
      <c r="K16" s="1237"/>
      <c r="Q16" s="140"/>
    </row>
    <row r="17" spans="1:18" s="73" customFormat="1" ht="14.4">
      <c r="A17" s="158" t="s">
        <v>271</v>
      </c>
      <c r="B17" s="157"/>
      <c r="C17" s="157"/>
      <c r="D17" s="157"/>
      <c r="E17" s="157"/>
      <c r="F17" s="157"/>
      <c r="G17" s="157"/>
      <c r="R17" s="151"/>
    </row>
    <row r="18" spans="1:18" s="53" customFormat="1" ht="14.4">
      <c r="A18" s="143"/>
      <c r="B18" s="144" t="s">
        <v>165</v>
      </c>
      <c r="C18" s="164" t="s">
        <v>220</v>
      </c>
      <c r="D18" s="164" t="s">
        <v>194</v>
      </c>
      <c r="E18" s="144" t="s">
        <v>233</v>
      </c>
      <c r="F18" s="144" t="s">
        <v>232</v>
      </c>
      <c r="G18" s="144" t="s">
        <v>166</v>
      </c>
      <c r="R18" s="145"/>
    </row>
    <row r="19" spans="1:18" s="53" customFormat="1" ht="39.75" customHeight="1">
      <c r="A19" s="146"/>
      <c r="B19" s="154" t="s">
        <v>225</v>
      </c>
      <c r="C19" s="154"/>
      <c r="D19" s="154"/>
      <c r="E19" s="953"/>
      <c r="F19" s="953"/>
      <c r="G19" s="1212" t="s">
        <v>1862</v>
      </c>
      <c r="H19" s="1228"/>
      <c r="I19" s="1228"/>
      <c r="J19" s="1228"/>
      <c r="K19" s="1229"/>
      <c r="L19" s="147"/>
      <c r="M19" s="147"/>
      <c r="N19" s="147"/>
      <c r="O19" s="147"/>
      <c r="P19" s="147"/>
      <c r="R19" s="145"/>
    </row>
    <row r="20" spans="1:18" s="73" customFormat="1" ht="22.5" customHeight="1">
      <c r="A20" s="156"/>
      <c r="B20" s="253" t="s">
        <v>528</v>
      </c>
      <c r="C20" s="1147"/>
      <c r="D20" s="1147"/>
      <c r="E20" s="761" t="str">
        <f>+'COE CDS'!$A$2</f>
        <v>2021–2022 Second Principal (P-2) Apportionment</v>
      </c>
      <c r="F20" s="761" t="str">
        <f>+'COE CDS'!$A$1</f>
        <v>Education Protection Account Calculation</v>
      </c>
      <c r="G20" s="1212" t="s">
        <v>1857</v>
      </c>
      <c r="H20" s="1213"/>
      <c r="I20" s="1213"/>
      <c r="J20" s="1213"/>
      <c r="K20" s="1214"/>
      <c r="L20" s="149"/>
      <c r="M20" s="150"/>
      <c r="N20" s="150"/>
      <c r="O20" s="150"/>
      <c r="P20" s="150"/>
      <c r="R20" s="151"/>
    </row>
    <row r="21" spans="1:18" s="53" customFormat="1" ht="25.5" customHeight="1">
      <c r="A21" s="156"/>
      <c r="B21" s="756" t="s">
        <v>533</v>
      </c>
      <c r="C21" s="904" t="s">
        <v>108</v>
      </c>
      <c r="D21" s="904" t="s">
        <v>120</v>
      </c>
      <c r="E21" s="1020" t="str">
        <f>+'PY1 Local Rev'!$A$3</f>
        <v>2022–23 First Principal (P-1) Apportionment</v>
      </c>
      <c r="F21" s="1215" t="str">
        <f>+'PY1 Local Rev'!$A$1</f>
        <v>County Office Local Revenue</v>
      </c>
      <c r="G21" s="1212"/>
      <c r="H21" s="1213"/>
      <c r="I21" s="1213"/>
      <c r="J21" s="1213"/>
      <c r="K21" s="1214"/>
      <c r="L21" s="147"/>
      <c r="M21" s="147"/>
      <c r="N21" s="147"/>
      <c r="O21" s="147"/>
      <c r="P21" s="147"/>
      <c r="R21" s="145"/>
    </row>
    <row r="22" spans="1:18" s="53" customFormat="1" ht="22.5" customHeight="1">
      <c r="A22" s="156"/>
      <c r="B22" s="253" t="s">
        <v>534</v>
      </c>
      <c r="C22" s="905" t="s">
        <v>107</v>
      </c>
      <c r="D22" s="906" t="s">
        <v>121</v>
      </c>
      <c r="E22" s="1020" t="str">
        <f>+'PY2 Local Rev'!$A$3</f>
        <v xml:space="preserve">2021–22 Annual Apportionment </v>
      </c>
      <c r="F22" s="1216"/>
      <c r="G22" s="1227"/>
      <c r="H22" s="1228"/>
      <c r="I22" s="1228"/>
      <c r="J22" s="1228"/>
      <c r="K22" s="1229"/>
      <c r="L22" s="147"/>
      <c r="M22" s="147"/>
      <c r="N22" s="147"/>
      <c r="O22" s="147"/>
      <c r="P22" s="147"/>
      <c r="R22" s="145"/>
    </row>
    <row r="23" spans="1:18" s="53" customFormat="1" ht="22.5" customHeight="1">
      <c r="A23" s="156"/>
      <c r="B23" s="253" t="s">
        <v>1629</v>
      </c>
      <c r="C23" s="904" t="s">
        <v>83</v>
      </c>
      <c r="D23" s="904" t="s">
        <v>1620</v>
      </c>
      <c r="E23" s="1020" t="str">
        <f>+'PY3 Local Rev'!$A$3</f>
        <v>2020–21 Second Annual Recertification (AN R2)</v>
      </c>
      <c r="F23" s="1217"/>
      <c r="G23" s="1227"/>
      <c r="H23" s="1228"/>
      <c r="I23" s="1228"/>
      <c r="J23" s="1228"/>
      <c r="K23" s="1229"/>
      <c r="L23" s="147"/>
      <c r="M23" s="147"/>
      <c r="N23" s="147"/>
      <c r="O23" s="147"/>
      <c r="P23" s="147"/>
      <c r="R23" s="145"/>
    </row>
    <row r="24" spans="1:18" s="52" customFormat="1" ht="22.5" customHeight="1">
      <c r="A24" s="76"/>
      <c r="B24" s="253" t="s">
        <v>536</v>
      </c>
      <c r="C24" s="904" t="s">
        <v>108</v>
      </c>
      <c r="D24" s="904" t="s">
        <v>120</v>
      </c>
      <c r="E24" s="761" t="str">
        <f>+'PY1 UPP'!$A$2</f>
        <v>2022–23 First Principal (P-1) Apportionment</v>
      </c>
      <c r="F24" s="1215" t="str">
        <f>+'PY1 UPP'!$A$1</f>
        <v>County Unduplicated Pupil Percentage</v>
      </c>
      <c r="G24" s="1238"/>
      <c r="H24" s="1239"/>
      <c r="I24" s="1239"/>
      <c r="J24" s="1239"/>
      <c r="K24" s="1240"/>
      <c r="L24" s="147"/>
      <c r="M24" s="147"/>
      <c r="N24" s="147"/>
      <c r="O24" s="147"/>
      <c r="P24" s="147"/>
      <c r="Q24" s="147"/>
      <c r="R24" s="67"/>
    </row>
    <row r="25" spans="1:18" s="52" customFormat="1" ht="22.5" customHeight="1">
      <c r="A25" s="76"/>
      <c r="B25" s="253" t="s">
        <v>537</v>
      </c>
      <c r="C25" s="905" t="s">
        <v>107</v>
      </c>
      <c r="D25" s="906" t="s">
        <v>121</v>
      </c>
      <c r="E25" s="761" t="str">
        <f>+'PY2 UPP'!$A$2</f>
        <v>2021-22 Annual Apportionment</v>
      </c>
      <c r="F25" s="1216"/>
      <c r="G25" s="1238"/>
      <c r="H25" s="1239"/>
      <c r="I25" s="1239"/>
      <c r="J25" s="1239"/>
      <c r="K25" s="1240"/>
      <c r="L25" s="147"/>
      <c r="M25" s="147"/>
      <c r="N25" s="147"/>
      <c r="O25" s="147"/>
      <c r="P25" s="147"/>
      <c r="Q25" s="147"/>
      <c r="R25" s="67"/>
    </row>
    <row r="26" spans="1:18" s="52" customFormat="1" ht="22.5" customHeight="1">
      <c r="A26" s="76"/>
      <c r="B26" s="253" t="s">
        <v>1861</v>
      </c>
      <c r="C26" s="904" t="s">
        <v>83</v>
      </c>
      <c r="D26" s="904" t="s">
        <v>1620</v>
      </c>
      <c r="E26" s="761" t="str">
        <f>+'PY3 UPP'!$A$2</f>
        <v>2020–21 Second Annual Recertification (AN R2)</v>
      </c>
      <c r="F26" s="1217"/>
      <c r="G26" s="1221"/>
      <c r="H26" s="1222"/>
      <c r="I26" s="1222"/>
      <c r="J26" s="1222"/>
      <c r="K26" s="1223"/>
      <c r="L26" s="147"/>
      <c r="M26" s="147"/>
      <c r="N26" s="147"/>
      <c r="O26" s="147"/>
      <c r="P26" s="147"/>
      <c r="Q26" s="147"/>
      <c r="R26" s="67"/>
    </row>
    <row r="27" spans="1:18" s="53" customFormat="1" ht="22.5" customHeight="1">
      <c r="A27" s="156"/>
      <c r="B27" s="357" t="s">
        <v>539</v>
      </c>
      <c r="C27" s="904" t="s">
        <v>108</v>
      </c>
      <c r="D27" s="904" t="s">
        <v>120</v>
      </c>
      <c r="E27" s="761" t="str">
        <f>+'PY1 COG'!$A$2</f>
        <v>2022–22 First Principal (P-1) Apportionment</v>
      </c>
      <c r="F27" s="1215" t="str">
        <f>+'PY1 COG'!$A$1</f>
        <v>County Operations Grant</v>
      </c>
      <c r="G27" s="1221"/>
      <c r="H27" s="1222"/>
      <c r="I27" s="1222"/>
      <c r="J27" s="1222"/>
      <c r="K27" s="1223"/>
      <c r="L27" s="147"/>
      <c r="M27" s="147"/>
      <c r="N27" s="147"/>
      <c r="O27" s="147"/>
      <c r="P27" s="147"/>
      <c r="R27" s="145"/>
    </row>
    <row r="28" spans="1:18" s="53" customFormat="1" ht="22.5" customHeight="1">
      <c r="A28" s="156"/>
      <c r="B28" s="253" t="s">
        <v>540</v>
      </c>
      <c r="C28" s="905" t="s">
        <v>107</v>
      </c>
      <c r="D28" s="906" t="s">
        <v>121</v>
      </c>
      <c r="E28" s="761" t="str">
        <f>+'PY2 COG'!$A$2</f>
        <v>2021–22 Annual Apportionment</v>
      </c>
      <c r="F28" s="1216"/>
      <c r="G28" s="1221"/>
      <c r="H28" s="1222"/>
      <c r="I28" s="1222"/>
      <c r="J28" s="1222"/>
      <c r="K28" s="1223"/>
      <c r="L28" s="147"/>
      <c r="M28" s="147"/>
      <c r="N28" s="147"/>
      <c r="O28" s="147"/>
      <c r="P28" s="147"/>
      <c r="R28" s="145"/>
    </row>
    <row r="29" spans="1:18" s="53" customFormat="1" ht="22.5" customHeight="1">
      <c r="A29" s="156"/>
      <c r="B29" s="253" t="s">
        <v>1625</v>
      </c>
      <c r="C29" s="904" t="s">
        <v>83</v>
      </c>
      <c r="D29" s="904" t="s">
        <v>1620</v>
      </c>
      <c r="E29" s="761" t="str">
        <f>+'PY3 COG'!$A$2</f>
        <v>2020–21 Second Annual Recertification (AN R2)</v>
      </c>
      <c r="F29" s="1217"/>
      <c r="G29" s="1221"/>
      <c r="H29" s="1222"/>
      <c r="I29" s="1222"/>
      <c r="J29" s="1222"/>
      <c r="K29" s="1223"/>
      <c r="L29" s="147"/>
      <c r="M29" s="147"/>
      <c r="N29" s="147"/>
      <c r="O29" s="147"/>
      <c r="P29" s="147"/>
      <c r="R29" s="145"/>
    </row>
    <row r="30" spans="1:18" s="52" customFormat="1" ht="64.5" customHeight="1">
      <c r="A30" s="76"/>
      <c r="B30" s="357" t="s">
        <v>1736</v>
      </c>
      <c r="C30" s="904" t="s">
        <v>108</v>
      </c>
      <c r="D30" s="904" t="s">
        <v>120</v>
      </c>
      <c r="E30" s="761" t="str">
        <f>+'PY1 LCFF Calc'!$A$2</f>
        <v>2022–23 First Principal (P-1) Apportionment</v>
      </c>
      <c r="F30" s="1215" t="str">
        <f>+'PY1 LCFF Calc'!$A$1</f>
        <v>County LCFF Calculation</v>
      </c>
      <c r="G30" s="1224" t="s">
        <v>1840</v>
      </c>
      <c r="H30" s="1225"/>
      <c r="I30" s="1225"/>
      <c r="J30" s="1225"/>
      <c r="K30" s="1226"/>
      <c r="L30" s="147"/>
      <c r="M30" s="147"/>
      <c r="N30" s="147"/>
      <c r="O30" s="147"/>
      <c r="P30" s="147"/>
      <c r="Q30" s="147"/>
      <c r="R30" s="67"/>
    </row>
    <row r="31" spans="1:18" s="53" customFormat="1" ht="38.25" customHeight="1">
      <c r="A31" s="156"/>
      <c r="B31" s="253" t="s">
        <v>1737</v>
      </c>
      <c r="C31" s="905" t="s">
        <v>107</v>
      </c>
      <c r="D31" s="906" t="s">
        <v>121</v>
      </c>
      <c r="E31" s="761" t="str">
        <f>+'PY2 LCFF Calc'!$A$2</f>
        <v>2021–22 Annual Apportionment</v>
      </c>
      <c r="F31" s="1216"/>
      <c r="G31" s="1230" t="s">
        <v>1839</v>
      </c>
      <c r="H31" s="1231"/>
      <c r="I31" s="1231"/>
      <c r="J31" s="1231"/>
      <c r="K31" s="1232"/>
      <c r="L31" s="147"/>
      <c r="M31" s="147"/>
      <c r="N31" s="147"/>
      <c r="O31" s="147"/>
      <c r="P31" s="147"/>
      <c r="R31" s="145"/>
    </row>
    <row r="32" spans="1:18" s="53" customFormat="1" ht="38.25" customHeight="1">
      <c r="A32" s="156"/>
      <c r="B32" s="253" t="s">
        <v>1738</v>
      </c>
      <c r="C32" s="904" t="s">
        <v>83</v>
      </c>
      <c r="D32" s="904" t="s">
        <v>1620</v>
      </c>
      <c r="E32" s="761" t="str">
        <f>+'PY3 LCFF Calc'!$A$2</f>
        <v>2020–21 Second Annual Recertification (AN R2)</v>
      </c>
      <c r="F32" s="1217"/>
      <c r="G32" s="1233"/>
      <c r="H32" s="1234"/>
      <c r="I32" s="1234"/>
      <c r="J32" s="1234"/>
      <c r="K32" s="1235"/>
      <c r="L32" s="147"/>
      <c r="M32" s="147"/>
      <c r="N32" s="147"/>
      <c r="O32" s="147"/>
      <c r="P32" s="147"/>
      <c r="R32" s="145"/>
    </row>
    <row r="33" spans="1:18" s="53" customFormat="1" ht="34.5" customHeight="1">
      <c r="A33" s="156"/>
      <c r="B33" s="756" t="s">
        <v>527</v>
      </c>
      <c r="C33" s="904" t="s">
        <v>108</v>
      </c>
      <c r="D33" s="904" t="s">
        <v>120</v>
      </c>
      <c r="E33" s="1020" t="str">
        <f>+'PY1 Diff Asst'!$A$2</f>
        <v>2022–23 First Principal (P-1) Apportionment</v>
      </c>
      <c r="F33" s="1055" t="str">
        <f>+'PY1 Diff Asst'!$A$1</f>
        <v>County Funding Based on Districts Identified for Differentiated Assistance (County Funding)</v>
      </c>
      <c r="G33" s="1227"/>
      <c r="H33" s="1228"/>
      <c r="I33" s="1228"/>
      <c r="J33" s="1228"/>
      <c r="K33" s="1229"/>
      <c r="L33" s="147"/>
      <c r="M33" s="147"/>
      <c r="N33" s="147"/>
      <c r="O33" s="147"/>
      <c r="P33" s="147"/>
      <c r="R33" s="145"/>
    </row>
    <row r="34" spans="1:18" s="53" customFormat="1" ht="48.75" customHeight="1">
      <c r="B34" s="756" t="s">
        <v>1621</v>
      </c>
      <c r="C34" s="905" t="s">
        <v>108</v>
      </c>
      <c r="D34" s="904" t="s">
        <v>120</v>
      </c>
      <c r="E34" s="1020" t="str">
        <f>+'PY1 EPA'!$A$2</f>
        <v>2022–23 First Principal (P-1) Apportionment</v>
      </c>
      <c r="F34" s="1215" t="str">
        <f>+'PY1 EPA'!$A$1</f>
        <v>Education Protection Account Calculation</v>
      </c>
      <c r="G34" s="1218" t="s">
        <v>1860</v>
      </c>
      <c r="H34" s="1219"/>
      <c r="I34" s="1219"/>
      <c r="J34" s="1219"/>
      <c r="K34" s="1220"/>
      <c r="L34" s="147"/>
      <c r="M34" s="147"/>
      <c r="N34" s="147"/>
      <c r="O34" s="147"/>
      <c r="P34" s="147"/>
      <c r="R34" s="145"/>
    </row>
    <row r="35" spans="1:18" s="53" customFormat="1" ht="41.25" customHeight="1">
      <c r="A35" s="269" t="s">
        <v>1750</v>
      </c>
      <c r="B35" s="253" t="s">
        <v>1622</v>
      </c>
      <c r="C35" s="905" t="s">
        <v>107</v>
      </c>
      <c r="D35" s="907" t="s">
        <v>190</v>
      </c>
      <c r="E35" s="761" t="str">
        <f>+'PY2 EPA'!$A$2</f>
        <v>2021–22 Second Principal (P-2) Apportionment
(P-2) Apportionment</v>
      </c>
      <c r="F35" s="1216"/>
      <c r="G35" s="1218" t="s">
        <v>1774</v>
      </c>
      <c r="H35" s="1219"/>
      <c r="I35" s="1219"/>
      <c r="J35" s="1219"/>
      <c r="K35" s="1220"/>
      <c r="L35" s="147"/>
      <c r="M35" s="147"/>
      <c r="N35" s="147"/>
      <c r="O35" s="147"/>
      <c r="P35" s="147"/>
      <c r="R35" s="145"/>
    </row>
    <row r="36" spans="1:18" s="53" customFormat="1" ht="41.25" customHeight="1">
      <c r="A36" s="269" t="s">
        <v>272</v>
      </c>
      <c r="B36" s="253" t="s">
        <v>1623</v>
      </c>
      <c r="C36" s="904" t="s">
        <v>83</v>
      </c>
      <c r="D36" s="908" t="s">
        <v>190</v>
      </c>
      <c r="E36" s="761" t="str">
        <f>+'PY3 EPA'!$A$2</f>
        <v>2020–21 Second Principal 
(P-2) Apportionment</v>
      </c>
      <c r="F36" s="1217"/>
      <c r="G36" s="1218" t="s">
        <v>1774</v>
      </c>
      <c r="H36" s="1219"/>
      <c r="I36" s="1219"/>
      <c r="J36" s="1219"/>
      <c r="K36" s="1220"/>
      <c r="L36" s="147"/>
      <c r="M36" s="147"/>
      <c r="N36" s="147"/>
      <c r="O36" s="147"/>
      <c r="P36" s="147"/>
      <c r="R36" s="145"/>
    </row>
    <row r="37" spans="1:18" s="53" customFormat="1" ht="20.399999999999999" customHeight="1">
      <c r="A37" s="1054"/>
      <c r="B37" s="1053"/>
      <c r="C37" s="1054"/>
      <c r="D37" s="1054"/>
      <c r="E37" s="1054"/>
      <c r="F37" s="1054"/>
      <c r="G37" s="1054"/>
      <c r="H37" s="1054"/>
      <c r="I37" s="1054"/>
      <c r="J37" s="1054"/>
      <c r="K37" s="1054"/>
      <c r="Q37" s="140"/>
    </row>
    <row r="38" spans="1:18" s="68" customFormat="1" ht="15" customHeight="1">
      <c r="A38" s="279" t="s">
        <v>1759</v>
      </c>
      <c r="B38" s="141"/>
      <c r="C38" s="141"/>
      <c r="D38" s="141"/>
      <c r="E38" s="141"/>
      <c r="F38" s="141"/>
      <c r="G38" s="141"/>
      <c r="H38" s="142"/>
      <c r="I38" s="141"/>
      <c r="J38" s="141"/>
      <c r="K38" s="142"/>
    </row>
    <row r="39" spans="1:18" s="53" customFormat="1" ht="37.5" customHeight="1">
      <c r="A39" s="152"/>
      <c r="B39" s="1242" t="s">
        <v>1757</v>
      </c>
      <c r="C39" s="1242"/>
      <c r="D39" s="1242"/>
      <c r="E39" s="1206" t="s">
        <v>1855</v>
      </c>
      <c r="F39" s="1207"/>
      <c r="G39" s="1207"/>
      <c r="H39" s="1207"/>
      <c r="I39" s="1207"/>
      <c r="J39" s="1207"/>
      <c r="K39" s="1207"/>
      <c r="L39" s="160"/>
      <c r="M39" s="160"/>
      <c r="N39" s="160"/>
      <c r="O39" s="160"/>
      <c r="R39" s="145"/>
    </row>
    <row r="40" spans="1:18" s="53" customFormat="1" ht="41.4" customHeight="1">
      <c r="A40" s="152"/>
      <c r="B40" s="1244" t="s">
        <v>22</v>
      </c>
      <c r="C40" s="1244"/>
      <c r="D40" s="1244"/>
      <c r="E40" s="1206" t="s">
        <v>1760</v>
      </c>
      <c r="F40" s="1252"/>
      <c r="G40" s="1252"/>
      <c r="H40" s="1252"/>
      <c r="I40" s="1252"/>
      <c r="J40" s="1252"/>
      <c r="K40" s="1252"/>
      <c r="L40" s="160"/>
      <c r="M40" s="160"/>
      <c r="N40" s="160"/>
      <c r="O40" s="160"/>
      <c r="R40" s="145"/>
    </row>
    <row r="41" spans="1:18" s="53" customFormat="1" ht="42" customHeight="1">
      <c r="A41" s="152"/>
      <c r="B41" s="1242" t="s">
        <v>1697</v>
      </c>
      <c r="C41" s="1242"/>
      <c r="D41" s="1242"/>
      <c r="E41" s="1206" t="s">
        <v>1854</v>
      </c>
      <c r="F41" s="1207"/>
      <c r="G41" s="1207"/>
      <c r="H41" s="1207"/>
      <c r="I41" s="1207"/>
      <c r="J41" s="1207"/>
      <c r="K41" s="1207"/>
      <c r="L41" s="160"/>
      <c r="M41" s="160"/>
      <c r="N41" s="160"/>
      <c r="O41" s="160"/>
      <c r="R41" s="145"/>
    </row>
    <row r="42" spans="1:18" s="53" customFormat="1" ht="20.399999999999999" customHeight="1">
      <c r="A42" s="1043"/>
      <c r="B42" s="1236" t="s">
        <v>1729</v>
      </c>
      <c r="C42" s="1237"/>
      <c r="D42" s="1237"/>
      <c r="E42" s="1237"/>
      <c r="F42" s="1237"/>
      <c r="G42" s="1237"/>
      <c r="H42" s="1237"/>
      <c r="I42" s="1237"/>
      <c r="J42" s="1237"/>
      <c r="K42" s="1237"/>
      <c r="Q42" s="140"/>
    </row>
    <row r="43" spans="1:18" s="68" customFormat="1" ht="15" customHeight="1">
      <c r="A43" s="279" t="s">
        <v>1758</v>
      </c>
      <c r="B43" s="141"/>
      <c r="C43" s="141"/>
      <c r="D43" s="141"/>
      <c r="E43" s="141"/>
      <c r="F43" s="141"/>
      <c r="G43" s="141"/>
      <c r="H43" s="142"/>
      <c r="I43" s="141"/>
      <c r="J43" s="141"/>
      <c r="K43" s="142"/>
    </row>
    <row r="44" spans="1:18" s="68" customFormat="1" ht="15" customHeight="1">
      <c r="A44" s="279" t="s">
        <v>1659</v>
      </c>
      <c r="B44" s="1006"/>
      <c r="C44" s="141"/>
      <c r="D44" s="141"/>
      <c r="E44" s="141"/>
      <c r="F44" s="141"/>
      <c r="G44" s="141"/>
      <c r="H44" s="142"/>
      <c r="I44" s="141"/>
      <c r="J44" s="141"/>
      <c r="K44" s="142"/>
    </row>
    <row r="45" spans="1:18" s="53" customFormat="1" ht="20.399999999999999" customHeight="1">
      <c r="A45" s="129"/>
      <c r="B45" s="1236" t="s">
        <v>1729</v>
      </c>
      <c r="C45" s="1237"/>
      <c r="D45" s="1237"/>
      <c r="E45" s="1237"/>
      <c r="F45" s="1237"/>
      <c r="G45" s="1237"/>
      <c r="H45" s="1237"/>
      <c r="I45" s="1237"/>
      <c r="J45" s="1237"/>
      <c r="K45" s="1237"/>
      <c r="Q45" s="140"/>
    </row>
    <row r="46" spans="1:18" s="73" customFormat="1" ht="14.4">
      <c r="A46" s="158" t="s">
        <v>271</v>
      </c>
      <c r="B46" s="157"/>
      <c r="C46" s="157"/>
      <c r="D46" s="157"/>
      <c r="E46" s="157"/>
      <c r="F46" s="157"/>
      <c r="G46" s="157"/>
      <c r="R46" s="151"/>
    </row>
    <row r="47" spans="1:18" s="53" customFormat="1" ht="14.4">
      <c r="A47" s="143"/>
      <c r="B47" s="144" t="s">
        <v>165</v>
      </c>
      <c r="C47" s="164" t="s">
        <v>220</v>
      </c>
      <c r="D47" s="164" t="s">
        <v>194</v>
      </c>
      <c r="E47" s="144" t="s">
        <v>233</v>
      </c>
      <c r="F47" s="144" t="s">
        <v>232</v>
      </c>
      <c r="G47" s="144" t="s">
        <v>166</v>
      </c>
      <c r="R47" s="145"/>
    </row>
    <row r="48" spans="1:18" s="53" customFormat="1" ht="22.5" customHeight="1">
      <c r="A48" s="146"/>
      <c r="B48" s="154" t="s">
        <v>225</v>
      </c>
      <c r="C48" s="154"/>
      <c r="D48" s="154"/>
      <c r="E48" s="953"/>
      <c r="F48" s="953"/>
      <c r="G48" s="1227"/>
      <c r="H48" s="1228"/>
      <c r="I48" s="1228"/>
      <c r="J48" s="1228"/>
      <c r="K48" s="1229"/>
      <c r="L48" s="147"/>
      <c r="M48" s="147"/>
      <c r="N48" s="147"/>
      <c r="O48" s="147"/>
      <c r="P48" s="147"/>
      <c r="R48" s="145"/>
    </row>
    <row r="49" spans="1:18" s="73" customFormat="1" ht="22.5" customHeight="1">
      <c r="A49" s="156"/>
      <c r="B49" s="253" t="s">
        <v>528</v>
      </c>
      <c r="C49" s="904" t="s">
        <v>107</v>
      </c>
      <c r="D49" s="904" t="s">
        <v>190</v>
      </c>
      <c r="E49" s="761" t="str">
        <f>+'COE CDS'!$A$2</f>
        <v>2021–2022 Second Principal (P-2) Apportionment</v>
      </c>
      <c r="F49" s="761" t="str">
        <f>+'COE CDS'!$A$1</f>
        <v>Education Protection Account Calculation</v>
      </c>
      <c r="G49" s="1212"/>
      <c r="H49" s="1213"/>
      <c r="I49" s="1213"/>
      <c r="J49" s="1213"/>
      <c r="K49" s="1214"/>
      <c r="L49" s="149"/>
      <c r="M49" s="150"/>
      <c r="N49" s="150"/>
      <c r="O49" s="150"/>
      <c r="P49" s="150"/>
      <c r="R49" s="151"/>
    </row>
    <row r="50" spans="1:18" s="53" customFormat="1" ht="25.5" customHeight="1">
      <c r="A50" s="156"/>
      <c r="B50" s="756" t="s">
        <v>533</v>
      </c>
      <c r="C50" s="905" t="s">
        <v>107</v>
      </c>
      <c r="D50" s="904" t="s">
        <v>190</v>
      </c>
      <c r="E50" s="1020" t="str">
        <f>+'PY1 Local Rev'!$A$3</f>
        <v>2022–23 First Principal (P-1) Apportionment</v>
      </c>
      <c r="F50" s="1215" t="str">
        <f>+'PY1 Local Rev'!$A$1</f>
        <v>County Office Local Revenue</v>
      </c>
      <c r="G50" s="1212"/>
      <c r="H50" s="1213"/>
      <c r="I50" s="1213"/>
      <c r="J50" s="1213"/>
      <c r="K50" s="1214"/>
      <c r="L50" s="147"/>
      <c r="M50" s="147"/>
      <c r="N50" s="147"/>
      <c r="O50" s="147"/>
      <c r="P50" s="147"/>
      <c r="R50" s="145"/>
    </row>
    <row r="51" spans="1:18" s="53" customFormat="1" ht="22.5" customHeight="1">
      <c r="A51" s="156"/>
      <c r="B51" s="253" t="s">
        <v>534</v>
      </c>
      <c r="C51" s="904" t="s">
        <v>83</v>
      </c>
      <c r="D51" s="906" t="s">
        <v>1734</v>
      </c>
      <c r="E51" s="1020" t="str">
        <f>+'PY2 Local Rev'!$A$3</f>
        <v xml:space="preserve">2021–22 Annual Apportionment </v>
      </c>
      <c r="F51" s="1216"/>
      <c r="G51" s="1227"/>
      <c r="H51" s="1228"/>
      <c r="I51" s="1228"/>
      <c r="J51" s="1228"/>
      <c r="K51" s="1229"/>
      <c r="L51" s="147"/>
      <c r="M51" s="147"/>
      <c r="N51" s="147"/>
      <c r="O51" s="147"/>
      <c r="P51" s="147"/>
      <c r="R51" s="145"/>
    </row>
    <row r="52" spans="1:18" s="53" customFormat="1" ht="22.5" customHeight="1">
      <c r="A52" s="156"/>
      <c r="B52" s="253" t="s">
        <v>1629</v>
      </c>
      <c r="C52" s="904" t="s">
        <v>95</v>
      </c>
      <c r="D52" s="904" t="s">
        <v>1733</v>
      </c>
      <c r="E52" s="1020" t="str">
        <f>+'PY3 Local Rev'!$A$3</f>
        <v>2020–21 Second Annual Recertification (AN R2)</v>
      </c>
      <c r="F52" s="1217"/>
      <c r="G52" s="1227"/>
      <c r="H52" s="1228"/>
      <c r="I52" s="1228"/>
      <c r="J52" s="1228"/>
      <c r="K52" s="1229"/>
      <c r="L52" s="147"/>
      <c r="M52" s="147"/>
      <c r="N52" s="147"/>
      <c r="O52" s="147"/>
      <c r="P52" s="147"/>
      <c r="R52" s="145"/>
    </row>
    <row r="53" spans="1:18" s="52" customFormat="1" ht="22.5" customHeight="1">
      <c r="A53" s="76"/>
      <c r="B53" s="253" t="s">
        <v>1628</v>
      </c>
      <c r="C53" s="905" t="s">
        <v>107</v>
      </c>
      <c r="D53" s="904" t="s">
        <v>190</v>
      </c>
      <c r="E53" s="761" t="str">
        <f>+'PY1 UPP'!$A$2</f>
        <v>2022–23 First Principal (P-1) Apportionment</v>
      </c>
      <c r="F53" s="1215" t="str">
        <f>+'PY1 UPP'!$A$1</f>
        <v>County Unduplicated Pupil Percentage</v>
      </c>
      <c r="G53" s="1238"/>
      <c r="H53" s="1239"/>
      <c r="I53" s="1239"/>
      <c r="J53" s="1239"/>
      <c r="K53" s="1240"/>
      <c r="L53" s="147"/>
      <c r="M53" s="147"/>
      <c r="N53" s="147"/>
      <c r="O53" s="147"/>
      <c r="P53" s="147"/>
      <c r="Q53" s="147"/>
      <c r="R53" s="67"/>
    </row>
    <row r="54" spans="1:18" s="52" customFormat="1" ht="22.5" customHeight="1">
      <c r="A54" s="76"/>
      <c r="B54" s="253" t="s">
        <v>1627</v>
      </c>
      <c r="C54" s="904" t="s">
        <v>83</v>
      </c>
      <c r="D54" s="906" t="s">
        <v>1734</v>
      </c>
      <c r="E54" s="761" t="str">
        <f>+'PY2 UPP'!$A$2</f>
        <v>2021-22 Annual Apportionment</v>
      </c>
      <c r="F54" s="1216"/>
      <c r="G54" s="1238"/>
      <c r="H54" s="1239"/>
      <c r="I54" s="1239"/>
      <c r="J54" s="1239"/>
      <c r="K54" s="1240"/>
      <c r="L54" s="147"/>
      <c r="M54" s="147"/>
      <c r="N54" s="147"/>
      <c r="O54" s="147"/>
      <c r="P54" s="147"/>
      <c r="Q54" s="147"/>
      <c r="R54" s="67"/>
    </row>
    <row r="55" spans="1:18" s="52" customFormat="1" ht="22.5" customHeight="1">
      <c r="A55" s="76"/>
      <c r="B55" s="253" t="s">
        <v>1626</v>
      </c>
      <c r="C55" s="904" t="s">
        <v>95</v>
      </c>
      <c r="D55" s="904" t="s">
        <v>1733</v>
      </c>
      <c r="E55" s="761" t="str">
        <f>+'PY3 UPP'!$A$2</f>
        <v>2020–21 Second Annual Recertification (AN R2)</v>
      </c>
      <c r="F55" s="1217"/>
      <c r="G55" s="1221"/>
      <c r="H55" s="1222"/>
      <c r="I55" s="1222"/>
      <c r="J55" s="1222"/>
      <c r="K55" s="1223"/>
      <c r="L55" s="147"/>
      <c r="M55" s="147"/>
      <c r="N55" s="147"/>
      <c r="O55" s="147"/>
      <c r="P55" s="147"/>
      <c r="Q55" s="147"/>
      <c r="R55" s="67"/>
    </row>
    <row r="56" spans="1:18" s="53" customFormat="1" ht="22.5" customHeight="1">
      <c r="A56" s="156"/>
      <c r="B56" s="357" t="s">
        <v>539</v>
      </c>
      <c r="C56" s="905" t="s">
        <v>107</v>
      </c>
      <c r="D56" s="904" t="s">
        <v>190</v>
      </c>
      <c r="E56" s="761" t="str">
        <f>+'PY1 COG'!$A$2</f>
        <v>2022–22 First Principal (P-1) Apportionment</v>
      </c>
      <c r="F56" s="1215" t="str">
        <f>+'PY1 COG'!$A$1</f>
        <v>County Operations Grant</v>
      </c>
      <c r="G56" s="1221"/>
      <c r="H56" s="1222"/>
      <c r="I56" s="1222"/>
      <c r="J56" s="1222"/>
      <c r="K56" s="1223"/>
      <c r="L56" s="147"/>
      <c r="M56" s="147"/>
      <c r="N56" s="147"/>
      <c r="O56" s="147"/>
      <c r="P56" s="147"/>
      <c r="R56" s="145"/>
    </row>
    <row r="57" spans="1:18" s="53" customFormat="1" ht="22.5" customHeight="1">
      <c r="A57" s="156"/>
      <c r="B57" s="253" t="s">
        <v>540</v>
      </c>
      <c r="C57" s="904" t="s">
        <v>83</v>
      </c>
      <c r="D57" s="906" t="s">
        <v>1734</v>
      </c>
      <c r="E57" s="761" t="str">
        <f>+'PY2 COG'!$A$2</f>
        <v>2021–22 Annual Apportionment</v>
      </c>
      <c r="F57" s="1216"/>
      <c r="G57" s="1221"/>
      <c r="H57" s="1222"/>
      <c r="I57" s="1222"/>
      <c r="J57" s="1222"/>
      <c r="K57" s="1223"/>
      <c r="L57" s="147"/>
      <c r="M57" s="147"/>
      <c r="N57" s="147"/>
      <c r="O57" s="147"/>
      <c r="P57" s="147"/>
      <c r="R57" s="145"/>
    </row>
    <row r="58" spans="1:18" s="53" customFormat="1" ht="22.5" customHeight="1">
      <c r="A58" s="156"/>
      <c r="B58" s="253" t="s">
        <v>1625</v>
      </c>
      <c r="C58" s="904" t="s">
        <v>95</v>
      </c>
      <c r="D58" s="904" t="s">
        <v>1733</v>
      </c>
      <c r="E58" s="761" t="str">
        <f>+'PY3 COG'!$A$2</f>
        <v>2020–21 Second Annual Recertification (AN R2)</v>
      </c>
      <c r="F58" s="1217"/>
      <c r="G58" s="1221"/>
      <c r="H58" s="1222"/>
      <c r="I58" s="1222"/>
      <c r="J58" s="1222"/>
      <c r="K58" s="1223"/>
      <c r="L58" s="147"/>
      <c r="M58" s="147"/>
      <c r="N58" s="147"/>
      <c r="O58" s="147"/>
      <c r="P58" s="147"/>
      <c r="R58" s="145"/>
    </row>
    <row r="59" spans="1:18" s="52" customFormat="1" ht="22.5" customHeight="1">
      <c r="A59" s="76"/>
      <c r="B59" s="357" t="s">
        <v>1736</v>
      </c>
      <c r="C59" s="905" t="s">
        <v>107</v>
      </c>
      <c r="D59" s="904" t="s">
        <v>190</v>
      </c>
      <c r="E59" s="761" t="str">
        <f>+'PY1 LCFF Calc'!$A$2</f>
        <v>2022–23 First Principal (P-1) Apportionment</v>
      </c>
      <c r="F59" s="1215" t="str">
        <f>+'PY1 LCFF Calc'!$A$1</f>
        <v>County LCFF Calculation</v>
      </c>
      <c r="G59" s="1221"/>
      <c r="H59" s="1222"/>
      <c r="I59" s="1222"/>
      <c r="J59" s="1222"/>
      <c r="K59" s="1223"/>
      <c r="L59" s="147"/>
      <c r="M59" s="147"/>
      <c r="N59" s="147"/>
      <c r="O59" s="147"/>
      <c r="P59" s="147"/>
      <c r="Q59" s="147"/>
      <c r="R59" s="67"/>
    </row>
    <row r="60" spans="1:18" s="53" customFormat="1" ht="22.5" customHeight="1">
      <c r="A60" s="156"/>
      <c r="B60" s="253" t="s">
        <v>1737</v>
      </c>
      <c r="C60" s="904" t="s">
        <v>83</v>
      </c>
      <c r="D60" s="906" t="s">
        <v>1734</v>
      </c>
      <c r="E60" s="761" t="str">
        <f>+'PY2 LCFF Calc'!$A$2</f>
        <v>2021–22 Annual Apportionment</v>
      </c>
      <c r="F60" s="1216"/>
      <c r="G60" s="1227"/>
      <c r="H60" s="1228"/>
      <c r="I60" s="1228"/>
      <c r="J60" s="1228"/>
      <c r="K60" s="1229"/>
      <c r="L60" s="147"/>
      <c r="M60" s="147"/>
      <c r="N60" s="147"/>
      <c r="O60" s="147"/>
      <c r="P60" s="147"/>
      <c r="R60" s="145"/>
    </row>
    <row r="61" spans="1:18" s="53" customFormat="1" ht="22.5" customHeight="1">
      <c r="A61" s="156"/>
      <c r="B61" s="253" t="s">
        <v>1738</v>
      </c>
      <c r="C61" s="904" t="s">
        <v>95</v>
      </c>
      <c r="D61" s="904" t="s">
        <v>1733</v>
      </c>
      <c r="E61" s="761" t="str">
        <f>+'PY3 LCFF Calc'!$A$2</f>
        <v>2020–21 Second Annual Recertification (AN R2)</v>
      </c>
      <c r="F61" s="1217"/>
      <c r="G61" s="1227"/>
      <c r="H61" s="1228"/>
      <c r="I61" s="1228"/>
      <c r="J61" s="1228"/>
      <c r="K61" s="1229"/>
      <c r="L61" s="147"/>
      <c r="M61" s="147"/>
      <c r="N61" s="147"/>
      <c r="O61" s="147"/>
      <c r="P61" s="147"/>
      <c r="R61" s="145"/>
    </row>
    <row r="62" spans="1:18" s="53" customFormat="1" ht="34.5" customHeight="1">
      <c r="A62" s="156"/>
      <c r="B62" s="756" t="s">
        <v>527</v>
      </c>
      <c r="C62" s="905" t="s">
        <v>107</v>
      </c>
      <c r="D62" s="904" t="s">
        <v>190</v>
      </c>
      <c r="E62" s="1020" t="str">
        <f>+'PY1 Diff Asst'!$A$2</f>
        <v>2022–23 First Principal (P-1) Apportionment</v>
      </c>
      <c r="F62" s="1011" t="str">
        <f>+'PY1 Diff Asst'!$A$1</f>
        <v>County Funding Based on Districts Identified for Differentiated Assistance (County Funding)</v>
      </c>
      <c r="G62" s="1227"/>
      <c r="H62" s="1228"/>
      <c r="I62" s="1228"/>
      <c r="J62" s="1228"/>
      <c r="K62" s="1229"/>
      <c r="L62" s="147"/>
      <c r="M62" s="147"/>
      <c r="N62" s="147"/>
      <c r="O62" s="147"/>
      <c r="P62" s="147"/>
      <c r="R62" s="145"/>
    </row>
    <row r="63" spans="1:18" s="53" customFormat="1" ht="23.4" customHeight="1">
      <c r="A63" s="269" t="s">
        <v>1750</v>
      </c>
      <c r="B63" s="756" t="s">
        <v>1621</v>
      </c>
      <c r="C63" s="905" t="s">
        <v>107</v>
      </c>
      <c r="D63" s="1027" t="s">
        <v>190</v>
      </c>
      <c r="E63" s="1020" t="str">
        <f>+'PY1 EPA'!$A$2</f>
        <v>2022–23 First Principal (P-1) Apportionment</v>
      </c>
      <c r="F63" s="1215" t="str">
        <f>+'PY1 EPA'!$A$1</f>
        <v>Education Protection Account Calculation</v>
      </c>
      <c r="G63" s="1243" t="s">
        <v>164</v>
      </c>
      <c r="H63" s="1219"/>
      <c r="I63" s="1219"/>
      <c r="J63" s="1219"/>
      <c r="K63" s="1220"/>
      <c r="L63" s="147"/>
      <c r="M63" s="147"/>
      <c r="N63" s="147"/>
      <c r="O63" s="147"/>
      <c r="P63" s="147"/>
      <c r="R63" s="145"/>
    </row>
    <row r="64" spans="1:18" s="53" customFormat="1" ht="22.5" customHeight="1">
      <c r="A64" s="269" t="s">
        <v>272</v>
      </c>
      <c r="B64" s="253" t="s">
        <v>1622</v>
      </c>
      <c r="C64" s="904" t="s">
        <v>83</v>
      </c>
      <c r="D64" s="907" t="s">
        <v>190</v>
      </c>
      <c r="E64" s="1021" t="str">
        <f>+'PY2 EPA'!$A$2</f>
        <v>2021–22 Second Principal (P-2) Apportionment
(P-2) Apportionment</v>
      </c>
      <c r="F64" s="1216"/>
      <c r="G64" s="1243" t="s">
        <v>164</v>
      </c>
      <c r="H64" s="1219"/>
      <c r="I64" s="1219"/>
      <c r="J64" s="1219"/>
      <c r="K64" s="1220"/>
      <c r="L64" s="147"/>
      <c r="M64" s="147"/>
      <c r="N64" s="147"/>
      <c r="O64" s="147"/>
      <c r="P64" s="147"/>
      <c r="R64" s="145"/>
    </row>
    <row r="65" spans="1:18" s="53" customFormat="1" ht="22.5" customHeight="1">
      <c r="A65" s="269" t="s">
        <v>1657</v>
      </c>
      <c r="B65" s="253" t="s">
        <v>1623</v>
      </c>
      <c r="C65" s="904" t="s">
        <v>95</v>
      </c>
      <c r="D65" s="908" t="s">
        <v>190</v>
      </c>
      <c r="E65" s="761" t="str">
        <f>+'PY3 EPA'!$A$2</f>
        <v>2020–21 Second Principal 
(P-2) Apportionment</v>
      </c>
      <c r="F65" s="1217"/>
      <c r="G65" s="1243" t="s">
        <v>164</v>
      </c>
      <c r="H65" s="1219"/>
      <c r="I65" s="1219"/>
      <c r="J65" s="1219"/>
      <c r="K65" s="1220"/>
      <c r="L65" s="147"/>
      <c r="M65" s="147"/>
      <c r="N65" s="147"/>
      <c r="O65" s="147"/>
      <c r="P65" s="147"/>
      <c r="R65" s="145"/>
    </row>
    <row r="66" spans="1:18" s="73" customFormat="1" ht="20.25" customHeight="1">
      <c r="A66" s="159" t="s">
        <v>231</v>
      </c>
      <c r="E66" s="160"/>
      <c r="F66" s="160"/>
      <c r="G66" s="160"/>
      <c r="H66" s="160"/>
      <c r="I66" s="160"/>
      <c r="J66" s="160"/>
      <c r="K66" s="160"/>
      <c r="L66" s="160"/>
      <c r="M66" s="160"/>
      <c r="N66" s="160"/>
      <c r="O66" s="160"/>
      <c r="R66" s="151"/>
    </row>
    <row r="67" spans="1:18" s="53" customFormat="1" ht="14.4">
      <c r="A67" s="162"/>
      <c r="B67" s="144" t="s">
        <v>165</v>
      </c>
      <c r="C67" s="144"/>
      <c r="D67" s="144"/>
      <c r="E67" s="144" t="s">
        <v>166</v>
      </c>
      <c r="F67" s="144"/>
      <c r="G67" s="163"/>
      <c r="H67" s="160"/>
      <c r="I67" s="160"/>
      <c r="J67" s="160"/>
      <c r="K67" s="160"/>
      <c r="L67" s="160"/>
      <c r="M67" s="160"/>
      <c r="N67" s="160"/>
      <c r="O67" s="160"/>
      <c r="R67" s="145"/>
    </row>
    <row r="68" spans="1:18" s="53" customFormat="1" ht="21" customHeight="1">
      <c r="A68" s="148"/>
      <c r="B68" s="1205" t="s">
        <v>161</v>
      </c>
      <c r="C68" s="1205"/>
      <c r="D68" s="1205"/>
      <c r="E68" s="1252"/>
      <c r="F68" s="1252"/>
      <c r="G68" s="1252"/>
      <c r="H68" s="1252"/>
      <c r="I68" s="1252"/>
      <c r="J68" s="1252"/>
      <c r="K68" s="1252"/>
      <c r="L68" s="153"/>
      <c r="R68" s="145"/>
    </row>
    <row r="69" spans="1:18" s="53" customFormat="1" ht="87.75" customHeight="1">
      <c r="A69" s="161"/>
      <c r="B69" s="1241" t="s">
        <v>201</v>
      </c>
      <c r="C69" s="1241"/>
      <c r="D69" s="1241"/>
      <c r="E69" s="1206" t="s">
        <v>1858</v>
      </c>
      <c r="F69" s="1207"/>
      <c r="G69" s="1207"/>
      <c r="H69" s="1207"/>
      <c r="I69" s="1207"/>
      <c r="J69" s="1207"/>
      <c r="K69" s="1207"/>
      <c r="L69" s="153"/>
      <c r="R69" s="145"/>
    </row>
    <row r="70" spans="1:18" s="53" customFormat="1" ht="21" customHeight="1">
      <c r="A70" s="152"/>
      <c r="B70" s="1242" t="s">
        <v>1757</v>
      </c>
      <c r="C70" s="1242"/>
      <c r="D70" s="1242"/>
      <c r="E70" s="1206" t="s">
        <v>1730</v>
      </c>
      <c r="F70" s="1207"/>
      <c r="G70" s="1207"/>
      <c r="H70" s="1207"/>
      <c r="I70" s="1207"/>
      <c r="J70" s="1207"/>
      <c r="K70" s="1207"/>
      <c r="L70" s="160"/>
      <c r="M70" s="160"/>
      <c r="N70" s="160"/>
      <c r="O70" s="160"/>
      <c r="R70" s="145"/>
    </row>
    <row r="71" spans="1:18" s="53" customFormat="1" ht="131.25" customHeight="1">
      <c r="A71" s="152"/>
      <c r="B71" s="1244" t="s">
        <v>18</v>
      </c>
      <c r="C71" s="1244"/>
      <c r="D71" s="1244"/>
      <c r="E71" s="1206" t="s">
        <v>1859</v>
      </c>
      <c r="F71" s="1207"/>
      <c r="G71" s="1207"/>
      <c r="H71" s="1207"/>
      <c r="I71" s="1207"/>
      <c r="J71" s="1207"/>
      <c r="K71" s="1207"/>
      <c r="L71" s="160"/>
      <c r="M71" s="160"/>
      <c r="N71" s="160"/>
      <c r="O71" s="160"/>
      <c r="R71" s="145"/>
    </row>
    <row r="72" spans="1:18" s="53" customFormat="1" ht="24" customHeight="1">
      <c r="A72" s="159" t="s">
        <v>167</v>
      </c>
      <c r="B72" s="73"/>
      <c r="C72" s="73"/>
      <c r="D72" s="73"/>
      <c r="E72" s="73"/>
      <c r="F72" s="144" t="s">
        <v>166</v>
      </c>
      <c r="G72" s="160"/>
      <c r="H72" s="160"/>
      <c r="I72" s="160"/>
      <c r="J72" s="160"/>
      <c r="K72" s="160"/>
      <c r="L72" s="160"/>
      <c r="M72" s="160"/>
      <c r="N72" s="160"/>
      <c r="O72" s="160"/>
      <c r="R72" s="145"/>
    </row>
    <row r="73" spans="1:18" s="53" customFormat="1" ht="18" customHeight="1">
      <c r="A73" s="162"/>
      <c r="B73" s="1245" t="s">
        <v>227</v>
      </c>
      <c r="C73" s="1246"/>
      <c r="D73" s="1246"/>
      <c r="E73" s="1247"/>
      <c r="F73" s="1248" t="s">
        <v>266</v>
      </c>
      <c r="G73" s="1249"/>
      <c r="H73" s="1249"/>
      <c r="I73" s="1249"/>
      <c r="J73" s="1249"/>
      <c r="K73" s="1250"/>
      <c r="L73" s="147"/>
      <c r="M73" s="160"/>
      <c r="N73" s="160"/>
      <c r="O73" s="160"/>
      <c r="R73" s="145"/>
    </row>
    <row r="74" spans="1:18" s="53" customFormat="1" ht="18" customHeight="1">
      <c r="A74" s="162"/>
      <c r="B74" s="1245" t="s">
        <v>228</v>
      </c>
      <c r="C74" s="1246"/>
      <c r="D74" s="1246"/>
      <c r="E74" s="1247"/>
      <c r="F74" s="1248" t="s">
        <v>266</v>
      </c>
      <c r="G74" s="1249"/>
      <c r="H74" s="1249"/>
      <c r="I74" s="1249"/>
      <c r="J74" s="1249"/>
      <c r="K74" s="1250"/>
      <c r="L74" s="147"/>
      <c r="M74" s="160"/>
      <c r="N74" s="160"/>
      <c r="O74" s="160"/>
      <c r="R74" s="145"/>
    </row>
    <row r="75" spans="1:18" s="53" customFormat="1" ht="18" customHeight="1">
      <c r="A75" s="162"/>
      <c r="B75" s="1245" t="s">
        <v>229</v>
      </c>
      <c r="C75" s="1246"/>
      <c r="D75" s="1246"/>
      <c r="E75" s="1247"/>
      <c r="F75" s="1248" t="s">
        <v>266</v>
      </c>
      <c r="G75" s="1249"/>
      <c r="H75" s="1249"/>
      <c r="I75" s="1249"/>
      <c r="J75" s="1249"/>
      <c r="K75" s="1250"/>
      <c r="L75" s="147"/>
      <c r="M75" s="160"/>
      <c r="N75" s="160"/>
      <c r="O75" s="160"/>
      <c r="R75" s="145"/>
    </row>
    <row r="76" spans="1:18" s="53" customFormat="1" ht="18" customHeight="1">
      <c r="A76" s="162"/>
      <c r="B76" s="1245" t="s">
        <v>230</v>
      </c>
      <c r="C76" s="1246"/>
      <c r="D76" s="1246"/>
      <c r="E76" s="1247"/>
      <c r="F76" s="1248" t="s">
        <v>266</v>
      </c>
      <c r="G76" s="1249"/>
      <c r="H76" s="1249"/>
      <c r="I76" s="1249"/>
      <c r="J76" s="1249"/>
      <c r="K76" s="1250"/>
      <c r="L76" s="147"/>
      <c r="M76" s="160"/>
      <c r="N76" s="160"/>
      <c r="O76" s="160"/>
      <c r="R76" s="145"/>
    </row>
    <row r="77" spans="1:18" s="53" customFormat="1" ht="18" customHeight="1">
      <c r="A77" s="162"/>
      <c r="B77" s="1014"/>
      <c r="C77" s="1014"/>
      <c r="D77" s="1014"/>
      <c r="E77" s="1014"/>
      <c r="F77" s="1015"/>
      <c r="G77" s="1015"/>
      <c r="H77" s="1015"/>
      <c r="I77" s="1015"/>
      <c r="J77" s="1015"/>
      <c r="K77" s="1015"/>
      <c r="L77" s="147"/>
      <c r="M77" s="160"/>
      <c r="N77" s="160"/>
      <c r="O77" s="160"/>
      <c r="R77" s="145"/>
    </row>
    <row r="78" spans="1:18" s="68" customFormat="1" ht="15" customHeight="1">
      <c r="A78" s="279" t="s">
        <v>1726</v>
      </c>
      <c r="B78" s="141"/>
      <c r="C78" s="141"/>
      <c r="D78" s="141"/>
      <c r="E78" s="141"/>
      <c r="F78" s="141"/>
      <c r="G78" s="141"/>
      <c r="H78" s="142"/>
      <c r="I78" s="141"/>
      <c r="J78" s="141"/>
      <c r="K78" s="142"/>
    </row>
    <row r="79" spans="1:18" s="53" customFormat="1" ht="39" customHeight="1">
      <c r="A79" s="1012"/>
      <c r="B79" s="1251" t="s">
        <v>1727</v>
      </c>
      <c r="C79" s="1251"/>
      <c r="D79" s="1251"/>
      <c r="E79" s="1251"/>
      <c r="F79" s="1251"/>
      <c r="G79" s="1251"/>
      <c r="H79" s="1251"/>
      <c r="I79" s="1251"/>
      <c r="J79" s="1251"/>
      <c r="K79" s="1251"/>
      <c r="Q79" s="140"/>
    </row>
    <row r="80" spans="1:18" s="68" customFormat="1" ht="15" customHeight="1">
      <c r="A80" s="279" t="s">
        <v>1723</v>
      </c>
      <c r="B80" s="141"/>
      <c r="C80" s="141"/>
      <c r="D80" s="141"/>
      <c r="E80" s="141"/>
      <c r="F80" s="141"/>
      <c r="G80" s="141"/>
      <c r="H80" s="142"/>
      <c r="I80" s="141"/>
      <c r="J80" s="141"/>
      <c r="K80" s="142"/>
    </row>
    <row r="81" spans="1:18" s="53" customFormat="1" ht="51" customHeight="1">
      <c r="A81" s="1010"/>
      <c r="B81" s="1251" t="s">
        <v>1725</v>
      </c>
      <c r="C81" s="1251"/>
      <c r="D81" s="1251"/>
      <c r="E81" s="1251"/>
      <c r="F81" s="1251"/>
      <c r="G81" s="1251"/>
      <c r="H81" s="1251"/>
      <c r="I81" s="1251"/>
      <c r="J81" s="1251"/>
      <c r="K81" s="1251"/>
      <c r="Q81" s="140"/>
    </row>
    <row r="82" spans="1:18" s="68" customFormat="1" ht="15" customHeight="1">
      <c r="A82" s="279" t="s">
        <v>1717</v>
      </c>
      <c r="B82" s="141"/>
      <c r="C82" s="141"/>
      <c r="D82" s="141"/>
      <c r="E82" s="141"/>
      <c r="F82" s="141"/>
      <c r="G82" s="141"/>
      <c r="H82" s="142"/>
      <c r="I82" s="141"/>
      <c r="J82" s="141"/>
      <c r="K82" s="142"/>
    </row>
    <row r="83" spans="1:18" s="53" customFormat="1" ht="51" customHeight="1">
      <c r="A83" s="129"/>
      <c r="B83" s="1259" t="s">
        <v>1728</v>
      </c>
      <c r="C83" s="1259"/>
      <c r="D83" s="1259"/>
      <c r="E83" s="1259"/>
      <c r="F83" s="1259"/>
      <c r="G83" s="1259"/>
      <c r="H83" s="1259"/>
      <c r="I83" s="1259"/>
      <c r="J83" s="1259"/>
      <c r="K83" s="1259"/>
      <c r="Q83" s="140"/>
    </row>
    <row r="84" spans="1:18" s="68" customFormat="1" ht="15" customHeight="1">
      <c r="A84" s="279" t="s">
        <v>1709</v>
      </c>
      <c r="B84" s="141"/>
      <c r="C84" s="141"/>
      <c r="D84" s="141"/>
      <c r="E84" s="141"/>
      <c r="F84" s="141"/>
      <c r="G84" s="141"/>
      <c r="H84" s="142"/>
      <c r="I84" s="141"/>
      <c r="J84" s="141"/>
      <c r="K84" s="142"/>
    </row>
    <row r="85" spans="1:18" s="53" customFormat="1" ht="57.75" customHeight="1">
      <c r="A85" s="129"/>
      <c r="B85" s="1259" t="s">
        <v>1708</v>
      </c>
      <c r="C85" s="1259"/>
      <c r="D85" s="1259"/>
      <c r="E85" s="1259"/>
      <c r="F85" s="1259"/>
      <c r="G85" s="1259"/>
      <c r="H85" s="1259"/>
      <c r="I85" s="1259"/>
      <c r="J85" s="1259"/>
      <c r="K85" s="1259"/>
      <c r="Q85" s="140"/>
    </row>
    <row r="86" spans="1:18" s="68" customFormat="1" ht="15" customHeight="1">
      <c r="A86" s="279" t="s">
        <v>1707</v>
      </c>
      <c r="B86" s="141"/>
      <c r="C86" s="141"/>
      <c r="D86" s="141"/>
      <c r="E86" s="141"/>
      <c r="F86" s="141"/>
      <c r="G86" s="141"/>
      <c r="H86" s="142"/>
      <c r="I86" s="141"/>
      <c r="J86" s="141"/>
      <c r="K86" s="142"/>
    </row>
    <row r="87" spans="1:18" s="53" customFormat="1" ht="35.25" customHeight="1">
      <c r="A87" s="129"/>
      <c r="B87" s="1259" t="s">
        <v>1706</v>
      </c>
      <c r="C87" s="1259"/>
      <c r="D87" s="1259"/>
      <c r="E87" s="1259"/>
      <c r="F87" s="1259"/>
      <c r="G87" s="1259"/>
      <c r="H87" s="1259"/>
      <c r="I87" s="1259"/>
      <c r="J87" s="1259"/>
      <c r="K87" s="1259"/>
      <c r="Q87" s="140"/>
    </row>
    <row r="88" spans="1:18" s="68" customFormat="1" ht="15" customHeight="1">
      <c r="A88" s="279" t="s">
        <v>1658</v>
      </c>
      <c r="B88" s="141"/>
      <c r="C88" s="141"/>
      <c r="D88" s="141"/>
      <c r="E88" s="141"/>
      <c r="F88" s="141"/>
      <c r="G88" s="141"/>
      <c r="H88" s="142"/>
      <c r="I88" s="141"/>
      <c r="J88" s="141"/>
      <c r="K88" s="142"/>
    </row>
    <row r="89" spans="1:18" s="68" customFormat="1" ht="15" customHeight="1">
      <c r="A89" s="279" t="s">
        <v>542</v>
      </c>
      <c r="B89" s="141"/>
      <c r="C89" s="141"/>
      <c r="D89" s="141"/>
      <c r="E89" s="141"/>
      <c r="F89" s="141"/>
      <c r="G89" s="141"/>
      <c r="H89" s="142"/>
      <c r="I89" s="141"/>
      <c r="J89" s="141"/>
      <c r="K89" s="142"/>
    </row>
    <row r="90" spans="1:18" s="73" customFormat="1" ht="14.4">
      <c r="A90" s="158" t="s">
        <v>271</v>
      </c>
      <c r="B90" s="157"/>
      <c r="C90" s="157"/>
      <c r="D90" s="157"/>
      <c r="E90" s="157"/>
      <c r="F90" s="157"/>
      <c r="G90" s="157"/>
      <c r="R90" s="151"/>
    </row>
    <row r="91" spans="1:18" s="53" customFormat="1" ht="14.4">
      <c r="A91" s="143"/>
      <c r="B91" s="144" t="s">
        <v>165</v>
      </c>
      <c r="C91" s="164" t="s">
        <v>220</v>
      </c>
      <c r="D91" s="164" t="s">
        <v>194</v>
      </c>
      <c r="E91" s="144" t="s">
        <v>233</v>
      </c>
      <c r="F91" s="144" t="s">
        <v>232</v>
      </c>
      <c r="G91" s="144" t="s">
        <v>166</v>
      </c>
      <c r="R91" s="145"/>
    </row>
    <row r="92" spans="1:18" s="53" customFormat="1" ht="22.5" customHeight="1">
      <c r="A92" s="146"/>
      <c r="B92" s="154" t="s">
        <v>225</v>
      </c>
      <c r="C92" s="154"/>
      <c r="D92" s="154"/>
      <c r="E92" s="953"/>
      <c r="F92" s="953"/>
      <c r="G92" s="1207"/>
      <c r="H92" s="1207"/>
      <c r="I92" s="1207"/>
      <c r="J92" s="1207"/>
      <c r="K92" s="1207"/>
      <c r="L92" s="147"/>
      <c r="M92" s="147"/>
      <c r="N92" s="147"/>
      <c r="O92" s="147"/>
      <c r="P92" s="147"/>
      <c r="R92" s="145"/>
    </row>
    <row r="93" spans="1:18" s="73" customFormat="1" ht="22.5" customHeight="1">
      <c r="A93" s="156"/>
      <c r="B93" s="253" t="s">
        <v>528</v>
      </c>
      <c r="C93" s="904" t="s">
        <v>107</v>
      </c>
      <c r="D93" s="904" t="s">
        <v>120</v>
      </c>
      <c r="E93" s="155" t="str">
        <f>+'COE CDS'!A2</f>
        <v>2021–2022 Second Principal (P-2) Apportionment</v>
      </c>
      <c r="F93" s="761" t="str">
        <f>+'COE CDS'!A1</f>
        <v>Education Protection Account Calculation</v>
      </c>
      <c r="G93" s="1206"/>
      <c r="H93" s="1207"/>
      <c r="I93" s="1207"/>
      <c r="J93" s="1207"/>
      <c r="K93" s="1207"/>
      <c r="L93" s="149"/>
      <c r="M93" s="150"/>
      <c r="N93" s="150"/>
      <c r="O93" s="150"/>
      <c r="P93" s="150"/>
      <c r="R93" s="151"/>
    </row>
    <row r="94" spans="1:18" s="53" customFormat="1" ht="25.5" customHeight="1">
      <c r="A94" s="156"/>
      <c r="B94" s="756" t="s">
        <v>533</v>
      </c>
      <c r="C94" s="905" t="s">
        <v>107</v>
      </c>
      <c r="D94" s="905" t="s">
        <v>120</v>
      </c>
      <c r="E94" s="757" t="str">
        <f>+'PY1 Local Rev'!A3</f>
        <v>2022–23 First Principal (P-1) Apportionment</v>
      </c>
      <c r="F94" s="1215" t="str">
        <f>+'PY1 Local Rev'!A1</f>
        <v>County Office Local Revenue</v>
      </c>
      <c r="G94" s="1206"/>
      <c r="H94" s="1207"/>
      <c r="I94" s="1207"/>
      <c r="J94" s="1207"/>
      <c r="K94" s="1207"/>
      <c r="L94" s="147"/>
      <c r="M94" s="147"/>
      <c r="N94" s="147"/>
      <c r="O94" s="147"/>
      <c r="P94" s="147"/>
      <c r="R94" s="145"/>
    </row>
    <row r="95" spans="1:18" s="53" customFormat="1" ht="22.5" customHeight="1">
      <c r="A95" s="156"/>
      <c r="B95" s="253" t="s">
        <v>534</v>
      </c>
      <c r="C95" s="904" t="s">
        <v>83</v>
      </c>
      <c r="D95" s="906" t="s">
        <v>121</v>
      </c>
      <c r="E95" s="757" t="str">
        <f>+'PY2 Local Rev'!A3</f>
        <v xml:space="preserve">2021–22 Annual Apportionment </v>
      </c>
      <c r="F95" s="1216"/>
      <c r="G95" s="1207"/>
      <c r="H95" s="1207"/>
      <c r="I95" s="1207"/>
      <c r="J95" s="1207"/>
      <c r="K95" s="1207"/>
      <c r="L95" s="147"/>
      <c r="M95" s="147"/>
      <c r="N95" s="147"/>
      <c r="O95" s="147"/>
      <c r="P95" s="147"/>
      <c r="R95" s="145"/>
    </row>
    <row r="96" spans="1:18" s="53" customFormat="1" ht="22.5" customHeight="1">
      <c r="A96" s="156"/>
      <c r="B96" s="253" t="s">
        <v>1629</v>
      </c>
      <c r="C96" s="904" t="s">
        <v>95</v>
      </c>
      <c r="D96" s="904" t="s">
        <v>1620</v>
      </c>
      <c r="E96" s="757" t="str">
        <f>+'PY3 Local Rev'!A3</f>
        <v>2020–21 Second Annual Recertification (AN R2)</v>
      </c>
      <c r="F96" s="1217"/>
      <c r="G96" s="1207"/>
      <c r="H96" s="1207"/>
      <c r="I96" s="1207"/>
      <c r="J96" s="1207"/>
      <c r="K96" s="1207"/>
      <c r="L96" s="147"/>
      <c r="M96" s="147"/>
      <c r="N96" s="147"/>
      <c r="O96" s="147"/>
      <c r="P96" s="147"/>
      <c r="R96" s="145"/>
    </row>
    <row r="97" spans="1:18" s="52" customFormat="1" ht="22.5" customHeight="1">
      <c r="A97" s="76"/>
      <c r="B97" s="253" t="s">
        <v>1628</v>
      </c>
      <c r="C97" s="905" t="s">
        <v>107</v>
      </c>
      <c r="D97" s="905" t="s">
        <v>120</v>
      </c>
      <c r="E97" s="155" t="str">
        <f>+'PY1 UPP'!A2</f>
        <v>2022–23 First Principal (P-1) Apportionment</v>
      </c>
      <c r="F97" s="1215" t="str">
        <f>+'PY1 UPP'!A1</f>
        <v>County Unduplicated Pupil Percentage</v>
      </c>
      <c r="G97" s="1255"/>
      <c r="H97" s="1255"/>
      <c r="I97" s="1255"/>
      <c r="J97" s="1255"/>
      <c r="K97" s="1255"/>
      <c r="L97" s="147"/>
      <c r="M97" s="147"/>
      <c r="N97" s="147"/>
      <c r="O97" s="147"/>
      <c r="P97" s="147"/>
      <c r="Q97" s="147"/>
      <c r="R97" s="67"/>
    </row>
    <row r="98" spans="1:18" s="52" customFormat="1" ht="22.5" customHeight="1">
      <c r="A98" s="76"/>
      <c r="B98" s="253" t="s">
        <v>1627</v>
      </c>
      <c r="C98" s="904" t="s">
        <v>83</v>
      </c>
      <c r="D98" s="906" t="s">
        <v>121</v>
      </c>
      <c r="E98" s="155" t="str">
        <f>+'PY2 UPP'!A2</f>
        <v>2021-22 Annual Apportionment</v>
      </c>
      <c r="F98" s="1216"/>
      <c r="G98" s="1255"/>
      <c r="H98" s="1255"/>
      <c r="I98" s="1255"/>
      <c r="J98" s="1255"/>
      <c r="K98" s="1255"/>
      <c r="L98" s="147"/>
      <c r="M98" s="147"/>
      <c r="N98" s="147"/>
      <c r="O98" s="147"/>
      <c r="P98" s="147"/>
      <c r="Q98" s="147"/>
      <c r="R98" s="67"/>
    </row>
    <row r="99" spans="1:18" s="52" customFormat="1" ht="22.5" customHeight="1">
      <c r="A99" s="76"/>
      <c r="B99" s="253" t="s">
        <v>1626</v>
      </c>
      <c r="C99" s="904" t="s">
        <v>95</v>
      </c>
      <c r="D99" s="904" t="s">
        <v>1620</v>
      </c>
      <c r="E99" s="155" t="str">
        <f>+'PY3 UPP'!A2</f>
        <v>2020–21 Second Annual Recertification (AN R2)</v>
      </c>
      <c r="F99" s="1217"/>
      <c r="G99" s="1256"/>
      <c r="H99" s="1256"/>
      <c r="I99" s="1256"/>
      <c r="J99" s="1256"/>
      <c r="K99" s="1256"/>
      <c r="L99" s="147"/>
      <c r="M99" s="147"/>
      <c r="N99" s="147"/>
      <c r="O99" s="147"/>
      <c r="P99" s="147"/>
      <c r="Q99" s="147"/>
      <c r="R99" s="67"/>
    </row>
    <row r="100" spans="1:18" s="53" customFormat="1" ht="22.5" customHeight="1">
      <c r="A100" s="156"/>
      <c r="B100" s="357" t="s">
        <v>539</v>
      </c>
      <c r="C100" s="905" t="s">
        <v>107</v>
      </c>
      <c r="D100" s="905" t="s">
        <v>120</v>
      </c>
      <c r="E100" s="155" t="str">
        <f>+'PY1 COG'!A2</f>
        <v>2022–22 First Principal (P-1) Apportionment</v>
      </c>
      <c r="F100" s="1215" t="str">
        <f>+'PY1 COG'!A1</f>
        <v>County Operations Grant</v>
      </c>
      <c r="G100" s="1256"/>
      <c r="H100" s="1256"/>
      <c r="I100" s="1256"/>
      <c r="J100" s="1256"/>
      <c r="K100" s="1256"/>
      <c r="L100" s="147"/>
      <c r="M100" s="147"/>
      <c r="N100" s="147"/>
      <c r="O100" s="147"/>
      <c r="P100" s="147"/>
      <c r="R100" s="145"/>
    </row>
    <row r="101" spans="1:18" s="53" customFormat="1" ht="22.5" customHeight="1">
      <c r="A101" s="156"/>
      <c r="B101" s="253" t="s">
        <v>540</v>
      </c>
      <c r="C101" s="904" t="s">
        <v>83</v>
      </c>
      <c r="D101" s="906" t="s">
        <v>121</v>
      </c>
      <c r="E101" s="155" t="str">
        <f>+'PY2 COG'!A2</f>
        <v>2021–22 Annual Apportionment</v>
      </c>
      <c r="F101" s="1216"/>
      <c r="G101" s="1256"/>
      <c r="H101" s="1256"/>
      <c r="I101" s="1256"/>
      <c r="J101" s="1256"/>
      <c r="K101" s="1256"/>
      <c r="L101" s="147"/>
      <c r="M101" s="147"/>
      <c r="N101" s="147"/>
      <c r="O101" s="147"/>
      <c r="P101" s="147"/>
      <c r="R101" s="145"/>
    </row>
    <row r="102" spans="1:18" s="53" customFormat="1" ht="22.5" customHeight="1">
      <c r="A102" s="156"/>
      <c r="B102" s="253" t="s">
        <v>1625</v>
      </c>
      <c r="C102" s="904" t="s">
        <v>95</v>
      </c>
      <c r="D102" s="904" t="s">
        <v>1620</v>
      </c>
      <c r="E102" s="155" t="str">
        <f>+'PY3 COG'!A2</f>
        <v>2020–21 Second Annual Recertification (AN R2)</v>
      </c>
      <c r="F102" s="1217"/>
      <c r="G102" s="1256"/>
      <c r="H102" s="1256"/>
      <c r="I102" s="1256"/>
      <c r="J102" s="1256"/>
      <c r="K102" s="1256"/>
      <c r="L102" s="147"/>
      <c r="M102" s="147"/>
      <c r="N102" s="147"/>
      <c r="O102" s="147"/>
      <c r="P102" s="147"/>
      <c r="R102" s="145"/>
    </row>
    <row r="103" spans="1:18" s="52" customFormat="1" ht="22.5" customHeight="1">
      <c r="A103" s="76"/>
      <c r="B103" s="357" t="s">
        <v>541</v>
      </c>
      <c r="C103" s="905" t="s">
        <v>107</v>
      </c>
      <c r="D103" s="905" t="s">
        <v>120</v>
      </c>
      <c r="E103" s="155" t="str">
        <f>+'PY1 LCFF Calc'!A2</f>
        <v>2022–23 First Principal (P-1) Apportionment</v>
      </c>
      <c r="F103" s="1215" t="str">
        <f>+'PY1 LCFF Calc'!A1</f>
        <v>County LCFF Calculation</v>
      </c>
      <c r="G103" s="1256"/>
      <c r="H103" s="1256"/>
      <c r="I103" s="1256"/>
      <c r="J103" s="1256"/>
      <c r="K103" s="1256"/>
      <c r="L103" s="147"/>
      <c r="M103" s="147"/>
      <c r="N103" s="147"/>
      <c r="O103" s="147"/>
      <c r="P103" s="147"/>
      <c r="Q103" s="147"/>
      <c r="R103" s="67"/>
    </row>
    <row r="104" spans="1:18" s="53" customFormat="1" ht="22.5" customHeight="1">
      <c r="A104" s="156"/>
      <c r="B104" s="253" t="s">
        <v>530</v>
      </c>
      <c r="C104" s="904" t="s">
        <v>83</v>
      </c>
      <c r="D104" s="906" t="s">
        <v>121</v>
      </c>
      <c r="E104" s="155" t="str">
        <f>+'PY2 LCFF Calc'!A2</f>
        <v>2021–22 Annual Apportionment</v>
      </c>
      <c r="F104" s="1216"/>
      <c r="G104" s="1207"/>
      <c r="H104" s="1207"/>
      <c r="I104" s="1207"/>
      <c r="J104" s="1207"/>
      <c r="K104" s="1207"/>
      <c r="L104" s="147"/>
      <c r="M104" s="147"/>
      <c r="N104" s="147"/>
      <c r="O104" s="147"/>
      <c r="P104" s="147"/>
      <c r="R104" s="145"/>
    </row>
    <row r="105" spans="1:18" s="53" customFormat="1" ht="22.5" customHeight="1">
      <c r="A105" s="156"/>
      <c r="B105" s="253" t="s">
        <v>1624</v>
      </c>
      <c r="C105" s="904" t="s">
        <v>95</v>
      </c>
      <c r="D105" s="904" t="s">
        <v>1620</v>
      </c>
      <c r="E105" s="155" t="str">
        <f>+'PY3 LCFF Calc'!A2</f>
        <v>2020–21 Second Annual Recertification (AN R2)</v>
      </c>
      <c r="F105" s="1217"/>
      <c r="G105" s="1207"/>
      <c r="H105" s="1207"/>
      <c r="I105" s="1207"/>
      <c r="J105" s="1207"/>
      <c r="K105" s="1207"/>
      <c r="L105" s="147"/>
      <c r="M105" s="147"/>
      <c r="N105" s="147"/>
      <c r="O105" s="147"/>
      <c r="P105" s="147"/>
      <c r="R105" s="145"/>
    </row>
    <row r="106" spans="1:18" s="53" customFormat="1" ht="34.5" customHeight="1">
      <c r="A106" s="156"/>
      <c r="B106" s="756" t="s">
        <v>527</v>
      </c>
      <c r="C106" s="905" t="s">
        <v>107</v>
      </c>
      <c r="D106" s="905" t="s">
        <v>120</v>
      </c>
      <c r="E106" s="757" t="str">
        <f>+'PY1 Diff Asst'!A2</f>
        <v>2022–23 First Principal (P-1) Apportionment</v>
      </c>
      <c r="F106" s="899" t="s">
        <v>1333</v>
      </c>
      <c r="G106" s="1207"/>
      <c r="H106" s="1207"/>
      <c r="I106" s="1207"/>
      <c r="J106" s="1207"/>
      <c r="K106" s="1207"/>
      <c r="L106" s="147"/>
      <c r="M106" s="147"/>
      <c r="N106" s="147"/>
      <c r="O106" s="147"/>
      <c r="P106" s="147"/>
      <c r="R106" s="145"/>
    </row>
    <row r="107" spans="1:18" s="53" customFormat="1" ht="29.25" customHeight="1">
      <c r="A107" s="156"/>
      <c r="B107" s="756" t="s">
        <v>1621</v>
      </c>
      <c r="C107" s="905" t="s">
        <v>107</v>
      </c>
      <c r="D107" s="905" t="s">
        <v>120</v>
      </c>
      <c r="E107" s="757" t="str">
        <f>+'PY1 EPA'!A2</f>
        <v>2022–23 First Principal (P-1) Apportionment</v>
      </c>
      <c r="F107" s="1215" t="str">
        <f>+'PY1 EPA'!A1</f>
        <v>Education Protection Account Calculation</v>
      </c>
      <c r="G107" s="1253" t="s">
        <v>164</v>
      </c>
      <c r="H107" s="1254"/>
      <c r="I107" s="1254"/>
      <c r="J107" s="1254"/>
      <c r="K107" s="1254"/>
      <c r="L107" s="147"/>
      <c r="M107" s="147"/>
      <c r="N107" s="147"/>
      <c r="O107" s="147"/>
      <c r="P107" s="147"/>
      <c r="R107" s="145"/>
    </row>
    <row r="108" spans="1:18" s="53" customFormat="1" ht="22.5" customHeight="1">
      <c r="A108" s="269" t="s">
        <v>272</v>
      </c>
      <c r="B108" s="253" t="s">
        <v>1622</v>
      </c>
      <c r="C108" s="904" t="s">
        <v>83</v>
      </c>
      <c r="D108" s="907" t="s">
        <v>190</v>
      </c>
      <c r="E108" s="795" t="str">
        <f>+'PY2 EPA'!A2</f>
        <v>2021–22 Second Principal (P-2) Apportionment
(P-2) Apportionment</v>
      </c>
      <c r="F108" s="1216"/>
      <c r="G108" s="1253" t="s">
        <v>164</v>
      </c>
      <c r="H108" s="1254"/>
      <c r="I108" s="1254"/>
      <c r="J108" s="1254"/>
      <c r="K108" s="1254"/>
      <c r="L108" s="147"/>
      <c r="M108" s="147"/>
      <c r="N108" s="147"/>
      <c r="O108" s="147"/>
      <c r="P108" s="147"/>
      <c r="R108" s="145"/>
    </row>
    <row r="109" spans="1:18" s="53" customFormat="1" ht="22.5" customHeight="1">
      <c r="A109" s="269" t="s">
        <v>1657</v>
      </c>
      <c r="B109" s="253" t="s">
        <v>1623</v>
      </c>
      <c r="C109" s="904" t="s">
        <v>95</v>
      </c>
      <c r="D109" s="908" t="s">
        <v>190</v>
      </c>
      <c r="E109" s="155" t="str">
        <f>+'PY3 EPA'!A2</f>
        <v>2020–21 Second Principal 
(P-2) Apportionment</v>
      </c>
      <c r="F109" s="1217"/>
      <c r="G109" s="1253" t="s">
        <v>164</v>
      </c>
      <c r="H109" s="1254"/>
      <c r="I109" s="1254"/>
      <c r="J109" s="1254"/>
      <c r="K109" s="1254"/>
      <c r="L109" s="147"/>
      <c r="M109" s="147"/>
      <c r="N109" s="147"/>
      <c r="O109" s="147"/>
      <c r="P109" s="147"/>
      <c r="R109" s="145"/>
    </row>
    <row r="110" spans="1:18" s="73" customFormat="1" ht="20.25" customHeight="1">
      <c r="A110" s="159" t="s">
        <v>231</v>
      </c>
      <c r="E110" s="160"/>
      <c r="F110" s="160"/>
      <c r="G110" s="160"/>
      <c r="H110" s="160"/>
      <c r="I110" s="160"/>
      <c r="J110" s="160"/>
      <c r="K110" s="160"/>
      <c r="L110" s="160"/>
      <c r="M110" s="160"/>
      <c r="N110" s="160"/>
      <c r="O110" s="160"/>
      <c r="R110" s="151"/>
    </row>
    <row r="111" spans="1:18" s="53" customFormat="1" ht="14.4">
      <c r="A111" s="162"/>
      <c r="B111" s="144" t="s">
        <v>165</v>
      </c>
      <c r="C111" s="144"/>
      <c r="D111" s="144"/>
      <c r="E111" s="144" t="s">
        <v>166</v>
      </c>
      <c r="F111" s="144"/>
      <c r="G111" s="163"/>
      <c r="H111" s="160"/>
      <c r="I111" s="160"/>
      <c r="J111" s="160"/>
      <c r="K111" s="160"/>
      <c r="L111" s="160"/>
      <c r="M111" s="160"/>
      <c r="N111" s="160"/>
      <c r="O111" s="160"/>
      <c r="R111" s="145"/>
    </row>
    <row r="112" spans="1:18" s="53" customFormat="1" ht="21" customHeight="1">
      <c r="A112" s="148"/>
      <c r="B112" s="1205" t="s">
        <v>161</v>
      </c>
      <c r="C112" s="1205"/>
      <c r="D112" s="1205"/>
      <c r="E112" s="1252"/>
      <c r="F112" s="1252"/>
      <c r="G112" s="1252"/>
      <c r="H112" s="1252"/>
      <c r="I112" s="1252"/>
      <c r="J112" s="1252"/>
      <c r="K112" s="1252"/>
      <c r="L112" s="153"/>
      <c r="R112" s="145"/>
    </row>
    <row r="113" spans="1:18" s="53" customFormat="1" ht="21" customHeight="1">
      <c r="A113" s="161"/>
      <c r="B113" s="1241" t="s">
        <v>201</v>
      </c>
      <c r="C113" s="1241"/>
      <c r="D113" s="1241"/>
      <c r="E113" s="1252"/>
      <c r="F113" s="1252"/>
      <c r="G113" s="1252"/>
      <c r="H113" s="1252"/>
      <c r="I113" s="1252"/>
      <c r="J113" s="1252"/>
      <c r="K113" s="1252"/>
      <c r="L113" s="153"/>
      <c r="R113" s="145"/>
    </row>
    <row r="114" spans="1:18" s="53" customFormat="1" ht="21" customHeight="1">
      <c r="A114" s="152"/>
      <c r="B114" s="1242" t="s">
        <v>1697</v>
      </c>
      <c r="C114" s="1242"/>
      <c r="D114" s="1242"/>
      <c r="E114" s="1252"/>
      <c r="F114" s="1252"/>
      <c r="G114" s="1252"/>
      <c r="H114" s="1252"/>
      <c r="I114" s="1252"/>
      <c r="J114" s="1252"/>
      <c r="K114" s="1252"/>
      <c r="L114" s="160"/>
      <c r="M114" s="160"/>
      <c r="N114" s="160"/>
      <c r="O114" s="160"/>
      <c r="R114" s="145"/>
    </row>
    <row r="115" spans="1:18" s="53" customFormat="1" ht="21" customHeight="1">
      <c r="A115" s="152"/>
      <c r="B115" s="1242" t="s">
        <v>1757</v>
      </c>
      <c r="C115" s="1242"/>
      <c r="D115" s="1242"/>
      <c r="E115" s="1252"/>
      <c r="F115" s="1252"/>
      <c r="G115" s="1252"/>
      <c r="H115" s="1252"/>
      <c r="I115" s="1252"/>
      <c r="J115" s="1252"/>
      <c r="K115" s="1252"/>
      <c r="L115" s="160"/>
      <c r="M115" s="160"/>
      <c r="N115" s="160"/>
      <c r="O115" s="160"/>
      <c r="R115" s="145"/>
    </row>
    <row r="116" spans="1:18" s="53" customFormat="1" ht="21" customHeight="1">
      <c r="A116" s="152"/>
      <c r="B116" s="1244" t="s">
        <v>18</v>
      </c>
      <c r="C116" s="1244"/>
      <c r="D116" s="1244"/>
      <c r="E116" s="1252"/>
      <c r="F116" s="1252"/>
      <c r="G116" s="1252"/>
      <c r="H116" s="1252"/>
      <c r="I116" s="1252"/>
      <c r="J116" s="1252"/>
      <c r="K116" s="1252"/>
      <c r="L116" s="160"/>
      <c r="M116" s="160"/>
      <c r="N116" s="160"/>
      <c r="O116" s="160"/>
      <c r="R116" s="145"/>
    </row>
    <row r="117" spans="1:18" s="53" customFormat="1" ht="21" customHeight="1">
      <c r="A117" s="152"/>
      <c r="B117" s="1244" t="s">
        <v>22</v>
      </c>
      <c r="C117" s="1244"/>
      <c r="D117" s="1244"/>
      <c r="E117" s="1252"/>
      <c r="F117" s="1252"/>
      <c r="G117" s="1252"/>
      <c r="H117" s="1252"/>
      <c r="I117" s="1252"/>
      <c r="J117" s="1252"/>
      <c r="K117" s="1252"/>
      <c r="L117" s="160"/>
      <c r="M117" s="160"/>
      <c r="N117" s="160"/>
      <c r="O117" s="160"/>
      <c r="R117" s="145"/>
    </row>
    <row r="118" spans="1:18" s="53" customFormat="1" ht="21" customHeight="1">
      <c r="A118" s="152"/>
      <c r="B118" s="1244" t="s">
        <v>30</v>
      </c>
      <c r="C118" s="1244"/>
      <c r="D118" s="1244"/>
      <c r="E118" s="1252"/>
      <c r="F118" s="1252"/>
      <c r="G118" s="1252"/>
      <c r="H118" s="1252"/>
      <c r="I118" s="1252"/>
      <c r="J118" s="1252"/>
      <c r="K118" s="1252"/>
      <c r="L118" s="160"/>
      <c r="M118" s="160"/>
      <c r="N118" s="160"/>
      <c r="O118" s="160"/>
      <c r="R118" s="145"/>
    </row>
    <row r="119" spans="1:18" s="53" customFormat="1" ht="24" customHeight="1">
      <c r="A119" s="159" t="s">
        <v>167</v>
      </c>
      <c r="B119" s="73"/>
      <c r="C119" s="73"/>
      <c r="D119" s="73"/>
      <c r="E119" s="73"/>
      <c r="F119" s="144" t="s">
        <v>166</v>
      </c>
      <c r="G119" s="160"/>
      <c r="H119" s="160"/>
      <c r="I119" s="160"/>
      <c r="J119" s="160"/>
      <c r="K119" s="160"/>
      <c r="L119" s="160"/>
      <c r="M119" s="160"/>
      <c r="N119" s="160"/>
      <c r="O119" s="160"/>
      <c r="R119" s="145"/>
    </row>
    <row r="120" spans="1:18" s="53" customFormat="1" ht="18" customHeight="1">
      <c r="A120" s="162"/>
      <c r="B120" s="1245" t="s">
        <v>227</v>
      </c>
      <c r="C120" s="1246"/>
      <c r="D120" s="1246"/>
      <c r="E120" s="1247"/>
      <c r="F120" s="1248" t="s">
        <v>266</v>
      </c>
      <c r="G120" s="1249"/>
      <c r="H120" s="1249"/>
      <c r="I120" s="1249"/>
      <c r="J120" s="1249"/>
      <c r="K120" s="1250"/>
      <c r="L120" s="147"/>
      <c r="M120" s="160"/>
      <c r="N120" s="160"/>
      <c r="O120" s="160"/>
      <c r="R120" s="145"/>
    </row>
    <row r="121" spans="1:18" s="53" customFormat="1" ht="18" customHeight="1">
      <c r="A121" s="162"/>
      <c r="B121" s="1245" t="s">
        <v>228</v>
      </c>
      <c r="C121" s="1246"/>
      <c r="D121" s="1246"/>
      <c r="E121" s="1247"/>
      <c r="F121" s="1248" t="s">
        <v>266</v>
      </c>
      <c r="G121" s="1249"/>
      <c r="H121" s="1249"/>
      <c r="I121" s="1249"/>
      <c r="J121" s="1249"/>
      <c r="K121" s="1250"/>
      <c r="L121" s="147"/>
      <c r="M121" s="160"/>
      <c r="N121" s="160"/>
      <c r="O121" s="160"/>
      <c r="R121" s="145"/>
    </row>
    <row r="122" spans="1:18" s="53" customFormat="1" ht="18" customHeight="1">
      <c r="A122" s="162"/>
      <c r="B122" s="1245" t="s">
        <v>229</v>
      </c>
      <c r="C122" s="1246"/>
      <c r="D122" s="1246"/>
      <c r="E122" s="1247"/>
      <c r="F122" s="1248" t="s">
        <v>1698</v>
      </c>
      <c r="G122" s="1249"/>
      <c r="H122" s="1249"/>
      <c r="I122" s="1249"/>
      <c r="J122" s="1249"/>
      <c r="K122" s="1250"/>
      <c r="L122" s="147"/>
      <c r="M122" s="160"/>
      <c r="N122" s="160"/>
      <c r="O122" s="160"/>
      <c r="R122" s="145"/>
    </row>
    <row r="123" spans="1:18" s="53" customFormat="1" ht="18" customHeight="1">
      <c r="A123" s="162"/>
      <c r="B123" s="1245" t="s">
        <v>230</v>
      </c>
      <c r="C123" s="1246"/>
      <c r="D123" s="1246"/>
      <c r="E123" s="1247"/>
      <c r="F123" s="1248" t="s">
        <v>266</v>
      </c>
      <c r="G123" s="1249"/>
      <c r="H123" s="1249"/>
      <c r="I123" s="1249"/>
      <c r="J123" s="1249"/>
      <c r="K123" s="1250"/>
      <c r="L123" s="147"/>
      <c r="M123" s="160"/>
      <c r="N123" s="160"/>
      <c r="O123" s="160"/>
      <c r="R123" s="145"/>
    </row>
    <row r="124" spans="1:18" s="52" customFormat="1" ht="12.75" customHeight="1">
      <c r="A124" s="71"/>
      <c r="H124" s="49"/>
      <c r="R124" s="67"/>
    </row>
  </sheetData>
  <sheetProtection formatCells="0" formatColumns="0" formatRows="0"/>
  <mergeCells count="137">
    <mergeCell ref="E13:K13"/>
    <mergeCell ref="A2:K2"/>
    <mergeCell ref="G92:K92"/>
    <mergeCell ref="G93:K93"/>
    <mergeCell ref="G97:K97"/>
    <mergeCell ref="G95:K95"/>
    <mergeCell ref="G96:K96"/>
    <mergeCell ref="G94:K94"/>
    <mergeCell ref="B87:K87"/>
    <mergeCell ref="B85:K85"/>
    <mergeCell ref="B83:K83"/>
    <mergeCell ref="B45:K45"/>
    <mergeCell ref="G48:K48"/>
    <mergeCell ref="G49:K49"/>
    <mergeCell ref="F50:F52"/>
    <mergeCell ref="G50:K50"/>
    <mergeCell ref="G51:K51"/>
    <mergeCell ref="G52:K52"/>
    <mergeCell ref="F53:F55"/>
    <mergeCell ref="G53:K53"/>
    <mergeCell ref="B5:D5"/>
    <mergeCell ref="E5:K5"/>
    <mergeCell ref="B11:D11"/>
    <mergeCell ref="E11:K11"/>
    <mergeCell ref="F122:K122"/>
    <mergeCell ref="F123:K123"/>
    <mergeCell ref="B120:E120"/>
    <mergeCell ref="B121:E121"/>
    <mergeCell ref="B122:E122"/>
    <mergeCell ref="B123:E123"/>
    <mergeCell ref="F120:K120"/>
    <mergeCell ref="F121:K121"/>
    <mergeCell ref="F94:F96"/>
    <mergeCell ref="G98:K98"/>
    <mergeCell ref="G103:K103"/>
    <mergeCell ref="G99:K99"/>
    <mergeCell ref="G104:K104"/>
    <mergeCell ref="G100:K100"/>
    <mergeCell ref="G101:K101"/>
    <mergeCell ref="G102:K102"/>
    <mergeCell ref="F100:F102"/>
    <mergeCell ref="B118:D118"/>
    <mergeCell ref="B112:D112"/>
    <mergeCell ref="B12:D12"/>
    <mergeCell ref="E12:K12"/>
    <mergeCell ref="B13:D13"/>
    <mergeCell ref="E113:K113"/>
    <mergeCell ref="B116:D116"/>
    <mergeCell ref="B117:D117"/>
    <mergeCell ref="E116:K116"/>
    <mergeCell ref="E117:K117"/>
    <mergeCell ref="E115:K115"/>
    <mergeCell ref="E118:K118"/>
    <mergeCell ref="B115:D115"/>
    <mergeCell ref="E114:K114"/>
    <mergeCell ref="B113:D113"/>
    <mergeCell ref="B114:D114"/>
    <mergeCell ref="G105:K105"/>
    <mergeCell ref="G109:K109"/>
    <mergeCell ref="G107:K107"/>
    <mergeCell ref="F107:F109"/>
    <mergeCell ref="F103:F105"/>
    <mergeCell ref="G106:K106"/>
    <mergeCell ref="G108:K108"/>
    <mergeCell ref="E68:K68"/>
    <mergeCell ref="E112:K112"/>
    <mergeCell ref="F97:F99"/>
    <mergeCell ref="B14:D14"/>
    <mergeCell ref="E14:K14"/>
    <mergeCell ref="B73:E73"/>
    <mergeCell ref="F73:K73"/>
    <mergeCell ref="B81:K81"/>
    <mergeCell ref="B74:E74"/>
    <mergeCell ref="F74:K74"/>
    <mergeCell ref="B75:E75"/>
    <mergeCell ref="F75:K75"/>
    <mergeCell ref="B76:E76"/>
    <mergeCell ref="F76:K76"/>
    <mergeCell ref="B79:K79"/>
    <mergeCell ref="B42:K42"/>
    <mergeCell ref="B40:D40"/>
    <mergeCell ref="E40:K40"/>
    <mergeCell ref="B41:D41"/>
    <mergeCell ref="E41:K41"/>
    <mergeCell ref="B39:D39"/>
    <mergeCell ref="E39:K39"/>
    <mergeCell ref="B71:D71"/>
    <mergeCell ref="E71:K71"/>
    <mergeCell ref="B68:D68"/>
    <mergeCell ref="G54:K54"/>
    <mergeCell ref="G55:K55"/>
    <mergeCell ref="G23:K23"/>
    <mergeCell ref="F24:F26"/>
    <mergeCell ref="G24:K24"/>
    <mergeCell ref="G25:K25"/>
    <mergeCell ref="G26:K26"/>
    <mergeCell ref="B69:D69"/>
    <mergeCell ref="E69:K69"/>
    <mergeCell ref="B70:D70"/>
    <mergeCell ref="E70:K70"/>
    <mergeCell ref="G57:K57"/>
    <mergeCell ref="G58:K58"/>
    <mergeCell ref="F59:F61"/>
    <mergeCell ref="G59:K59"/>
    <mergeCell ref="G60:K60"/>
    <mergeCell ref="G61:K61"/>
    <mergeCell ref="F56:F58"/>
    <mergeCell ref="G56:K56"/>
    <mergeCell ref="G62:K62"/>
    <mergeCell ref="F63:F65"/>
    <mergeCell ref="G63:K63"/>
    <mergeCell ref="G64:K64"/>
    <mergeCell ref="G65:K65"/>
    <mergeCell ref="B9:D9"/>
    <mergeCell ref="E9:K9"/>
    <mergeCell ref="B10:D10"/>
    <mergeCell ref="E10:K10"/>
    <mergeCell ref="B15:D15"/>
    <mergeCell ref="E15:K15"/>
    <mergeCell ref="F34:F36"/>
    <mergeCell ref="G34:K34"/>
    <mergeCell ref="G35:K35"/>
    <mergeCell ref="G36:K36"/>
    <mergeCell ref="F27:F29"/>
    <mergeCell ref="G27:K27"/>
    <mergeCell ref="G28:K28"/>
    <mergeCell ref="G29:K29"/>
    <mergeCell ref="F30:F32"/>
    <mergeCell ref="G30:K30"/>
    <mergeCell ref="G33:K33"/>
    <mergeCell ref="G31:K32"/>
    <mergeCell ref="B16:K16"/>
    <mergeCell ref="G19:K19"/>
    <mergeCell ref="G20:K20"/>
    <mergeCell ref="F21:F23"/>
    <mergeCell ref="G21:K21"/>
    <mergeCell ref="G22:K22"/>
  </mergeCells>
  <phoneticPr fontId="51" type="noConversion"/>
  <printOptions horizontalCentered="1"/>
  <pageMargins left="0.25" right="0.25" top="0.75" bottom="0.75" header="0.3" footer="0.3"/>
  <pageSetup scale="51" fitToHeight="0" orientation="landscape" r:id="rId1"/>
  <headerFooter>
    <oddFooter>&amp;L&amp;A&amp;R&amp;A</oddFooter>
  </headerFooter>
  <rowBreaks count="1" manualBreakCount="1">
    <brk id="87" max="10" man="1"/>
  </rowBreaks>
  <colBreaks count="1" manualBreakCount="1">
    <brk id="11" max="48"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theme="2" tint="-9.9978637043366805E-2"/>
  </sheetPr>
  <dimension ref="A1:BM78"/>
  <sheetViews>
    <sheetView showGridLines="0" zoomScale="90" zoomScaleNormal="90" zoomScaleSheetLayoutView="90" workbookViewId="0">
      <pane xSplit="3" ySplit="2" topLeftCell="T3" activePane="bottomRight" state="frozen"/>
      <selection activeCell="C29" sqref="C29"/>
      <selection pane="topRight" activeCell="C29" sqref="C29"/>
      <selection pane="bottomLeft" activeCell="C29" sqref="C29"/>
      <selection pane="bottomRight" activeCell="B17" sqref="B17"/>
    </sheetView>
  </sheetViews>
  <sheetFormatPr defaultColWidth="9.109375" defaultRowHeight="13.8"/>
  <cols>
    <col min="1" max="1" width="1.88671875" style="2" customWidth="1"/>
    <col min="2" max="2" width="58.33203125" style="2" customWidth="1"/>
    <col min="3" max="3" width="15.109375" style="2" customWidth="1"/>
    <col min="4" max="4" width="13.109375" style="2" customWidth="1"/>
    <col min="5" max="7" width="13.5546875" style="2" customWidth="1"/>
    <col min="8" max="8" width="17.5546875" style="2" customWidth="1"/>
    <col min="9" max="9" width="14.44140625" style="2" customWidth="1"/>
    <col min="10" max="10" width="1.88671875" style="2" customWidth="1"/>
    <col min="11" max="14" width="13.6640625" style="2" customWidth="1"/>
    <col min="15" max="15" width="17.44140625" style="2" customWidth="1"/>
    <col min="16" max="16" width="13.6640625" style="2" customWidth="1"/>
    <col min="17" max="17" width="1.6640625" style="2" customWidth="1"/>
    <col min="18" max="21" width="13.6640625" style="2" customWidth="1"/>
    <col min="22" max="22" width="17.5546875" style="2" customWidth="1"/>
    <col min="23" max="23" width="13.6640625" style="2" customWidth="1"/>
    <col min="24" max="24" width="1.88671875" style="2" customWidth="1"/>
    <col min="25" max="28" width="13.6640625" style="2" customWidth="1"/>
    <col min="29" max="29" width="17" style="2" customWidth="1"/>
    <col min="30" max="30" width="13.6640625" style="2" customWidth="1"/>
    <col min="31" max="31" width="1.88671875" style="2" customWidth="1"/>
    <col min="32" max="35" width="13.6640625" style="2" customWidth="1"/>
    <col min="36" max="36" width="17.5546875" style="2" customWidth="1"/>
    <col min="37" max="37" width="13.6640625" style="2" customWidth="1"/>
    <col min="38" max="38" width="1.88671875" style="2" customWidth="1"/>
    <col min="39" max="42" width="13.6640625" style="2" customWidth="1"/>
    <col min="43" max="43" width="16.6640625" style="2" customWidth="1"/>
    <col min="44" max="44" width="13.6640625" style="2" customWidth="1"/>
    <col min="45" max="45" width="1.88671875" style="2" customWidth="1"/>
    <col min="46" max="49" width="13.6640625" style="2" customWidth="1"/>
    <col min="50" max="50" width="16.44140625" style="2" customWidth="1"/>
    <col min="51" max="51" width="13.6640625" style="2" customWidth="1"/>
    <col min="52" max="52" width="1.88671875" style="2" customWidth="1"/>
    <col min="53" max="56" width="13.6640625" style="2" customWidth="1"/>
    <col min="57" max="57" width="17" style="2" customWidth="1"/>
    <col min="58" max="58" width="13.6640625" style="2" customWidth="1"/>
    <col min="59" max="59" width="1.88671875" style="2" customWidth="1"/>
    <col min="60" max="60" width="3.109375" style="2" hidden="1" customWidth="1"/>
    <col min="61" max="61" width="47.109375" style="2" customWidth="1"/>
    <col min="62" max="62" width="10" style="2" bestFit="1" customWidth="1"/>
    <col min="63" max="63" width="13.44140625" style="2" bestFit="1" customWidth="1"/>
    <col min="64" max="16384" width="9.109375" style="2"/>
  </cols>
  <sheetData>
    <row r="1" spans="1:61" s="82" customFormat="1" ht="21" customHeight="1" thickBot="1">
      <c r="A1" s="617"/>
      <c r="B1" s="618" t="str">
        <f>+'Data Entry'!I3</f>
        <v xml:space="preserve">&lt;=  &lt;=  &lt;=     Enter the county code portion of your LEA CDS Code </v>
      </c>
      <c r="C1" s="1040" t="str">
        <f>Instructions!$C$2</f>
        <v>v.24.1a</v>
      </c>
      <c r="D1" s="620"/>
      <c r="E1" s="620"/>
      <c r="F1" s="620"/>
      <c r="G1" s="620"/>
      <c r="H1" s="620"/>
      <c r="I1" s="620"/>
      <c r="J1" s="621"/>
      <c r="K1" s="622"/>
      <c r="L1" s="623"/>
      <c r="M1" s="623"/>
      <c r="N1" s="620"/>
      <c r="O1" s="623"/>
      <c r="P1" s="623"/>
      <c r="Q1" s="621"/>
      <c r="R1" s="619"/>
      <c r="S1" s="623"/>
      <c r="T1" s="623"/>
      <c r="U1" s="623"/>
      <c r="V1" s="623"/>
      <c r="W1" s="620"/>
      <c r="X1" s="621"/>
      <c r="Y1" s="619"/>
      <c r="Z1" s="623"/>
      <c r="AA1" s="623"/>
      <c r="AB1" s="623"/>
      <c r="AC1" s="623"/>
      <c r="AD1" s="619"/>
      <c r="AE1" s="621"/>
      <c r="AF1" s="619"/>
      <c r="AG1" s="623"/>
      <c r="AH1" s="623"/>
      <c r="AI1" s="623"/>
      <c r="AJ1" s="623"/>
      <c r="AK1" s="623"/>
      <c r="AL1" s="621"/>
      <c r="AM1" s="619"/>
      <c r="AN1" s="623"/>
      <c r="AO1" s="623"/>
      <c r="AP1" s="623"/>
      <c r="AQ1" s="623"/>
      <c r="AR1" s="619"/>
      <c r="AS1" s="621"/>
      <c r="AT1" s="619"/>
      <c r="AU1" s="623"/>
      <c r="AV1" s="623"/>
      <c r="AW1" s="623"/>
      <c r="AX1" s="623"/>
      <c r="AY1" s="623"/>
      <c r="AZ1" s="621"/>
      <c r="BA1" s="619"/>
      <c r="BB1" s="623"/>
      <c r="BC1" s="623"/>
      <c r="BD1" s="623"/>
      <c r="BE1" s="623"/>
      <c r="BF1" s="619"/>
      <c r="BG1" s="621"/>
    </row>
    <row r="2" spans="1:61" s="82" customFormat="1" ht="21" customHeight="1" thickBot="1">
      <c r="A2" s="624"/>
      <c r="B2" s="625" t="s">
        <v>306</v>
      </c>
      <c r="C2" s="626" t="str">
        <f>IF('Data Entry'!$B$7="","",'Data Entry'!$B$7)</f>
        <v/>
      </c>
      <c r="D2" s="1283" t="str">
        <f>'FY Control'!C7</f>
        <v>2020-21</v>
      </c>
      <c r="E2" s="1283"/>
      <c r="F2" s="1283"/>
      <c r="G2" s="1283"/>
      <c r="H2" s="1283"/>
      <c r="I2" s="1283"/>
      <c r="J2" s="1284"/>
      <c r="K2" s="1285" t="str">
        <f>'FY Control'!C8</f>
        <v>2021-22</v>
      </c>
      <c r="L2" s="1283"/>
      <c r="M2" s="1283"/>
      <c r="N2" s="1283"/>
      <c r="O2" s="1283"/>
      <c r="P2" s="1283"/>
      <c r="Q2" s="1284"/>
      <c r="R2" s="1283" t="str">
        <f>'FY Control'!C9</f>
        <v>2022-23</v>
      </c>
      <c r="S2" s="1283"/>
      <c r="T2" s="1283"/>
      <c r="U2" s="1283"/>
      <c r="V2" s="1283"/>
      <c r="W2" s="1283"/>
      <c r="X2" s="1284"/>
      <c r="Y2" s="1285" t="str">
        <f>'FY Control'!$C10</f>
        <v>2023-24</v>
      </c>
      <c r="Z2" s="1283"/>
      <c r="AA2" s="1283"/>
      <c r="AB2" s="1283"/>
      <c r="AC2" s="1283"/>
      <c r="AD2" s="1283"/>
      <c r="AE2" s="1284"/>
      <c r="AF2" s="1285" t="str">
        <f>'FY Control'!$C11</f>
        <v>2024-25</v>
      </c>
      <c r="AG2" s="1283"/>
      <c r="AH2" s="1283"/>
      <c r="AI2" s="1283"/>
      <c r="AJ2" s="1283"/>
      <c r="AK2" s="1283"/>
      <c r="AL2" s="1284"/>
      <c r="AM2" s="1285" t="str">
        <f>'FY Control'!$C12</f>
        <v>2025-26</v>
      </c>
      <c r="AN2" s="1283"/>
      <c r="AO2" s="1283"/>
      <c r="AP2" s="1283"/>
      <c r="AQ2" s="1283"/>
      <c r="AR2" s="1283"/>
      <c r="AS2" s="1284"/>
      <c r="AT2" s="1285" t="str">
        <f>'FY Control'!$C13</f>
        <v>2026-27</v>
      </c>
      <c r="AU2" s="1283"/>
      <c r="AV2" s="1283"/>
      <c r="AW2" s="1283"/>
      <c r="AX2" s="1283"/>
      <c r="AY2" s="1283"/>
      <c r="AZ2" s="1284"/>
      <c r="BA2" s="1285" t="str">
        <f>'FY Control'!$C14</f>
        <v>2027-28</v>
      </c>
      <c r="BB2" s="1283"/>
      <c r="BC2" s="1283"/>
      <c r="BD2" s="1283"/>
      <c r="BE2" s="1283"/>
      <c r="BF2" s="1283"/>
      <c r="BG2" s="1284"/>
      <c r="BI2" s="955" t="s">
        <v>23</v>
      </c>
    </row>
    <row r="3" spans="1:61" s="8" customFormat="1" ht="18" customHeight="1">
      <c r="A3" s="627"/>
      <c r="B3" s="628" t="s">
        <v>581</v>
      </c>
      <c r="C3" s="2"/>
      <c r="D3" s="629">
        <f>+'Data Entry'!G13</f>
        <v>0</v>
      </c>
      <c r="E3" s="630"/>
      <c r="F3" s="2"/>
      <c r="G3" s="2"/>
      <c r="H3" s="2"/>
      <c r="I3" s="631"/>
      <c r="J3" s="632"/>
      <c r="K3" s="444">
        <f>+'Data Entry'!H13</f>
        <v>5.0700000000000002E-2</v>
      </c>
      <c r="L3" s="630"/>
      <c r="P3" s="631"/>
      <c r="Q3" s="632"/>
      <c r="R3" s="444">
        <f>+'Data Entry'!I13</f>
        <v>6.5600000000000006E-2</v>
      </c>
      <c r="S3" s="630"/>
      <c r="W3" s="631"/>
      <c r="X3" s="632"/>
      <c r="Y3" s="444">
        <f>+'Data Entry'!J13</f>
        <v>8.1299999999999997E-2</v>
      </c>
      <c r="Z3" s="630"/>
      <c r="AD3" s="631"/>
      <c r="AE3" s="632"/>
      <c r="AF3" s="444">
        <f>+'Data Entry'!K13</f>
        <v>3.5400000000000001E-2</v>
      </c>
      <c r="AG3" s="630"/>
      <c r="AK3" s="631"/>
      <c r="AL3" s="632"/>
      <c r="AM3" s="444">
        <f>+'Data Entry'!L13</f>
        <v>3.3099999999999997E-2</v>
      </c>
      <c r="AN3" s="630"/>
      <c r="AR3" s="631"/>
      <c r="AS3" s="632"/>
      <c r="AT3" s="444">
        <f>+'Data Entry'!M13</f>
        <v>3.2300000000000002E-2</v>
      </c>
      <c r="AU3" s="630"/>
      <c r="AY3" s="631"/>
      <c r="AZ3" s="632"/>
      <c r="BA3" s="444">
        <f>+'Data Entry'!N13</f>
        <v>3.2000000000000001E-2</v>
      </c>
      <c r="BB3" s="630"/>
      <c r="BF3" s="631"/>
      <c r="BG3" s="632"/>
      <c r="BH3" s="964" t="s">
        <v>452</v>
      </c>
      <c r="BI3" s="4"/>
    </row>
    <row r="4" spans="1:61" s="82" customFormat="1" ht="18" customHeight="1">
      <c r="A4" s="633"/>
      <c r="B4" s="628" t="s">
        <v>455</v>
      </c>
      <c r="C4" s="190"/>
      <c r="D4" s="634" t="s">
        <v>1</v>
      </c>
      <c r="E4" s="635" t="s">
        <v>7</v>
      </c>
      <c r="F4" s="635" t="s">
        <v>560</v>
      </c>
      <c r="G4" s="636" t="s">
        <v>24</v>
      </c>
      <c r="H4" s="636" t="s">
        <v>25</v>
      </c>
      <c r="I4" s="634" t="s">
        <v>5</v>
      </c>
      <c r="J4" s="571"/>
      <c r="K4" s="634" t="s">
        <v>1</v>
      </c>
      <c r="L4" s="635" t="s">
        <v>7</v>
      </c>
      <c r="M4" s="635" t="s">
        <v>560</v>
      </c>
      <c r="N4" s="636" t="s">
        <v>24</v>
      </c>
      <c r="O4" s="636" t="s">
        <v>25</v>
      </c>
      <c r="P4" s="634" t="s">
        <v>5</v>
      </c>
      <c r="Q4" s="571"/>
      <c r="R4" s="634" t="s">
        <v>1</v>
      </c>
      <c r="S4" s="635" t="s">
        <v>7</v>
      </c>
      <c r="T4" s="635" t="s">
        <v>560</v>
      </c>
      <c r="U4" s="636" t="s">
        <v>24</v>
      </c>
      <c r="V4" s="636" t="s">
        <v>25</v>
      </c>
      <c r="W4" s="634" t="s">
        <v>5</v>
      </c>
      <c r="X4" s="571"/>
      <c r="Y4" s="634" t="s">
        <v>1</v>
      </c>
      <c r="Z4" s="635" t="s">
        <v>7</v>
      </c>
      <c r="AA4" s="635" t="s">
        <v>560</v>
      </c>
      <c r="AB4" s="636" t="s">
        <v>24</v>
      </c>
      <c r="AC4" s="636" t="s">
        <v>25</v>
      </c>
      <c r="AD4" s="634" t="s">
        <v>5</v>
      </c>
      <c r="AE4" s="571"/>
      <c r="AF4" s="634" t="s">
        <v>1</v>
      </c>
      <c r="AG4" s="635" t="s">
        <v>7</v>
      </c>
      <c r="AH4" s="635" t="s">
        <v>560</v>
      </c>
      <c r="AI4" s="636" t="s">
        <v>24</v>
      </c>
      <c r="AJ4" s="636" t="s">
        <v>25</v>
      </c>
      <c r="AK4" s="634" t="s">
        <v>5</v>
      </c>
      <c r="AL4" s="571"/>
      <c r="AM4" s="634" t="s">
        <v>1</v>
      </c>
      <c r="AN4" s="635" t="s">
        <v>7</v>
      </c>
      <c r="AO4" s="635" t="s">
        <v>560</v>
      </c>
      <c r="AP4" s="636" t="s">
        <v>24</v>
      </c>
      <c r="AQ4" s="636" t="s">
        <v>25</v>
      </c>
      <c r="AR4" s="634" t="s">
        <v>5</v>
      </c>
      <c r="AS4" s="571"/>
      <c r="AT4" s="634" t="s">
        <v>1</v>
      </c>
      <c r="AU4" s="635" t="s">
        <v>7</v>
      </c>
      <c r="AV4" s="635" t="s">
        <v>560</v>
      </c>
      <c r="AW4" s="636" t="s">
        <v>24</v>
      </c>
      <c r="AX4" s="636" t="s">
        <v>25</v>
      </c>
      <c r="AY4" s="634" t="s">
        <v>5</v>
      </c>
      <c r="AZ4" s="571"/>
      <c r="BA4" s="634" t="s">
        <v>1</v>
      </c>
      <c r="BB4" s="635" t="s">
        <v>7</v>
      </c>
      <c r="BC4" s="635" t="s">
        <v>560</v>
      </c>
      <c r="BD4" s="636" t="s">
        <v>24</v>
      </c>
      <c r="BE4" s="636" t="s">
        <v>25</v>
      </c>
      <c r="BF4" s="634" t="s">
        <v>5</v>
      </c>
      <c r="BG4" s="571"/>
      <c r="BI4" s="83"/>
    </row>
    <row r="5" spans="1:61" s="8" customFormat="1" ht="12.75" customHeight="1">
      <c r="A5" s="627"/>
      <c r="B5" s="2" t="s">
        <v>1763</v>
      </c>
      <c r="C5" s="2"/>
      <c r="D5" s="453">
        <f>+'Data Entry'!G122</f>
        <v>0</v>
      </c>
      <c r="E5" s="451">
        <f>+D5*'Data Entry'!G38</f>
        <v>0</v>
      </c>
      <c r="F5" s="444">
        <f>+'Data Entry'!G106</f>
        <v>0</v>
      </c>
      <c r="G5" s="451">
        <f>ROUND(E5,0)*F5*'Data Entry'!$G$33</f>
        <v>0</v>
      </c>
      <c r="H5" s="451">
        <f>IF(F$5-0.5&gt;0,ROUND(E5,0)*'Data Entry'!$G$34*(F$5-0.5),0)</f>
        <v>0</v>
      </c>
      <c r="I5" s="451">
        <f>+H5+G5+E5</f>
        <v>0</v>
      </c>
      <c r="J5" s="637"/>
      <c r="K5" s="443">
        <f>+'Data Entry'!H122</f>
        <v>0</v>
      </c>
      <c r="L5" s="451">
        <f>+K5*'Data Entry'!$H$38</f>
        <v>0</v>
      </c>
      <c r="M5" s="444">
        <f>+'Data Entry'!H106</f>
        <v>0</v>
      </c>
      <c r="N5" s="451">
        <f>ROUND(L$5,0)*M$5*'Data Entry'!$H$33</f>
        <v>0</v>
      </c>
      <c r="O5" s="451">
        <f>IF(M$5-0.5&gt;0,ROUND(L$5,0)*'Data Entry'!$H$34*(M$5-0.5),0)</f>
        <v>0</v>
      </c>
      <c r="P5" s="451">
        <f>+O5+N5+L5</f>
        <v>0</v>
      </c>
      <c r="Q5" s="637"/>
      <c r="R5" s="1036">
        <f>+'Data Entry'!I122</f>
        <v>0</v>
      </c>
      <c r="S5" s="451">
        <f>+R5*'Data Entry'!$I$38</f>
        <v>0</v>
      </c>
      <c r="T5" s="444">
        <f>+'Data Entry'!$I$106</f>
        <v>0</v>
      </c>
      <c r="U5" s="451">
        <f>ROUND(S$5,0)*T$5*'Data Entry'!$I$33</f>
        <v>0</v>
      </c>
      <c r="V5" s="451">
        <f>IF(T$5-0.5&gt;0,ROUND(S$5,0)*'Data Entry'!$I$34*(T$5-0.5),0)</f>
        <v>0</v>
      </c>
      <c r="W5" s="451">
        <f>+V5+U5+S5</f>
        <v>0</v>
      </c>
      <c r="X5" s="637"/>
      <c r="Y5" s="443">
        <f>+'Data Entry'!J122</f>
        <v>0</v>
      </c>
      <c r="Z5" s="451">
        <f>+Y5*'Data Entry'!$J$38</f>
        <v>0</v>
      </c>
      <c r="AA5" s="444">
        <f>+'Data Entry'!$J$106</f>
        <v>0</v>
      </c>
      <c r="AB5" s="451">
        <f>ROUND(Z$5,0)*AA$5*'Data Entry'!$J$33</f>
        <v>0</v>
      </c>
      <c r="AC5" s="451">
        <f>IF(AA$5-0.5&gt;0,ROUND(Z$5,0)*'Data Entry'!$J$34*(AA$5-0.5),0)</f>
        <v>0</v>
      </c>
      <c r="AD5" s="451">
        <f>+AC5+AB5+Z5</f>
        <v>0</v>
      </c>
      <c r="AE5" s="637"/>
      <c r="AF5" s="443">
        <f>+'Data Entry'!K122</f>
        <v>0</v>
      </c>
      <c r="AG5" s="451">
        <f>+AF5*'Data Entry'!$K$38</f>
        <v>0</v>
      </c>
      <c r="AH5" s="444">
        <f>+'Data Entry'!$K$106</f>
        <v>0</v>
      </c>
      <c r="AI5" s="451">
        <f>ROUND(AG$5,0)*AH$5*'Data Entry'!$K$33</f>
        <v>0</v>
      </c>
      <c r="AJ5" s="451">
        <f>IF(AH$5-0.5&gt;0,ROUND(AG$5,0)*'Data Entry'!$K$34*(AH$5-0.5),0)</f>
        <v>0</v>
      </c>
      <c r="AK5" s="451">
        <f>+AJ5+AI5+AG5</f>
        <v>0</v>
      </c>
      <c r="AL5" s="637"/>
      <c r="AM5" s="443">
        <f>+'Data Entry'!L122</f>
        <v>0</v>
      </c>
      <c r="AN5" s="451">
        <f>+AM5*'Data Entry'!$L$38</f>
        <v>0</v>
      </c>
      <c r="AO5" s="444">
        <f>+'Data Entry'!$L$106</f>
        <v>0</v>
      </c>
      <c r="AP5" s="451">
        <f>ROUND(AN$5,0)*AO$5*'Data Entry'!$L$33</f>
        <v>0</v>
      </c>
      <c r="AQ5" s="451">
        <f>IF(AO$5-0.5&gt;0,ROUND(AN$5,0)*'Data Entry'!$L$34*(AO$5-0.5),0)</f>
        <v>0</v>
      </c>
      <c r="AR5" s="451">
        <f>+AQ5+AP5+AN5</f>
        <v>0</v>
      </c>
      <c r="AS5" s="637"/>
      <c r="AT5" s="443">
        <f>+'Data Entry'!M122</f>
        <v>0</v>
      </c>
      <c r="AU5" s="451">
        <f>+AT5*'Data Entry'!$M$38</f>
        <v>0</v>
      </c>
      <c r="AV5" s="444">
        <f>+'Data Entry'!$M$106</f>
        <v>0</v>
      </c>
      <c r="AW5" s="451">
        <f>ROUND(AU$5,0)*AV$5*'Data Entry'!$M$33</f>
        <v>0</v>
      </c>
      <c r="AX5" s="451">
        <f>IF(AV$5-0.5&gt;0,ROUND(AU$5,0)*'Data Entry'!$M$34*(AV$5-0.5),0)</f>
        <v>0</v>
      </c>
      <c r="AY5" s="451">
        <f>+AX5+AW5+AU5</f>
        <v>0</v>
      </c>
      <c r="AZ5" s="637"/>
      <c r="BA5" s="443">
        <f>+'Data Entry'!N122</f>
        <v>0</v>
      </c>
      <c r="BB5" s="451">
        <f>+BA5*'Data Entry'!$N$38</f>
        <v>0</v>
      </c>
      <c r="BC5" s="444">
        <f>+'Data Entry'!$N$106</f>
        <v>0</v>
      </c>
      <c r="BD5" s="451">
        <f>ROUND(BB$5,0)*BC$5*'Data Entry'!$N$33</f>
        <v>0</v>
      </c>
      <c r="BE5" s="451">
        <f>IF(BC$5-0.5&gt;0,ROUND(BB$5,0)*'Data Entry'!$N$34*(BC$5-0.5),0)</f>
        <v>0</v>
      </c>
      <c r="BF5" s="451">
        <f>+BE5+BD5+BB5</f>
        <v>0</v>
      </c>
      <c r="BG5" s="637"/>
      <c r="BH5" s="965" t="s">
        <v>322</v>
      </c>
      <c r="BI5" s="4"/>
    </row>
    <row r="6" spans="1:61" s="8" customFormat="1" ht="12.75" customHeight="1">
      <c r="A6" s="627"/>
      <c r="B6" s="2" t="s">
        <v>279</v>
      </c>
      <c r="C6" s="2"/>
      <c r="D6" s="182">
        <f>+'Data Entry'!G123</f>
        <v>0</v>
      </c>
      <c r="E6" s="449">
        <f>D6*'Data Entry'!G38</f>
        <v>0</v>
      </c>
      <c r="F6" s="444">
        <f>+'Data Entry'!$G$106</f>
        <v>0</v>
      </c>
      <c r="G6" s="449">
        <f>ROUND(E6,0)*F6*'Data Entry'!$G$33</f>
        <v>0</v>
      </c>
      <c r="H6" s="449">
        <f>IF(F$5-0.5&gt;0,ROUND(E6,FALSE)*'Data Entry'!$G$34*(F$6-0.5),0)</f>
        <v>0</v>
      </c>
      <c r="I6" s="449">
        <f>+H6+G6+E6</f>
        <v>0</v>
      </c>
      <c r="J6" s="637"/>
      <c r="K6" s="182">
        <f>+'Data Entry'!H123</f>
        <v>0</v>
      </c>
      <c r="L6" s="449">
        <f>K6*'Data Entry'!$H$38</f>
        <v>0</v>
      </c>
      <c r="M6" s="444">
        <f>+'Data Entry'!$H$106</f>
        <v>0</v>
      </c>
      <c r="N6" s="449">
        <f>ROUND(L$6,0)*M$6*'Data Entry'!$H$33</f>
        <v>0</v>
      </c>
      <c r="O6" s="449">
        <f>IF(M$5-0.5&gt;0,ROUND(L$6,FALSE)*'Data Entry'!$H$34*(M$6-0.5),0)</f>
        <v>0</v>
      </c>
      <c r="P6" s="449">
        <f>+O6+N6+L6</f>
        <v>0</v>
      </c>
      <c r="Q6" s="637"/>
      <c r="R6" s="182">
        <f>+'Data Entry'!I123</f>
        <v>0</v>
      </c>
      <c r="S6" s="449">
        <f>R6*'Data Entry'!$I$38</f>
        <v>0</v>
      </c>
      <c r="T6" s="444">
        <f>+'Data Entry'!$I$106</f>
        <v>0</v>
      </c>
      <c r="U6" s="449">
        <f>ROUND(S$6,0)*T$6*'Data Entry'!$I$33</f>
        <v>0</v>
      </c>
      <c r="V6" s="449">
        <f>IF(T$5-0.5&gt;0,ROUND(S$6,FALSE)*'Data Entry'!$I$34*(T$6-0.5),0)</f>
        <v>0</v>
      </c>
      <c r="W6" s="449">
        <f>+V6+U6+S6</f>
        <v>0</v>
      </c>
      <c r="X6" s="637"/>
      <c r="Y6" s="182">
        <f>+'Data Entry'!J123</f>
        <v>0</v>
      </c>
      <c r="Z6" s="449">
        <f>Y6*'Data Entry'!$J$38</f>
        <v>0</v>
      </c>
      <c r="AA6" s="444">
        <f>+'Data Entry'!$J$106</f>
        <v>0</v>
      </c>
      <c r="AB6" s="449">
        <f>ROUND(Z$6,0)*AA$6*'Data Entry'!$J$33</f>
        <v>0</v>
      </c>
      <c r="AC6" s="449">
        <f>IF(AA$5-0.5&gt;0,ROUND(Z$6,FALSE)*'Data Entry'!$J$34*(AA$6-0.5),0)</f>
        <v>0</v>
      </c>
      <c r="AD6" s="449">
        <f>+AC6+AB6+Z6</f>
        <v>0</v>
      </c>
      <c r="AE6" s="637"/>
      <c r="AF6" s="182">
        <f>+'Data Entry'!K123</f>
        <v>0</v>
      </c>
      <c r="AG6" s="449">
        <f>AF6*'Data Entry'!$K$38</f>
        <v>0</v>
      </c>
      <c r="AH6" s="444">
        <f>+'Data Entry'!$K$106</f>
        <v>0</v>
      </c>
      <c r="AI6" s="449">
        <f>ROUND(AG$6,0)*AH$6*'Data Entry'!$K$33</f>
        <v>0</v>
      </c>
      <c r="AJ6" s="449">
        <f>IF(AH$5-0.5&gt;0,ROUND(AG$6,FALSE)*'Data Entry'!$K$34*(AH$6-0.5),0)</f>
        <v>0</v>
      </c>
      <c r="AK6" s="449">
        <f>+AJ6+AI6+AG6</f>
        <v>0</v>
      </c>
      <c r="AL6" s="637"/>
      <c r="AM6" s="182">
        <f>+'Data Entry'!L123</f>
        <v>0</v>
      </c>
      <c r="AN6" s="449">
        <f>AM6*'Data Entry'!$L$38</f>
        <v>0</v>
      </c>
      <c r="AO6" s="444">
        <f>+'Data Entry'!$L$106</f>
        <v>0</v>
      </c>
      <c r="AP6" s="449">
        <f>ROUND(AN$6,0)*AO$6*'Data Entry'!$L$33</f>
        <v>0</v>
      </c>
      <c r="AQ6" s="449">
        <f>IF(AO$5-0.5&gt;0,ROUND(AN$6,FALSE)*'Data Entry'!$L$34*(AO$6-0.5),0)</f>
        <v>0</v>
      </c>
      <c r="AR6" s="449">
        <f>+AQ6+AP6+AN6</f>
        <v>0</v>
      </c>
      <c r="AS6" s="637"/>
      <c r="AT6" s="182">
        <f>+'Data Entry'!M123</f>
        <v>0</v>
      </c>
      <c r="AU6" s="449">
        <f>AT6*'Data Entry'!$M$38</f>
        <v>0</v>
      </c>
      <c r="AV6" s="444">
        <f>+'Data Entry'!$M$106</f>
        <v>0</v>
      </c>
      <c r="AW6" s="449">
        <f>ROUND(AU$6,0)*AV$6*'Data Entry'!$M$33</f>
        <v>0</v>
      </c>
      <c r="AX6" s="449">
        <f>IF(AV$5-0.5&gt;0,ROUND(AU$6,FALSE)*'Data Entry'!$M$34*(AV$6-0.5),0)</f>
        <v>0</v>
      </c>
      <c r="AY6" s="449">
        <f>+AX6+AW6+AU6</f>
        <v>0</v>
      </c>
      <c r="AZ6" s="637"/>
      <c r="BA6" s="182">
        <f>+'Data Entry'!N123</f>
        <v>0</v>
      </c>
      <c r="BB6" s="449">
        <f>BA6*'Data Entry'!$N$38</f>
        <v>0</v>
      </c>
      <c r="BC6" s="444">
        <f>+'Data Entry'!$N$106</f>
        <v>0</v>
      </c>
      <c r="BD6" s="449">
        <f>ROUND(BB$6,0)*BC$6*'Data Entry'!$N$33</f>
        <v>0</v>
      </c>
      <c r="BE6" s="449">
        <f>IF(BC$5-0.5&gt;0,ROUND(BB$6,FALSE)*'Data Entry'!$N$34*(BC$6-0.5),0)</f>
        <v>0</v>
      </c>
      <c r="BF6" s="449">
        <f>+BE6+BD6+BB6</f>
        <v>0</v>
      </c>
      <c r="BG6" s="637"/>
      <c r="BH6" s="965" t="s">
        <v>323</v>
      </c>
      <c r="BI6" s="4"/>
    </row>
    <row r="7" spans="1:61" s="8" customFormat="1" ht="12.75" customHeight="1">
      <c r="A7" s="627"/>
      <c r="B7" s="2" t="s">
        <v>280</v>
      </c>
      <c r="C7" s="2"/>
      <c r="D7" s="453">
        <f>SUM(D5:D6)</f>
        <v>0</v>
      </c>
      <c r="E7" s="454">
        <f>ROUND(SUM(E5:E6),0)</f>
        <v>0</v>
      </c>
      <c r="F7" s="7"/>
      <c r="G7" s="454">
        <f>ROUND(SUM(G5:G6),0)</f>
        <v>0</v>
      </c>
      <c r="H7" s="454">
        <f>ROUND(SUM(H5:H6),0)</f>
        <v>0</v>
      </c>
      <c r="I7" s="455">
        <f>SUM(I5:I6)</f>
        <v>0</v>
      </c>
      <c r="J7" s="637"/>
      <c r="K7" s="445">
        <f>SUM(K5:K6)</f>
        <v>0</v>
      </c>
      <c r="L7" s="446">
        <f>ROUND(SUM(L5:L6),0)</f>
        <v>0</v>
      </c>
      <c r="M7" s="50"/>
      <c r="N7" s="446">
        <f>ROUND(SUM(N5:N6),0)</f>
        <v>0</v>
      </c>
      <c r="O7" s="446">
        <f>ROUND(SUM(O5:O6),0)</f>
        <v>0</v>
      </c>
      <c r="P7" s="353">
        <f>SUM(P5:P6)</f>
        <v>0</v>
      </c>
      <c r="Q7" s="637"/>
      <c r="R7" s="445">
        <f>SUM(R5:R6)</f>
        <v>0</v>
      </c>
      <c r="S7" s="446">
        <f>ROUND(SUM(S5:S6),0)</f>
        <v>0</v>
      </c>
      <c r="T7" s="50"/>
      <c r="U7" s="446">
        <f>ROUND(SUM(U5:U6),0)</f>
        <v>0</v>
      </c>
      <c r="V7" s="446">
        <f>ROUND(SUM(V5:V6),0)</f>
        <v>0</v>
      </c>
      <c r="W7" s="353">
        <f>SUM(W5:W6)</f>
        <v>0</v>
      </c>
      <c r="X7" s="637"/>
      <c r="Y7" s="445">
        <f>SUM(Y5:Y6)</f>
        <v>0</v>
      </c>
      <c r="Z7" s="446">
        <f>ROUND(SUM(Z5:Z6),0)</f>
        <v>0</v>
      </c>
      <c r="AA7" s="50"/>
      <c r="AB7" s="446">
        <f>ROUND(SUM(AB5:AB6),0)</f>
        <v>0</v>
      </c>
      <c r="AC7" s="446">
        <f>ROUND(SUM(AC5:AC6),0)</f>
        <v>0</v>
      </c>
      <c r="AD7" s="353">
        <f>SUM(AD5:AD6)</f>
        <v>0</v>
      </c>
      <c r="AE7" s="637"/>
      <c r="AF7" s="445">
        <f>SUM(AF5:AF6)</f>
        <v>0</v>
      </c>
      <c r="AG7" s="446">
        <f>ROUND(SUM(AG5:AG6),0)</f>
        <v>0</v>
      </c>
      <c r="AH7" s="50"/>
      <c r="AI7" s="446">
        <f>ROUND(SUM(AI5:AI6),0)</f>
        <v>0</v>
      </c>
      <c r="AJ7" s="446">
        <f>ROUND(SUM(AJ5:AJ6),0)</f>
        <v>0</v>
      </c>
      <c r="AK7" s="353">
        <f>SUM(AK5:AK6)</f>
        <v>0</v>
      </c>
      <c r="AL7" s="637"/>
      <c r="AM7" s="445">
        <f>SUM(AM5:AM6)</f>
        <v>0</v>
      </c>
      <c r="AN7" s="446">
        <f>ROUND(SUM(AN5:AN6),0)</f>
        <v>0</v>
      </c>
      <c r="AO7" s="50"/>
      <c r="AP7" s="446">
        <f>ROUND(SUM(AP5:AP6),0)</f>
        <v>0</v>
      </c>
      <c r="AQ7" s="446">
        <f>ROUND(SUM(AQ5:AQ6),0)</f>
        <v>0</v>
      </c>
      <c r="AR7" s="353">
        <f>SUM(AR5:AR6)</f>
        <v>0</v>
      </c>
      <c r="AS7" s="637"/>
      <c r="AT7" s="445">
        <f>SUM(AT5:AT6)</f>
        <v>0</v>
      </c>
      <c r="AU7" s="446">
        <f>ROUND(SUM(AU5:AU6),0)</f>
        <v>0</v>
      </c>
      <c r="AV7" s="50"/>
      <c r="AW7" s="446">
        <f>ROUND(SUM(AW5:AW6),0)</f>
        <v>0</v>
      </c>
      <c r="AX7" s="446">
        <f>ROUND(SUM(AX5:AX6),0)</f>
        <v>0</v>
      </c>
      <c r="AY7" s="353">
        <f>SUM(AY5:AY6)</f>
        <v>0</v>
      </c>
      <c r="AZ7" s="637"/>
      <c r="BA7" s="445">
        <f>SUM(BA5:BA6)</f>
        <v>0</v>
      </c>
      <c r="BB7" s="446">
        <f>ROUND(SUM(BB5:BB6),0)</f>
        <v>0</v>
      </c>
      <c r="BC7" s="50"/>
      <c r="BD7" s="446">
        <f>ROUND(SUM(BD5:BD6),0)</f>
        <v>0</v>
      </c>
      <c r="BE7" s="446">
        <f>ROUND(SUM(BE5:BE6),0)</f>
        <v>0</v>
      </c>
      <c r="BF7" s="353">
        <f>SUM(BF5:BF6)</f>
        <v>0</v>
      </c>
      <c r="BG7" s="637"/>
      <c r="BH7" s="966"/>
      <c r="BI7" s="4"/>
    </row>
    <row r="8" spans="1:61" s="8" customFormat="1" ht="12.75" customHeight="1">
      <c r="A8" s="627"/>
      <c r="B8" s="2"/>
      <c r="C8" s="2"/>
      <c r="D8" s="182"/>
      <c r="E8" s="449"/>
      <c r="F8" s="7"/>
      <c r="G8" s="449"/>
      <c r="H8" s="449"/>
      <c r="I8" s="449"/>
      <c r="J8" s="637"/>
      <c r="K8" s="182"/>
      <c r="L8" s="449"/>
      <c r="M8" s="50"/>
      <c r="N8" s="449"/>
      <c r="O8" s="449"/>
      <c r="P8" s="449"/>
      <c r="Q8" s="637"/>
      <c r="R8" s="182"/>
      <c r="S8" s="449"/>
      <c r="T8" s="50"/>
      <c r="U8" s="449"/>
      <c r="V8" s="449"/>
      <c r="W8" s="449"/>
      <c r="X8" s="637"/>
      <c r="Y8" s="182"/>
      <c r="Z8" s="449"/>
      <c r="AA8" s="50"/>
      <c r="AB8" s="449"/>
      <c r="AC8" s="449"/>
      <c r="AD8" s="449"/>
      <c r="AE8" s="637"/>
      <c r="AF8" s="182"/>
      <c r="AG8" s="449"/>
      <c r="AH8" s="50"/>
      <c r="AI8" s="449"/>
      <c r="AJ8" s="449"/>
      <c r="AK8" s="449"/>
      <c r="AL8" s="637"/>
      <c r="AM8" s="182"/>
      <c r="AN8" s="449"/>
      <c r="AO8" s="50"/>
      <c r="AP8" s="449"/>
      <c r="AQ8" s="449"/>
      <c r="AR8" s="449"/>
      <c r="AS8" s="637"/>
      <c r="AT8" s="182"/>
      <c r="AU8" s="449"/>
      <c r="AV8" s="50"/>
      <c r="AW8" s="449"/>
      <c r="AX8" s="449"/>
      <c r="AY8" s="449"/>
      <c r="AZ8" s="637"/>
      <c r="BA8" s="182"/>
      <c r="BB8" s="449"/>
      <c r="BC8" s="50"/>
      <c r="BD8" s="449"/>
      <c r="BE8" s="449"/>
      <c r="BF8" s="449"/>
      <c r="BG8" s="637"/>
      <c r="BH8" s="966"/>
      <c r="BI8" s="4"/>
    </row>
    <row r="9" spans="1:61" s="8" customFormat="1" ht="12.75" customHeight="1">
      <c r="A9" s="627"/>
      <c r="B9" s="7" t="s">
        <v>281</v>
      </c>
      <c r="C9" s="2"/>
      <c r="D9" s="182">
        <f>+'Data Entry'!G125</f>
        <v>0</v>
      </c>
      <c r="E9" s="449">
        <f>+D9*'Data Entry'!G38</f>
        <v>0</v>
      </c>
      <c r="F9" s="448">
        <v>1</v>
      </c>
      <c r="G9" s="451">
        <f>ROUND(E9,0)*F9*'Data Entry'!$H$33</f>
        <v>0</v>
      </c>
      <c r="H9" s="449">
        <f>ROUND(E9,0)*F$9*'Data Entry'!$G$35</f>
        <v>0</v>
      </c>
      <c r="I9" s="449">
        <f>+H9+G9+E9</f>
        <v>0</v>
      </c>
      <c r="J9" s="637"/>
      <c r="K9" s="182">
        <f>+'Data Entry'!H125</f>
        <v>0</v>
      </c>
      <c r="L9" s="449">
        <f>+K9*'Data Entry'!H38</f>
        <v>0</v>
      </c>
      <c r="M9" s="448">
        <v>1</v>
      </c>
      <c r="N9" s="451">
        <f>ROUND(L$9,0)*M$9*'Data Entry'!$H$33</f>
        <v>0</v>
      </c>
      <c r="O9" s="449">
        <f>ROUND(L9,0)*M$9*'Data Entry'!$H$35</f>
        <v>0</v>
      </c>
      <c r="P9" s="449">
        <f>+O9+N9+L9</f>
        <v>0</v>
      </c>
      <c r="Q9" s="637"/>
      <c r="R9" s="1052">
        <f>+'Data Entry'!I125</f>
        <v>0</v>
      </c>
      <c r="S9" s="449">
        <f>+R9*'Data Entry'!I38</f>
        <v>0</v>
      </c>
      <c r="T9" s="448">
        <v>1</v>
      </c>
      <c r="U9" s="451">
        <f>ROUND(S$9,0)*T$9*'Data Entry'!$I$33</f>
        <v>0</v>
      </c>
      <c r="V9" s="449">
        <f>ROUND(S9,0)*T$9*'Data Entry'!$I$35</f>
        <v>0</v>
      </c>
      <c r="W9" s="449">
        <f>+V9+U9+S9</f>
        <v>0</v>
      </c>
      <c r="X9" s="637"/>
      <c r="Y9" s="182">
        <f>+'Data Entry'!J125</f>
        <v>0</v>
      </c>
      <c r="Z9" s="449">
        <f>+Y9*'Data Entry'!J38</f>
        <v>0</v>
      </c>
      <c r="AA9" s="448">
        <v>1</v>
      </c>
      <c r="AB9" s="451">
        <f>ROUND(Z$9,0)*AA$9*'Data Entry'!$J$33</f>
        <v>0</v>
      </c>
      <c r="AC9" s="449">
        <f>ROUND(Z9,0)*AA$9*'Data Entry'!$J$35</f>
        <v>0</v>
      </c>
      <c r="AD9" s="449">
        <f>+AC9+AB9+Z9</f>
        <v>0</v>
      </c>
      <c r="AE9" s="637"/>
      <c r="AF9" s="182">
        <f>+'Data Entry'!K125</f>
        <v>0</v>
      </c>
      <c r="AG9" s="449">
        <f>+AF9*'Data Entry'!K38</f>
        <v>0</v>
      </c>
      <c r="AH9" s="448">
        <v>1</v>
      </c>
      <c r="AI9" s="451">
        <f>ROUND(AG$9,0)*AH$9*'Data Entry'!$K$33</f>
        <v>0</v>
      </c>
      <c r="AJ9" s="449">
        <f>ROUND(AG9,0)*AH$9*'Data Entry'!$K$35</f>
        <v>0</v>
      </c>
      <c r="AK9" s="449">
        <f>+AJ9+AI9+AG9</f>
        <v>0</v>
      </c>
      <c r="AL9" s="637"/>
      <c r="AM9" s="182">
        <f>+'Data Entry'!L125</f>
        <v>0</v>
      </c>
      <c r="AN9" s="449">
        <f>+AM9*'Data Entry'!L38</f>
        <v>0</v>
      </c>
      <c r="AO9" s="448">
        <v>1</v>
      </c>
      <c r="AP9" s="451">
        <f>ROUND(AN$9,0)*AO$9*'Data Entry'!$L$33</f>
        <v>0</v>
      </c>
      <c r="AQ9" s="449">
        <f>ROUND(AN9,0)*AO$9*'Data Entry'!$L$35</f>
        <v>0</v>
      </c>
      <c r="AR9" s="449">
        <f>+AQ9+AP9+AN9</f>
        <v>0</v>
      </c>
      <c r="AS9" s="637"/>
      <c r="AT9" s="182">
        <f>+'Data Entry'!M125</f>
        <v>0</v>
      </c>
      <c r="AU9" s="449">
        <f>+AT9*'Data Entry'!M38</f>
        <v>0</v>
      </c>
      <c r="AV9" s="448">
        <v>1</v>
      </c>
      <c r="AW9" s="451">
        <f>ROUND(AU$9,0)*AV$9*'Data Entry'!$M$33</f>
        <v>0</v>
      </c>
      <c r="AX9" s="449">
        <f>ROUND(AU9,0)*AV$9*'Data Entry'!$M$35</f>
        <v>0</v>
      </c>
      <c r="AY9" s="449">
        <f>+AX9+AW9+AU9</f>
        <v>0</v>
      </c>
      <c r="AZ9" s="637"/>
      <c r="BA9" s="182">
        <f>+'Data Entry'!N125</f>
        <v>0</v>
      </c>
      <c r="BB9" s="449">
        <f>+BA9*'Data Entry'!N38</f>
        <v>0</v>
      </c>
      <c r="BC9" s="448">
        <v>1</v>
      </c>
      <c r="BD9" s="451">
        <f>ROUND(BB$9,0)*BC$9*'Data Entry'!$N$33</f>
        <v>0</v>
      </c>
      <c r="BE9" s="449">
        <f>ROUND(BB9,0)*BC$9*'Data Entry'!$N$35</f>
        <v>0</v>
      </c>
      <c r="BF9" s="449">
        <f>+BE9+BD9+BB9</f>
        <v>0</v>
      </c>
      <c r="BG9" s="637"/>
      <c r="BH9" s="964" t="s">
        <v>324</v>
      </c>
      <c r="BI9" s="4"/>
    </row>
    <row r="10" spans="1:61" s="50" customFormat="1" ht="12.75" customHeight="1">
      <c r="A10" s="627"/>
      <c r="B10" s="7" t="s">
        <v>282</v>
      </c>
      <c r="C10" s="7"/>
      <c r="D10" s="638">
        <f>+'Data Entry'!G126</f>
        <v>0</v>
      </c>
      <c r="E10" s="449">
        <f>D10*'Data Entry'!G38</f>
        <v>0</v>
      </c>
      <c r="F10" s="448">
        <v>1</v>
      </c>
      <c r="G10" s="449">
        <f>ROUND(E10,0)*F10*'Data Entry'!$G$33</f>
        <v>0</v>
      </c>
      <c r="H10" s="449">
        <f>ROUND(E10,0)*F$10*'Data Entry'!$G$35</f>
        <v>0</v>
      </c>
      <c r="I10" s="449">
        <f>+H10+G10+E10</f>
        <v>0</v>
      </c>
      <c r="J10" s="639"/>
      <c r="K10" s="638">
        <f>+'Data Entry'!H126</f>
        <v>0</v>
      </c>
      <c r="L10" s="449">
        <f>+K10*'Data Entry'!H38</f>
        <v>0</v>
      </c>
      <c r="M10" s="448">
        <v>1</v>
      </c>
      <c r="N10" s="449">
        <f>ROUND(L$10,0)*M$10*'Data Entry'!$H$33</f>
        <v>0</v>
      </c>
      <c r="O10" s="449">
        <f>ROUND(L$10,0)*M$10*'Data Entry'!$H$35</f>
        <v>0</v>
      </c>
      <c r="P10" s="449">
        <f>+O10+N10+L10</f>
        <v>0</v>
      </c>
      <c r="Q10" s="639"/>
      <c r="R10" s="182">
        <f>+'Data Entry'!I126</f>
        <v>0</v>
      </c>
      <c r="S10" s="449">
        <f>+R10*'Data Entry'!I38</f>
        <v>0</v>
      </c>
      <c r="T10" s="448">
        <v>1</v>
      </c>
      <c r="U10" s="449">
        <f>ROUND(S$10,0)*T$10*'Data Entry'!$I$33</f>
        <v>0</v>
      </c>
      <c r="V10" s="449">
        <f>ROUND(S$10,0)*T$10*'Data Entry'!$I$35</f>
        <v>0</v>
      </c>
      <c r="W10" s="449">
        <f>+V10+U10+S10</f>
        <v>0</v>
      </c>
      <c r="X10" s="639"/>
      <c r="Y10" s="638">
        <f>+'Data Entry'!J126</f>
        <v>0</v>
      </c>
      <c r="Z10" s="449">
        <f>+Y10*'Data Entry'!J38</f>
        <v>0</v>
      </c>
      <c r="AA10" s="448">
        <v>1</v>
      </c>
      <c r="AB10" s="449">
        <f>ROUND(Z$10,0)*AA$10*'Data Entry'!$J$33</f>
        <v>0</v>
      </c>
      <c r="AC10" s="449">
        <f>ROUND(Z$10,0)*AA$10*'Data Entry'!$J$35</f>
        <v>0</v>
      </c>
      <c r="AD10" s="449">
        <f>+AC10+AB10+Z10</f>
        <v>0</v>
      </c>
      <c r="AE10" s="639"/>
      <c r="AF10" s="638">
        <f>+'Data Entry'!K126</f>
        <v>0</v>
      </c>
      <c r="AG10" s="449">
        <f>+AF10*'Data Entry'!K38</f>
        <v>0</v>
      </c>
      <c r="AH10" s="448">
        <v>1</v>
      </c>
      <c r="AI10" s="449">
        <f>ROUND(AG$10,0)*AH$10*'Data Entry'!$K$33</f>
        <v>0</v>
      </c>
      <c r="AJ10" s="449">
        <f>ROUND(AG$10,0)*AH$10*'Data Entry'!$K$35</f>
        <v>0</v>
      </c>
      <c r="AK10" s="449">
        <f>+AJ10+AI10+AG10</f>
        <v>0</v>
      </c>
      <c r="AL10" s="639"/>
      <c r="AM10" s="638">
        <f>+'Data Entry'!L126</f>
        <v>0</v>
      </c>
      <c r="AN10" s="449">
        <f>+AM10*'Data Entry'!L38</f>
        <v>0</v>
      </c>
      <c r="AO10" s="448">
        <v>1</v>
      </c>
      <c r="AP10" s="449">
        <f>ROUND(AN$10,0)*AO$10*'Data Entry'!$L$33</f>
        <v>0</v>
      </c>
      <c r="AQ10" s="449">
        <f>ROUND(AN$10,0)*AO$10*'Data Entry'!$L$35</f>
        <v>0</v>
      </c>
      <c r="AR10" s="449">
        <f>+AQ10+AP10+AN10</f>
        <v>0</v>
      </c>
      <c r="AS10" s="639"/>
      <c r="AT10" s="638">
        <f>+'Data Entry'!M126</f>
        <v>0</v>
      </c>
      <c r="AU10" s="449">
        <f>+AT10*'Data Entry'!M38</f>
        <v>0</v>
      </c>
      <c r="AV10" s="448">
        <v>1</v>
      </c>
      <c r="AW10" s="449">
        <f>ROUND(AU$10,0)*AV$10*'Data Entry'!$M$33</f>
        <v>0</v>
      </c>
      <c r="AX10" s="449">
        <f>ROUND(AU$10,0)*AV$10*'Data Entry'!$M$35</f>
        <v>0</v>
      </c>
      <c r="AY10" s="449">
        <f>+AX10+AW10+AU10</f>
        <v>0</v>
      </c>
      <c r="AZ10" s="639"/>
      <c r="BA10" s="638">
        <f>+'Data Entry'!N126</f>
        <v>0</v>
      </c>
      <c r="BB10" s="449">
        <f>+BA10*'Data Entry'!N38</f>
        <v>0</v>
      </c>
      <c r="BC10" s="448">
        <v>1</v>
      </c>
      <c r="BD10" s="449">
        <f>ROUND(BB$10,0)*BC$10*'Data Entry'!$N$33</f>
        <v>0</v>
      </c>
      <c r="BE10" s="449">
        <f>ROUND(BB$10,0)*BC$10*'Data Entry'!$N$35</f>
        <v>0</v>
      </c>
      <c r="BF10" s="449">
        <f>+BE10+BD10+BB10</f>
        <v>0</v>
      </c>
      <c r="BG10" s="639"/>
      <c r="BH10" s="964" t="s">
        <v>325</v>
      </c>
      <c r="BI10" s="6"/>
    </row>
    <row r="11" spans="1:61" s="50" customFormat="1" ht="12.75" customHeight="1">
      <c r="A11" s="627"/>
      <c r="B11" s="7" t="s">
        <v>310</v>
      </c>
      <c r="C11" s="7"/>
      <c r="D11" s="453">
        <f>SUM(D9:D10)</f>
        <v>0</v>
      </c>
      <c r="E11" s="454">
        <f>ROUND(SUM(E9:E10),0)</f>
        <v>0</v>
      </c>
      <c r="F11" s="7"/>
      <c r="G11" s="456">
        <f t="shared" ref="G11:H11" si="0">SUM(G9:G10)</f>
        <v>0</v>
      </c>
      <c r="H11" s="456">
        <f t="shared" si="0"/>
        <v>0</v>
      </c>
      <c r="I11" s="455">
        <f>SUM(I9:I10)</f>
        <v>0</v>
      </c>
      <c r="J11" s="639"/>
      <c r="K11" s="445">
        <f>SUM(K9:K10)</f>
        <v>0</v>
      </c>
      <c r="L11" s="446">
        <f>ROUND(SUM(L9:L10),0)</f>
        <v>0</v>
      </c>
      <c r="N11" s="447">
        <f>ROUND(SUM(N9:N10),0)</f>
        <v>0</v>
      </c>
      <c r="O11" s="447">
        <f t="shared" ref="O11" si="1">SUM(O9:O10)</f>
        <v>0</v>
      </c>
      <c r="P11" s="353">
        <f>SUM(P9:P10)</f>
        <v>0</v>
      </c>
      <c r="Q11" s="639"/>
      <c r="R11" s="445">
        <f>SUM(R9:R10)</f>
        <v>0</v>
      </c>
      <c r="S11" s="446">
        <f>ROUND(SUM(S9:S10),0)</f>
        <v>0</v>
      </c>
      <c r="U11" s="447">
        <f>ROUND(SUM(U9:U10),0)</f>
        <v>0</v>
      </c>
      <c r="V11" s="447">
        <f t="shared" ref="V11" si="2">SUM(V9:V10)</f>
        <v>0</v>
      </c>
      <c r="W11" s="353">
        <f>SUM(W9:W10)</f>
        <v>0</v>
      </c>
      <c r="X11" s="639"/>
      <c r="Y11" s="445">
        <f>SUM(Y9:Y10)</f>
        <v>0</v>
      </c>
      <c r="Z11" s="446">
        <f>ROUND(SUM(Z9:Z10),0)</f>
        <v>0</v>
      </c>
      <c r="AB11" s="447">
        <f>ROUND(SUM(AB9:AB10),0)</f>
        <v>0</v>
      </c>
      <c r="AC11" s="447">
        <f t="shared" ref="AC11" si="3">SUM(AC9:AC10)</f>
        <v>0</v>
      </c>
      <c r="AD11" s="353">
        <f>SUM(AD9:AD10)</f>
        <v>0</v>
      </c>
      <c r="AE11" s="639"/>
      <c r="AF11" s="445">
        <f>SUM(AF9:AF10)</f>
        <v>0</v>
      </c>
      <c r="AG11" s="446">
        <f>ROUND(SUM(AG9:AG10),0)</f>
        <v>0</v>
      </c>
      <c r="AI11" s="447">
        <f>ROUND(SUM(AI9:AI10),0)</f>
        <v>0</v>
      </c>
      <c r="AJ11" s="447">
        <f t="shared" ref="AJ11" si="4">SUM(AJ9:AJ10)</f>
        <v>0</v>
      </c>
      <c r="AK11" s="353">
        <f>SUM(AK9:AK10)</f>
        <v>0</v>
      </c>
      <c r="AL11" s="639"/>
      <c r="AM11" s="445">
        <f>SUM(AM9:AM10)</f>
        <v>0</v>
      </c>
      <c r="AN11" s="446">
        <f>ROUND(SUM(AN9:AN10),0)</f>
        <v>0</v>
      </c>
      <c r="AP11" s="447">
        <f>ROUND(SUM(AP9:AP10),0)</f>
        <v>0</v>
      </c>
      <c r="AQ11" s="447">
        <f t="shared" ref="AQ11" si="5">SUM(AQ9:AQ10)</f>
        <v>0</v>
      </c>
      <c r="AR11" s="353">
        <f>SUM(AR9:AR10)</f>
        <v>0</v>
      </c>
      <c r="AS11" s="639"/>
      <c r="AT11" s="445">
        <f>SUM(AT9:AT10)</f>
        <v>0</v>
      </c>
      <c r="AU11" s="446">
        <f>ROUND(SUM(AU9:AU10),0)</f>
        <v>0</v>
      </c>
      <c r="AW11" s="447">
        <f>ROUND(SUM(AW9:AW10),0)</f>
        <v>0</v>
      </c>
      <c r="AX11" s="447">
        <f t="shared" ref="AX11" si="6">SUM(AX9:AX10)</f>
        <v>0</v>
      </c>
      <c r="AY11" s="353">
        <f>SUM(AY9:AY10)</f>
        <v>0</v>
      </c>
      <c r="AZ11" s="639"/>
      <c r="BA11" s="445">
        <f>SUM(BA9:BA10)</f>
        <v>0</v>
      </c>
      <c r="BB11" s="446">
        <f>ROUND(SUM(BB9:BB10),0)</f>
        <v>0</v>
      </c>
      <c r="BD11" s="447">
        <f>ROUND(SUM(BD9:BD10),0)</f>
        <v>0</v>
      </c>
      <c r="BE11" s="447">
        <f t="shared" ref="BE11" si="7">SUM(BE9:BE10)</f>
        <v>0</v>
      </c>
      <c r="BF11" s="353">
        <f>SUM(BF9:BF10)</f>
        <v>0</v>
      </c>
      <c r="BG11" s="639"/>
      <c r="BH11" s="8"/>
      <c r="BI11" s="6"/>
    </row>
    <row r="12" spans="1:61" s="8" customFormat="1" ht="12.75" customHeight="1">
      <c r="A12" s="627"/>
      <c r="B12" s="2"/>
      <c r="C12" s="2"/>
      <c r="D12" s="182"/>
      <c r="E12" s="640"/>
      <c r="F12" s="7"/>
      <c r="G12" s="640"/>
      <c r="H12" s="640"/>
      <c r="I12" s="641"/>
      <c r="J12" s="637"/>
      <c r="K12" s="182"/>
      <c r="L12" s="640"/>
      <c r="M12" s="50"/>
      <c r="N12" s="640"/>
      <c r="O12" s="640"/>
      <c r="P12" s="641"/>
      <c r="Q12" s="637"/>
      <c r="R12" s="182"/>
      <c r="S12" s="640"/>
      <c r="T12" s="50"/>
      <c r="U12" s="640"/>
      <c r="V12" s="640"/>
      <c r="W12" s="641"/>
      <c r="X12" s="637"/>
      <c r="Y12" s="182"/>
      <c r="Z12" s="640"/>
      <c r="AA12" s="50"/>
      <c r="AB12" s="640"/>
      <c r="AC12" s="640"/>
      <c r="AD12" s="641"/>
      <c r="AE12" s="637"/>
      <c r="AF12" s="182"/>
      <c r="AG12" s="640"/>
      <c r="AH12" s="50"/>
      <c r="AI12" s="640"/>
      <c r="AJ12" s="640"/>
      <c r="AK12" s="641"/>
      <c r="AL12" s="637"/>
      <c r="AM12" s="182"/>
      <c r="AN12" s="640"/>
      <c r="AO12" s="50"/>
      <c r="AP12" s="640"/>
      <c r="AQ12" s="640"/>
      <c r="AR12" s="641"/>
      <c r="AS12" s="637"/>
      <c r="AT12" s="182"/>
      <c r="AU12" s="640"/>
      <c r="AV12" s="50"/>
      <c r="AW12" s="640"/>
      <c r="AX12" s="640"/>
      <c r="AY12" s="641"/>
      <c r="AZ12" s="637"/>
      <c r="BA12" s="182"/>
      <c r="BB12" s="640"/>
      <c r="BC12" s="50"/>
      <c r="BD12" s="640"/>
      <c r="BE12" s="640"/>
      <c r="BF12" s="641"/>
      <c r="BG12" s="637"/>
      <c r="BI12" s="4"/>
    </row>
    <row r="13" spans="1:61" s="198" customFormat="1" ht="12.75" customHeight="1" thickBot="1">
      <c r="A13" s="642"/>
      <c r="B13" s="643" t="s">
        <v>454</v>
      </c>
      <c r="C13" s="644"/>
      <c r="D13" s="645">
        <f>+D11+D7</f>
        <v>0</v>
      </c>
      <c r="E13" s="450">
        <f>+E11+E7</f>
        <v>0</v>
      </c>
      <c r="F13" s="644"/>
      <c r="G13" s="450">
        <f>ROUND(+G11+G7,0)</f>
        <v>0</v>
      </c>
      <c r="H13" s="450">
        <f>ROUND(+H11+H7,0)</f>
        <v>0</v>
      </c>
      <c r="I13" s="646">
        <f>SUM(E13:H13)</f>
        <v>0</v>
      </c>
      <c r="J13" s="647"/>
      <c r="K13" s="645">
        <f>+K11+K7</f>
        <v>0</v>
      </c>
      <c r="L13" s="450">
        <f>+L11+L7</f>
        <v>0</v>
      </c>
      <c r="N13" s="450">
        <f>ROUND(+N11+N7,0)</f>
        <v>0</v>
      </c>
      <c r="O13" s="450">
        <f>ROUND(+O11+O7,0)</f>
        <v>0</v>
      </c>
      <c r="P13" s="646">
        <f>SUM(L13:O13)</f>
        <v>0</v>
      </c>
      <c r="Q13" s="647"/>
      <c r="R13" s="645">
        <f>+R11+R7</f>
        <v>0</v>
      </c>
      <c r="S13" s="450">
        <f>+S11+S7</f>
        <v>0</v>
      </c>
      <c r="U13" s="450">
        <f>ROUND(+U11+U7,0)</f>
        <v>0</v>
      </c>
      <c r="V13" s="450">
        <f>ROUND(+V11+V7,0)</f>
        <v>0</v>
      </c>
      <c r="W13" s="646">
        <f>SUM(S13:V13)</f>
        <v>0</v>
      </c>
      <c r="X13" s="647"/>
      <c r="Y13" s="645">
        <f>+Y11+Y7</f>
        <v>0</v>
      </c>
      <c r="Z13" s="450">
        <f>+Z11+Z7</f>
        <v>0</v>
      </c>
      <c r="AB13" s="450">
        <f>ROUND(+AB11+AB7,0)</f>
        <v>0</v>
      </c>
      <c r="AC13" s="450">
        <f>ROUND(+AC11+AC7,0)</f>
        <v>0</v>
      </c>
      <c r="AD13" s="646">
        <f>SUM(Z13:AC13)</f>
        <v>0</v>
      </c>
      <c r="AE13" s="647"/>
      <c r="AF13" s="645">
        <f>+AF11+AF7</f>
        <v>0</v>
      </c>
      <c r="AG13" s="450">
        <f>+AG11+AG7</f>
        <v>0</v>
      </c>
      <c r="AI13" s="450">
        <f>ROUND(+AI11+AI7,0)</f>
        <v>0</v>
      </c>
      <c r="AJ13" s="450">
        <f>ROUND(+AJ11+AJ7,0)</f>
        <v>0</v>
      </c>
      <c r="AK13" s="646">
        <f>SUM(AG13:AJ13)</f>
        <v>0</v>
      </c>
      <c r="AL13" s="647"/>
      <c r="AM13" s="645">
        <f>+AM11+AM7</f>
        <v>0</v>
      </c>
      <c r="AN13" s="450">
        <f>+AN11+AN7</f>
        <v>0</v>
      </c>
      <c r="AP13" s="450">
        <f>ROUND(+AP11+AP7,0)</f>
        <v>0</v>
      </c>
      <c r="AQ13" s="450">
        <f>ROUND(+AQ11+AQ7,0)</f>
        <v>0</v>
      </c>
      <c r="AR13" s="646">
        <f>SUM(AN13:AQ13)</f>
        <v>0</v>
      </c>
      <c r="AS13" s="647"/>
      <c r="AT13" s="645">
        <f>+AT11+AT7</f>
        <v>0</v>
      </c>
      <c r="AU13" s="450">
        <f>+AU11+AU7</f>
        <v>0</v>
      </c>
      <c r="AW13" s="450">
        <f>ROUND(+AW11+AW7,0)</f>
        <v>0</v>
      </c>
      <c r="AX13" s="450">
        <f>ROUND(+AX11+AX7,0)</f>
        <v>0</v>
      </c>
      <c r="AY13" s="646">
        <f>SUM(AU13:AX13)</f>
        <v>0</v>
      </c>
      <c r="AZ13" s="647"/>
      <c r="BA13" s="645">
        <f>+BA11+BA7</f>
        <v>0</v>
      </c>
      <c r="BB13" s="450">
        <f>+BB11+BB7</f>
        <v>0</v>
      </c>
      <c r="BD13" s="450">
        <f>ROUND(+BD11+BD7,0)</f>
        <v>0</v>
      </c>
      <c r="BE13" s="450">
        <f>ROUND(+BE11+BE7,0)</f>
        <v>0</v>
      </c>
      <c r="BF13" s="646">
        <f>SUM(BB13:BE13)</f>
        <v>0</v>
      </c>
      <c r="BG13" s="647"/>
      <c r="BH13" s="967"/>
      <c r="BI13" s="614"/>
    </row>
    <row r="14" spans="1:61" s="8" customFormat="1" ht="21" customHeight="1" thickTop="1">
      <c r="A14" s="627"/>
      <c r="B14" s="628" t="s">
        <v>456</v>
      </c>
      <c r="C14" s="7"/>
      <c r="D14" s="648"/>
      <c r="E14" s="648"/>
      <c r="F14" s="648"/>
      <c r="G14" s="648"/>
      <c r="H14" s="649"/>
      <c r="I14" s="640"/>
      <c r="J14" s="639"/>
      <c r="K14" s="648"/>
      <c r="L14" s="648"/>
      <c r="M14" s="648"/>
      <c r="N14" s="648"/>
      <c r="O14" s="649"/>
      <c r="P14" s="640"/>
      <c r="Q14" s="639"/>
      <c r="R14" s="648"/>
      <c r="S14" s="648"/>
      <c r="T14" s="648"/>
      <c r="U14" s="648"/>
      <c r="V14" s="649"/>
      <c r="W14" s="640"/>
      <c r="X14" s="639"/>
      <c r="Y14" s="648"/>
      <c r="Z14" s="648"/>
      <c r="AA14" s="648"/>
      <c r="AB14" s="648"/>
      <c r="AC14" s="649"/>
      <c r="AD14" s="640"/>
      <c r="AE14" s="639"/>
      <c r="AF14" s="648"/>
      <c r="AG14" s="648"/>
      <c r="AH14" s="648"/>
      <c r="AI14" s="648"/>
      <c r="AJ14" s="649"/>
      <c r="AK14" s="640"/>
      <c r="AL14" s="639"/>
      <c r="AM14" s="648"/>
      <c r="AN14" s="648"/>
      <c r="AO14" s="648"/>
      <c r="AP14" s="648"/>
      <c r="AQ14" s="649"/>
      <c r="AR14" s="640"/>
      <c r="AS14" s="639"/>
      <c r="AT14" s="648"/>
      <c r="AU14" s="648"/>
      <c r="AV14" s="648"/>
      <c r="AW14" s="648"/>
      <c r="AX14" s="649"/>
      <c r="AY14" s="640"/>
      <c r="AZ14" s="639"/>
      <c r="BA14" s="648"/>
      <c r="BB14" s="648"/>
      <c r="BC14" s="648"/>
      <c r="BD14" s="648"/>
      <c r="BE14" s="649"/>
      <c r="BF14" s="640"/>
      <c r="BG14" s="639"/>
      <c r="BI14" s="4"/>
    </row>
    <row r="15" spans="1:61" s="8" customFormat="1" ht="12.75" customHeight="1">
      <c r="A15" s="627"/>
      <c r="B15" s="2" t="s">
        <v>212</v>
      </c>
      <c r="C15" s="2"/>
      <c r="D15" s="648"/>
      <c r="E15" s="648"/>
      <c r="F15" s="648"/>
      <c r="G15" s="648"/>
      <c r="H15" s="648"/>
      <c r="I15" s="451">
        <f>IFERROR(VLOOKUP('Data Entry'!$B$3,'PY3 LCFF Calc'!$A:$Y,MATCH("A-29",'PY3 LCFF Calc'!$A$5:$Y$5,0),FALSE),0)</f>
        <v>0</v>
      </c>
      <c r="J15" s="637"/>
      <c r="K15" s="648"/>
      <c r="L15" s="648"/>
      <c r="M15" s="648"/>
      <c r="N15" s="648"/>
      <c r="O15" s="648"/>
      <c r="P15" s="451">
        <f>IFERROR(VLOOKUP('Data Entry'!$B$3,'PY2 LCFF Calc'!$A:$W,MATCH("A-29",'PY2 LCFF Calc'!$A$5:$W$5,0),FALSE),0)</f>
        <v>0</v>
      </c>
      <c r="Q15" s="637"/>
      <c r="R15" s="648"/>
      <c r="S15" s="648"/>
      <c r="T15" s="648"/>
      <c r="U15" s="648"/>
      <c r="V15" s="648"/>
      <c r="W15" s="451">
        <f>IFERROR(VLOOKUP('Data Entry'!$B$3,'PY1 LCFF Calc'!$A:$Y,MATCH("A-29",'PY1 LCFF Calc'!$A$5:$Y$5,0),FALSE),0)</f>
        <v>0</v>
      </c>
      <c r="X15" s="637"/>
      <c r="Y15" s="648"/>
      <c r="Z15" s="648"/>
      <c r="AA15" s="648"/>
      <c r="AB15" s="648"/>
      <c r="AC15" s="648"/>
      <c r="AD15" s="451">
        <f>+W15</f>
        <v>0</v>
      </c>
      <c r="AE15" s="637"/>
      <c r="AF15" s="648"/>
      <c r="AG15" s="648"/>
      <c r="AH15" s="648"/>
      <c r="AI15" s="648"/>
      <c r="AJ15" s="648"/>
      <c r="AK15" s="451">
        <f>+AD15</f>
        <v>0</v>
      </c>
      <c r="AL15" s="637"/>
      <c r="AM15" s="648"/>
      <c r="AN15" s="648"/>
      <c r="AO15" s="648"/>
      <c r="AP15" s="648"/>
      <c r="AQ15" s="648"/>
      <c r="AR15" s="451">
        <f>+AK15</f>
        <v>0</v>
      </c>
      <c r="AS15" s="637"/>
      <c r="AT15" s="648"/>
      <c r="AU15" s="648"/>
      <c r="AV15" s="648"/>
      <c r="AW15" s="648"/>
      <c r="AX15" s="648"/>
      <c r="AY15" s="451">
        <f>+AR15</f>
        <v>0</v>
      </c>
      <c r="AZ15" s="637"/>
      <c r="BA15" s="648"/>
      <c r="BB15" s="648"/>
      <c r="BC15" s="648"/>
      <c r="BD15" s="648"/>
      <c r="BE15" s="648"/>
      <c r="BF15" s="451">
        <f>+AY15</f>
        <v>0</v>
      </c>
      <c r="BG15" s="637"/>
      <c r="BH15" s="50"/>
      <c r="BI15" s="4"/>
    </row>
    <row r="16" spans="1:61" s="8" customFormat="1" ht="12.75" customHeight="1">
      <c r="A16" s="627"/>
      <c r="B16" s="7" t="s">
        <v>1828</v>
      </c>
      <c r="C16" s="2"/>
      <c r="D16" s="648"/>
      <c r="E16" s="648"/>
      <c r="F16" s="7"/>
      <c r="G16" s="648"/>
      <c r="H16" s="648"/>
      <c r="I16" s="449">
        <f>IFERROR(VLOOKUP('Data Entry'!$B$3,'PY3 LCFF Calc'!$A:$Y,MATCH("A-31",'PY3 LCFF Calc'!$A$5:$Y$5,0),FALSE),0)</f>
        <v>0</v>
      </c>
      <c r="J16" s="639"/>
      <c r="K16" s="648"/>
      <c r="L16" s="648"/>
      <c r="M16" s="7"/>
      <c r="N16" s="648"/>
      <c r="O16" s="648"/>
      <c r="P16" s="449">
        <f>IFERROR(VLOOKUP('Data Entry'!$B$3,'PY2 LCFF Calc'!$A:$W,MATCH("A-31",'PY2 LCFF Calc'!$A$5:$W$5,0),FALSE),0)</f>
        <v>0</v>
      </c>
      <c r="Q16" s="639"/>
      <c r="R16" s="648"/>
      <c r="S16" s="648"/>
      <c r="T16" s="7"/>
      <c r="U16" s="648"/>
      <c r="V16" s="648"/>
      <c r="W16" s="449">
        <f>IFERROR(VLOOKUP('Data Entry'!$B$3,'PY1 LCFF Calc'!$A:$Y,MATCH("A-31",'PY1 LCFF Calc'!$A$5:$Y$5,0),FALSE),0)</f>
        <v>0</v>
      </c>
      <c r="X16" s="637"/>
      <c r="Y16" s="648"/>
      <c r="Z16" s="648"/>
      <c r="AA16" s="7"/>
      <c r="AB16" s="648"/>
      <c r="AC16" s="648"/>
      <c r="AD16" s="449">
        <f>+W16*(1+'Data Entry'!J13)</f>
        <v>0</v>
      </c>
      <c r="AE16" s="637"/>
      <c r="AF16" s="648"/>
      <c r="AG16" s="648"/>
      <c r="AH16" s="7"/>
      <c r="AI16" s="648"/>
      <c r="AJ16" s="648"/>
      <c r="AK16" s="449">
        <f>+AD16*(1+'Data Entry'!K13)</f>
        <v>0</v>
      </c>
      <c r="AL16" s="637"/>
      <c r="AM16" s="648"/>
      <c r="AN16" s="648"/>
      <c r="AO16" s="7"/>
      <c r="AP16" s="648"/>
      <c r="AQ16" s="648"/>
      <c r="AR16" s="449">
        <f>+AK16*(1+'Data Entry'!L13)</f>
        <v>0</v>
      </c>
      <c r="AS16" s="637"/>
      <c r="AT16" s="648"/>
      <c r="AU16" s="648"/>
      <c r="AV16" s="7"/>
      <c r="AW16" s="648"/>
      <c r="AX16" s="648"/>
      <c r="AY16" s="449">
        <f>+AR16*(1+'Data Entry'!M13)</f>
        <v>0</v>
      </c>
      <c r="AZ16" s="637"/>
      <c r="BA16" s="648"/>
      <c r="BB16" s="648"/>
      <c r="BC16" s="7"/>
      <c r="BD16" s="648"/>
      <c r="BE16" s="648"/>
      <c r="BF16" s="449">
        <f>+AY16*(1+'Data Entry'!N13)</f>
        <v>0</v>
      </c>
      <c r="BG16" s="637"/>
      <c r="BI16" s="4"/>
    </row>
    <row r="17" spans="1:61" ht="12.75" customHeight="1">
      <c r="A17" s="627"/>
      <c r="B17" s="7" t="s">
        <v>1829</v>
      </c>
      <c r="D17" s="648"/>
      <c r="E17" s="7"/>
      <c r="F17" s="7"/>
      <c r="G17" s="648"/>
      <c r="H17" s="648"/>
      <c r="I17" s="449">
        <f>IFERROR(VLOOKUP('Data Entry'!$B$3,'PY3 LCFF Calc'!$A:$Y,MATCH("A-33",'PY3 LCFF Calc'!$A$5:$Y$5,0),FALSE),0)</f>
        <v>0</v>
      </c>
      <c r="J17" s="639"/>
      <c r="K17" s="648"/>
      <c r="L17" s="7"/>
      <c r="M17" s="7"/>
      <c r="N17" s="648"/>
      <c r="O17" s="648"/>
      <c r="P17" s="449">
        <f>IFERROR(VLOOKUP('Data Entry'!$B$3,'PY2 LCFF Calc'!$A:$W,MATCH("A-33",'PY2 LCFF Calc'!$A$5:$W$5,0),FALSE),0)</f>
        <v>0</v>
      </c>
      <c r="Q17" s="639"/>
      <c r="R17" s="648"/>
      <c r="S17" s="7"/>
      <c r="T17" s="7"/>
      <c r="U17" s="648"/>
      <c r="V17" s="648"/>
      <c r="W17" s="449">
        <f>IFERROR(VLOOKUP('Data Entry'!$B$3,'PY1 LCFF Calc'!$A:$Y,MATCH("A-33",'PY1 LCFF Calc'!$A$5:$Y$5,0),FALSE),0)</f>
        <v>0</v>
      </c>
      <c r="X17" s="637"/>
      <c r="Y17" s="648"/>
      <c r="Z17" s="7"/>
      <c r="AA17" s="7"/>
      <c r="AB17" s="648"/>
      <c r="AC17" s="648"/>
      <c r="AD17" s="449">
        <f>+W17*(1+'Data Entry'!J13)</f>
        <v>0</v>
      </c>
      <c r="AE17" s="639"/>
      <c r="AF17" s="648"/>
      <c r="AG17" s="7"/>
      <c r="AH17" s="7"/>
      <c r="AI17" s="648"/>
      <c r="AJ17" s="648"/>
      <c r="AK17" s="449">
        <f>+AD17*(1+'Data Entry'!K13)</f>
        <v>0</v>
      </c>
      <c r="AL17" s="639"/>
      <c r="AM17" s="648"/>
      <c r="AN17" s="7"/>
      <c r="AO17" s="7"/>
      <c r="AP17" s="648"/>
      <c r="AQ17" s="648"/>
      <c r="AR17" s="449">
        <f>+AK17*(1+'Data Entry'!L13)</f>
        <v>0</v>
      </c>
      <c r="AS17" s="639"/>
      <c r="AT17" s="648"/>
      <c r="AU17" s="7"/>
      <c r="AV17" s="7"/>
      <c r="AW17" s="648"/>
      <c r="AX17" s="648"/>
      <c r="AY17" s="449">
        <f>+AR17*(1+'Data Entry'!M13)</f>
        <v>0</v>
      </c>
      <c r="AZ17" s="639"/>
      <c r="BA17" s="648"/>
      <c r="BB17" s="7"/>
      <c r="BC17" s="7"/>
      <c r="BD17" s="648"/>
      <c r="BE17" s="648"/>
      <c r="BF17" s="449">
        <f>+AY17*(1+'Data Entry'!N13)</f>
        <v>0</v>
      </c>
      <c r="BG17" s="637"/>
      <c r="BH17" s="7"/>
      <c r="BI17" s="729"/>
    </row>
    <row r="18" spans="1:61" s="8" customFormat="1" ht="12.75" customHeight="1">
      <c r="A18" s="627"/>
      <c r="B18" s="650" t="s">
        <v>526</v>
      </c>
      <c r="C18" s="7"/>
      <c r="D18" s="648"/>
      <c r="E18" s="648"/>
      <c r="F18" s="648"/>
      <c r="G18" s="648"/>
      <c r="H18" s="648"/>
      <c r="I18" s="651">
        <f>SUM(I15:I17)</f>
        <v>0</v>
      </c>
      <c r="J18" s="639"/>
      <c r="K18" s="648"/>
      <c r="L18" s="648"/>
      <c r="M18" s="648"/>
      <c r="N18" s="648"/>
      <c r="O18" s="648"/>
      <c r="P18" s="652">
        <f>SUM(P15:P17)</f>
        <v>0</v>
      </c>
      <c r="Q18" s="639"/>
      <c r="R18" s="648"/>
      <c r="S18" s="648"/>
      <c r="T18" s="648"/>
      <c r="U18" s="648"/>
      <c r="V18" s="648"/>
      <c r="W18" s="652">
        <f>SUM(W15:W17)</f>
        <v>0</v>
      </c>
      <c r="X18" s="639"/>
      <c r="Y18" s="648"/>
      <c r="Z18" s="648"/>
      <c r="AA18" s="648"/>
      <c r="AB18" s="648"/>
      <c r="AC18" s="648"/>
      <c r="AD18" s="652">
        <f>SUM(AD15:AD17)</f>
        <v>0</v>
      </c>
      <c r="AE18" s="639"/>
      <c r="AF18" s="648"/>
      <c r="AG18" s="648"/>
      <c r="AH18" s="648"/>
      <c r="AI18" s="648"/>
      <c r="AJ18" s="648"/>
      <c r="AK18" s="652">
        <f>SUM(AK15:AK17)</f>
        <v>0</v>
      </c>
      <c r="AL18" s="639"/>
      <c r="AM18" s="648"/>
      <c r="AN18" s="648"/>
      <c r="AO18" s="648"/>
      <c r="AP18" s="648"/>
      <c r="AQ18" s="648"/>
      <c r="AR18" s="652">
        <f>SUM(AR15:AR17)</f>
        <v>0</v>
      </c>
      <c r="AS18" s="639"/>
      <c r="AT18" s="648"/>
      <c r="AU18" s="648"/>
      <c r="AV18" s="648"/>
      <c r="AW18" s="648"/>
      <c r="AX18" s="648"/>
      <c r="AY18" s="652">
        <f>SUM(AY15:AY17)</f>
        <v>0</v>
      </c>
      <c r="AZ18" s="639"/>
      <c r="BA18" s="648"/>
      <c r="BB18" s="648"/>
      <c r="BC18" s="648"/>
      <c r="BD18" s="648"/>
      <c r="BE18" s="648"/>
      <c r="BF18" s="652">
        <f>SUM(BF15:BF17)</f>
        <v>0</v>
      </c>
      <c r="BG18" s="639"/>
      <c r="BI18" s="4"/>
    </row>
    <row r="19" spans="1:61" s="8" customFormat="1" ht="21" customHeight="1">
      <c r="A19" s="627"/>
      <c r="B19" s="653" t="s">
        <v>458</v>
      </c>
      <c r="C19" s="7"/>
      <c r="D19" s="648"/>
      <c r="E19" s="648"/>
      <c r="F19" s="648"/>
      <c r="G19" s="648"/>
      <c r="H19" s="648"/>
      <c r="I19" s="449"/>
      <c r="J19" s="639"/>
      <c r="K19" s="648"/>
      <c r="L19" s="648"/>
      <c r="M19" s="648"/>
      <c r="N19" s="648"/>
      <c r="O19" s="648"/>
      <c r="P19" s="449"/>
      <c r="Q19" s="639"/>
      <c r="R19" s="648"/>
      <c r="S19" s="648"/>
      <c r="T19" s="648"/>
      <c r="U19" s="648"/>
      <c r="V19" s="648"/>
      <c r="W19" s="449"/>
      <c r="X19" s="639"/>
      <c r="Y19" s="648"/>
      <c r="Z19" s="648"/>
      <c r="AA19" s="648"/>
      <c r="AB19" s="648"/>
      <c r="AC19" s="648"/>
      <c r="AD19" s="449"/>
      <c r="AE19" s="639"/>
      <c r="AF19" s="648"/>
      <c r="AG19" s="648"/>
      <c r="AH19" s="648"/>
      <c r="AI19" s="648"/>
      <c r="AJ19" s="648"/>
      <c r="AK19" s="449"/>
      <c r="AL19" s="639"/>
      <c r="AM19" s="648"/>
      <c r="AN19" s="648"/>
      <c r="AO19" s="648"/>
      <c r="AP19" s="648"/>
      <c r="AQ19" s="648"/>
      <c r="AR19" s="449"/>
      <c r="AS19" s="639"/>
      <c r="AT19" s="648"/>
      <c r="AU19" s="648"/>
      <c r="AV19" s="648"/>
      <c r="AW19" s="648"/>
      <c r="AX19" s="648"/>
      <c r="AY19" s="449"/>
      <c r="AZ19" s="639"/>
      <c r="BA19" s="648"/>
      <c r="BB19" s="648"/>
      <c r="BC19" s="648"/>
      <c r="BD19" s="648"/>
      <c r="BE19" s="648"/>
      <c r="BF19" s="449"/>
      <c r="BG19" s="639"/>
      <c r="BI19" s="4"/>
    </row>
    <row r="20" spans="1:61" s="50" customFormat="1" ht="12.75" customHeight="1">
      <c r="A20" s="627"/>
      <c r="B20" s="654" t="s">
        <v>457</v>
      </c>
      <c r="C20" s="7"/>
      <c r="D20" s="655"/>
      <c r="E20" s="656" t="s">
        <v>327</v>
      </c>
      <c r="F20" s="656" t="s">
        <v>328</v>
      </c>
      <c r="G20" s="656" t="s">
        <v>329</v>
      </c>
      <c r="H20" s="656" t="s">
        <v>330</v>
      </c>
      <c r="I20" s="640"/>
      <c r="J20" s="639"/>
      <c r="K20" s="655"/>
      <c r="L20" s="656" t="s">
        <v>327</v>
      </c>
      <c r="M20" s="656" t="s">
        <v>328</v>
      </c>
      <c r="N20" s="656" t="s">
        <v>329</v>
      </c>
      <c r="O20" s="656" t="s">
        <v>330</v>
      </c>
      <c r="P20" s="640"/>
      <c r="Q20" s="639"/>
      <c r="R20" s="655"/>
      <c r="S20" s="656" t="s">
        <v>327</v>
      </c>
      <c r="T20" s="656" t="s">
        <v>328</v>
      </c>
      <c r="U20" s="656" t="s">
        <v>329</v>
      </c>
      <c r="V20" s="656" t="s">
        <v>330</v>
      </c>
      <c r="W20" s="640"/>
      <c r="X20" s="639"/>
      <c r="Y20" s="655"/>
      <c r="Z20" s="656" t="s">
        <v>327</v>
      </c>
      <c r="AA20" s="656" t="s">
        <v>328</v>
      </c>
      <c r="AB20" s="656" t="s">
        <v>329</v>
      </c>
      <c r="AC20" s="656" t="s">
        <v>330</v>
      </c>
      <c r="AD20" s="640"/>
      <c r="AE20" s="639"/>
      <c r="AF20" s="655"/>
      <c r="AG20" s="656" t="s">
        <v>327</v>
      </c>
      <c r="AH20" s="656" t="s">
        <v>328</v>
      </c>
      <c r="AI20" s="656" t="s">
        <v>329</v>
      </c>
      <c r="AJ20" s="656" t="s">
        <v>330</v>
      </c>
      <c r="AK20" s="640"/>
      <c r="AL20" s="639"/>
      <c r="AM20" s="655"/>
      <c r="AN20" s="656" t="s">
        <v>327</v>
      </c>
      <c r="AO20" s="656" t="s">
        <v>328</v>
      </c>
      <c r="AP20" s="656" t="s">
        <v>329</v>
      </c>
      <c r="AQ20" s="656" t="s">
        <v>330</v>
      </c>
      <c r="AR20" s="640"/>
      <c r="AS20" s="639"/>
      <c r="AT20" s="655"/>
      <c r="AU20" s="656" t="s">
        <v>327</v>
      </c>
      <c r="AV20" s="656" t="s">
        <v>328</v>
      </c>
      <c r="AW20" s="656" t="s">
        <v>329</v>
      </c>
      <c r="AX20" s="656" t="s">
        <v>330</v>
      </c>
      <c r="AY20" s="640"/>
      <c r="AZ20" s="639"/>
      <c r="BA20" s="655"/>
      <c r="BB20" s="656" t="s">
        <v>327</v>
      </c>
      <c r="BC20" s="656" t="s">
        <v>328</v>
      </c>
      <c r="BD20" s="656" t="s">
        <v>329</v>
      </c>
      <c r="BE20" s="656" t="s">
        <v>330</v>
      </c>
      <c r="BF20" s="640"/>
      <c r="BG20" s="639"/>
      <c r="BH20" s="8"/>
      <c r="BI20" s="6"/>
    </row>
    <row r="21" spans="1:61" s="50" customFormat="1" ht="12.75" customHeight="1">
      <c r="A21" s="627"/>
      <c r="B21" s="657" t="s">
        <v>326</v>
      </c>
      <c r="C21" s="7"/>
      <c r="D21" s="658"/>
      <c r="E21" s="659">
        <f>+'Data Entry'!G22</f>
        <v>0</v>
      </c>
      <c r="F21" s="659">
        <f>+'Data Entry'!G23</f>
        <v>0</v>
      </c>
      <c r="G21" s="659">
        <f>+'Data Entry'!G24</f>
        <v>0</v>
      </c>
      <c r="H21" s="659">
        <f>+'Data Entry'!G25</f>
        <v>0</v>
      </c>
      <c r="I21" s="640"/>
      <c r="J21" s="639"/>
      <c r="K21" s="658"/>
      <c r="L21" s="659">
        <f>+'Data Entry'!H22</f>
        <v>0</v>
      </c>
      <c r="M21" s="659">
        <f>+'Data Entry'!H23</f>
        <v>0</v>
      </c>
      <c r="N21" s="659">
        <f>+'Data Entry'!H24</f>
        <v>0</v>
      </c>
      <c r="O21" s="659">
        <f>+'Data Entry'!H25</f>
        <v>0</v>
      </c>
      <c r="P21" s="640"/>
      <c r="Q21" s="639"/>
      <c r="R21" s="658"/>
      <c r="S21" s="659">
        <f>+'Data Entry'!I22</f>
        <v>0</v>
      </c>
      <c r="T21" s="659">
        <f>+'Data Entry'!I23</f>
        <v>0</v>
      </c>
      <c r="U21" s="659">
        <f>+'Data Entry'!I24</f>
        <v>0</v>
      </c>
      <c r="V21" s="659">
        <f>+'Data Entry'!I25</f>
        <v>0</v>
      </c>
      <c r="W21" s="640"/>
      <c r="X21" s="639"/>
      <c r="Y21" s="658"/>
      <c r="Z21" s="659">
        <f>+'Data Entry'!J22</f>
        <v>0</v>
      </c>
      <c r="AA21" s="659">
        <f>+'Data Entry'!J23</f>
        <v>0</v>
      </c>
      <c r="AB21" s="659">
        <f>+'Data Entry'!J24</f>
        <v>0</v>
      </c>
      <c r="AC21" s="659">
        <f>+'Data Entry'!J25</f>
        <v>0</v>
      </c>
      <c r="AD21" s="640"/>
      <c r="AE21" s="639"/>
      <c r="AF21" s="658"/>
      <c r="AG21" s="659">
        <f>+'Data Entry'!K22</f>
        <v>0</v>
      </c>
      <c r="AH21" s="659">
        <f>+'Data Entry'!K23</f>
        <v>0</v>
      </c>
      <c r="AI21" s="659">
        <f>+'Data Entry'!K24</f>
        <v>0</v>
      </c>
      <c r="AJ21" s="659">
        <f>+'Data Entry'!K25</f>
        <v>0</v>
      </c>
      <c r="AK21" s="640"/>
      <c r="AL21" s="639"/>
      <c r="AM21" s="658"/>
      <c r="AN21" s="659">
        <f>+'Data Entry'!L22</f>
        <v>0</v>
      </c>
      <c r="AO21" s="659">
        <f>+'Data Entry'!L23</f>
        <v>0</v>
      </c>
      <c r="AP21" s="659">
        <f>+'Data Entry'!L24</f>
        <v>0</v>
      </c>
      <c r="AQ21" s="659">
        <f>+'Data Entry'!L25</f>
        <v>0</v>
      </c>
      <c r="AR21" s="640"/>
      <c r="AS21" s="639"/>
      <c r="AT21" s="658"/>
      <c r="AU21" s="659">
        <f>+'Data Entry'!M22</f>
        <v>0</v>
      </c>
      <c r="AV21" s="659">
        <f>+'Data Entry'!M23</f>
        <v>0</v>
      </c>
      <c r="AW21" s="659">
        <f>+'Data Entry'!M24</f>
        <v>0</v>
      </c>
      <c r="AX21" s="659">
        <f>+'Data Entry'!M25</f>
        <v>0</v>
      </c>
      <c r="AY21" s="640"/>
      <c r="AZ21" s="639"/>
      <c r="BA21" s="658"/>
      <c r="BB21" s="659">
        <f>+'Data Entry'!N22</f>
        <v>0</v>
      </c>
      <c r="BC21" s="659">
        <f>+'Data Entry'!N23</f>
        <v>0</v>
      </c>
      <c r="BD21" s="659">
        <f>+'Data Entry'!N24</f>
        <v>0</v>
      </c>
      <c r="BE21" s="659">
        <f>+'Data Entry'!N25</f>
        <v>0</v>
      </c>
      <c r="BF21" s="640"/>
      <c r="BG21" s="639"/>
      <c r="BH21" s="8"/>
      <c r="BI21" s="6"/>
    </row>
    <row r="22" spans="1:61" s="50" customFormat="1" ht="12.75" customHeight="1">
      <c r="A22" s="627"/>
      <c r="B22" s="660" t="s">
        <v>312</v>
      </c>
      <c r="C22" s="7"/>
      <c r="D22" s="661">
        <f>MIN(30000,D26)</f>
        <v>0</v>
      </c>
      <c r="E22" s="662">
        <f>+E21*D22</f>
        <v>0</v>
      </c>
      <c r="F22" s="662"/>
      <c r="G22" s="662"/>
      <c r="H22" s="648"/>
      <c r="I22" s="451">
        <f>SUM(E22:H22)</f>
        <v>0</v>
      </c>
      <c r="J22" s="639"/>
      <c r="K22" s="663">
        <f>MIN(30000,K26)</f>
        <v>0</v>
      </c>
      <c r="L22" s="662">
        <f>+L21*K22</f>
        <v>0</v>
      </c>
      <c r="M22" s="662"/>
      <c r="N22" s="662"/>
      <c r="O22" s="648"/>
      <c r="P22" s="451">
        <f>SUM(L22:O22)</f>
        <v>0</v>
      </c>
      <c r="Q22" s="639"/>
      <c r="R22" s="663">
        <f>MIN(30000,R26)</f>
        <v>0</v>
      </c>
      <c r="S22" s="662">
        <f>+S21*R22</f>
        <v>0</v>
      </c>
      <c r="T22" s="662"/>
      <c r="U22" s="662"/>
      <c r="V22" s="648"/>
      <c r="W22" s="451">
        <f>SUM(S22:V22)</f>
        <v>0</v>
      </c>
      <c r="X22" s="639"/>
      <c r="Y22" s="663">
        <f>MIN(30000,Y26)</f>
        <v>0</v>
      </c>
      <c r="Z22" s="662">
        <f>+Z21*Y22</f>
        <v>0</v>
      </c>
      <c r="AA22" s="662"/>
      <c r="AB22" s="662"/>
      <c r="AC22" s="648"/>
      <c r="AD22" s="451">
        <f>SUM(Z22:AC22)</f>
        <v>0</v>
      </c>
      <c r="AE22" s="639"/>
      <c r="AF22" s="663">
        <f>MIN(30000,AF26)</f>
        <v>0</v>
      </c>
      <c r="AG22" s="662">
        <f>+AG21*AF22</f>
        <v>0</v>
      </c>
      <c r="AH22" s="662"/>
      <c r="AI22" s="662"/>
      <c r="AJ22" s="648"/>
      <c r="AK22" s="451"/>
      <c r="AL22" s="639"/>
      <c r="AM22" s="663">
        <f>MIN(30000,AM26)</f>
        <v>0</v>
      </c>
      <c r="AN22" s="662">
        <f>+AN21*AM22</f>
        <v>0</v>
      </c>
      <c r="AO22" s="662"/>
      <c r="AP22" s="662"/>
      <c r="AQ22" s="648"/>
      <c r="AR22" s="451"/>
      <c r="AS22" s="639"/>
      <c r="AT22" s="663">
        <f>MIN(30000,AT26)</f>
        <v>0</v>
      </c>
      <c r="AU22" s="662">
        <f>+AU21*AT22</f>
        <v>0</v>
      </c>
      <c r="AV22" s="662"/>
      <c r="AW22" s="662"/>
      <c r="AX22" s="648"/>
      <c r="AY22" s="451"/>
      <c r="AZ22" s="639"/>
      <c r="BA22" s="663">
        <f>MIN(30000,BA26)</f>
        <v>0</v>
      </c>
      <c r="BB22" s="662">
        <f>+BB21*BA22</f>
        <v>0</v>
      </c>
      <c r="BC22" s="662"/>
      <c r="BD22" s="662"/>
      <c r="BE22" s="648"/>
      <c r="BF22" s="451"/>
      <c r="BG22" s="639"/>
      <c r="BH22" s="8"/>
      <c r="BI22" s="6"/>
    </row>
    <row r="23" spans="1:61" s="50" customFormat="1" ht="12.75" customHeight="1">
      <c r="A23" s="627"/>
      <c r="B23" s="660" t="s">
        <v>313</v>
      </c>
      <c r="C23" s="7"/>
      <c r="D23" s="661">
        <f>MIN(30000,(D26-D22))</f>
        <v>0</v>
      </c>
      <c r="E23" s="662"/>
      <c r="F23" s="662">
        <f>+F21*D23</f>
        <v>0</v>
      </c>
      <c r="G23" s="662"/>
      <c r="H23" s="648"/>
      <c r="I23" s="640">
        <f t="shared" ref="I23:I25" si="8">SUM(E23:H23)</f>
        <v>0</v>
      </c>
      <c r="J23" s="639"/>
      <c r="K23" s="663">
        <f>MIN(30000,(K26-K22))</f>
        <v>0</v>
      </c>
      <c r="L23" s="662"/>
      <c r="M23" s="662">
        <f>+M21*K23</f>
        <v>0</v>
      </c>
      <c r="N23" s="662"/>
      <c r="O23" s="648"/>
      <c r="P23" s="640">
        <f t="shared" ref="P23:P25" si="9">SUM(L23:O23)</f>
        <v>0</v>
      </c>
      <c r="Q23" s="639"/>
      <c r="R23" s="663">
        <f>MIN(30000,(R26-R22))</f>
        <v>0</v>
      </c>
      <c r="S23" s="662"/>
      <c r="T23" s="662">
        <f>+T21*R23</f>
        <v>0</v>
      </c>
      <c r="U23" s="662"/>
      <c r="V23" s="648"/>
      <c r="W23" s="640">
        <f t="shared" ref="W23:W25" si="10">SUM(S23:V23)</f>
        <v>0</v>
      </c>
      <c r="X23" s="639"/>
      <c r="Y23" s="663">
        <f>MIN(30000,(Y26-Y22))</f>
        <v>0</v>
      </c>
      <c r="Z23" s="662"/>
      <c r="AA23" s="662">
        <f>+AA21*Y23</f>
        <v>0</v>
      </c>
      <c r="AB23" s="662"/>
      <c r="AC23" s="648"/>
      <c r="AD23" s="640">
        <f t="shared" ref="AD23:AD25" si="11">SUM(Z23:AC23)</f>
        <v>0</v>
      </c>
      <c r="AE23" s="639"/>
      <c r="AF23" s="663">
        <f>MIN(30000,(AF26-AF22))</f>
        <v>0</v>
      </c>
      <c r="AG23" s="662"/>
      <c r="AH23" s="662">
        <f>+AH21*AF23</f>
        <v>0</v>
      </c>
      <c r="AI23" s="662"/>
      <c r="AJ23" s="648"/>
      <c r="AK23" s="640"/>
      <c r="AL23" s="639"/>
      <c r="AM23" s="663">
        <f>MIN(30000,(AM26-AM22))</f>
        <v>0</v>
      </c>
      <c r="AN23" s="662"/>
      <c r="AO23" s="662">
        <f>+AO21*AM23</f>
        <v>0</v>
      </c>
      <c r="AP23" s="662"/>
      <c r="AQ23" s="648"/>
      <c r="AR23" s="640"/>
      <c r="AS23" s="639"/>
      <c r="AT23" s="663">
        <f>MIN(30000,(AT26-AT22))</f>
        <v>0</v>
      </c>
      <c r="AU23" s="662"/>
      <c r="AV23" s="662">
        <f>+AV21*AT23</f>
        <v>0</v>
      </c>
      <c r="AW23" s="662"/>
      <c r="AX23" s="648"/>
      <c r="AY23" s="640"/>
      <c r="AZ23" s="639"/>
      <c r="BA23" s="663">
        <f>MIN(30000,(BA26-BA22))</f>
        <v>0</v>
      </c>
      <c r="BB23" s="662"/>
      <c r="BC23" s="662">
        <f>+BC21*BA23</f>
        <v>0</v>
      </c>
      <c r="BD23" s="662"/>
      <c r="BE23" s="648"/>
      <c r="BF23" s="640"/>
      <c r="BG23" s="639"/>
      <c r="BH23" s="8"/>
      <c r="BI23" s="6"/>
    </row>
    <row r="24" spans="1:61" s="50" customFormat="1" ht="12.75" customHeight="1">
      <c r="A24" s="627"/>
      <c r="B24" s="660" t="s">
        <v>314</v>
      </c>
      <c r="C24" s="7"/>
      <c r="D24" s="661">
        <f>MIN(80000,(D26-SUM(D22:D23)))</f>
        <v>0</v>
      </c>
      <c r="E24" s="662"/>
      <c r="F24" s="662"/>
      <c r="G24" s="662">
        <f>+G21*D24</f>
        <v>0</v>
      </c>
      <c r="H24" s="648"/>
      <c r="I24" s="640">
        <f t="shared" si="8"/>
        <v>0</v>
      </c>
      <c r="J24" s="639"/>
      <c r="K24" s="663">
        <f>MIN(80000,(K26-SUM(K22:K23)))</f>
        <v>0</v>
      </c>
      <c r="L24" s="662"/>
      <c r="M24" s="662"/>
      <c r="N24" s="662">
        <f>+N21*K24</f>
        <v>0</v>
      </c>
      <c r="O24" s="648"/>
      <c r="P24" s="640">
        <f t="shared" si="9"/>
        <v>0</v>
      </c>
      <c r="Q24" s="639"/>
      <c r="R24" s="663">
        <f>MIN(80000,(R26-SUM(R22:R23)))</f>
        <v>0</v>
      </c>
      <c r="S24" s="662"/>
      <c r="T24" s="662"/>
      <c r="U24" s="662">
        <f>+U21*R24</f>
        <v>0</v>
      </c>
      <c r="V24" s="648"/>
      <c r="W24" s="640">
        <f t="shared" si="10"/>
        <v>0</v>
      </c>
      <c r="X24" s="639"/>
      <c r="Y24" s="663">
        <f>MIN(80000,(Y26-SUM(Y22:Y23)))</f>
        <v>0</v>
      </c>
      <c r="Z24" s="662"/>
      <c r="AA24" s="662"/>
      <c r="AB24" s="662">
        <f>+AB21*Y24</f>
        <v>0</v>
      </c>
      <c r="AC24" s="648"/>
      <c r="AD24" s="640">
        <f t="shared" si="11"/>
        <v>0</v>
      </c>
      <c r="AE24" s="639"/>
      <c r="AF24" s="663">
        <f>MIN(80000,(AF26-SUM(AF22:AF23)))</f>
        <v>0</v>
      </c>
      <c r="AG24" s="662"/>
      <c r="AH24" s="662"/>
      <c r="AI24" s="662">
        <f>+AI21*AF24</f>
        <v>0</v>
      </c>
      <c r="AJ24" s="648"/>
      <c r="AK24" s="640"/>
      <c r="AL24" s="639"/>
      <c r="AM24" s="663">
        <f>MIN(80000,(AM26-SUM(AM22:AM23)))</f>
        <v>0</v>
      </c>
      <c r="AN24" s="662"/>
      <c r="AO24" s="662"/>
      <c r="AP24" s="662">
        <f>+AP21*AM24</f>
        <v>0</v>
      </c>
      <c r="AQ24" s="648"/>
      <c r="AR24" s="640"/>
      <c r="AS24" s="639"/>
      <c r="AT24" s="663">
        <f>MIN(80000,(AT26-SUM(AT22:AT23)))</f>
        <v>0</v>
      </c>
      <c r="AU24" s="662"/>
      <c r="AV24" s="662"/>
      <c r="AW24" s="662">
        <f>+AW21*AT24</f>
        <v>0</v>
      </c>
      <c r="AX24" s="648"/>
      <c r="AY24" s="640"/>
      <c r="AZ24" s="639"/>
      <c r="BA24" s="663">
        <f>MIN(80000,(BA26-SUM(BA22:BA23)))</f>
        <v>0</v>
      </c>
      <c r="BB24" s="662"/>
      <c r="BC24" s="662"/>
      <c r="BD24" s="662">
        <f>+BD21*BA24</f>
        <v>0</v>
      </c>
      <c r="BE24" s="648"/>
      <c r="BF24" s="640"/>
      <c r="BG24" s="639"/>
      <c r="BH24" s="8"/>
      <c r="BI24" s="6"/>
    </row>
    <row r="25" spans="1:61" s="50" customFormat="1" ht="12.75" customHeight="1">
      <c r="A25" s="627"/>
      <c r="B25" s="660" t="s">
        <v>315</v>
      </c>
      <c r="C25" s="7"/>
      <c r="D25" s="663">
        <f>MAX(0,(D26-SUM(D22:D24)))</f>
        <v>0</v>
      </c>
      <c r="E25" s="648"/>
      <c r="F25" s="648"/>
      <c r="G25" s="648"/>
      <c r="H25" s="662">
        <f>ROUND(+H21*D25,0)</f>
        <v>0</v>
      </c>
      <c r="I25" s="640">
        <f t="shared" si="8"/>
        <v>0</v>
      </c>
      <c r="J25" s="639"/>
      <c r="K25" s="663">
        <f>MAX(0,(K26-SUM(K22:K24)))</f>
        <v>0</v>
      </c>
      <c r="L25" s="648"/>
      <c r="M25" s="648"/>
      <c r="N25" s="648"/>
      <c r="O25" s="662">
        <f>+O21*K25</f>
        <v>0</v>
      </c>
      <c r="P25" s="640">
        <f t="shared" si="9"/>
        <v>0</v>
      </c>
      <c r="Q25" s="639"/>
      <c r="R25" s="663">
        <f>MAX(0,(R26-SUM(R22:R24)))</f>
        <v>0</v>
      </c>
      <c r="S25" s="648"/>
      <c r="T25" s="648"/>
      <c r="U25" s="648"/>
      <c r="V25" s="662">
        <f>+V21*R25</f>
        <v>0</v>
      </c>
      <c r="W25" s="640">
        <f t="shared" si="10"/>
        <v>0</v>
      </c>
      <c r="X25" s="639"/>
      <c r="Y25" s="663">
        <f>MAX(0,(Y26-SUM(Y22:Y24)))</f>
        <v>0</v>
      </c>
      <c r="Z25" s="648"/>
      <c r="AA25" s="648"/>
      <c r="AB25" s="648"/>
      <c r="AC25" s="662">
        <f>+AC21*Y25</f>
        <v>0</v>
      </c>
      <c r="AD25" s="640">
        <f t="shared" si="11"/>
        <v>0</v>
      </c>
      <c r="AE25" s="639"/>
      <c r="AF25" s="663">
        <f>MAX(0,(AF26-SUM(AF22:AF24)))</f>
        <v>0</v>
      </c>
      <c r="AG25" s="648"/>
      <c r="AH25" s="648"/>
      <c r="AI25" s="648"/>
      <c r="AJ25" s="662">
        <f>+AJ21*AF25</f>
        <v>0</v>
      </c>
      <c r="AK25" s="640"/>
      <c r="AL25" s="639"/>
      <c r="AM25" s="663">
        <f>MAX(0,(AM26-SUM(AM22:AM24)))</f>
        <v>0</v>
      </c>
      <c r="AN25" s="648"/>
      <c r="AO25" s="648"/>
      <c r="AP25" s="648"/>
      <c r="AQ25" s="662">
        <f>+AQ21*AM25</f>
        <v>0</v>
      </c>
      <c r="AR25" s="640"/>
      <c r="AS25" s="639"/>
      <c r="AT25" s="663">
        <f>MAX(0,(AT26-SUM(AT22:AT24)))</f>
        <v>0</v>
      </c>
      <c r="AU25" s="648"/>
      <c r="AV25" s="648"/>
      <c r="AW25" s="648"/>
      <c r="AX25" s="662">
        <f>+AX21*AT25</f>
        <v>0</v>
      </c>
      <c r="AY25" s="640"/>
      <c r="AZ25" s="639"/>
      <c r="BA25" s="663">
        <f>MAX(0,(BA26-SUM(BA22:BA24)))</f>
        <v>0</v>
      </c>
      <c r="BB25" s="648"/>
      <c r="BC25" s="648"/>
      <c r="BD25" s="648"/>
      <c r="BE25" s="662">
        <f>+BE21*BA25</f>
        <v>0</v>
      </c>
      <c r="BF25" s="640"/>
      <c r="BG25" s="639"/>
      <c r="BH25" s="8"/>
      <c r="BI25" s="6"/>
    </row>
    <row r="26" spans="1:61" s="50" customFormat="1" ht="12.75" customHeight="1" thickBot="1">
      <c r="A26" s="627"/>
      <c r="B26" s="664" t="s">
        <v>459</v>
      </c>
      <c r="C26" s="7"/>
      <c r="D26" s="645">
        <f>+'Data Entry'!G119</f>
        <v>0</v>
      </c>
      <c r="E26" s="665">
        <f>SUM(E22:E25)</f>
        <v>0</v>
      </c>
      <c r="F26" s="665">
        <f t="shared" ref="F26:H26" si="12">SUM(F22:F25)</f>
        <v>0</v>
      </c>
      <c r="G26" s="665">
        <f t="shared" si="12"/>
        <v>0</v>
      </c>
      <c r="H26" s="665">
        <f t="shared" si="12"/>
        <v>0</v>
      </c>
      <c r="I26" s="651">
        <f>ROUND(SUM(E26:H26),0)</f>
        <v>0</v>
      </c>
      <c r="J26" s="639"/>
      <c r="K26" s="645">
        <f>+'Data Entry'!$H$119</f>
        <v>0</v>
      </c>
      <c r="L26" s="665">
        <f>SUM(L22:L25)</f>
        <v>0</v>
      </c>
      <c r="M26" s="665">
        <f t="shared" ref="M26" si="13">SUM(M22:M25)</f>
        <v>0</v>
      </c>
      <c r="N26" s="665">
        <f t="shared" ref="N26" si="14">SUM(N22:N25)</f>
        <v>0</v>
      </c>
      <c r="O26" s="665">
        <f t="shared" ref="O26" si="15">SUM(O22:O25)</f>
        <v>0</v>
      </c>
      <c r="P26" s="652">
        <f>ROUND(SUM(L26:O26),0)</f>
        <v>0</v>
      </c>
      <c r="Q26" s="639"/>
      <c r="R26" s="645">
        <f>+'Data Entry'!$I$119</f>
        <v>0</v>
      </c>
      <c r="S26" s="665">
        <f>SUM(S22:S25)</f>
        <v>0</v>
      </c>
      <c r="T26" s="665">
        <f t="shared" ref="T26" si="16">SUM(T22:T25)</f>
        <v>0</v>
      </c>
      <c r="U26" s="665">
        <f t="shared" ref="U26" si="17">SUM(U22:U25)</f>
        <v>0</v>
      </c>
      <c r="V26" s="665">
        <f t="shared" ref="V26" si="18">SUM(V22:V25)</f>
        <v>0</v>
      </c>
      <c r="W26" s="652">
        <f>ROUND(SUM(S26:V26),0)</f>
        <v>0</v>
      </c>
      <c r="X26" s="639"/>
      <c r="Y26" s="645">
        <f>+'Data Entry'!J119</f>
        <v>0</v>
      </c>
      <c r="Z26" s="665">
        <f>SUM(Z22:Z25)</f>
        <v>0</v>
      </c>
      <c r="AA26" s="665">
        <f t="shared" ref="AA26" si="19">SUM(AA22:AA25)</f>
        <v>0</v>
      </c>
      <c r="AB26" s="665">
        <f t="shared" ref="AB26" si="20">SUM(AB22:AB25)</f>
        <v>0</v>
      </c>
      <c r="AC26" s="665">
        <f t="shared" ref="AC26" si="21">SUM(AC22:AC25)</f>
        <v>0</v>
      </c>
      <c r="AD26" s="652">
        <f>ROUND(SUM(Z26:AC26),0)</f>
        <v>0</v>
      </c>
      <c r="AE26" s="639"/>
      <c r="AF26" s="645">
        <f>+'Data Entry'!K119</f>
        <v>0</v>
      </c>
      <c r="AG26" s="665">
        <f>SUM(AG22:AG25)</f>
        <v>0</v>
      </c>
      <c r="AH26" s="665">
        <f t="shared" ref="AH26" si="22">SUM(AH22:AH25)</f>
        <v>0</v>
      </c>
      <c r="AI26" s="665">
        <f t="shared" ref="AI26" si="23">SUM(AI22:AI25)</f>
        <v>0</v>
      </c>
      <c r="AJ26" s="665">
        <f t="shared" ref="AJ26" si="24">SUM(AJ22:AJ25)</f>
        <v>0</v>
      </c>
      <c r="AK26" s="652">
        <f>ROUND(SUM(AG26:AJ26),0)</f>
        <v>0</v>
      </c>
      <c r="AL26" s="639"/>
      <c r="AM26" s="645">
        <f>+'Data Entry'!L119</f>
        <v>0</v>
      </c>
      <c r="AN26" s="665">
        <f>SUM(AN22:AN25)</f>
        <v>0</v>
      </c>
      <c r="AO26" s="665">
        <f t="shared" ref="AO26" si="25">SUM(AO22:AO25)</f>
        <v>0</v>
      </c>
      <c r="AP26" s="665">
        <f t="shared" ref="AP26" si="26">SUM(AP22:AP25)</f>
        <v>0</v>
      </c>
      <c r="AQ26" s="665">
        <f t="shared" ref="AQ26" si="27">SUM(AQ22:AQ25)</f>
        <v>0</v>
      </c>
      <c r="AR26" s="652">
        <f>ROUND(SUM(AN26:AQ26),0)</f>
        <v>0</v>
      </c>
      <c r="AS26" s="639"/>
      <c r="AT26" s="645">
        <f>+'Data Entry'!M119</f>
        <v>0</v>
      </c>
      <c r="AU26" s="665">
        <f>SUM(AU22:AU25)</f>
        <v>0</v>
      </c>
      <c r="AV26" s="665">
        <f t="shared" ref="AV26" si="28">SUM(AV22:AV25)</f>
        <v>0</v>
      </c>
      <c r="AW26" s="665">
        <f t="shared" ref="AW26" si="29">SUM(AW22:AW25)</f>
        <v>0</v>
      </c>
      <c r="AX26" s="665">
        <f t="shared" ref="AX26" si="30">SUM(AX22:AX25)</f>
        <v>0</v>
      </c>
      <c r="AY26" s="652">
        <f>ROUND(SUM(AU26:AX26),0)</f>
        <v>0</v>
      </c>
      <c r="AZ26" s="639"/>
      <c r="BA26" s="645">
        <f>+'Data Entry'!N119</f>
        <v>0</v>
      </c>
      <c r="BB26" s="665">
        <f>SUM(BB22:BB25)</f>
        <v>0</v>
      </c>
      <c r="BC26" s="665">
        <f t="shared" ref="BC26" si="31">SUM(BC22:BC25)</f>
        <v>0</v>
      </c>
      <c r="BD26" s="665">
        <f t="shared" ref="BD26" si="32">SUM(BD22:BD25)</f>
        <v>0</v>
      </c>
      <c r="BE26" s="665">
        <f t="shared" ref="BE26" si="33">SUM(BE22:BE25)</f>
        <v>0</v>
      </c>
      <c r="BF26" s="652">
        <f>ROUND(SUM(BB26:BE26),0)</f>
        <v>0</v>
      </c>
      <c r="BG26" s="639"/>
      <c r="BH26" s="968" t="s">
        <v>321</v>
      </c>
      <c r="BI26" s="6"/>
    </row>
    <row r="27" spans="1:61" s="50" customFormat="1" ht="12.75" customHeight="1" thickTop="1">
      <c r="A27" s="627"/>
      <c r="B27" s="7"/>
      <c r="C27" s="7"/>
      <c r="D27" s="655"/>
      <c r="E27" s="648"/>
      <c r="F27" s="648"/>
      <c r="G27" s="648"/>
      <c r="H27" s="648"/>
      <c r="I27" s="640"/>
      <c r="J27" s="639"/>
      <c r="K27" s="655"/>
      <c r="L27" s="648"/>
      <c r="M27" s="648"/>
      <c r="N27" s="648"/>
      <c r="O27" s="648"/>
      <c r="P27" s="640"/>
      <c r="Q27" s="639"/>
      <c r="R27" s="655"/>
      <c r="S27" s="648"/>
      <c r="T27" s="648"/>
      <c r="U27" s="648"/>
      <c r="V27" s="648"/>
      <c r="W27" s="640"/>
      <c r="X27" s="639"/>
      <c r="Y27" s="655"/>
      <c r="Z27" s="648"/>
      <c r="AA27" s="648"/>
      <c r="AB27" s="648"/>
      <c r="AC27" s="648"/>
      <c r="AD27" s="640"/>
      <c r="AE27" s="639"/>
      <c r="AF27" s="655"/>
      <c r="AG27" s="648"/>
      <c r="AH27" s="648"/>
      <c r="AI27" s="648"/>
      <c r="AJ27" s="648"/>
      <c r="AK27" s="640"/>
      <c r="AL27" s="639"/>
      <c r="AM27" s="655"/>
      <c r="AN27" s="648"/>
      <c r="AO27" s="648"/>
      <c r="AP27" s="648"/>
      <c r="AQ27" s="648"/>
      <c r="AR27" s="640"/>
      <c r="AS27" s="639"/>
      <c r="AT27" s="655"/>
      <c r="AU27" s="648"/>
      <c r="AV27" s="648"/>
      <c r="AW27" s="648"/>
      <c r="AX27" s="648"/>
      <c r="AY27" s="640"/>
      <c r="AZ27" s="639"/>
      <c r="BA27" s="655"/>
      <c r="BB27" s="648"/>
      <c r="BC27" s="648"/>
      <c r="BD27" s="648"/>
      <c r="BE27" s="648"/>
      <c r="BF27" s="640"/>
      <c r="BG27" s="639"/>
      <c r="BI27" s="4"/>
    </row>
    <row r="28" spans="1:61" s="50" customFormat="1" ht="12.75" customHeight="1">
      <c r="A28" s="627"/>
      <c r="B28" s="654" t="s">
        <v>331</v>
      </c>
      <c r="C28" s="7"/>
      <c r="D28" s="655"/>
      <c r="E28" s="648"/>
      <c r="F28" s="648"/>
      <c r="G28" s="648"/>
      <c r="H28" s="648"/>
      <c r="I28" s="451">
        <f>+'Data Entry'!G27</f>
        <v>0</v>
      </c>
      <c r="J28" s="639"/>
      <c r="K28" s="655"/>
      <c r="L28" s="648"/>
      <c r="M28" s="648"/>
      <c r="N28" s="648"/>
      <c r="O28" s="648"/>
      <c r="P28" s="451">
        <f>+'Data Entry'!$H$27</f>
        <v>0</v>
      </c>
      <c r="Q28" s="639"/>
      <c r="R28" s="655"/>
      <c r="S28" s="648"/>
      <c r="T28" s="648"/>
      <c r="U28" s="648"/>
      <c r="V28" s="648"/>
      <c r="W28" s="451">
        <f>+'Data Entry'!$I$27</f>
        <v>0</v>
      </c>
      <c r="X28" s="639"/>
      <c r="Y28" s="655"/>
      <c r="Z28" s="648"/>
      <c r="AA28" s="648"/>
      <c r="AB28" s="648"/>
      <c r="AC28" s="648"/>
      <c r="AD28" s="451">
        <f>+'Data Entry'!$J$27</f>
        <v>0</v>
      </c>
      <c r="AE28" s="639"/>
      <c r="AF28" s="655"/>
      <c r="AG28" s="648"/>
      <c r="AH28" s="648"/>
      <c r="AI28" s="648"/>
      <c r="AJ28" s="648"/>
      <c r="AK28" s="451">
        <f>+'Data Entry'!$K$27</f>
        <v>0</v>
      </c>
      <c r="AL28" s="639"/>
      <c r="AM28" s="655"/>
      <c r="AN28" s="648"/>
      <c r="AO28" s="648"/>
      <c r="AP28" s="648"/>
      <c r="AQ28" s="648"/>
      <c r="AR28" s="451">
        <f>+'Data Entry'!$L$27</f>
        <v>0</v>
      </c>
      <c r="AS28" s="639"/>
      <c r="AT28" s="655"/>
      <c r="AU28" s="648"/>
      <c r="AV28" s="648"/>
      <c r="AW28" s="648"/>
      <c r="AX28" s="648"/>
      <c r="AY28" s="451">
        <f>+'Data Entry'!$M$27</f>
        <v>0</v>
      </c>
      <c r="AZ28" s="639"/>
      <c r="BA28" s="655"/>
      <c r="BB28" s="648"/>
      <c r="BC28" s="648"/>
      <c r="BD28" s="648"/>
      <c r="BE28" s="648"/>
      <c r="BF28" s="451">
        <f>+'Data Entry'!$N$27</f>
        <v>0</v>
      </c>
      <c r="BG28" s="639"/>
      <c r="BI28" s="4"/>
    </row>
    <row r="29" spans="1:61" s="50" customFormat="1" ht="12.75" customHeight="1">
      <c r="A29" s="627"/>
      <c r="B29" s="654" t="s">
        <v>332</v>
      </c>
      <c r="C29" s="7"/>
      <c r="D29" s="1114" t="s">
        <v>1766</v>
      </c>
      <c r="E29" s="666">
        <f>+'Data Entry'!G30</f>
        <v>0</v>
      </c>
      <c r="F29" s="648"/>
      <c r="G29" s="451">
        <f>+'Data Entry'!G28</f>
        <v>0</v>
      </c>
      <c r="H29" s="648"/>
      <c r="I29" s="667">
        <f>+G29*E29</f>
        <v>0</v>
      </c>
      <c r="J29" s="639"/>
      <c r="K29" s="1114" t="s">
        <v>1766</v>
      </c>
      <c r="L29" s="666">
        <f>+'Data Entry'!$H$30</f>
        <v>0</v>
      </c>
      <c r="M29" s="648"/>
      <c r="N29" s="451">
        <f>+'Data Entry'!$H$28</f>
        <v>0</v>
      </c>
      <c r="O29" s="648"/>
      <c r="P29" s="667">
        <f>+N29*L29</f>
        <v>0</v>
      </c>
      <c r="Q29" s="639"/>
      <c r="R29" s="1114" t="s">
        <v>1766</v>
      </c>
      <c r="S29" s="666">
        <f>+'Data Entry'!$I$30</f>
        <v>0</v>
      </c>
      <c r="T29" s="648"/>
      <c r="U29" s="451">
        <f>+'Data Entry'!$I$28</f>
        <v>0</v>
      </c>
      <c r="V29" s="648"/>
      <c r="W29" s="667">
        <f>+U29*S29</f>
        <v>0</v>
      </c>
      <c r="X29" s="639"/>
      <c r="Y29" s="1114" t="s">
        <v>1766</v>
      </c>
      <c r="Z29" s="666">
        <f>+'Data Entry'!$J$30</f>
        <v>0</v>
      </c>
      <c r="AA29" s="648"/>
      <c r="AB29" s="451">
        <f>+'Data Entry'!$J$28</f>
        <v>0</v>
      </c>
      <c r="AC29" s="648"/>
      <c r="AD29" s="667">
        <f>+AB29*Z29</f>
        <v>0</v>
      </c>
      <c r="AE29" s="639"/>
      <c r="AF29" s="1114" t="s">
        <v>1766</v>
      </c>
      <c r="AG29" s="666">
        <f>+'Data Entry'!$K$30</f>
        <v>0</v>
      </c>
      <c r="AH29" s="648"/>
      <c r="AI29" s="451">
        <f>+'Data Entry'!$K$28</f>
        <v>0</v>
      </c>
      <c r="AJ29" s="648"/>
      <c r="AK29" s="667">
        <f>+AI29*AG29</f>
        <v>0</v>
      </c>
      <c r="AL29" s="639"/>
      <c r="AM29" s="1114" t="s">
        <v>1766</v>
      </c>
      <c r="AN29" s="666">
        <f>+'Data Entry'!$L$30</f>
        <v>0</v>
      </c>
      <c r="AO29" s="648"/>
      <c r="AP29" s="451">
        <f>+'Data Entry'!$L$28</f>
        <v>0</v>
      </c>
      <c r="AQ29" s="648"/>
      <c r="AR29" s="667">
        <f>+AP29*AN29</f>
        <v>0</v>
      </c>
      <c r="AS29" s="639"/>
      <c r="AT29" s="1114" t="s">
        <v>1766</v>
      </c>
      <c r="AU29" s="666">
        <f>+'Data Entry'!$M$30</f>
        <v>0</v>
      </c>
      <c r="AV29" s="648"/>
      <c r="AW29" s="451">
        <f>+'Data Entry'!$M$28</f>
        <v>0</v>
      </c>
      <c r="AX29" s="648"/>
      <c r="AY29" s="667">
        <f>+AW29*AU29</f>
        <v>0</v>
      </c>
      <c r="AZ29" s="639"/>
      <c r="BA29" s="1114" t="s">
        <v>1766</v>
      </c>
      <c r="BB29" s="666">
        <f>+'Data Entry'!$N$30</f>
        <v>0</v>
      </c>
      <c r="BC29" s="648"/>
      <c r="BD29" s="451">
        <f>+'Data Entry'!$N$28</f>
        <v>0</v>
      </c>
      <c r="BE29" s="648"/>
      <c r="BF29" s="667">
        <f>+BD29*BB29</f>
        <v>0</v>
      </c>
      <c r="BG29" s="639"/>
      <c r="BI29" s="4"/>
    </row>
    <row r="30" spans="1:61" s="50" customFormat="1" ht="12.75" customHeight="1">
      <c r="A30" s="627"/>
      <c r="B30" s="664" t="s">
        <v>460</v>
      </c>
      <c r="C30" s="7"/>
      <c r="D30" s="655"/>
      <c r="E30" s="648"/>
      <c r="F30" s="648"/>
      <c r="G30" s="648"/>
      <c r="H30" s="648"/>
      <c r="I30" s="651">
        <f>+I29+I28+I26</f>
        <v>0</v>
      </c>
      <c r="J30" s="639"/>
      <c r="K30" s="655"/>
      <c r="L30" s="648"/>
      <c r="M30" s="648"/>
      <c r="N30" s="648"/>
      <c r="O30" s="648"/>
      <c r="P30" s="652">
        <f>+P29+P28+P26</f>
        <v>0</v>
      </c>
      <c r="Q30" s="639"/>
      <c r="R30" s="655"/>
      <c r="S30" s="648"/>
      <c r="T30" s="648"/>
      <c r="U30" s="648"/>
      <c r="V30" s="648"/>
      <c r="W30" s="652">
        <f>+W29+W28+W26</f>
        <v>0</v>
      </c>
      <c r="X30" s="639"/>
      <c r="Y30" s="655"/>
      <c r="Z30" s="648"/>
      <c r="AA30" s="648"/>
      <c r="AB30" s="648"/>
      <c r="AC30" s="648"/>
      <c r="AD30" s="652">
        <f>+AD29+AD28+AD26</f>
        <v>0</v>
      </c>
      <c r="AE30" s="639"/>
      <c r="AF30" s="655"/>
      <c r="AG30" s="648"/>
      <c r="AH30" s="648"/>
      <c r="AI30" s="648"/>
      <c r="AJ30" s="648"/>
      <c r="AK30" s="652">
        <f>+AK29+AK28+AK26</f>
        <v>0</v>
      </c>
      <c r="AL30" s="639"/>
      <c r="AM30" s="655"/>
      <c r="AN30" s="648"/>
      <c r="AO30" s="648"/>
      <c r="AP30" s="648"/>
      <c r="AQ30" s="648"/>
      <c r="AR30" s="652">
        <f>+AR29+AR28+AR26</f>
        <v>0</v>
      </c>
      <c r="AS30" s="639"/>
      <c r="AT30" s="655"/>
      <c r="AU30" s="648"/>
      <c r="AV30" s="648"/>
      <c r="AW30" s="648"/>
      <c r="AX30" s="648"/>
      <c r="AY30" s="652">
        <f>+AY29+AY28+AY26</f>
        <v>0</v>
      </c>
      <c r="AZ30" s="639"/>
      <c r="BA30" s="655"/>
      <c r="BB30" s="648"/>
      <c r="BC30" s="648"/>
      <c r="BD30" s="648"/>
      <c r="BE30" s="648"/>
      <c r="BF30" s="652">
        <f>+BF29+BF28+BF26</f>
        <v>0</v>
      </c>
      <c r="BG30" s="639"/>
      <c r="BI30" s="4"/>
    </row>
    <row r="31" spans="1:61" s="50" customFormat="1" ht="6" customHeight="1">
      <c r="A31" s="627"/>
      <c r="B31" s="668"/>
      <c r="C31" s="7"/>
      <c r="D31" s="655"/>
      <c r="E31" s="648"/>
      <c r="F31" s="648"/>
      <c r="G31" s="648"/>
      <c r="H31" s="648"/>
      <c r="I31" s="646"/>
      <c r="J31" s="639"/>
      <c r="K31" s="655"/>
      <c r="L31" s="648"/>
      <c r="M31" s="648"/>
      <c r="N31" s="648"/>
      <c r="O31" s="648"/>
      <c r="P31" s="646"/>
      <c r="Q31" s="639"/>
      <c r="R31" s="655"/>
      <c r="S31" s="648"/>
      <c r="T31" s="648"/>
      <c r="U31" s="648"/>
      <c r="V31" s="648"/>
      <c r="W31" s="646"/>
      <c r="X31" s="639"/>
      <c r="Y31" s="655"/>
      <c r="Z31" s="648"/>
      <c r="AA31" s="648"/>
      <c r="AB31" s="648"/>
      <c r="AC31" s="648"/>
      <c r="AD31" s="646"/>
      <c r="AE31" s="639"/>
      <c r="AF31" s="655"/>
      <c r="AG31" s="648"/>
      <c r="AH31" s="648"/>
      <c r="AI31" s="648"/>
      <c r="AJ31" s="648"/>
      <c r="AK31" s="646"/>
      <c r="AL31" s="639"/>
      <c r="AM31" s="655"/>
      <c r="AN31" s="648"/>
      <c r="AO31" s="648"/>
      <c r="AP31" s="648"/>
      <c r="AQ31" s="648"/>
      <c r="AR31" s="646"/>
      <c r="AS31" s="639"/>
      <c r="AT31" s="655"/>
      <c r="AU31" s="648"/>
      <c r="AV31" s="648"/>
      <c r="AW31" s="648"/>
      <c r="AX31" s="648"/>
      <c r="AY31" s="646"/>
      <c r="AZ31" s="639"/>
      <c r="BA31" s="655"/>
      <c r="BB31" s="648"/>
      <c r="BC31" s="648"/>
      <c r="BD31" s="648"/>
      <c r="BE31" s="648"/>
      <c r="BF31" s="646"/>
      <c r="BG31" s="639"/>
      <c r="BI31" s="4"/>
    </row>
    <row r="32" spans="1:61" s="8" customFormat="1" ht="12.75" customHeight="1" thickBot="1">
      <c r="A32" s="627"/>
      <c r="B32" s="664" t="s">
        <v>461</v>
      </c>
      <c r="C32" s="7"/>
      <c r="D32" s="648"/>
      <c r="E32" s="648"/>
      <c r="F32" s="648"/>
      <c r="G32" s="648"/>
      <c r="H32" s="669"/>
      <c r="I32" s="670">
        <f>+I30+I18+I13</f>
        <v>0</v>
      </c>
      <c r="J32" s="639"/>
      <c r="K32" s="648"/>
      <c r="L32" s="648"/>
      <c r="M32" s="648"/>
      <c r="N32" s="648"/>
      <c r="O32" s="669"/>
      <c r="P32" s="670">
        <f>+P30+P18+P13</f>
        <v>0</v>
      </c>
      <c r="Q32" s="639"/>
      <c r="R32" s="648"/>
      <c r="S32" s="648"/>
      <c r="T32" s="648"/>
      <c r="U32" s="648"/>
      <c r="V32" s="669"/>
      <c r="W32" s="670">
        <f>+W30+W18+W13</f>
        <v>0</v>
      </c>
      <c r="X32" s="639"/>
      <c r="Y32" s="1141"/>
      <c r="Z32" s="648"/>
      <c r="AA32" s="648"/>
      <c r="AB32" s="648"/>
      <c r="AC32" s="669"/>
      <c r="AD32" s="450">
        <f>+AD30+AD18+AD13</f>
        <v>0</v>
      </c>
      <c r="AE32" s="639"/>
      <c r="AF32" s="648"/>
      <c r="AG32" s="648"/>
      <c r="AH32" s="648"/>
      <c r="AI32" s="648"/>
      <c r="AJ32" s="669"/>
      <c r="AK32" s="450">
        <f>+AK30+AK18+AK13</f>
        <v>0</v>
      </c>
      <c r="AL32" s="639"/>
      <c r="AM32" s="648"/>
      <c r="AN32" s="648"/>
      <c r="AO32" s="648"/>
      <c r="AP32" s="648"/>
      <c r="AQ32" s="669"/>
      <c r="AR32" s="450">
        <f>+AR30+AR18+AR13</f>
        <v>0</v>
      </c>
      <c r="AS32" s="639"/>
      <c r="AT32" s="648"/>
      <c r="AU32" s="648"/>
      <c r="AV32" s="648"/>
      <c r="AW32" s="648"/>
      <c r="AX32" s="669"/>
      <c r="AY32" s="450">
        <f>+AY30+AY18+AY13</f>
        <v>0</v>
      </c>
      <c r="AZ32" s="639"/>
      <c r="BA32" s="648"/>
      <c r="BB32" s="648"/>
      <c r="BC32" s="648"/>
      <c r="BD32" s="648"/>
      <c r="BE32" s="669"/>
      <c r="BF32" s="450">
        <f>+BF30+BF18+BF13</f>
        <v>0</v>
      </c>
      <c r="BG32" s="639"/>
      <c r="BI32" s="4"/>
    </row>
    <row r="33" spans="1:61" s="8" customFormat="1" ht="21" customHeight="1" thickTop="1">
      <c r="A33" s="627"/>
      <c r="B33" s="653" t="s">
        <v>509</v>
      </c>
      <c r="C33" s="7"/>
      <c r="D33" s="648"/>
      <c r="E33" s="648"/>
      <c r="F33" s="671" t="s">
        <v>26</v>
      </c>
      <c r="G33" s="672" t="str">
        <f>CONCATENATE(D2," ","ADA")</f>
        <v>2020-21 ADA</v>
      </c>
      <c r="H33" s="669"/>
      <c r="I33" s="673"/>
      <c r="J33" s="639"/>
      <c r="K33" s="648"/>
      <c r="L33" s="648"/>
      <c r="M33" s="671" t="s">
        <v>26</v>
      </c>
      <c r="N33" s="672" t="str">
        <f>CONCATENATE(K2," ","ADA")</f>
        <v>2021-22 ADA</v>
      </c>
      <c r="O33" s="669"/>
      <c r="P33" s="673"/>
      <c r="Q33" s="639"/>
      <c r="R33" s="648"/>
      <c r="S33" s="648"/>
      <c r="T33" s="671" t="s">
        <v>26</v>
      </c>
      <c r="U33" s="672" t="str">
        <f>CONCATENATE(R2," ","ADA")</f>
        <v>2022-23 ADA</v>
      </c>
      <c r="V33" s="669"/>
      <c r="W33" s="673"/>
      <c r="X33" s="639"/>
      <c r="Y33" s="648"/>
      <c r="Z33" s="648"/>
      <c r="AA33" s="671" t="s">
        <v>26</v>
      </c>
      <c r="AB33" s="672" t="str">
        <f>CONCATENATE(Y2," ","ADA")</f>
        <v>2023-24 ADA</v>
      </c>
      <c r="AC33" s="1034"/>
      <c r="AD33" s="673"/>
      <c r="AE33" s="639"/>
      <c r="AF33" s="648"/>
      <c r="AG33" s="648"/>
      <c r="AH33" s="671" t="s">
        <v>26</v>
      </c>
      <c r="AI33" s="672" t="str">
        <f>CONCATENATE(AF2," ","ADA")</f>
        <v>2024-25 ADA</v>
      </c>
      <c r="AJ33" s="669"/>
      <c r="AK33" s="673"/>
      <c r="AL33" s="639"/>
      <c r="AM33" s="648"/>
      <c r="AN33" s="648"/>
      <c r="AO33" s="671" t="s">
        <v>26</v>
      </c>
      <c r="AP33" s="672" t="str">
        <f>CONCATENATE(AM2," ","ADA")</f>
        <v>2025-26 ADA</v>
      </c>
      <c r="AQ33" s="669"/>
      <c r="AR33" s="673"/>
      <c r="AS33" s="639"/>
      <c r="AT33" s="648"/>
      <c r="AU33" s="648"/>
      <c r="AV33" s="671" t="s">
        <v>26</v>
      </c>
      <c r="AW33" s="672" t="str">
        <f>CONCATENATE(AT2," ","ADA")</f>
        <v>2026-27 ADA</v>
      </c>
      <c r="AX33" s="669"/>
      <c r="AY33" s="673"/>
      <c r="AZ33" s="639"/>
      <c r="BA33" s="648"/>
      <c r="BB33" s="648"/>
      <c r="BC33" s="671" t="s">
        <v>26</v>
      </c>
      <c r="BD33" s="672" t="str">
        <f>CONCATENATE(BA2," ","ADA")</f>
        <v>2027-28 ADA</v>
      </c>
      <c r="BE33" s="669"/>
      <c r="BF33" s="673"/>
      <c r="BG33" s="639"/>
      <c r="BI33" s="4"/>
    </row>
    <row r="34" spans="1:61" s="8" customFormat="1" ht="12.75" customHeight="1">
      <c r="A34" s="627"/>
      <c r="B34" s="660" t="s">
        <v>507</v>
      </c>
      <c r="C34" s="7"/>
      <c r="D34" s="449"/>
      <c r="E34" s="648"/>
      <c r="F34" s="674">
        <f>IFERROR(VLOOKUP('Data Entry'!$B$3,'PY3 LCFF Calc'!$A:$Y,MATCH("C-2",'PY3 LCFF Calc'!$A$5:$Y$5,0),FALSE),0)</f>
        <v>0</v>
      </c>
      <c r="G34" s="675">
        <f>D7</f>
        <v>0</v>
      </c>
      <c r="H34" s="648"/>
      <c r="I34" s="451">
        <f>ROUND(F34*G34,0)</f>
        <v>0</v>
      </c>
      <c r="J34" s="637"/>
      <c r="K34" s="449"/>
      <c r="L34" s="648"/>
      <c r="M34" s="674">
        <f>IFERROR(VLOOKUP('Data Entry'!$B$3,'PY2 LCFF Calc'!$A:$Y,MATCH("C-2",'PY2 LCFF Calc'!$A$5:$Y$5,0),FALSE),0)</f>
        <v>0</v>
      </c>
      <c r="N34" s="675">
        <f>K7</f>
        <v>0</v>
      </c>
      <c r="O34" s="648"/>
      <c r="P34" s="451">
        <f>ROUND(M34*N34,0)</f>
        <v>0</v>
      </c>
      <c r="Q34" s="639"/>
      <c r="R34" s="449"/>
      <c r="S34" s="648"/>
      <c r="T34" s="674">
        <f>IFERROR(VLOOKUP('Data Entry'!$B$3,'PY1 LCFF Calc'!$A:$Y,MATCH("C-2",'PY1 LCFF Calc'!$A$5:$Y$5,0),FALSE),0)</f>
        <v>0</v>
      </c>
      <c r="U34" s="675">
        <f>R7</f>
        <v>0</v>
      </c>
      <c r="V34" s="648"/>
      <c r="W34" s="451">
        <f>ROUND(T34*U34,0)</f>
        <v>0</v>
      </c>
      <c r="X34" s="639"/>
      <c r="Y34" s="449"/>
      <c r="Z34" s="648"/>
      <c r="AA34" s="674">
        <f>+T34</f>
        <v>0</v>
      </c>
      <c r="AB34" s="675">
        <f>Y7</f>
        <v>0</v>
      </c>
      <c r="AC34" s="648"/>
      <c r="AD34" s="451">
        <f t="shared" ref="AD34" si="34">ROUND(AA34*AB34,0)</f>
        <v>0</v>
      </c>
      <c r="AE34" s="639"/>
      <c r="AF34" s="449"/>
      <c r="AG34" s="648"/>
      <c r="AH34" s="674">
        <f>+AA34</f>
        <v>0</v>
      </c>
      <c r="AI34" s="675">
        <f>AF7</f>
        <v>0</v>
      </c>
      <c r="AJ34" s="648"/>
      <c r="AK34" s="451">
        <f t="shared" ref="AK34" si="35">ROUND(AH34*AI34,0)</f>
        <v>0</v>
      </c>
      <c r="AL34" s="639"/>
      <c r="AM34" s="449"/>
      <c r="AN34" s="648"/>
      <c r="AO34" s="674">
        <f>+AH34</f>
        <v>0</v>
      </c>
      <c r="AP34" s="675">
        <f>AM7</f>
        <v>0</v>
      </c>
      <c r="AQ34" s="648"/>
      <c r="AR34" s="451">
        <f t="shared" ref="AR34" si="36">ROUND(AO34*AP34,0)</f>
        <v>0</v>
      </c>
      <c r="AS34" s="639"/>
      <c r="AT34" s="449"/>
      <c r="AU34" s="648"/>
      <c r="AV34" s="674">
        <f>+AO34</f>
        <v>0</v>
      </c>
      <c r="AW34" s="675">
        <f>AT7</f>
        <v>0</v>
      </c>
      <c r="AX34" s="648"/>
      <c r="AY34" s="451">
        <f t="shared" ref="AY34" si="37">ROUND(AV34*AW34,0)</f>
        <v>0</v>
      </c>
      <c r="AZ34" s="639"/>
      <c r="BA34" s="449"/>
      <c r="BB34" s="648"/>
      <c r="BC34" s="674">
        <f>+AV34</f>
        <v>0</v>
      </c>
      <c r="BD34" s="675">
        <f>BA7</f>
        <v>0</v>
      </c>
      <c r="BE34" s="648"/>
      <c r="BF34" s="451">
        <f t="shared" ref="BF34" si="38">ROUND(BC34*BD34,0)</f>
        <v>0</v>
      </c>
      <c r="BG34" s="637"/>
      <c r="BH34" s="969"/>
      <c r="BI34" s="4"/>
    </row>
    <row r="35" spans="1:61" s="8" customFormat="1" ht="12.75" customHeight="1">
      <c r="A35" s="627"/>
      <c r="B35" s="660" t="s">
        <v>506</v>
      </c>
      <c r="C35" s="7"/>
      <c r="D35" s="449"/>
      <c r="E35" s="648"/>
      <c r="F35" s="674">
        <f>IFERROR(VLOOKUP('Data Entry'!$B$3,'PY3 LCFF Calc'!$A:$Y,MATCH("C-2",'PY3 LCFF Calc'!$A$5:$Y$5,0),FALSE),0)</f>
        <v>0</v>
      </c>
      <c r="G35" s="675">
        <f>D11</f>
        <v>0</v>
      </c>
      <c r="H35" s="648"/>
      <c r="I35" s="449">
        <f>ROUND(F35*G35,0)</f>
        <v>0</v>
      </c>
      <c r="J35" s="637"/>
      <c r="K35" s="449"/>
      <c r="L35" s="648"/>
      <c r="M35" s="674">
        <f>IFERROR(VLOOKUP('Data Entry'!$B$3,'PY2 LCFF Calc'!$A:$Y,MATCH("C-2",'PY2 LCFF Calc'!$A$5:$Y$5,0),FALSE),0)</f>
        <v>0</v>
      </c>
      <c r="N35" s="675">
        <f>K11</f>
        <v>0</v>
      </c>
      <c r="O35" s="648"/>
      <c r="P35" s="449">
        <f>ROUND(M35*N35,0)</f>
        <v>0</v>
      </c>
      <c r="Q35" s="639"/>
      <c r="R35" s="449"/>
      <c r="S35" s="648"/>
      <c r="T35" s="674">
        <f>IFERROR(VLOOKUP('Data Entry'!$B$3,'PY1 LCFF Calc'!$A:$Y,MATCH("C-2",'PY1 LCFF Calc'!$A$5:$Y$5,0),FALSE),0)</f>
        <v>0</v>
      </c>
      <c r="U35" s="675">
        <f>R11</f>
        <v>0</v>
      </c>
      <c r="V35" s="648"/>
      <c r="W35" s="449">
        <f>ROUND(T35*U35,0)</f>
        <v>0</v>
      </c>
      <c r="X35" s="639"/>
      <c r="Y35" s="449"/>
      <c r="Z35" s="648"/>
      <c r="AA35" s="674">
        <f>+T35</f>
        <v>0</v>
      </c>
      <c r="AB35" s="675">
        <f>Y11</f>
        <v>0</v>
      </c>
      <c r="AC35" s="648"/>
      <c r="AD35" s="449">
        <f>ROUND(AA35*AB35,0)</f>
        <v>0</v>
      </c>
      <c r="AE35" s="639"/>
      <c r="AF35" s="449"/>
      <c r="AG35" s="648"/>
      <c r="AH35" s="674">
        <f>+AA35</f>
        <v>0</v>
      </c>
      <c r="AI35" s="675">
        <f>AF11</f>
        <v>0</v>
      </c>
      <c r="AJ35" s="648"/>
      <c r="AK35" s="449">
        <f>ROUND(AH35*AI35,0)</f>
        <v>0</v>
      </c>
      <c r="AL35" s="639"/>
      <c r="AM35" s="449"/>
      <c r="AN35" s="648"/>
      <c r="AO35" s="674">
        <f>+AH35</f>
        <v>0</v>
      </c>
      <c r="AP35" s="675">
        <f>AM11</f>
        <v>0</v>
      </c>
      <c r="AQ35" s="648"/>
      <c r="AR35" s="449">
        <f>ROUND(AO35*AP35,0)</f>
        <v>0</v>
      </c>
      <c r="AS35" s="639"/>
      <c r="AT35" s="449"/>
      <c r="AU35" s="648"/>
      <c r="AV35" s="674">
        <f>+AO35</f>
        <v>0</v>
      </c>
      <c r="AW35" s="675">
        <f>AT11</f>
        <v>0</v>
      </c>
      <c r="AX35" s="648"/>
      <c r="AY35" s="449">
        <f>ROUND(AV35*AW35,0)</f>
        <v>0</v>
      </c>
      <c r="AZ35" s="639"/>
      <c r="BA35" s="449"/>
      <c r="BB35" s="648"/>
      <c r="BC35" s="674">
        <f>+AV35</f>
        <v>0</v>
      </c>
      <c r="BD35" s="675">
        <f>BA11</f>
        <v>0</v>
      </c>
      <c r="BE35" s="648"/>
      <c r="BF35" s="449">
        <f>ROUND(BC35*BD35,0)</f>
        <v>0</v>
      </c>
      <c r="BG35" s="637"/>
      <c r="BH35" s="969"/>
      <c r="BI35" s="4"/>
    </row>
    <row r="36" spans="1:61" s="8" customFormat="1" ht="12.75" customHeight="1">
      <c r="A36" s="627"/>
      <c r="B36" s="660" t="s">
        <v>508</v>
      </c>
      <c r="C36" s="7"/>
      <c r="D36" s="449"/>
      <c r="E36" s="648"/>
      <c r="F36" s="2"/>
      <c r="G36" s="2"/>
      <c r="H36" s="7"/>
      <c r="I36" s="449">
        <f>IFERROR(VLOOKUP('Data Entry'!$B$3,'PY3 LCFF Calc'!$A:$Y,MATCH("C-1",'PY3 LCFF Calc'!$A$5:$Y$5,0),FALSE),0)</f>
        <v>0</v>
      </c>
      <c r="J36" s="637"/>
      <c r="K36" s="449"/>
      <c r="L36" s="648"/>
      <c r="O36" s="50"/>
      <c r="P36" s="449">
        <f>IFERROR(VLOOKUP('Data Entry'!$B$3,'PY3 LCFF Calc'!$A:$Y,MATCH("C-1",'PY3 LCFF Calc'!$A$5:$Y$5,0),FALSE),0)</f>
        <v>0</v>
      </c>
      <c r="Q36" s="639"/>
      <c r="R36" s="449"/>
      <c r="S36" s="648"/>
      <c r="T36" s="50"/>
      <c r="U36" s="50"/>
      <c r="V36" s="50"/>
      <c r="W36" s="449">
        <f>IFERROR(VLOOKUP('Data Entry'!$B$3,'PY1 LCFF Calc'!$A:$Y,MATCH("C-1",'PY1 LCFF Calc'!$A$5:$Y$5,0),FALSE),0)</f>
        <v>0</v>
      </c>
      <c r="X36" s="639"/>
      <c r="Y36" s="449"/>
      <c r="Z36" s="648"/>
      <c r="AA36" s="50"/>
      <c r="AB36" s="50"/>
      <c r="AC36" s="50"/>
      <c r="AD36" s="449">
        <f>+W36</f>
        <v>0</v>
      </c>
      <c r="AE36" s="639"/>
      <c r="AF36" s="449"/>
      <c r="AG36" s="648"/>
      <c r="AH36" s="50"/>
      <c r="AI36" s="50"/>
      <c r="AJ36" s="50"/>
      <c r="AK36" s="449">
        <f>+AD36</f>
        <v>0</v>
      </c>
      <c r="AL36" s="639"/>
      <c r="AM36" s="449"/>
      <c r="AN36" s="648"/>
      <c r="AO36" s="50"/>
      <c r="AP36" s="50"/>
      <c r="AQ36" s="50"/>
      <c r="AR36" s="449">
        <f>+AK36</f>
        <v>0</v>
      </c>
      <c r="AS36" s="639"/>
      <c r="AT36" s="449"/>
      <c r="AU36" s="648"/>
      <c r="AV36" s="50"/>
      <c r="AW36" s="50"/>
      <c r="AX36" s="50"/>
      <c r="AY36" s="449">
        <f>+AR36</f>
        <v>0</v>
      </c>
      <c r="AZ36" s="639"/>
      <c r="BA36" s="449"/>
      <c r="BB36" s="648"/>
      <c r="BC36" s="50"/>
      <c r="BD36" s="50"/>
      <c r="BE36" s="50"/>
      <c r="BF36" s="449">
        <f>+AY36</f>
        <v>0</v>
      </c>
      <c r="BG36" s="637"/>
      <c r="BH36" s="969"/>
      <c r="BI36" s="4"/>
    </row>
    <row r="37" spans="1:61" s="8" customFormat="1" ht="12.75" customHeight="1">
      <c r="A37" s="627"/>
      <c r="B37" s="660" t="s">
        <v>1762</v>
      </c>
      <c r="C37" s="7"/>
      <c r="D37" s="449"/>
      <c r="E37" s="648"/>
      <c r="F37" s="2"/>
      <c r="G37" s="2"/>
      <c r="H37" s="7"/>
      <c r="I37" s="449">
        <f>IFERROR(VLOOKUP('Data Entry'!$B$3,'PY2 LCFF Calc'!$A:$Y,MATCH("C-11",'PY2 LCFF Calc'!$A$5:$Y$5,0)),0)</f>
        <v>0</v>
      </c>
      <c r="J37" s="637"/>
      <c r="K37" s="449"/>
      <c r="L37" s="648"/>
      <c r="O37" s="50"/>
      <c r="P37" s="449">
        <f>IFERROR(VLOOKUP('Data Entry'!$B$3,'PY2 LCFF Calc'!$A:$Y,MATCH("C-11",'PY2 LCFF Calc'!$A$5:$Y$5,0)),0)</f>
        <v>0</v>
      </c>
      <c r="Q37" s="639"/>
      <c r="R37" s="449"/>
      <c r="S37" s="648"/>
      <c r="T37" s="50"/>
      <c r="U37" s="50"/>
      <c r="V37" s="1115"/>
      <c r="W37" s="449">
        <f>IFERROR(VLOOKUP('Data Entry'!$B$3,'PY1 LCFF Calc'!$A:$Y,MATCH("C-11",'PY1 LCFF Calc'!$A$5:$Y$5,0)),0)</f>
        <v>0</v>
      </c>
      <c r="X37" s="639"/>
      <c r="Y37" s="449"/>
      <c r="Z37" s="648"/>
      <c r="AA37" s="50"/>
      <c r="AB37" s="50"/>
      <c r="AC37" s="50"/>
      <c r="AD37" s="449">
        <f>(AD13+AD30)-(((+AD13+AD30)/(1+'Data Entry'!J13))-W37)</f>
        <v>0</v>
      </c>
      <c r="AE37" s="639"/>
      <c r="AF37" s="449"/>
      <c r="AG37" s="648"/>
      <c r="AH37" s="50"/>
      <c r="AI37" s="50"/>
      <c r="AJ37" s="50"/>
      <c r="AK37" s="449">
        <f>(AK13+AK30)-((+AK13+AK30)/((1+'Data Entry'!K13))-AD37)</f>
        <v>0</v>
      </c>
      <c r="AL37" s="639"/>
      <c r="AM37" s="449"/>
      <c r="AN37" s="648"/>
      <c r="AO37" s="50"/>
      <c r="AP37" s="50"/>
      <c r="AQ37" s="50"/>
      <c r="AR37" s="449">
        <f>(AR13+AR30)-((+AR13+AR30)/(1+'Data Entry'!L13)-AK37)</f>
        <v>0</v>
      </c>
      <c r="AS37" s="639"/>
      <c r="AT37" s="449"/>
      <c r="AU37" s="648"/>
      <c r="AV37" s="50"/>
      <c r="AW37" s="50"/>
      <c r="AX37" s="50"/>
      <c r="AY37" s="449">
        <f>(AY13+AY30)-((+AY13+AY30)/(1+'Data Entry'!M13)-AR37)</f>
        <v>0</v>
      </c>
      <c r="AZ37" s="639"/>
      <c r="BA37" s="449"/>
      <c r="BB37" s="648"/>
      <c r="BC37" s="50"/>
      <c r="BD37" s="50"/>
      <c r="BE37" s="50"/>
      <c r="BF37" s="449">
        <f>(BF13+BF30)-((+BF13+BF30)/(1+'Data Entry'!N13)-AY37)</f>
        <v>0</v>
      </c>
      <c r="BG37" s="637"/>
      <c r="BH37" s="969"/>
      <c r="BI37" s="109"/>
    </row>
    <row r="38" spans="1:61" s="8" customFormat="1" ht="12.75" customHeight="1">
      <c r="A38" s="627"/>
      <c r="B38" s="50" t="s">
        <v>510</v>
      </c>
      <c r="C38" s="7"/>
      <c r="D38" s="449"/>
      <c r="E38" s="648"/>
      <c r="F38" s="674"/>
      <c r="G38" s="675"/>
      <c r="H38" s="648"/>
      <c r="I38" s="455">
        <f>SUM(I34:I37)</f>
        <v>0</v>
      </c>
      <c r="J38" s="637"/>
      <c r="K38" s="449"/>
      <c r="L38" s="648"/>
      <c r="M38" s="674"/>
      <c r="N38" s="675"/>
      <c r="O38" s="648"/>
      <c r="P38" s="455">
        <f>SUM(P34:P37)</f>
        <v>0</v>
      </c>
      <c r="Q38" s="639"/>
      <c r="R38" s="449"/>
      <c r="S38" s="648"/>
      <c r="T38" s="674"/>
      <c r="U38" s="675"/>
      <c r="V38" s="648"/>
      <c r="W38" s="455">
        <f>SUM(W34:W37)</f>
        <v>0</v>
      </c>
      <c r="X38" s="639"/>
      <c r="Y38" s="449"/>
      <c r="Z38" s="648"/>
      <c r="AA38" s="674"/>
      <c r="AB38" s="675"/>
      <c r="AC38" s="648"/>
      <c r="AD38" s="455">
        <f>SUM(AD34:AD37)</f>
        <v>0</v>
      </c>
      <c r="AE38" s="639"/>
      <c r="AF38" s="449"/>
      <c r="AG38" s="648"/>
      <c r="AH38" s="674"/>
      <c r="AI38" s="675"/>
      <c r="AJ38" s="648"/>
      <c r="AK38" s="455">
        <f>SUM(AK34:AK37)</f>
        <v>0</v>
      </c>
      <c r="AL38" s="639"/>
      <c r="AM38" s="449"/>
      <c r="AN38" s="648"/>
      <c r="AO38" s="674"/>
      <c r="AP38" s="675"/>
      <c r="AQ38" s="648"/>
      <c r="AR38" s="455">
        <f>SUM(AR34:AR37)</f>
        <v>0</v>
      </c>
      <c r="AS38" s="639"/>
      <c r="AT38" s="449"/>
      <c r="AU38" s="648"/>
      <c r="AV38" s="674"/>
      <c r="AW38" s="675"/>
      <c r="AX38" s="648"/>
      <c r="AY38" s="455">
        <f>SUM(AY34:AY37)</f>
        <v>0</v>
      </c>
      <c r="AZ38" s="639"/>
      <c r="BA38" s="449"/>
      <c r="BB38" s="648"/>
      <c r="BC38" s="674"/>
      <c r="BD38" s="675"/>
      <c r="BE38" s="648"/>
      <c r="BF38" s="455">
        <f>SUM(BF34:BF37)</f>
        <v>0</v>
      </c>
      <c r="BG38" s="637"/>
      <c r="BH38" s="969"/>
      <c r="BI38" s="4"/>
    </row>
    <row r="39" spans="1:61" s="8" customFormat="1" ht="12.75" customHeight="1">
      <c r="A39" s="627"/>
      <c r="B39" s="50"/>
      <c r="C39" s="7"/>
      <c r="D39" s="449"/>
      <c r="E39" s="648"/>
      <c r="F39" s="674"/>
      <c r="G39" s="675"/>
      <c r="H39" s="648"/>
      <c r="I39" s="451"/>
      <c r="J39" s="637"/>
      <c r="K39" s="449"/>
      <c r="L39" s="648"/>
      <c r="M39" s="674"/>
      <c r="N39" s="675"/>
      <c r="O39" s="648"/>
      <c r="P39" s="451"/>
      <c r="Q39" s="639"/>
      <c r="R39" s="449"/>
      <c r="S39" s="648"/>
      <c r="T39" s="674"/>
      <c r="U39" s="675"/>
      <c r="V39" s="648"/>
      <c r="W39" s="451"/>
      <c r="X39" s="639"/>
      <c r="Y39" s="449"/>
      <c r="Z39" s="648"/>
      <c r="AA39" s="674"/>
      <c r="AB39" s="675"/>
      <c r="AC39" s="648"/>
      <c r="AD39" s="451"/>
      <c r="AE39" s="639"/>
      <c r="AF39" s="449"/>
      <c r="AG39" s="648"/>
      <c r="AH39" s="674"/>
      <c r="AI39" s="675"/>
      <c r="AJ39" s="648"/>
      <c r="AK39" s="451"/>
      <c r="AL39" s="639"/>
      <c r="AM39" s="449"/>
      <c r="AN39" s="648"/>
      <c r="AO39" s="674"/>
      <c r="AP39" s="675"/>
      <c r="AQ39" s="648"/>
      <c r="AR39" s="451"/>
      <c r="AS39" s="639"/>
      <c r="AT39" s="449"/>
      <c r="AU39" s="648"/>
      <c r="AV39" s="674"/>
      <c r="AW39" s="675"/>
      <c r="AX39" s="648"/>
      <c r="AY39" s="451"/>
      <c r="AZ39" s="639"/>
      <c r="BA39" s="449"/>
      <c r="BB39" s="648"/>
      <c r="BC39" s="674"/>
      <c r="BD39" s="675"/>
      <c r="BE39" s="648"/>
      <c r="BF39" s="451"/>
      <c r="BG39" s="637"/>
      <c r="BH39" s="969"/>
      <c r="BI39" s="4"/>
    </row>
    <row r="40" spans="1:61" s="8" customFormat="1" ht="12.75" customHeight="1">
      <c r="A40" s="627"/>
      <c r="B40" s="660" t="s">
        <v>585</v>
      </c>
      <c r="C40" s="7"/>
      <c r="D40" s="449"/>
      <c r="E40" s="648"/>
      <c r="F40" s="674"/>
      <c r="G40" s="675"/>
      <c r="H40" s="648"/>
      <c r="I40" s="451">
        <f>IFERROR(VLOOKUP('Data Entry'!$B$3,'PY3 LCFF Calc'!$A:$Y,MATCH("C-6",'PY3 LCFF Calc'!$A$5:$Y$5,0),FALSE),0)</f>
        <v>0</v>
      </c>
      <c r="J40" s="637"/>
      <c r="K40" s="449"/>
      <c r="L40" s="648"/>
      <c r="M40" s="674"/>
      <c r="N40" s="675"/>
      <c r="O40" s="648"/>
      <c r="P40" s="451">
        <f>IFERROR(VLOOKUP('Data Entry'!$B$3,'PY2 LCFF Calc'!$A:$Y,MATCH("C-6",'PY2 LCFF Calc'!$A$5:$Y$5,0),FALSE),0)</f>
        <v>0</v>
      </c>
      <c r="Q40" s="639"/>
      <c r="R40" s="449"/>
      <c r="S40" s="648"/>
      <c r="T40" s="674"/>
      <c r="U40" s="675"/>
      <c r="V40" s="648"/>
      <c r="W40" s="451">
        <f>IFERROR(VLOOKUP('Data Entry'!$B$3,'PY1 LCFF Calc'!$A:$Y,MATCH("C-6",'PY1 LCFF Calc'!$A$5:$Y$5,0),FALSE),0)</f>
        <v>0</v>
      </c>
      <c r="X40" s="639"/>
      <c r="Y40" s="449"/>
      <c r="Z40" s="648"/>
      <c r="AA40" s="674"/>
      <c r="AB40" s="675"/>
      <c r="AC40" s="648"/>
      <c r="AD40" s="451">
        <f>+W40</f>
        <v>0</v>
      </c>
      <c r="AE40" s="639"/>
      <c r="AF40" s="449"/>
      <c r="AG40" s="648"/>
      <c r="AH40" s="674"/>
      <c r="AI40" s="675"/>
      <c r="AJ40" s="648"/>
      <c r="AK40" s="451">
        <f>+AD40</f>
        <v>0</v>
      </c>
      <c r="AL40" s="639"/>
      <c r="AM40" s="449"/>
      <c r="AN40" s="648"/>
      <c r="AO40" s="674"/>
      <c r="AP40" s="675"/>
      <c r="AQ40" s="648"/>
      <c r="AR40" s="451">
        <f>+AK40</f>
        <v>0</v>
      </c>
      <c r="AS40" s="639"/>
      <c r="AT40" s="449"/>
      <c r="AU40" s="648"/>
      <c r="AV40" s="674"/>
      <c r="AW40" s="675"/>
      <c r="AX40" s="648"/>
      <c r="AY40" s="451">
        <f>+AR40</f>
        <v>0</v>
      </c>
      <c r="AZ40" s="639"/>
      <c r="BA40" s="449"/>
      <c r="BB40" s="648"/>
      <c r="BC40" s="674"/>
      <c r="BD40" s="675"/>
      <c r="BE40" s="648"/>
      <c r="BF40" s="451">
        <f>+AY40</f>
        <v>0</v>
      </c>
      <c r="BG40" s="637"/>
      <c r="BH40" s="969"/>
      <c r="BI40" s="4"/>
    </row>
    <row r="41" spans="1:61" s="8" customFormat="1" ht="18.75" customHeight="1">
      <c r="A41" s="627"/>
      <c r="B41" s="660" t="s">
        <v>512</v>
      </c>
      <c r="C41" s="7"/>
      <c r="D41" s="449"/>
      <c r="E41" s="648"/>
      <c r="F41" s="674"/>
      <c r="G41" s="675"/>
      <c r="H41" s="648"/>
      <c r="I41" s="449">
        <f>IFERROR(VLOOKUP('Data Entry'!$B$3,'PY3 LCFF Calc'!$A:$Y,MATCH("C-7",'PY3 LCFF Calc'!$A$5:$Y$5,0),FALSE),0)</f>
        <v>0</v>
      </c>
      <c r="J41" s="637"/>
      <c r="K41" s="449"/>
      <c r="L41" s="648"/>
      <c r="M41" s="674"/>
      <c r="N41" s="675"/>
      <c r="O41" s="648"/>
      <c r="P41" s="449">
        <f>IFERROR(VLOOKUP('Data Entry'!$B$3,'PY2 LCFF Calc'!$A:$Y,MATCH("C-7",'PY2 LCFF Calc'!$A$5:$Y$5,0),FALSE),0)</f>
        <v>0</v>
      </c>
      <c r="Q41" s="639"/>
      <c r="R41" s="449"/>
      <c r="S41" s="648"/>
      <c r="T41" s="674"/>
      <c r="U41" s="675"/>
      <c r="V41" s="648"/>
      <c r="W41" s="449">
        <f>IFERROR(VLOOKUP('Data Entry'!$B$3,'PY1 LCFF Calc'!$A:$Y,MATCH("C-7",'PY1 LCFF Calc'!$A$5:$Y$5,0),FALSE),0)</f>
        <v>0</v>
      </c>
      <c r="X41" s="639"/>
      <c r="Y41" s="449"/>
      <c r="Z41" s="648"/>
      <c r="AA41" s="674"/>
      <c r="AB41" s="675"/>
      <c r="AC41" s="648"/>
      <c r="AD41" s="449">
        <f>+W41</f>
        <v>0</v>
      </c>
      <c r="AE41" s="639"/>
      <c r="AF41" s="449"/>
      <c r="AG41" s="648"/>
      <c r="AH41" s="674"/>
      <c r="AI41" s="675"/>
      <c r="AJ41" s="648"/>
      <c r="AK41" s="449">
        <f>+AD41</f>
        <v>0</v>
      </c>
      <c r="AL41" s="639"/>
      <c r="AM41" s="449"/>
      <c r="AN41" s="648"/>
      <c r="AO41" s="674"/>
      <c r="AP41" s="675"/>
      <c r="AQ41" s="648"/>
      <c r="AR41" s="449">
        <f>+AK41</f>
        <v>0</v>
      </c>
      <c r="AS41" s="639"/>
      <c r="AT41" s="449"/>
      <c r="AU41" s="648"/>
      <c r="AV41" s="674"/>
      <c r="AW41" s="675"/>
      <c r="AX41" s="648"/>
      <c r="AY41" s="449">
        <f>+AR41</f>
        <v>0</v>
      </c>
      <c r="AZ41" s="639"/>
      <c r="BA41" s="449"/>
      <c r="BB41" s="648"/>
      <c r="BC41" s="674"/>
      <c r="BD41" s="675"/>
      <c r="BE41" s="648"/>
      <c r="BF41" s="449">
        <f>+AY41</f>
        <v>0</v>
      </c>
      <c r="BG41" s="637"/>
      <c r="BH41" s="969"/>
      <c r="BI41" s="4"/>
    </row>
    <row r="42" spans="1:61" s="8" customFormat="1" ht="15" customHeight="1">
      <c r="A42" s="627"/>
      <c r="B42" s="664" t="s">
        <v>513</v>
      </c>
      <c r="C42" s="7"/>
      <c r="D42" s="449"/>
      <c r="E42" s="648"/>
      <c r="F42" s="674"/>
      <c r="G42" s="675"/>
      <c r="H42" s="648"/>
      <c r="I42" s="993">
        <f>SUM(I38:I41)</f>
        <v>0</v>
      </c>
      <c r="J42" s="637"/>
      <c r="K42" s="449"/>
      <c r="L42" s="648"/>
      <c r="M42" s="674"/>
      <c r="N42" s="675"/>
      <c r="O42" s="648"/>
      <c r="P42" s="993">
        <f>SUM(P38:P41)</f>
        <v>0</v>
      </c>
      <c r="Q42" s="639"/>
      <c r="R42" s="449"/>
      <c r="S42" s="648"/>
      <c r="T42" s="674"/>
      <c r="U42" s="675"/>
      <c r="V42" s="648"/>
      <c r="W42" s="993">
        <f>SUM(W38:W41)</f>
        <v>0</v>
      </c>
      <c r="X42" s="639"/>
      <c r="Y42" s="1142"/>
      <c r="Z42" s="648"/>
      <c r="AA42" s="674"/>
      <c r="AB42" s="675"/>
      <c r="AC42" s="648"/>
      <c r="AD42" s="993">
        <f>SUM(AD38:AD41)</f>
        <v>0</v>
      </c>
      <c r="AE42" s="639"/>
      <c r="AF42" s="449"/>
      <c r="AG42" s="648"/>
      <c r="AH42" s="674"/>
      <c r="AI42" s="675"/>
      <c r="AJ42" s="648"/>
      <c r="AK42" s="993">
        <f>SUM(AK38:AK41)</f>
        <v>0</v>
      </c>
      <c r="AL42" s="639"/>
      <c r="AM42" s="449"/>
      <c r="AN42" s="648"/>
      <c r="AO42" s="674"/>
      <c r="AP42" s="675"/>
      <c r="AQ42" s="648"/>
      <c r="AR42" s="993">
        <f>SUM(AR38:AR41)</f>
        <v>0</v>
      </c>
      <c r="AS42" s="639"/>
      <c r="AT42" s="449"/>
      <c r="AU42" s="648"/>
      <c r="AV42" s="674"/>
      <c r="AW42" s="675"/>
      <c r="AX42" s="648"/>
      <c r="AY42" s="993">
        <f>SUM(AY38:AY41)</f>
        <v>0</v>
      </c>
      <c r="AZ42" s="639"/>
      <c r="BA42" s="449"/>
      <c r="BB42" s="648"/>
      <c r="BC42" s="674"/>
      <c r="BD42" s="675"/>
      <c r="BE42" s="648"/>
      <c r="BF42" s="993">
        <f>SUM(BF38:BF41)</f>
        <v>0</v>
      </c>
      <c r="BG42" s="637"/>
      <c r="BH42" s="969"/>
      <c r="BI42" s="4"/>
    </row>
    <row r="43" spans="1:61" s="50" customFormat="1" ht="6" customHeight="1">
      <c r="A43" s="627"/>
      <c r="B43" s="668"/>
      <c r="C43" s="7"/>
      <c r="D43" s="655"/>
      <c r="E43" s="648"/>
      <c r="F43" s="648"/>
      <c r="G43" s="648"/>
      <c r="H43" s="648"/>
      <c r="I43" s="646"/>
      <c r="J43" s="639"/>
      <c r="K43" s="655"/>
      <c r="L43" s="648"/>
      <c r="M43" s="648"/>
      <c r="N43" s="648"/>
      <c r="O43" s="648"/>
      <c r="P43" s="646"/>
      <c r="Q43" s="639"/>
      <c r="R43" s="655"/>
      <c r="S43" s="648"/>
      <c r="T43" s="648"/>
      <c r="U43" s="648"/>
      <c r="V43" s="648"/>
      <c r="W43" s="646"/>
      <c r="X43" s="639"/>
      <c r="Y43" s="655"/>
      <c r="Z43" s="648"/>
      <c r="AA43" s="648"/>
      <c r="AB43" s="648"/>
      <c r="AC43" s="648"/>
      <c r="AD43" s="646"/>
      <c r="AE43" s="639"/>
      <c r="AF43" s="655"/>
      <c r="AG43" s="648"/>
      <c r="AH43" s="648"/>
      <c r="AI43" s="648"/>
      <c r="AJ43" s="648"/>
      <c r="AK43" s="646"/>
      <c r="AL43" s="639"/>
      <c r="AM43" s="655"/>
      <c r="AN43" s="648"/>
      <c r="AO43" s="648"/>
      <c r="AP43" s="648"/>
      <c r="AQ43" s="648"/>
      <c r="AR43" s="646"/>
      <c r="AS43" s="639"/>
      <c r="AT43" s="655"/>
      <c r="AU43" s="648"/>
      <c r="AV43" s="648"/>
      <c r="AW43" s="648"/>
      <c r="AX43" s="648"/>
      <c r="AY43" s="646"/>
      <c r="AZ43" s="639"/>
      <c r="BA43" s="655"/>
      <c r="BB43" s="648"/>
      <c r="BC43" s="648"/>
      <c r="BD43" s="648"/>
      <c r="BE43" s="648"/>
      <c r="BF43" s="646"/>
      <c r="BG43" s="639"/>
      <c r="BI43" s="4"/>
    </row>
    <row r="44" spans="1:61" s="8" customFormat="1" ht="15" customHeight="1">
      <c r="A44" s="627"/>
      <c r="B44" s="664" t="s">
        <v>1680</v>
      </c>
      <c r="C44" s="7"/>
      <c r="D44" s="449"/>
      <c r="E44" s="648"/>
      <c r="F44" s="674"/>
      <c r="G44" s="675"/>
      <c r="H44" s="648"/>
      <c r="I44" s="646">
        <f>IFERROR(VLOOKUP('Data Entry'!$B$3,'PY3 LCFF Calc'!$A:$Y,MATCH("B-2",'PY3 LCFF Calc'!$A$5:$Y$5,0),FALSE),0)</f>
        <v>0</v>
      </c>
      <c r="J44" s="637"/>
      <c r="K44" s="449"/>
      <c r="L44" s="648"/>
      <c r="M44" s="674"/>
      <c r="N44" s="675"/>
      <c r="O44" s="648"/>
      <c r="P44" s="646">
        <f>IFERROR(VLOOKUP('Data Entry'!$B$3,'PY2 LCFF Calc'!$A:$Y,MATCH("B-2",'PY2 LCFF Calc'!$A$5:$Y$5,0),FALSE),0)</f>
        <v>0</v>
      </c>
      <c r="Q44" s="639"/>
      <c r="R44" s="449"/>
      <c r="S44" s="648"/>
      <c r="T44" s="674"/>
      <c r="U44" s="675"/>
      <c r="V44" s="648"/>
      <c r="W44" s="646" t="b">
        <f>IF(P44=TRUE,P44,IF(W32&gt;W42,TRUE,FALSE))</f>
        <v>0</v>
      </c>
      <c r="X44" s="639"/>
      <c r="Y44" s="449"/>
      <c r="Z44" s="648"/>
      <c r="AA44" s="674"/>
      <c r="AB44" s="675"/>
      <c r="AC44" s="648"/>
      <c r="AD44" s="646" t="b">
        <f>IF(W44=TRUE,W44,IF(AD32&gt;AD42,TRUE,FALSE))</f>
        <v>0</v>
      </c>
      <c r="AE44" s="639"/>
      <c r="AF44" s="449"/>
      <c r="AG44" s="648"/>
      <c r="AH44" s="674"/>
      <c r="AI44" s="675"/>
      <c r="AJ44" s="648"/>
      <c r="AK44" s="646" t="b">
        <f>IF(AD44=TRUE,AD44,IF(AK32&gt;AK42,TRUE,FALSE))</f>
        <v>0</v>
      </c>
      <c r="AL44" s="639"/>
      <c r="AM44" s="449"/>
      <c r="AN44" s="648"/>
      <c r="AO44" s="674"/>
      <c r="AP44" s="675"/>
      <c r="AQ44" s="648"/>
      <c r="AR44" s="646" t="b">
        <f>IF(AK44=TRUE,AK44,IF(AR32&gt;AR42,TRUE,FALSE))</f>
        <v>0</v>
      </c>
      <c r="AS44" s="639"/>
      <c r="AT44" s="449"/>
      <c r="AU44" s="648"/>
      <c r="AV44" s="674"/>
      <c r="AW44" s="675"/>
      <c r="AX44" s="648"/>
      <c r="AY44" s="646" t="b">
        <f>IF(AR44=TRUE,AR44,IF(AY32&gt;AY42,TRUE,FALSE))</f>
        <v>0</v>
      </c>
      <c r="AZ44" s="639"/>
      <c r="BA44" s="449"/>
      <c r="BB44" s="648"/>
      <c r="BC44" s="674"/>
      <c r="BD44" s="675"/>
      <c r="BE44" s="648"/>
      <c r="BF44" s="646" t="b">
        <f>IF(AY44=TRUE,AY44,IF(BF32&gt;BF42,TRUE,FALSE))</f>
        <v>0</v>
      </c>
      <c r="BG44" s="637"/>
      <c r="BH44" s="969"/>
      <c r="BI44" s="4"/>
    </row>
    <row r="45" spans="1:61" s="8" customFormat="1" ht="15" customHeight="1" thickBot="1">
      <c r="A45" s="627"/>
      <c r="B45" s="664" t="s">
        <v>1605</v>
      </c>
      <c r="C45" s="47" t="s">
        <v>1606</v>
      </c>
      <c r="D45" s="449"/>
      <c r="E45" s="676"/>
      <c r="F45" s="674"/>
      <c r="G45" s="677"/>
      <c r="H45" s="676"/>
      <c r="I45" s="450">
        <f>IF(I44=TRUE,I32,I42)</f>
        <v>0</v>
      </c>
      <c r="J45" s="637"/>
      <c r="K45" s="449"/>
      <c r="L45" s="676"/>
      <c r="M45" s="674"/>
      <c r="N45" s="677"/>
      <c r="O45" s="676"/>
      <c r="P45" s="450">
        <f>IF(P44=TRUE,P32,P42)</f>
        <v>0</v>
      </c>
      <c r="Q45" s="639"/>
      <c r="R45" s="449"/>
      <c r="S45" s="648"/>
      <c r="T45" s="674"/>
      <c r="U45" s="675"/>
      <c r="V45" s="648"/>
      <c r="W45" s="450">
        <f>IF(W44=TRUE,W32,IF(W32&gt;W42,W32,W42))</f>
        <v>0</v>
      </c>
      <c r="X45" s="639"/>
      <c r="Y45" s="1144"/>
      <c r="Z45" s="648"/>
      <c r="AA45" s="674"/>
      <c r="AB45" s="675"/>
      <c r="AC45" s="648"/>
      <c r="AD45" s="450">
        <f>IF(AD44=TRUE,AD32,IF(AD32&gt;AD42,AD32,AD42))</f>
        <v>0</v>
      </c>
      <c r="AE45" s="639"/>
      <c r="AF45" s="449"/>
      <c r="AG45" s="648"/>
      <c r="AH45" s="674"/>
      <c r="AI45" s="675"/>
      <c r="AJ45" s="648"/>
      <c r="AK45" s="450">
        <f>IF(AK44=TRUE,AK32,IF(AK32&gt;AK42,AK32,AK42))</f>
        <v>0</v>
      </c>
      <c r="AL45" s="639"/>
      <c r="AM45" s="449"/>
      <c r="AN45" s="648"/>
      <c r="AO45" s="674"/>
      <c r="AP45" s="675"/>
      <c r="AQ45" s="648"/>
      <c r="AR45" s="450">
        <f>IF(AR44=TRUE,AR32,IF(AR32&gt;AR42,AR32,AR42))</f>
        <v>0</v>
      </c>
      <c r="AS45" s="639"/>
      <c r="AT45" s="449"/>
      <c r="AU45" s="648"/>
      <c r="AV45" s="674"/>
      <c r="AW45" s="675"/>
      <c r="AX45" s="648"/>
      <c r="AY45" s="450">
        <f>IF(AY44=TRUE,AY32,IF(AY32&gt;AY42,AD32,AY42))</f>
        <v>0</v>
      </c>
      <c r="AZ45" s="639"/>
      <c r="BA45" s="449"/>
      <c r="BB45" s="648"/>
      <c r="BC45" s="674"/>
      <c r="BD45" s="675"/>
      <c r="BE45" s="648"/>
      <c r="BF45" s="450">
        <f>IF(BF44=TRUE,BF32,IF(BF32&gt;BF42,AK32,BF42))</f>
        <v>0</v>
      </c>
      <c r="BG45" s="637"/>
      <c r="BH45" s="969"/>
      <c r="BI45" s="4"/>
    </row>
    <row r="46" spans="1:61" s="8" customFormat="1" ht="6" customHeight="1" thickTop="1" thickBot="1">
      <c r="A46" s="704"/>
      <c r="B46" s="705"/>
      <c r="C46" s="705"/>
      <c r="D46" s="706"/>
      <c r="E46" s="706"/>
      <c r="F46" s="706"/>
      <c r="G46" s="706"/>
      <c r="H46" s="707"/>
      <c r="I46" s="708"/>
      <c r="J46" s="709"/>
      <c r="K46" s="706"/>
      <c r="L46" s="706"/>
      <c r="M46" s="706"/>
      <c r="N46" s="706"/>
      <c r="O46" s="707"/>
      <c r="P46" s="708"/>
      <c r="Q46" s="709"/>
      <c r="R46" s="706"/>
      <c r="S46" s="706"/>
      <c r="T46" s="706"/>
      <c r="U46" s="706"/>
      <c r="V46" s="707"/>
      <c r="W46" s="708"/>
      <c r="X46" s="709"/>
      <c r="Y46" s="706"/>
      <c r="Z46" s="706"/>
      <c r="AA46" s="706"/>
      <c r="AB46" s="706"/>
      <c r="AC46" s="707"/>
      <c r="AD46" s="708"/>
      <c r="AE46" s="709"/>
      <c r="AF46" s="706"/>
      <c r="AG46" s="706"/>
      <c r="AH46" s="706"/>
      <c r="AI46" s="706"/>
      <c r="AJ46" s="707"/>
      <c r="AK46" s="708"/>
      <c r="AL46" s="709"/>
      <c r="AM46" s="706"/>
      <c r="AN46" s="706"/>
      <c r="AO46" s="706"/>
      <c r="AP46" s="706"/>
      <c r="AQ46" s="707"/>
      <c r="AR46" s="708"/>
      <c r="AS46" s="709"/>
      <c r="AT46" s="706"/>
      <c r="AU46" s="706"/>
      <c r="AV46" s="706"/>
      <c r="AW46" s="706"/>
      <c r="AX46" s="707"/>
      <c r="AY46" s="708"/>
      <c r="AZ46" s="709"/>
      <c r="BA46" s="706"/>
      <c r="BB46" s="706"/>
      <c r="BC46" s="706"/>
      <c r="BD46" s="706"/>
      <c r="BE46" s="707"/>
      <c r="BF46" s="708"/>
      <c r="BG46" s="709"/>
      <c r="BH46" s="969"/>
      <c r="BI46" s="4"/>
    </row>
    <row r="47" spans="1:61" s="82" customFormat="1" ht="21" customHeight="1" thickBot="1">
      <c r="A47" s="624"/>
      <c r="B47" s="625" t="s">
        <v>193</v>
      </c>
      <c r="C47" s="678"/>
      <c r="D47" s="948"/>
      <c r="E47" s="679"/>
      <c r="F47" s="680"/>
      <c r="G47" s="680"/>
      <c r="H47" s="680"/>
      <c r="I47" s="681"/>
      <c r="J47" s="682"/>
      <c r="K47" s="948"/>
      <c r="L47" s="679"/>
      <c r="M47" s="680"/>
      <c r="N47" s="680"/>
      <c r="O47" s="680"/>
      <c r="P47" s="681"/>
      <c r="Q47" s="682"/>
      <c r="R47" s="948"/>
      <c r="S47" s="679"/>
      <c r="T47" s="680"/>
      <c r="U47" s="680"/>
      <c r="V47" s="680"/>
      <c r="W47" s="681"/>
      <c r="X47" s="682"/>
      <c r="Y47" s="948"/>
      <c r="Z47" s="679"/>
      <c r="AA47" s="680"/>
      <c r="AB47" s="680"/>
      <c r="AC47" s="680"/>
      <c r="AD47" s="681"/>
      <c r="AE47" s="682"/>
      <c r="AF47" s="948"/>
      <c r="AG47" s="679"/>
      <c r="AH47" s="680"/>
      <c r="AI47" s="680"/>
      <c r="AJ47" s="680"/>
      <c r="AK47" s="681"/>
      <c r="AL47" s="682"/>
      <c r="AM47" s="948"/>
      <c r="AN47" s="679"/>
      <c r="AO47" s="680"/>
      <c r="AP47" s="680"/>
      <c r="AQ47" s="680"/>
      <c r="AR47" s="681"/>
      <c r="AS47" s="682"/>
      <c r="AT47" s="948"/>
      <c r="AU47" s="679"/>
      <c r="AV47" s="680"/>
      <c r="AW47" s="680"/>
      <c r="AX47" s="680"/>
      <c r="AY47" s="681"/>
      <c r="AZ47" s="682"/>
      <c r="BA47" s="948"/>
      <c r="BB47" s="679"/>
      <c r="BC47" s="680"/>
      <c r="BD47" s="680"/>
      <c r="BE47" s="680"/>
      <c r="BF47" s="681"/>
      <c r="BG47" s="682"/>
      <c r="BI47" s="881"/>
    </row>
    <row r="48" spans="1:61" s="8" customFormat="1">
      <c r="A48" s="627"/>
      <c r="B48" s="7" t="s">
        <v>123</v>
      </c>
      <c r="C48" s="7"/>
      <c r="D48" s="449"/>
      <c r="E48" s="648"/>
      <c r="F48" s="648"/>
      <c r="G48" s="648"/>
      <c r="H48" s="648"/>
      <c r="I48" s="451">
        <f>+I45</f>
        <v>0</v>
      </c>
      <c r="J48" s="637"/>
      <c r="K48" s="683"/>
      <c r="L48" s="676"/>
      <c r="M48" s="676"/>
      <c r="N48" s="676"/>
      <c r="O48" s="676"/>
      <c r="P48" s="684">
        <f>+P45</f>
        <v>0</v>
      </c>
      <c r="Q48" s="637"/>
      <c r="R48" s="683"/>
      <c r="S48" s="676"/>
      <c r="T48" s="676"/>
      <c r="U48" s="676"/>
      <c r="V48" s="676"/>
      <c r="W48" s="684">
        <f>+W45</f>
        <v>0</v>
      </c>
      <c r="X48" s="637"/>
      <c r="Y48" s="683"/>
      <c r="Z48" s="676"/>
      <c r="AA48" s="676"/>
      <c r="AB48" s="676"/>
      <c r="AC48" s="676"/>
      <c r="AD48" s="684">
        <f>+AD45</f>
        <v>0</v>
      </c>
      <c r="AE48" s="637"/>
      <c r="AF48" s="683"/>
      <c r="AG48" s="676"/>
      <c r="AH48" s="676"/>
      <c r="AI48" s="676"/>
      <c r="AJ48" s="676"/>
      <c r="AK48" s="684">
        <f>+AK45</f>
        <v>0</v>
      </c>
      <c r="AL48" s="637"/>
      <c r="AM48" s="683"/>
      <c r="AN48" s="676"/>
      <c r="AO48" s="676"/>
      <c r="AP48" s="676"/>
      <c r="AQ48" s="676"/>
      <c r="AR48" s="684">
        <f>+AR45</f>
        <v>0</v>
      </c>
      <c r="AS48" s="637"/>
      <c r="AT48" s="683"/>
      <c r="AU48" s="676"/>
      <c r="AV48" s="676"/>
      <c r="AW48" s="676"/>
      <c r="AX48" s="676"/>
      <c r="AY48" s="684">
        <f>+AY45</f>
        <v>0</v>
      </c>
      <c r="AZ48" s="637"/>
      <c r="BA48" s="683"/>
      <c r="BB48" s="676"/>
      <c r="BC48" s="676"/>
      <c r="BD48" s="676"/>
      <c r="BE48" s="676"/>
      <c r="BF48" s="684">
        <f>+BF45</f>
        <v>0</v>
      </c>
      <c r="BG48" s="637"/>
      <c r="BH48" s="969"/>
      <c r="BI48" s="4"/>
    </row>
    <row r="49" spans="1:65" s="8" customFormat="1">
      <c r="A49" s="627"/>
      <c r="B49" s="660" t="s">
        <v>505</v>
      </c>
      <c r="C49" s="7"/>
      <c r="D49" s="449"/>
      <c r="E49" s="648"/>
      <c r="F49" s="648"/>
      <c r="G49" s="648"/>
      <c r="H49" s="648"/>
      <c r="I49" s="685">
        <f>+'Data Entry'!G46</f>
        <v>0</v>
      </c>
      <c r="J49" s="639"/>
      <c r="K49" s="449"/>
      <c r="L49" s="648"/>
      <c r="M49" s="648"/>
      <c r="N49" s="648"/>
      <c r="O49" s="648"/>
      <c r="P49" s="685">
        <f>+'Data Entry'!H46</f>
        <v>0</v>
      </c>
      <c r="Q49" s="639"/>
      <c r="R49" s="449"/>
      <c r="S49" s="648"/>
      <c r="T49" s="648"/>
      <c r="U49" s="648"/>
      <c r="V49" s="648"/>
      <c r="W49" s="685">
        <f>+'Data Entry'!I46</f>
        <v>0</v>
      </c>
      <c r="X49" s="637"/>
      <c r="Y49" s="1143"/>
      <c r="Z49" s="648"/>
      <c r="AA49" s="648"/>
      <c r="AB49" s="648"/>
      <c r="AC49" s="648"/>
      <c r="AD49" s="685">
        <f>+'Data Entry'!$J$46</f>
        <v>0</v>
      </c>
      <c r="AE49" s="637"/>
      <c r="AF49" s="683"/>
      <c r="AG49" s="648"/>
      <c r="AH49" s="648"/>
      <c r="AI49" s="648"/>
      <c r="AJ49" s="648"/>
      <c r="AK49" s="685">
        <f>+'Data Entry'!$K$46</f>
        <v>0</v>
      </c>
      <c r="AL49" s="639"/>
      <c r="AM49" s="449"/>
      <c r="AN49" s="648"/>
      <c r="AO49" s="648"/>
      <c r="AP49" s="648"/>
      <c r="AQ49" s="648"/>
      <c r="AR49" s="685">
        <f>+'Data Entry'!$L$46</f>
        <v>0</v>
      </c>
      <c r="AS49" s="637"/>
      <c r="AT49" s="449"/>
      <c r="AU49" s="648"/>
      <c r="AV49" s="648"/>
      <c r="AW49" s="648"/>
      <c r="AX49" s="648"/>
      <c r="AY49" s="685">
        <f>+'Data Entry'!$M$46</f>
        <v>0</v>
      </c>
      <c r="AZ49" s="637"/>
      <c r="BA49" s="449"/>
      <c r="BB49" s="648"/>
      <c r="BC49" s="648"/>
      <c r="BD49" s="648"/>
      <c r="BE49" s="648"/>
      <c r="BF49" s="685">
        <f>+'Data Entry'!$N$46</f>
        <v>0</v>
      </c>
      <c r="BG49" s="637"/>
      <c r="BI49" s="6"/>
      <c r="BL49" s="970"/>
      <c r="BM49" s="971"/>
    </row>
    <row r="50" spans="1:65" s="8" customFormat="1">
      <c r="A50" s="627"/>
      <c r="B50" s="660" t="s">
        <v>517</v>
      </c>
      <c r="C50" s="7"/>
      <c r="D50" s="449"/>
      <c r="E50" s="648"/>
      <c r="F50" s="648"/>
      <c r="G50" s="648"/>
      <c r="H50" s="648"/>
      <c r="I50" s="685">
        <f>IF(I49-I48&gt;0,I48-I49,0)</f>
        <v>0</v>
      </c>
      <c r="J50" s="639"/>
      <c r="K50" s="449"/>
      <c r="L50" s="648"/>
      <c r="M50" s="648"/>
      <c r="N50" s="648"/>
      <c r="O50" s="648"/>
      <c r="P50" s="685">
        <f>IF(P49-P48&gt;0,P48-P49,0)</f>
        <v>0</v>
      </c>
      <c r="Q50" s="639"/>
      <c r="R50" s="449"/>
      <c r="S50" s="648"/>
      <c r="T50" s="648"/>
      <c r="U50" s="648"/>
      <c r="V50" s="648"/>
      <c r="W50" s="685">
        <f>IF(W49-W48&gt;0,W48-W49,0)</f>
        <v>0</v>
      </c>
      <c r="X50" s="637"/>
      <c r="Y50" s="1143"/>
      <c r="Z50" s="648"/>
      <c r="AA50" s="648"/>
      <c r="AB50" s="648"/>
      <c r="AC50" s="648"/>
      <c r="AD50" s="685">
        <f>IF(AD49-AD48&gt;0,AD48-AD49,0)</f>
        <v>0</v>
      </c>
      <c r="AE50" s="637"/>
      <c r="AF50" s="683"/>
      <c r="AG50" s="648"/>
      <c r="AH50" s="648"/>
      <c r="AI50" s="648"/>
      <c r="AJ50" s="648"/>
      <c r="AK50" s="685">
        <f>IF(AK49-AK48&gt;0,AK48-AK49,0)</f>
        <v>0</v>
      </c>
      <c r="AL50" s="639"/>
      <c r="AM50" s="449"/>
      <c r="AN50" s="648"/>
      <c r="AO50" s="648"/>
      <c r="AP50" s="648"/>
      <c r="AQ50" s="648"/>
      <c r="AR50" s="685">
        <f>IF(AR49-AR48&gt;0,AR48-AR49,0)</f>
        <v>0</v>
      </c>
      <c r="AS50" s="637"/>
      <c r="AT50" s="449"/>
      <c r="AU50" s="648"/>
      <c r="AV50" s="648"/>
      <c r="AW50" s="648"/>
      <c r="AX50" s="648"/>
      <c r="AY50" s="685">
        <f>IF(AY49-AY48&gt;0,AY48-AY49,0)</f>
        <v>0</v>
      </c>
      <c r="AZ50" s="637"/>
      <c r="BA50" s="449"/>
      <c r="BB50" s="648"/>
      <c r="BC50" s="648"/>
      <c r="BD50" s="648"/>
      <c r="BE50" s="648"/>
      <c r="BF50" s="685">
        <f>IF(BF49-BF48&gt;0,BF48-BF49,0)</f>
        <v>0</v>
      </c>
      <c r="BG50" s="637"/>
      <c r="BI50" s="6"/>
      <c r="BL50" s="970"/>
      <c r="BM50" s="971"/>
    </row>
    <row r="51" spans="1:65" s="8" customFormat="1">
      <c r="A51" s="627"/>
      <c r="B51" s="7" t="s">
        <v>177</v>
      </c>
      <c r="C51" s="7"/>
      <c r="D51" s="449"/>
      <c r="E51" s="648"/>
      <c r="F51" s="686"/>
      <c r="G51" s="640"/>
      <c r="H51" s="648"/>
      <c r="I51" s="640">
        <f>IFERROR(VLOOKUP('Data Entry'!$B$3,'PY3 LCFF Calc'!$A:$Y,MATCH("D-5",'PY3 LCFF Calc'!$A$5:$Y$5,0),FALSE),0)</f>
        <v>0</v>
      </c>
      <c r="J51" s="687"/>
      <c r="K51" s="449"/>
      <c r="L51" s="648"/>
      <c r="M51" s="686"/>
      <c r="N51" s="640"/>
      <c r="O51" s="648"/>
      <c r="P51" s="640">
        <f>IFERROR(VLOOKUP('Data Entry'!$B$3,'PY2 LCFF Calc'!$A:$Y,MATCH("D-5",'PY2 LCFF Calc'!$A$5:$Y$5,0),FALSE),0)</f>
        <v>0</v>
      </c>
      <c r="Q51" s="687"/>
      <c r="R51" s="449"/>
      <c r="S51" s="648"/>
      <c r="T51" s="686"/>
      <c r="U51" s="640"/>
      <c r="V51" s="648"/>
      <c r="W51" s="640">
        <f>+EPA!H29</f>
        <v>0</v>
      </c>
      <c r="X51" s="687"/>
      <c r="Y51" s="1143"/>
      <c r="Z51" s="648"/>
      <c r="AA51" s="686"/>
      <c r="AB51" s="640"/>
      <c r="AD51" s="640">
        <f>+EPA!J24</f>
        <v>0</v>
      </c>
      <c r="AE51" s="687"/>
      <c r="AF51" s="449"/>
      <c r="AG51" s="648"/>
      <c r="AH51" s="686"/>
      <c r="AI51" s="640"/>
      <c r="AJ51" s="648"/>
      <c r="AK51" s="640">
        <f>+EPA!K24</f>
        <v>0</v>
      </c>
      <c r="AL51" s="687"/>
      <c r="AM51" s="449"/>
      <c r="AN51" s="648"/>
      <c r="AO51" s="686"/>
      <c r="AP51" s="640"/>
      <c r="AQ51" s="648"/>
      <c r="AR51" s="640">
        <f>+EPA!L24</f>
        <v>0</v>
      </c>
      <c r="AS51" s="687"/>
      <c r="AT51" s="449"/>
      <c r="AU51" s="648"/>
      <c r="AV51" s="686"/>
      <c r="AW51" s="640"/>
      <c r="AX51" s="648"/>
      <c r="AY51" s="640">
        <f>+EPA!M24</f>
        <v>0</v>
      </c>
      <c r="AZ51" s="687"/>
      <c r="BA51" s="449"/>
      <c r="BB51" s="648"/>
      <c r="BC51" s="686"/>
      <c r="BD51" s="640"/>
      <c r="BE51" s="648"/>
      <c r="BF51" s="640">
        <f>+EPA!N24</f>
        <v>0</v>
      </c>
      <c r="BG51" s="687"/>
      <c r="BH51" s="969"/>
      <c r="BI51" s="4"/>
    </row>
    <row r="52" spans="1:65" s="50" customFormat="1">
      <c r="A52" s="627"/>
      <c r="B52" s="7" t="s">
        <v>516</v>
      </c>
      <c r="C52" s="7"/>
      <c r="D52" s="688"/>
      <c r="E52" s="648"/>
      <c r="F52" s="648"/>
      <c r="G52" s="648"/>
      <c r="H52" s="689"/>
      <c r="I52" s="690">
        <f>IF((+I48-I49-I51)&gt;0,(+I48-I49-I51),0)</f>
        <v>0</v>
      </c>
      <c r="J52" s="687"/>
      <c r="K52" s="688"/>
      <c r="L52" s="648"/>
      <c r="M52" s="648"/>
      <c r="N52" s="648"/>
      <c r="O52" s="689"/>
      <c r="P52" s="690">
        <f>IF((+P48-P49-P51)&gt;0,(+P48-P49-P51),0)</f>
        <v>0</v>
      </c>
      <c r="Q52" s="687"/>
      <c r="R52" s="688"/>
      <c r="S52" s="648"/>
      <c r="T52" s="648"/>
      <c r="U52" s="648"/>
      <c r="V52" s="689"/>
      <c r="W52" s="690">
        <f>IF((+W48-W49-W51)&gt;0,(+W48-W49-W51),0)</f>
        <v>0</v>
      </c>
      <c r="X52" s="687"/>
      <c r="Y52" s="688"/>
      <c r="Z52" s="648"/>
      <c r="AA52" s="648"/>
      <c r="AB52" s="648"/>
      <c r="AC52" s="689"/>
      <c r="AD52" s="690">
        <f>IF((+AD48-AD49-AD51)&gt;0,(+AD48-AD49-AD51),0)</f>
        <v>0</v>
      </c>
      <c r="AE52" s="687"/>
      <c r="AF52" s="688"/>
      <c r="AG52" s="648"/>
      <c r="AH52" s="648"/>
      <c r="AI52" s="648"/>
      <c r="AJ52" s="689"/>
      <c r="AK52" s="690">
        <f>IF((+AK48-AK49-AK51)&gt;0,(+AK48-AK49-AK51),0)</f>
        <v>0</v>
      </c>
      <c r="AL52" s="687"/>
      <c r="AM52" s="688"/>
      <c r="AN52" s="648"/>
      <c r="AO52" s="648"/>
      <c r="AP52" s="648"/>
      <c r="AQ52" s="689"/>
      <c r="AR52" s="690">
        <f>IF((+AR48-AR49-AR51)&gt;0,(+AR48-AR49-AR51),0)</f>
        <v>0</v>
      </c>
      <c r="AS52" s="687"/>
      <c r="AT52" s="688"/>
      <c r="AU52" s="648"/>
      <c r="AV52" s="648"/>
      <c r="AW52" s="648"/>
      <c r="AX52" s="689"/>
      <c r="AY52" s="690">
        <f>IF((+AY48-AY49-AY51)&gt;0,(+AY48-AY49-AY51),0)</f>
        <v>0</v>
      </c>
      <c r="AZ52" s="687"/>
      <c r="BA52" s="688"/>
      <c r="BB52" s="648"/>
      <c r="BC52" s="648"/>
      <c r="BD52" s="648"/>
      <c r="BE52" s="689"/>
      <c r="BF52" s="690">
        <f>IF((+BF48-BF49-BF51)&gt;0,(+BF48-BF49-BF51),0)</f>
        <v>0</v>
      </c>
      <c r="BG52" s="687"/>
      <c r="BH52" s="972"/>
      <c r="BI52" s="6"/>
    </row>
    <row r="53" spans="1:65" s="50" customFormat="1" ht="24.75" customHeight="1">
      <c r="A53" s="627"/>
      <c r="B53" s="7"/>
      <c r="C53" s="7"/>
      <c r="D53" s="688"/>
      <c r="E53" s="648"/>
      <c r="F53" s="648"/>
      <c r="G53" s="648"/>
      <c r="H53" s="1038" t="s">
        <v>1754</v>
      </c>
      <c r="I53" s="640"/>
      <c r="J53" s="687"/>
      <c r="K53" s="688"/>
      <c r="L53" s="648"/>
      <c r="M53" s="648"/>
      <c r="N53" s="648"/>
      <c r="O53" s="1038" t="s">
        <v>1754</v>
      </c>
      <c r="P53" s="640"/>
      <c r="Q53" s="687"/>
      <c r="R53" s="688"/>
      <c r="S53" s="648"/>
      <c r="T53" s="648"/>
      <c r="U53" s="648"/>
      <c r="V53" s="1038" t="s">
        <v>1754</v>
      </c>
      <c r="W53" s="640"/>
      <c r="X53" s="687"/>
      <c r="Y53" s="688"/>
      <c r="Z53" s="648"/>
      <c r="AA53" s="648"/>
      <c r="AB53" s="648"/>
      <c r="AC53" s="1038" t="s">
        <v>1754</v>
      </c>
      <c r="AD53" s="640"/>
      <c r="AE53" s="687"/>
      <c r="AF53" s="688"/>
      <c r="AG53" s="648"/>
      <c r="AH53" s="648"/>
      <c r="AI53" s="648"/>
      <c r="AJ53" s="1038" t="s">
        <v>1753</v>
      </c>
      <c r="AK53" s="640"/>
      <c r="AL53" s="687"/>
      <c r="AM53" s="688"/>
      <c r="AN53" s="648"/>
      <c r="AO53" s="648"/>
      <c r="AP53" s="648"/>
      <c r="AQ53" s="1038" t="s">
        <v>1753</v>
      </c>
      <c r="AR53" s="640"/>
      <c r="AS53" s="687"/>
      <c r="AT53" s="688"/>
      <c r="AU53" s="648"/>
      <c r="AV53" s="648"/>
      <c r="AW53" s="648"/>
      <c r="AX53" s="1038" t="s">
        <v>1753</v>
      </c>
      <c r="AY53" s="640"/>
      <c r="AZ53" s="687"/>
      <c r="BA53" s="688"/>
      <c r="BB53" s="648"/>
      <c r="BC53" s="648"/>
      <c r="BD53" s="648"/>
      <c r="BE53" s="1038" t="s">
        <v>1753</v>
      </c>
      <c r="BF53" s="640"/>
      <c r="BG53" s="687"/>
      <c r="BH53" s="972"/>
      <c r="BI53" s="6"/>
    </row>
    <row r="54" spans="1:65" s="50" customFormat="1">
      <c r="A54" s="627"/>
      <c r="B54" s="50" t="s">
        <v>27</v>
      </c>
      <c r="C54" s="7"/>
      <c r="D54" s="688"/>
      <c r="E54" s="648"/>
      <c r="F54" s="648"/>
      <c r="G54" s="648"/>
      <c r="H54" s="1120">
        <f>IFERROR(VLOOKUP('Data Entry'!$B$3,'PY3 LCFF Calc'!$A:$X,MATCH("D-11",'PY3 LCFF Calc'!$A$5:$W$5,0),FALSE),0)</f>
        <v>0</v>
      </c>
      <c r="I54" s="640">
        <f>IFERROR(VLOOKUP('Data Entry'!$B$3,'PY3 LCFF Calc'!$A:$Y,MATCH("D-7",'PY3 LCFF Calc'!$A$5:$Y$5,0),FALSE),0)+H54</f>
        <v>0</v>
      </c>
      <c r="J54" s="687"/>
      <c r="K54" s="688"/>
      <c r="L54" s="648"/>
      <c r="M54" s="648"/>
      <c r="N54" s="648"/>
      <c r="O54" s="1120">
        <f>IFERROR(VLOOKUP('Data Entry'!$B$3,'PY2 LCFF Calc'!$A:$Y,MATCH("D-11",'PY2 LCFF Calc'!$A$5:$Y$5,0),FALSE),0)</f>
        <v>0</v>
      </c>
      <c r="P54" s="640">
        <f>IFERROR(VLOOKUP('Data Entry'!$B$3,'PY2 LCFF Calc'!$A:$Y,MATCH("D-7",'PY2 LCFF Calc'!$A$5:$Y$5,0),FALSE),0)+O54</f>
        <v>0</v>
      </c>
      <c r="Q54" s="687"/>
      <c r="R54" s="688"/>
      <c r="S54" s="648"/>
      <c r="T54" s="648"/>
      <c r="U54" s="648"/>
      <c r="V54" s="1120">
        <f>IFERROR(VLOOKUP('Data Entry'!$B$3,'PY1 LCFF Calc'!$A:$X,MATCH("D-11",'PY1 LCFF Calc'!$A$5:$X$5,0),FALSE),0)</f>
        <v>0</v>
      </c>
      <c r="W54" s="640">
        <f>IFERROR(VLOOKUP('Data Entry'!$B$3,'PY1 LCFF Calc'!$A:$Y,MATCH("D-7",'PY1 LCFF Calc'!$A$5:$Y$5,0),FALSE),0)+V54</f>
        <v>0</v>
      </c>
      <c r="X54" s="687"/>
      <c r="Y54" s="688"/>
      <c r="Z54" s="648"/>
      <c r="AA54" s="648"/>
      <c r="AC54" s="1039">
        <f>IF(AD50&lt;0,0,(AD13+AD30)-((+AD13+AD30)/(1+'Data Entry'!J13)))</f>
        <v>0</v>
      </c>
      <c r="AD54" s="640">
        <f>+W54+AC54</f>
        <v>0</v>
      </c>
      <c r="AE54" s="687"/>
      <c r="AF54" s="688"/>
      <c r="AG54" s="648"/>
      <c r="AH54" s="648"/>
      <c r="AI54" s="648"/>
      <c r="AJ54" s="1039">
        <f>IF(AK50&lt;0,0,(AK13+AK30)-((+AK13+AK30)/(1+'Data Entry'!K13)))</f>
        <v>0</v>
      </c>
      <c r="AK54" s="640">
        <f>+AD54+AJ54</f>
        <v>0</v>
      </c>
      <c r="AL54" s="687"/>
      <c r="AM54" s="688"/>
      <c r="AN54" s="648"/>
      <c r="AO54" s="648"/>
      <c r="AP54" s="648"/>
      <c r="AQ54" s="1039">
        <f>IF(AR50&lt;0,0,(AR13+AR30)-((+AR13+AR30)/(1+'Data Entry'!L13)))</f>
        <v>0</v>
      </c>
      <c r="AR54" s="640">
        <f>+AK54+AQ54</f>
        <v>0</v>
      </c>
      <c r="AS54" s="687"/>
      <c r="AT54" s="688"/>
      <c r="AU54" s="648"/>
      <c r="AV54" s="648"/>
      <c r="AW54" s="648"/>
      <c r="AX54" s="1039">
        <f>IF(AY50&lt;0,0,(AY13+AY30)-((+AY13+AY30)/(1+'Data Entry'!M13)))</f>
        <v>0</v>
      </c>
      <c r="AY54" s="640">
        <f>+AR54+AX54</f>
        <v>0</v>
      </c>
      <c r="AZ54" s="687"/>
      <c r="BA54" s="688"/>
      <c r="BB54" s="648"/>
      <c r="BC54" s="648"/>
      <c r="BD54" s="648"/>
      <c r="BE54" s="1039">
        <f>IF(BF50&lt;0,0,(BF13+BF30)-((+BF13+BF30)/(1+'Data Entry'!N13)))</f>
        <v>0</v>
      </c>
      <c r="BF54" s="640">
        <f>+AY54+BE54</f>
        <v>0</v>
      </c>
      <c r="BG54" s="687"/>
      <c r="BH54" s="972"/>
      <c r="BI54" s="109"/>
    </row>
    <row r="55" spans="1:65" s="50" customFormat="1">
      <c r="A55" s="627"/>
      <c r="B55" s="660" t="s">
        <v>519</v>
      </c>
      <c r="C55" s="47" t="s">
        <v>1604</v>
      </c>
      <c r="D55" s="688"/>
      <c r="E55" s="648"/>
      <c r="F55" s="648"/>
      <c r="G55" s="648"/>
      <c r="H55" s="691" t="str">
        <f>IF(I54&gt;I52,"Minimum State Aid","N/A")</f>
        <v>N/A</v>
      </c>
      <c r="I55" s="640">
        <f>IF(+I54-I52&gt;0, I54-I52,0)</f>
        <v>0</v>
      </c>
      <c r="J55" s="687"/>
      <c r="K55" s="688"/>
      <c r="L55" s="648"/>
      <c r="M55" s="648"/>
      <c r="N55" s="648"/>
      <c r="O55" s="692" t="str">
        <f>IF(P54&gt;P52,"Minimum State Aid","N/A")</f>
        <v>N/A</v>
      </c>
      <c r="P55" s="640">
        <f>IF(+P54-P52&gt;0, P54-P52,0)</f>
        <v>0</v>
      </c>
      <c r="Q55" s="687"/>
      <c r="R55" s="688"/>
      <c r="S55" s="648"/>
      <c r="T55" s="648"/>
      <c r="U55" s="648"/>
      <c r="V55" s="692" t="str">
        <f>IF(W54&gt;W52,"Minimum State Aid","N/A")</f>
        <v>N/A</v>
      </c>
      <c r="W55" s="640">
        <f>IF(+W54-W52&gt;0, W54-W52,0)</f>
        <v>0</v>
      </c>
      <c r="X55" s="687"/>
      <c r="Y55" s="1142"/>
      <c r="Z55" s="648"/>
      <c r="AA55" s="648"/>
      <c r="AB55" s="648"/>
      <c r="AC55" s="692" t="str">
        <f>IF(AD54&gt;AD52,"Minimum State Aid","N/A")</f>
        <v>N/A</v>
      </c>
      <c r="AD55" s="640">
        <f>IF(+AD54-AD52&gt;0, AD54-AD52,0)</f>
        <v>0</v>
      </c>
      <c r="AE55" s="687"/>
      <c r="AF55" s="688"/>
      <c r="AG55" s="648"/>
      <c r="AH55" s="648"/>
      <c r="AI55" s="648"/>
      <c r="AJ55" s="692" t="str">
        <f>IF(AK54&gt;AK52,"Minimum State Aid","N/A")</f>
        <v>N/A</v>
      </c>
      <c r="AK55" s="640">
        <f>IF(+AK54-AK52&gt;0, AK54-AK52,0)</f>
        <v>0</v>
      </c>
      <c r="AL55" s="687"/>
      <c r="AM55" s="688"/>
      <c r="AN55" s="648"/>
      <c r="AO55" s="648"/>
      <c r="AP55" s="648"/>
      <c r="AQ55" s="692" t="str">
        <f>IF(AR54&gt;AR52,"Minimum State Aid","N/A")</f>
        <v>N/A</v>
      </c>
      <c r="AR55" s="640">
        <f>IF(+AR54-AR52&gt;0, AR54-AR52,0)</f>
        <v>0</v>
      </c>
      <c r="AS55" s="687"/>
      <c r="AT55" s="688"/>
      <c r="AU55" s="648"/>
      <c r="AV55" s="648"/>
      <c r="AW55" s="648"/>
      <c r="AX55" s="692" t="str">
        <f>IF(AY54&gt;AY52,"Minimum State Aid","N/A")</f>
        <v>N/A</v>
      </c>
      <c r="AY55" s="640">
        <f>IF(+AY54-AY52&gt;0, AY54-AY52,0)</f>
        <v>0</v>
      </c>
      <c r="AZ55" s="687"/>
      <c r="BA55" s="688"/>
      <c r="BB55" s="648"/>
      <c r="BC55" s="648"/>
      <c r="BD55" s="648"/>
      <c r="BE55" s="692" t="str">
        <f>IF(BF54&gt;BF52,"Minimum State Aid","N/A")</f>
        <v>N/A</v>
      </c>
      <c r="BF55" s="640">
        <f>IF(+BF54-BF52&gt;0, BF54-BF52,0)</f>
        <v>0</v>
      </c>
      <c r="BG55" s="687"/>
      <c r="BH55" s="972"/>
      <c r="BI55" s="6"/>
    </row>
    <row r="56" spans="1:65" s="967" customFormat="1">
      <c r="A56" s="642"/>
      <c r="B56" s="668" t="s">
        <v>520</v>
      </c>
      <c r="C56" s="644"/>
      <c r="D56" s="644"/>
      <c r="E56" s="451"/>
      <c r="F56" s="644"/>
      <c r="G56" s="451"/>
      <c r="H56" s="451"/>
      <c r="I56" s="651">
        <f>+I55+I52</f>
        <v>0</v>
      </c>
      <c r="J56" s="647"/>
      <c r="K56" s="644"/>
      <c r="L56" s="451"/>
      <c r="M56" s="644"/>
      <c r="N56" s="451"/>
      <c r="O56" s="451"/>
      <c r="P56" s="703">
        <f>+P55+P52</f>
        <v>0</v>
      </c>
      <c r="Q56" s="647"/>
      <c r="R56" s="644"/>
      <c r="S56" s="451"/>
      <c r="T56" s="644"/>
      <c r="U56" s="451"/>
      <c r="V56" s="451"/>
      <c r="W56" s="703">
        <f>+W55+W52</f>
        <v>0</v>
      </c>
      <c r="X56" s="693"/>
      <c r="Y56" s="644"/>
      <c r="Z56" s="451"/>
      <c r="AA56" s="644"/>
      <c r="AB56" s="451"/>
      <c r="AC56" s="451"/>
      <c r="AD56" s="703">
        <f>+AD55+AD52</f>
        <v>0</v>
      </c>
      <c r="AE56" s="647"/>
      <c r="AF56" s="644"/>
      <c r="AG56" s="451"/>
      <c r="AH56" s="644"/>
      <c r="AI56" s="451"/>
      <c r="AJ56" s="451"/>
      <c r="AK56" s="703">
        <f>+AK55+AK52</f>
        <v>0</v>
      </c>
      <c r="AL56" s="647"/>
      <c r="AM56" s="644"/>
      <c r="AN56" s="451"/>
      <c r="AO56" s="644"/>
      <c r="AP56" s="451"/>
      <c r="AQ56" s="451"/>
      <c r="AR56" s="703">
        <f>+AR55+AR52</f>
        <v>0</v>
      </c>
      <c r="AS56" s="647"/>
      <c r="AT56" s="644"/>
      <c r="AU56" s="451"/>
      <c r="AV56" s="644"/>
      <c r="AW56" s="451"/>
      <c r="AX56" s="451"/>
      <c r="AY56" s="703">
        <f>+AY55+AY52</f>
        <v>0</v>
      </c>
      <c r="AZ56" s="647"/>
      <c r="BA56" s="644"/>
      <c r="BB56" s="451"/>
      <c r="BC56" s="644"/>
      <c r="BD56" s="451"/>
      <c r="BE56" s="451"/>
      <c r="BF56" s="703">
        <f>+BF55+BF52</f>
        <v>0</v>
      </c>
      <c r="BG56" s="693"/>
      <c r="BI56" s="614"/>
    </row>
    <row r="57" spans="1:65" s="8" customFormat="1" ht="6" customHeight="1" thickBot="1">
      <c r="A57" s="704"/>
      <c r="B57" s="705"/>
      <c r="C57" s="705"/>
      <c r="D57" s="706"/>
      <c r="E57" s="706"/>
      <c r="F57" s="706"/>
      <c r="G57" s="706"/>
      <c r="H57" s="707"/>
      <c r="I57" s="708"/>
      <c r="J57" s="709"/>
      <c r="K57" s="706"/>
      <c r="L57" s="706"/>
      <c r="M57" s="706"/>
      <c r="N57" s="706"/>
      <c r="O57" s="707"/>
      <c r="P57" s="708"/>
      <c r="Q57" s="709"/>
      <c r="R57" s="706"/>
      <c r="S57" s="706"/>
      <c r="T57" s="706"/>
      <c r="U57" s="706"/>
      <c r="V57" s="707"/>
      <c r="W57" s="708"/>
      <c r="X57" s="709"/>
      <c r="Y57" s="706"/>
      <c r="Z57" s="706"/>
      <c r="AA57" s="706"/>
      <c r="AB57" s="706"/>
      <c r="AC57" s="707"/>
      <c r="AD57" s="708"/>
      <c r="AE57" s="709"/>
      <c r="AF57" s="706"/>
      <c r="AG57" s="706"/>
      <c r="AH57" s="706"/>
      <c r="AI57" s="706"/>
      <c r="AJ57" s="707"/>
      <c r="AK57" s="708"/>
      <c r="AL57" s="709"/>
      <c r="AM57" s="706"/>
      <c r="AN57" s="706"/>
      <c r="AO57" s="706"/>
      <c r="AP57" s="706"/>
      <c r="AQ57" s="707"/>
      <c r="AR57" s="708"/>
      <c r="AS57" s="709"/>
      <c r="AT57" s="706"/>
      <c r="AU57" s="706"/>
      <c r="AV57" s="706"/>
      <c r="AW57" s="706"/>
      <c r="AX57" s="707"/>
      <c r="AY57" s="708"/>
      <c r="AZ57" s="709"/>
      <c r="BA57" s="706"/>
      <c r="BB57" s="706"/>
      <c r="BC57" s="706"/>
      <c r="BD57" s="706"/>
      <c r="BE57" s="707"/>
      <c r="BF57" s="708"/>
      <c r="BG57" s="709"/>
      <c r="BH57" s="969"/>
      <c r="BI57" s="4"/>
    </row>
    <row r="58" spans="1:65" s="82" customFormat="1" ht="21" customHeight="1" thickBot="1">
      <c r="A58" s="624"/>
      <c r="B58" s="625" t="s">
        <v>521</v>
      </c>
      <c r="C58" s="678"/>
      <c r="D58" s="948"/>
      <c r="E58" s="679"/>
      <c r="F58" s="680"/>
      <c r="G58" s="680"/>
      <c r="H58" s="680"/>
      <c r="I58" s="681"/>
      <c r="J58" s="682"/>
      <c r="K58" s="948"/>
      <c r="L58" s="679"/>
      <c r="M58" s="680"/>
      <c r="N58" s="680"/>
      <c r="O58" s="680"/>
      <c r="P58" s="681"/>
      <c r="Q58" s="682"/>
      <c r="R58" s="948"/>
      <c r="S58" s="679"/>
      <c r="T58" s="680"/>
      <c r="U58" s="680"/>
      <c r="V58" s="680"/>
      <c r="W58" s="681"/>
      <c r="X58" s="682"/>
      <c r="Y58" s="948"/>
      <c r="Z58" s="679"/>
      <c r="AA58" s="680"/>
      <c r="AB58" s="680"/>
      <c r="AC58" s="680"/>
      <c r="AD58" s="681"/>
      <c r="AE58" s="682"/>
      <c r="AF58" s="948"/>
      <c r="AG58" s="679"/>
      <c r="AH58" s="680"/>
      <c r="AI58" s="680"/>
      <c r="AJ58" s="680"/>
      <c r="AK58" s="681"/>
      <c r="AL58" s="682"/>
      <c r="AM58" s="948"/>
      <c r="AN58" s="679"/>
      <c r="AO58" s="680"/>
      <c r="AP58" s="680"/>
      <c r="AQ58" s="680"/>
      <c r="AR58" s="681"/>
      <c r="AS58" s="682"/>
      <c r="AT58" s="948"/>
      <c r="AU58" s="679"/>
      <c r="AV58" s="680"/>
      <c r="AW58" s="680"/>
      <c r="AX58" s="680"/>
      <c r="AY58" s="681"/>
      <c r="AZ58" s="682"/>
      <c r="BA58" s="948"/>
      <c r="BB58" s="679"/>
      <c r="BC58" s="680"/>
      <c r="BD58" s="680"/>
      <c r="BE58" s="680"/>
      <c r="BF58" s="681"/>
      <c r="BG58" s="682"/>
      <c r="BI58" s="881"/>
    </row>
    <row r="59" spans="1:65" s="8" customFormat="1" ht="27.6">
      <c r="A59" s="627"/>
      <c r="B59" s="694"/>
      <c r="C59" s="7"/>
      <c r="D59" s="449"/>
      <c r="E59" s="1113" t="s">
        <v>1766</v>
      </c>
      <c r="F59" s="695" t="s">
        <v>582</v>
      </c>
      <c r="G59" s="695" t="s">
        <v>583</v>
      </c>
      <c r="H59" s="648"/>
      <c r="I59" s="685"/>
      <c r="J59" s="637"/>
      <c r="K59" s="449"/>
      <c r="L59" s="1113" t="s">
        <v>1766</v>
      </c>
      <c r="M59" s="695" t="s">
        <v>582</v>
      </c>
      <c r="N59" s="695" t="s">
        <v>583</v>
      </c>
      <c r="O59" s="648"/>
      <c r="P59" s="685"/>
      <c r="Q59" s="637"/>
      <c r="R59" s="449"/>
      <c r="S59" s="1113" t="s">
        <v>1766</v>
      </c>
      <c r="T59" s="695" t="s">
        <v>582</v>
      </c>
      <c r="U59" s="695" t="s">
        <v>583</v>
      </c>
      <c r="V59" s="648"/>
      <c r="W59" s="685"/>
      <c r="X59" s="637"/>
      <c r="Y59" s="683"/>
      <c r="Z59" s="1113" t="s">
        <v>1766</v>
      </c>
      <c r="AA59" s="695" t="s">
        <v>582</v>
      </c>
      <c r="AB59" s="695" t="s">
        <v>583</v>
      </c>
      <c r="AC59" s="648"/>
      <c r="AD59" s="685"/>
      <c r="AE59" s="637"/>
      <c r="AF59" s="683"/>
      <c r="AG59" s="1113" t="s">
        <v>1766</v>
      </c>
      <c r="AH59" s="695" t="s">
        <v>582</v>
      </c>
      <c r="AI59" s="695" t="s">
        <v>583</v>
      </c>
      <c r="AJ59" s="648"/>
      <c r="AK59" s="685"/>
      <c r="AL59" s="639"/>
      <c r="AM59" s="449"/>
      <c r="AN59" s="1113" t="s">
        <v>1766</v>
      </c>
      <c r="AO59" s="695" t="s">
        <v>582</v>
      </c>
      <c r="AP59" s="695" t="s">
        <v>583</v>
      </c>
      <c r="AQ59" s="648"/>
      <c r="AR59" s="685"/>
      <c r="AS59" s="637"/>
      <c r="AT59" s="449"/>
      <c r="AU59" s="1113" t="s">
        <v>1766</v>
      </c>
      <c r="AV59" s="695" t="s">
        <v>582</v>
      </c>
      <c r="AW59" s="695" t="s">
        <v>583</v>
      </c>
      <c r="AX59" s="648"/>
      <c r="AY59" s="685"/>
      <c r="AZ59" s="637"/>
      <c r="BA59" s="449"/>
      <c r="BB59" s="1113" t="s">
        <v>1766</v>
      </c>
      <c r="BC59" s="695" t="s">
        <v>582</v>
      </c>
      <c r="BD59" s="695" t="s">
        <v>583</v>
      </c>
      <c r="BE59" s="648"/>
      <c r="BF59" s="685"/>
      <c r="BG59" s="637"/>
      <c r="BH59" s="969"/>
      <c r="BI59" s="4"/>
    </row>
    <row r="60" spans="1:65" s="8" customFormat="1">
      <c r="A60" s="627"/>
      <c r="B60" s="50" t="s">
        <v>1767</v>
      </c>
      <c r="C60" s="7"/>
      <c r="D60" s="50"/>
      <c r="E60" s="696">
        <f>+'Data Entry'!G30</f>
        <v>0</v>
      </c>
      <c r="F60" s="644">
        <f>IFERROR(VLOOKUP('Data Entry'!$B$3,'PY3 LCFF Calc'!$A:$X,MATCH("E-2",'PY3 LCFF Calc'!$A$5:$W$5,0),FALSE),0)</f>
        <v>0</v>
      </c>
      <c r="G60" s="644">
        <f>IFERROR(VLOOKUP('Data Entry'!$B$3,'PY3 LCFF Calc'!$A:$X,MATCH("E-4",'PY3 LCFF Calc'!$A$5:$W$5,0),FALSE),0)</f>
        <v>0</v>
      </c>
      <c r="H60" s="648"/>
      <c r="I60" s="451">
        <f>IF((E60*F60)&lt;G60,G60,(E60*F60))</f>
        <v>0</v>
      </c>
      <c r="J60" s="639"/>
      <c r="K60" s="697"/>
      <c r="L60" s="696">
        <f>+'Data Entry'!H30</f>
        <v>0</v>
      </c>
      <c r="M60" s="644">
        <f>IFERROR(VLOOKUP('Data Entry'!$B$3,'PY2 LCFF Calc'!$A:$W,MATCH("E-2",'PY2 LCFF Calc'!$A$5:$W$5,0),FALSE),0)</f>
        <v>0</v>
      </c>
      <c r="N60" s="644">
        <f>IFERROR(VLOOKUP('Data Entry'!$B$3,'PY2 LCFF Calc'!$A:$W,MATCH("E-4",'PY2 LCFF Calc'!$A$5:$W$5,0),FALSE),0)</f>
        <v>0</v>
      </c>
      <c r="O60" s="648"/>
      <c r="P60" s="451">
        <f>IF((L60*M60)&lt;N60,N60,(L60*M60))</f>
        <v>0</v>
      </c>
      <c r="Q60" s="639"/>
      <c r="R60" s="867"/>
      <c r="S60" s="696">
        <f>+'Data Entry'!I30</f>
        <v>0</v>
      </c>
      <c r="T60" s="198">
        <f>IFERROR(VLOOKUP('Data Entry'!$B$3,'PY1 LCFF Calc'!$A:$W,MATCH("E-2",'PY1 LCFF Calc'!$A$5:$W$5,0),FALSE),0)</f>
        <v>0</v>
      </c>
      <c r="U60" s="198">
        <f>IFERROR(VLOOKUP('Data Entry'!$B$3,'PY1 LCFF Calc'!$A:$W,MATCH("E-4",'PY1 LCFF Calc'!$A$5:$W$5,0),FALSE),0)</f>
        <v>0</v>
      </c>
      <c r="V60" s="648"/>
      <c r="W60" s="451">
        <f>IF((S60*T60)&lt;U60,U60,(S60*T60))</f>
        <v>0</v>
      </c>
      <c r="X60" s="637"/>
      <c r="Y60" s="698"/>
      <c r="Z60" s="696">
        <f>+'Data Entry'!$J$30</f>
        <v>0</v>
      </c>
      <c r="AA60" s="198">
        <f>+T60*(1+Y3)</f>
        <v>0</v>
      </c>
      <c r="AB60" s="198">
        <f>+U60*(1+Y3)</f>
        <v>0</v>
      </c>
      <c r="AC60" s="648"/>
      <c r="AD60" s="451">
        <f>IF((Z60*AA60)&lt;AB60,AB60,(Z60*AA60))</f>
        <v>0</v>
      </c>
      <c r="AE60" s="637"/>
      <c r="AF60" s="698"/>
      <c r="AG60" s="696">
        <f>+'Data Entry'!$K$30</f>
        <v>0</v>
      </c>
      <c r="AH60" s="198">
        <f>+AA60*(1+AF3)</f>
        <v>0</v>
      </c>
      <c r="AI60" s="198">
        <f>+AB60*(1+AF3)</f>
        <v>0</v>
      </c>
      <c r="AJ60" s="648"/>
      <c r="AK60" s="451">
        <f>IF((AG60*AH60)&lt;AI60,AI60,(AG60*AH60))</f>
        <v>0</v>
      </c>
      <c r="AL60" s="639"/>
      <c r="AM60" s="867"/>
      <c r="AN60" s="696">
        <f>+'Data Entry'!$L$30</f>
        <v>0</v>
      </c>
      <c r="AO60" s="198">
        <f>+AH60*(1+AM3)</f>
        <v>0</v>
      </c>
      <c r="AP60" s="198">
        <f>+AI60*(1+AM3)</f>
        <v>0</v>
      </c>
      <c r="AQ60" s="648"/>
      <c r="AR60" s="451">
        <f>IF((AN60*AO60)&lt;AP60,AP60,(AN60*AO60))</f>
        <v>0</v>
      </c>
      <c r="AS60" s="637"/>
      <c r="AT60" s="867"/>
      <c r="AU60" s="696">
        <f>+'Data Entry'!$M$30</f>
        <v>0</v>
      </c>
      <c r="AV60" s="198">
        <f>+AO60*(1+AT3)</f>
        <v>0</v>
      </c>
      <c r="AW60" s="198">
        <f>+AP60*(1+AT3)</f>
        <v>0</v>
      </c>
      <c r="AX60" s="648"/>
      <c r="AY60" s="451">
        <f>IF((AU60*AV60)&lt;AW60,AW60,(AU60*AV60))</f>
        <v>0</v>
      </c>
      <c r="AZ60" s="637"/>
      <c r="BA60" s="867"/>
      <c r="BB60" s="696">
        <f>+'Data Entry'!$N$30</f>
        <v>0</v>
      </c>
      <c r="BC60" s="198">
        <f>+AV60*(1+BA3)</f>
        <v>0</v>
      </c>
      <c r="BD60" s="198">
        <f>+AW60*(1+BA3)</f>
        <v>0</v>
      </c>
      <c r="BE60" s="648"/>
      <c r="BF60" s="451">
        <f>IF((BB60*BC60)&lt;BD60,BD60,(BB60*BC60))</f>
        <v>0</v>
      </c>
      <c r="BG60" s="637"/>
      <c r="BH60" s="969"/>
      <c r="BI60" s="4"/>
    </row>
    <row r="61" spans="1:65" s="8" customFormat="1">
      <c r="A61" s="627"/>
      <c r="B61" s="50" t="s">
        <v>523</v>
      </c>
      <c r="C61" s="7"/>
      <c r="D61" s="449"/>
      <c r="E61" s="648"/>
      <c r="F61" s="648"/>
      <c r="G61" s="648"/>
      <c r="H61" s="648"/>
      <c r="I61" s="685">
        <f>IFERROR(VLOOKUP('Data Entry'!$B$3,'PY3 LCFF Calc'!$A:$Y,MATCH("E-7",'PY3 LCFF Calc'!$A$5:$Y$5,0),FALSE),0)</f>
        <v>0</v>
      </c>
      <c r="J61" s="639"/>
      <c r="K61" s="449"/>
      <c r="L61" s="648"/>
      <c r="M61" s="648"/>
      <c r="N61" s="648"/>
      <c r="O61" s="648"/>
      <c r="P61" s="685">
        <f>IFERROR(VLOOKUP('Data Entry'!$B$3,'PY2 LCFF Calc'!$A:$Y,MATCH("E-7",'PY2 LCFF Calc'!$A$5:$Y$5,0),FALSE),0)</f>
        <v>0</v>
      </c>
      <c r="Q61" s="639"/>
      <c r="R61" s="449"/>
      <c r="S61" s="648"/>
      <c r="T61" s="648"/>
      <c r="U61" s="648"/>
      <c r="V61" s="648"/>
      <c r="W61" s="685">
        <f>IFERROR(VLOOKUP('Data Entry'!$B$3,'PY1 LCFF Calc'!$A:$Y,MATCH("E-7",'PY1 LCFF Calc'!$A$5:$Y$5,0))
+VLOOKUP('Data Entry'!$B$3,'PY1 LCFF Calc'!$A:$Y,MATCH("E-8",'PY1 LCFF Calc'!$A$5:$Y$5,0)),0)</f>
        <v>0</v>
      </c>
      <c r="X61" s="637"/>
      <c r="Y61" s="683"/>
      <c r="Z61" s="648"/>
      <c r="AA61" s="648"/>
      <c r="AB61" s="648"/>
      <c r="AC61" s="648"/>
      <c r="AD61" s="685">
        <f>+'Differentiated Assistance'!M26</f>
        <v>0</v>
      </c>
      <c r="AE61" s="637"/>
      <c r="AF61" s="683"/>
      <c r="AG61" s="648"/>
      <c r="AH61" s="648"/>
      <c r="AI61" s="648"/>
      <c r="AJ61" s="648"/>
      <c r="AK61" s="685">
        <f>+'Differentiated Assistance'!O26</f>
        <v>0</v>
      </c>
      <c r="AL61" s="639"/>
      <c r="AM61" s="449"/>
      <c r="AN61" s="648"/>
      <c r="AO61" s="648"/>
      <c r="AP61" s="648"/>
      <c r="AQ61" s="648"/>
      <c r="AR61" s="685">
        <f>+'Differentiated Assistance'!Q26</f>
        <v>0</v>
      </c>
      <c r="AS61" s="637"/>
      <c r="AT61" s="449"/>
      <c r="AU61" s="648"/>
      <c r="AV61" s="648"/>
      <c r="AW61" s="648"/>
      <c r="AX61" s="648"/>
      <c r="AY61" s="685">
        <f>+'Differentiated Assistance'!S26</f>
        <v>0</v>
      </c>
      <c r="AZ61" s="637"/>
      <c r="BA61" s="449"/>
      <c r="BB61" s="648"/>
      <c r="BC61" s="648"/>
      <c r="BD61" s="648"/>
      <c r="BE61" s="648"/>
      <c r="BF61" s="685">
        <f>+'Differentiated Assistance'!U26</f>
        <v>0</v>
      </c>
      <c r="BG61" s="637"/>
      <c r="BH61" s="969"/>
      <c r="BI61" s="4"/>
    </row>
    <row r="62" spans="1:65" s="967" customFormat="1">
      <c r="A62" s="642"/>
      <c r="B62" s="650" t="s">
        <v>524</v>
      </c>
      <c r="C62" s="868" t="s">
        <v>1603</v>
      </c>
      <c r="D62" s="451"/>
      <c r="E62" s="451"/>
      <c r="F62" s="451"/>
      <c r="G62" s="451"/>
      <c r="H62" s="451"/>
      <c r="I62" s="651">
        <f>SUM(I60:I61)</f>
        <v>0</v>
      </c>
      <c r="J62" s="647"/>
      <c r="K62" s="451"/>
      <c r="L62" s="451"/>
      <c r="M62" s="451"/>
      <c r="N62" s="451"/>
      <c r="O62" s="451"/>
      <c r="P62" s="651">
        <f>SUM(P60:P61)</f>
        <v>0</v>
      </c>
      <c r="Q62" s="647"/>
      <c r="R62" s="451"/>
      <c r="S62" s="451"/>
      <c r="T62" s="451"/>
      <c r="U62" s="451"/>
      <c r="V62" s="451"/>
      <c r="W62" s="651">
        <f>SUM(W60:W61)</f>
        <v>0</v>
      </c>
      <c r="X62" s="693"/>
      <c r="Y62" s="684"/>
      <c r="Z62" s="684"/>
      <c r="AA62" s="684"/>
      <c r="AB62" s="684"/>
      <c r="AC62" s="684"/>
      <c r="AD62" s="651">
        <f>SUM(AD60:AD61)</f>
        <v>0</v>
      </c>
      <c r="AE62" s="693"/>
      <c r="AF62" s="684"/>
      <c r="AG62" s="684"/>
      <c r="AH62" s="684"/>
      <c r="AI62" s="684"/>
      <c r="AJ62" s="684"/>
      <c r="AK62" s="651">
        <f>SUM(AK60:AK61)</f>
        <v>0</v>
      </c>
      <c r="AL62" s="693"/>
      <c r="AM62" s="684"/>
      <c r="AN62" s="684"/>
      <c r="AO62" s="684"/>
      <c r="AP62" s="684"/>
      <c r="AQ62" s="684"/>
      <c r="AR62" s="651">
        <f>SUM(AR60:AR61)</f>
        <v>0</v>
      </c>
      <c r="AS62" s="693"/>
      <c r="AT62" s="684"/>
      <c r="AU62" s="684"/>
      <c r="AV62" s="684"/>
      <c r="AW62" s="684"/>
      <c r="AX62" s="684"/>
      <c r="AY62" s="651">
        <f>SUM(AY60:AY61)</f>
        <v>0</v>
      </c>
      <c r="AZ62" s="693"/>
      <c r="BA62" s="684"/>
      <c r="BB62" s="684"/>
      <c r="BC62" s="684"/>
      <c r="BD62" s="684"/>
      <c r="BE62" s="684"/>
      <c r="BF62" s="651">
        <f>SUM(BF60:BF61)</f>
        <v>0</v>
      </c>
      <c r="BG62" s="693"/>
      <c r="BI62" s="615"/>
    </row>
    <row r="63" spans="1:65" s="8" customFormat="1" ht="6" customHeight="1">
      <c r="A63" s="627"/>
      <c r="B63" s="7"/>
      <c r="C63" s="7"/>
      <c r="D63" s="699"/>
      <c r="E63" s="648"/>
      <c r="F63" s="648"/>
      <c r="G63" s="648"/>
      <c r="H63" s="648"/>
      <c r="I63" s="699"/>
      <c r="J63" s="639"/>
      <c r="K63" s="699"/>
      <c r="L63" s="648"/>
      <c r="M63" s="648"/>
      <c r="N63" s="648"/>
      <c r="O63" s="648"/>
      <c r="P63" s="699"/>
      <c r="Q63" s="639"/>
      <c r="R63" s="699"/>
      <c r="S63" s="648"/>
      <c r="T63" s="648"/>
      <c r="U63" s="648"/>
      <c r="V63" s="648"/>
      <c r="W63" s="699"/>
      <c r="X63" s="637"/>
      <c r="Y63" s="699"/>
      <c r="Z63" s="648"/>
      <c r="AA63" s="648"/>
      <c r="AB63" s="648"/>
      <c r="AC63" s="648"/>
      <c r="AD63" s="699"/>
      <c r="AE63" s="637"/>
      <c r="AF63" s="699"/>
      <c r="AG63" s="648"/>
      <c r="AH63" s="648"/>
      <c r="AI63" s="648"/>
      <c r="AJ63" s="648"/>
      <c r="AK63" s="699"/>
      <c r="AL63" s="637"/>
      <c r="AM63" s="699"/>
      <c r="AN63" s="648"/>
      <c r="AO63" s="648"/>
      <c r="AP63" s="648"/>
      <c r="AQ63" s="648"/>
      <c r="AR63" s="699"/>
      <c r="AS63" s="637"/>
      <c r="AT63" s="699"/>
      <c r="AU63" s="648"/>
      <c r="AV63" s="648"/>
      <c r="AW63" s="648"/>
      <c r="AX63" s="648"/>
      <c r="AY63" s="699"/>
      <c r="AZ63" s="637"/>
      <c r="BA63" s="699"/>
      <c r="BB63" s="648"/>
      <c r="BC63" s="648"/>
      <c r="BD63" s="648"/>
      <c r="BE63" s="648"/>
      <c r="BF63" s="699"/>
      <c r="BG63" s="637"/>
      <c r="BH63" s="969"/>
      <c r="BI63" s="4"/>
    </row>
    <row r="64" spans="1:65" s="8" customFormat="1" ht="15" customHeight="1">
      <c r="A64" s="627"/>
      <c r="B64" s="668" t="s">
        <v>1602</v>
      </c>
      <c r="C64" s="7"/>
      <c r="D64" s="699"/>
      <c r="E64" s="648"/>
      <c r="F64" s="648"/>
      <c r="G64" s="648"/>
      <c r="H64" s="648"/>
      <c r="I64" s="646">
        <f>+I62+I56</f>
        <v>0</v>
      </c>
      <c r="J64" s="639"/>
      <c r="K64" s="699"/>
      <c r="L64" s="648"/>
      <c r="M64" s="648"/>
      <c r="N64" s="648"/>
      <c r="O64" s="648"/>
      <c r="P64" s="646">
        <f>+P62+P56</f>
        <v>0</v>
      </c>
      <c r="Q64" s="639"/>
      <c r="R64" s="699"/>
      <c r="S64" s="648"/>
      <c r="T64" s="648"/>
      <c r="U64" s="648"/>
      <c r="V64" s="648"/>
      <c r="W64" s="646">
        <f>+W62+W56</f>
        <v>0</v>
      </c>
      <c r="X64" s="637"/>
      <c r="Y64" s="699"/>
      <c r="Z64" s="648"/>
      <c r="AA64" s="648"/>
      <c r="AB64" s="648"/>
      <c r="AC64" s="648"/>
      <c r="AD64" s="646">
        <f>+AD62+AD56</f>
        <v>0</v>
      </c>
      <c r="AE64" s="637"/>
      <c r="AF64" s="699"/>
      <c r="AG64" s="648"/>
      <c r="AH64" s="648"/>
      <c r="AI64" s="648"/>
      <c r="AJ64" s="648"/>
      <c r="AK64" s="646">
        <f>+AK62+AK56</f>
        <v>0</v>
      </c>
      <c r="AL64" s="637"/>
      <c r="AM64" s="699"/>
      <c r="AN64" s="648"/>
      <c r="AO64" s="648"/>
      <c r="AP64" s="648"/>
      <c r="AQ64" s="648"/>
      <c r="AR64" s="646">
        <f>+AR62+AR56</f>
        <v>0</v>
      </c>
      <c r="AS64" s="637"/>
      <c r="AT64" s="699"/>
      <c r="AU64" s="648"/>
      <c r="AV64" s="648"/>
      <c r="AW64" s="648"/>
      <c r="AX64" s="648"/>
      <c r="AY64" s="646">
        <f>+AY62+AY56</f>
        <v>0</v>
      </c>
      <c r="AZ64" s="637"/>
      <c r="BA64" s="699"/>
      <c r="BB64" s="648"/>
      <c r="BC64" s="648"/>
      <c r="BD64" s="648"/>
      <c r="BE64" s="648"/>
      <c r="BF64" s="646">
        <f>+BF62+BF56</f>
        <v>0</v>
      </c>
      <c r="BG64" s="637"/>
      <c r="BH64" s="969"/>
      <c r="BI64" s="4"/>
    </row>
    <row r="65" spans="1:65" s="8" customFormat="1" ht="6" customHeight="1" thickBot="1">
      <c r="A65" s="704"/>
      <c r="B65" s="705"/>
      <c r="C65" s="705"/>
      <c r="D65" s="706"/>
      <c r="E65" s="706"/>
      <c r="F65" s="706"/>
      <c r="G65" s="706"/>
      <c r="H65" s="707"/>
      <c r="I65" s="708"/>
      <c r="J65" s="709"/>
      <c r="K65" s="706"/>
      <c r="L65" s="706"/>
      <c r="M65" s="706"/>
      <c r="N65" s="706"/>
      <c r="O65" s="707"/>
      <c r="P65" s="708"/>
      <c r="Q65" s="709"/>
      <c r="R65" s="706"/>
      <c r="S65" s="706"/>
      <c r="T65" s="706"/>
      <c r="U65" s="706"/>
      <c r="V65" s="707"/>
      <c r="W65" s="708"/>
      <c r="X65" s="709"/>
      <c r="Y65" s="706"/>
      <c r="Z65" s="706"/>
      <c r="AA65" s="706"/>
      <c r="AB65" s="706"/>
      <c r="AC65" s="707"/>
      <c r="AD65" s="708"/>
      <c r="AE65" s="709"/>
      <c r="AF65" s="706"/>
      <c r="AG65" s="706"/>
      <c r="AH65" s="706"/>
      <c r="AI65" s="706"/>
      <c r="AJ65" s="707"/>
      <c r="AK65" s="708"/>
      <c r="AL65" s="709"/>
      <c r="AM65" s="706"/>
      <c r="AN65" s="706"/>
      <c r="AO65" s="706"/>
      <c r="AP65" s="706"/>
      <c r="AQ65" s="707"/>
      <c r="AR65" s="708"/>
      <c r="AS65" s="709"/>
      <c r="AT65" s="706"/>
      <c r="AU65" s="706"/>
      <c r="AV65" s="706"/>
      <c r="AW65" s="706"/>
      <c r="AX65" s="707"/>
      <c r="AY65" s="708"/>
      <c r="AZ65" s="709"/>
      <c r="BA65" s="706"/>
      <c r="BB65" s="706"/>
      <c r="BC65" s="706"/>
      <c r="BD65" s="706"/>
      <c r="BE65" s="707"/>
      <c r="BF65" s="708"/>
      <c r="BG65" s="709"/>
      <c r="BH65" s="969"/>
      <c r="BI65" s="4"/>
    </row>
    <row r="66" spans="1:65" s="82" customFormat="1" ht="21" customHeight="1" thickBot="1">
      <c r="A66" s="624"/>
      <c r="B66" s="625" t="s">
        <v>1613</v>
      </c>
      <c r="C66" s="678" t="s">
        <v>1607</v>
      </c>
      <c r="D66" s="948"/>
      <c r="E66" s="679"/>
      <c r="F66" s="680"/>
      <c r="G66" s="680"/>
      <c r="H66" s="680"/>
      <c r="I66" s="884">
        <f>+I45+I55+I62</f>
        <v>0</v>
      </c>
      <c r="J66" s="682"/>
      <c r="K66" s="948"/>
      <c r="L66" s="679"/>
      <c r="M66" s="680"/>
      <c r="N66" s="680"/>
      <c r="O66" s="680"/>
      <c r="P66" s="884">
        <f>+P45+P55+P62</f>
        <v>0</v>
      </c>
      <c r="Q66" s="682"/>
      <c r="R66" s="948"/>
      <c r="S66" s="679"/>
      <c r="T66" s="680"/>
      <c r="U66" s="680"/>
      <c r="V66" s="680"/>
      <c r="W66" s="884">
        <f>+W45+W55+W62</f>
        <v>0</v>
      </c>
      <c r="X66" s="682"/>
      <c r="Y66" s="948"/>
      <c r="Z66" s="679"/>
      <c r="AA66" s="680"/>
      <c r="AB66" s="680"/>
      <c r="AC66" s="680"/>
      <c r="AD66" s="884">
        <f>+AD45+AD55+AD62</f>
        <v>0</v>
      </c>
      <c r="AE66" s="682"/>
      <c r="AF66" s="948"/>
      <c r="AG66" s="679"/>
      <c r="AH66" s="680"/>
      <c r="AI66" s="680"/>
      <c r="AJ66" s="680"/>
      <c r="AK66" s="884">
        <f>+AK45+AK55+AK62</f>
        <v>0</v>
      </c>
      <c r="AL66" s="682"/>
      <c r="AM66" s="948"/>
      <c r="AN66" s="679"/>
      <c r="AO66" s="680"/>
      <c r="AP66" s="680"/>
      <c r="AQ66" s="680"/>
      <c r="AR66" s="884">
        <f>+AR45+AR55+AR62</f>
        <v>0</v>
      </c>
      <c r="AS66" s="682"/>
      <c r="AT66" s="948"/>
      <c r="AU66" s="679"/>
      <c r="AV66" s="680"/>
      <c r="AW66" s="680"/>
      <c r="AX66" s="680"/>
      <c r="AY66" s="884">
        <f>+AY45+AY55+AY62</f>
        <v>0</v>
      </c>
      <c r="AZ66" s="682"/>
      <c r="BA66" s="948"/>
      <c r="BB66" s="679"/>
      <c r="BC66" s="680"/>
      <c r="BD66" s="680"/>
      <c r="BE66" s="680"/>
      <c r="BF66" s="884">
        <f>+BF45+BF55+BF62</f>
        <v>0</v>
      </c>
      <c r="BG66" s="682"/>
      <c r="BI66" s="881"/>
    </row>
    <row r="67" spans="1:65" s="82" customFormat="1" ht="21" customHeight="1" thickBot="1">
      <c r="A67" s="624"/>
      <c r="B67" s="625" t="s">
        <v>1614</v>
      </c>
      <c r="C67" s="678"/>
      <c r="D67" s="948"/>
      <c r="E67" s="679"/>
      <c r="F67" s="680"/>
      <c r="G67" s="680"/>
      <c r="H67" s="680"/>
      <c r="I67" s="680"/>
      <c r="J67" s="682"/>
      <c r="K67" s="948"/>
      <c r="L67" s="679"/>
      <c r="M67" s="680"/>
      <c r="N67" s="680"/>
      <c r="O67" s="680"/>
      <c r="P67" s="680"/>
      <c r="Q67" s="682"/>
      <c r="R67" s="948"/>
      <c r="S67" s="679"/>
      <c r="T67" s="680"/>
      <c r="U67" s="680"/>
      <c r="V67" s="680"/>
      <c r="W67" s="680"/>
      <c r="X67" s="682"/>
      <c r="Y67" s="948"/>
      <c r="Z67" s="679"/>
      <c r="AA67" s="680"/>
      <c r="AB67" s="680"/>
      <c r="AC67" s="680"/>
      <c r="AD67" s="680"/>
      <c r="AE67" s="682"/>
      <c r="AF67" s="948"/>
      <c r="AG67" s="679"/>
      <c r="AH67" s="680"/>
      <c r="AI67" s="680"/>
      <c r="AJ67" s="680"/>
      <c r="AK67" s="680"/>
      <c r="AL67" s="682"/>
      <c r="AM67" s="948"/>
      <c r="AN67" s="679"/>
      <c r="AO67" s="680"/>
      <c r="AP67" s="680"/>
      <c r="AQ67" s="680"/>
      <c r="AR67" s="680"/>
      <c r="AS67" s="682"/>
      <c r="AT67" s="948"/>
      <c r="AU67" s="679"/>
      <c r="AV67" s="680"/>
      <c r="AW67" s="680"/>
      <c r="AX67" s="680"/>
      <c r="AY67" s="680"/>
      <c r="AZ67" s="682"/>
      <c r="BA67" s="948"/>
      <c r="BB67" s="679"/>
      <c r="BC67" s="680"/>
      <c r="BD67" s="680"/>
      <c r="BE67" s="680"/>
      <c r="BF67" s="680"/>
      <c r="BG67" s="682"/>
      <c r="BI67" s="881"/>
    </row>
    <row r="68" spans="1:65" s="50" customFormat="1">
      <c r="A68" s="627"/>
      <c r="B68" s="7"/>
      <c r="C68" s="7"/>
      <c r="D68" s="449"/>
      <c r="E68" s="648"/>
      <c r="F68" s="648"/>
      <c r="G68" s="700"/>
      <c r="H68" s="648"/>
      <c r="I68" s="700"/>
      <c r="J68" s="701"/>
      <c r="K68" s="449"/>
      <c r="L68" s="648"/>
      <c r="M68" s="1286" t="s">
        <v>584</v>
      </c>
      <c r="N68" s="1286"/>
      <c r="O68" s="648"/>
      <c r="P68" s="700"/>
      <c r="Q68" s="701"/>
      <c r="R68" s="449"/>
      <c r="S68" s="648"/>
      <c r="T68" s="1286" t="s">
        <v>584</v>
      </c>
      <c r="U68" s="1286"/>
      <c r="V68" s="648"/>
      <c r="W68" s="700"/>
      <c r="X68" s="701"/>
      <c r="Y68" s="449"/>
      <c r="Z68" s="648"/>
      <c r="AA68" s="1286" t="s">
        <v>584</v>
      </c>
      <c r="AB68" s="1286"/>
      <c r="AC68" s="648"/>
      <c r="AD68" s="700"/>
      <c r="AE68" s="701"/>
      <c r="AF68" s="449"/>
      <c r="AG68" s="648"/>
      <c r="AH68" s="1286" t="s">
        <v>584</v>
      </c>
      <c r="AI68" s="1286"/>
      <c r="AJ68" s="648"/>
      <c r="AK68" s="700"/>
      <c r="AL68" s="701"/>
      <c r="AM68" s="449"/>
      <c r="AN68" s="648"/>
      <c r="AO68" s="1286" t="s">
        <v>584</v>
      </c>
      <c r="AP68" s="1286"/>
      <c r="AQ68" s="648"/>
      <c r="AR68" s="700"/>
      <c r="AS68" s="701"/>
      <c r="AT68" s="449"/>
      <c r="AU68" s="648"/>
      <c r="AV68" s="1286" t="s">
        <v>584</v>
      </c>
      <c r="AW68" s="1286"/>
      <c r="AX68" s="648"/>
      <c r="AY68" s="700"/>
      <c r="AZ68" s="701"/>
      <c r="BA68" s="449"/>
      <c r="BB68" s="648"/>
      <c r="BC68" s="1286" t="s">
        <v>584</v>
      </c>
      <c r="BD68" s="1286"/>
      <c r="BE68" s="648"/>
      <c r="BF68" s="700"/>
      <c r="BG68" s="701"/>
      <c r="BH68" s="972"/>
      <c r="BI68" s="4"/>
    </row>
    <row r="69" spans="1:65" s="8" customFormat="1">
      <c r="A69" s="627"/>
      <c r="B69" s="660" t="s">
        <v>562</v>
      </c>
      <c r="C69" s="7"/>
      <c r="D69" s="449"/>
      <c r="E69" s="648"/>
      <c r="F69" s="686"/>
      <c r="G69" s="640"/>
      <c r="H69" s="648"/>
      <c r="I69" s="451">
        <f>+I64</f>
        <v>0</v>
      </c>
      <c r="J69" s="687"/>
      <c r="K69" s="449"/>
      <c r="L69" s="648"/>
      <c r="M69" s="451">
        <f>P69-I69</f>
        <v>0</v>
      </c>
      <c r="N69" s="686">
        <f>IF(I69&lt;&gt;0,M69/I69,0)</f>
        <v>0</v>
      </c>
      <c r="O69" s="648"/>
      <c r="P69" s="451">
        <f>+P64</f>
        <v>0</v>
      </c>
      <c r="Q69" s="687"/>
      <c r="R69" s="449"/>
      <c r="S69" s="648"/>
      <c r="T69" s="451">
        <f>W69-P69</f>
        <v>0</v>
      </c>
      <c r="U69" s="686">
        <f>IF(P69&lt;&gt;0,T69/P69,0)</f>
        <v>0</v>
      </c>
      <c r="V69" s="648"/>
      <c r="W69" s="451">
        <f>+W64</f>
        <v>0</v>
      </c>
      <c r="X69" s="687"/>
      <c r="Y69" s="1142"/>
      <c r="Z69" s="648"/>
      <c r="AA69" s="451">
        <f>AD69-W69</f>
        <v>0</v>
      </c>
      <c r="AB69" s="686">
        <f>IF(W69&lt;&gt;0,AA69/W69,0)</f>
        <v>0</v>
      </c>
      <c r="AC69" s="648"/>
      <c r="AD69" s="451">
        <f>+AD64</f>
        <v>0</v>
      </c>
      <c r="AE69" s="687"/>
      <c r="AF69" s="449"/>
      <c r="AG69" s="648"/>
      <c r="AH69" s="451">
        <f>AK69-AD69</f>
        <v>0</v>
      </c>
      <c r="AI69" s="686">
        <f>IF(AD69&lt;&gt;0,AH69/AD69,0)</f>
        <v>0</v>
      </c>
      <c r="AJ69" s="648"/>
      <c r="AK69" s="451">
        <f>+AK64</f>
        <v>0</v>
      </c>
      <c r="AL69" s="687"/>
      <c r="AM69" s="449"/>
      <c r="AN69" s="648"/>
      <c r="AO69" s="451">
        <f>AR69-AK69</f>
        <v>0</v>
      </c>
      <c r="AP69" s="686">
        <f>IF(AK69&lt;&gt;0,AO69/AK69,0)</f>
        <v>0</v>
      </c>
      <c r="AQ69" s="648"/>
      <c r="AR69" s="451">
        <f>+AR64</f>
        <v>0</v>
      </c>
      <c r="AS69" s="687"/>
      <c r="AT69" s="449"/>
      <c r="AU69" s="648"/>
      <c r="AV69" s="451">
        <f>AY69-AR69</f>
        <v>0</v>
      </c>
      <c r="AW69" s="686">
        <f>IF(AR69&lt;&gt;0,AV69/AR69,0)</f>
        <v>0</v>
      </c>
      <c r="AX69" s="648"/>
      <c r="AY69" s="451">
        <f>+AY64</f>
        <v>0</v>
      </c>
      <c r="AZ69" s="687"/>
      <c r="BA69" s="449"/>
      <c r="BB69" s="648"/>
      <c r="BC69" s="451">
        <f>BF69-AY69</f>
        <v>0</v>
      </c>
      <c r="BD69" s="686">
        <f>IF(AY69&lt;&gt;0,BC69/AY69,0)</f>
        <v>0</v>
      </c>
      <c r="BE69" s="648"/>
      <c r="BF69" s="451">
        <f>+BF64</f>
        <v>0</v>
      </c>
      <c r="BG69" s="687"/>
      <c r="BH69" s="969"/>
      <c r="BI69" s="4"/>
    </row>
    <row r="70" spans="1:65" s="8" customFormat="1">
      <c r="A70" s="627"/>
      <c r="B70" s="7" t="s">
        <v>177</v>
      </c>
      <c r="C70" s="7"/>
      <c r="D70" s="449"/>
      <c r="E70" s="648"/>
      <c r="F70" s="686"/>
      <c r="G70" s="640"/>
      <c r="H70" s="648"/>
      <c r="I70" s="685">
        <f>+I51</f>
        <v>0</v>
      </c>
      <c r="J70" s="687"/>
      <c r="K70" s="449"/>
      <c r="L70" s="648"/>
      <c r="M70" s="640">
        <f>P70-I70</f>
        <v>0</v>
      </c>
      <c r="N70" s="686">
        <f>IF(I70&lt;&gt;0,M70/I70,0)</f>
        <v>0</v>
      </c>
      <c r="O70" s="648"/>
      <c r="P70" s="685">
        <f>+P51</f>
        <v>0</v>
      </c>
      <c r="Q70" s="687"/>
      <c r="R70" s="449"/>
      <c r="S70" s="648"/>
      <c r="T70" s="640">
        <f>W70-P70</f>
        <v>0</v>
      </c>
      <c r="U70" s="686">
        <f>IF(P70&lt;&gt;0,T70/P70,0)</f>
        <v>0</v>
      </c>
      <c r="V70" s="648"/>
      <c r="W70" s="685">
        <f>+W51</f>
        <v>0</v>
      </c>
      <c r="X70" s="687"/>
      <c r="Y70" s="1142"/>
      <c r="Z70" s="648"/>
      <c r="AA70" s="640">
        <f>AD70-W70</f>
        <v>0</v>
      </c>
      <c r="AB70" s="686">
        <f>IF(W70&lt;&gt;0,AA70/W70,0)</f>
        <v>0</v>
      </c>
      <c r="AC70" s="648"/>
      <c r="AD70" s="685">
        <f>+AD51</f>
        <v>0</v>
      </c>
      <c r="AE70" s="687"/>
      <c r="AF70" s="449"/>
      <c r="AG70" s="648"/>
      <c r="AH70" s="640">
        <f>AK70-AD70</f>
        <v>0</v>
      </c>
      <c r="AI70" s="686">
        <f>IF(AD70&lt;&gt;0,AH70/AD70,0)</f>
        <v>0</v>
      </c>
      <c r="AJ70" s="648"/>
      <c r="AK70" s="685">
        <f>+AK51</f>
        <v>0</v>
      </c>
      <c r="AL70" s="687"/>
      <c r="AM70" s="449"/>
      <c r="AN70" s="648"/>
      <c r="AO70" s="640">
        <f>AR70-AK70</f>
        <v>0</v>
      </c>
      <c r="AP70" s="686">
        <f>IF(AK70&lt;&gt;0,AO70/AK70,0)</f>
        <v>0</v>
      </c>
      <c r="AQ70" s="648"/>
      <c r="AR70" s="685">
        <f>+AR51</f>
        <v>0</v>
      </c>
      <c r="AS70" s="687"/>
      <c r="AT70" s="449"/>
      <c r="AU70" s="648"/>
      <c r="AV70" s="640">
        <f>AY70-AR70</f>
        <v>0</v>
      </c>
      <c r="AW70" s="686">
        <f>IF(AR70&lt;&gt;0,AV70/AR70,0)</f>
        <v>0</v>
      </c>
      <c r="AX70" s="648"/>
      <c r="AY70" s="685">
        <f>+AY51</f>
        <v>0</v>
      </c>
      <c r="AZ70" s="687"/>
      <c r="BA70" s="449"/>
      <c r="BB70" s="648"/>
      <c r="BC70" s="640">
        <f>BF70-AY70</f>
        <v>0</v>
      </c>
      <c r="BD70" s="686">
        <f>IF(AY70&lt;&gt;0,BC70/AY70,0)</f>
        <v>0</v>
      </c>
      <c r="BE70" s="648"/>
      <c r="BF70" s="685">
        <f>+BF51</f>
        <v>0</v>
      </c>
      <c r="BG70" s="687"/>
      <c r="BH70" s="969"/>
      <c r="BI70" s="4"/>
    </row>
    <row r="71" spans="1:65" s="8" customFormat="1">
      <c r="A71" s="627"/>
      <c r="B71" s="660" t="s">
        <v>525</v>
      </c>
      <c r="C71" s="7"/>
      <c r="D71" s="449"/>
      <c r="E71" s="648"/>
      <c r="F71" s="686"/>
      <c r="G71" s="640"/>
      <c r="H71" s="648"/>
      <c r="I71" s="640">
        <f>+I49</f>
        <v>0</v>
      </c>
      <c r="J71" s="687"/>
      <c r="K71" s="449"/>
      <c r="L71" s="648"/>
      <c r="M71" s="640">
        <f>P71-I71</f>
        <v>0</v>
      </c>
      <c r="N71" s="686">
        <f>IF(I71&lt;&gt;0,M71/I71,0)</f>
        <v>0</v>
      </c>
      <c r="O71" s="648"/>
      <c r="P71" s="640">
        <f>+P49</f>
        <v>0</v>
      </c>
      <c r="Q71" s="687"/>
      <c r="R71" s="449"/>
      <c r="S71" s="648"/>
      <c r="T71" s="640">
        <f>W71-P71</f>
        <v>0</v>
      </c>
      <c r="U71" s="686">
        <f>IF(P71&lt;&gt;0,T71/P71,0)</f>
        <v>0</v>
      </c>
      <c r="V71" s="648"/>
      <c r="W71" s="640">
        <f>+W49</f>
        <v>0</v>
      </c>
      <c r="X71" s="687"/>
      <c r="Y71" s="1142"/>
      <c r="Z71" s="648"/>
      <c r="AA71" s="640">
        <f>AD71-W71</f>
        <v>0</v>
      </c>
      <c r="AB71" s="686">
        <f>IF(W71&lt;&gt;0,AA71/W71,0)</f>
        <v>0</v>
      </c>
      <c r="AC71" s="648"/>
      <c r="AD71" s="640">
        <f>+AD49</f>
        <v>0</v>
      </c>
      <c r="AE71" s="687"/>
      <c r="AF71" s="449"/>
      <c r="AG71" s="648"/>
      <c r="AH71" s="640">
        <f>AK71-AD71</f>
        <v>0</v>
      </c>
      <c r="AI71" s="686">
        <f>IF(AD71&lt;&gt;0,AH71/AD71,0)</f>
        <v>0</v>
      </c>
      <c r="AJ71" s="648"/>
      <c r="AK71" s="640">
        <f>+AK49</f>
        <v>0</v>
      </c>
      <c r="AL71" s="687"/>
      <c r="AM71" s="449"/>
      <c r="AN71" s="648"/>
      <c r="AO71" s="640">
        <f>AR71-AK71</f>
        <v>0</v>
      </c>
      <c r="AP71" s="686">
        <f>IF(AK71&lt;&gt;0,AO71/AK71,0)</f>
        <v>0</v>
      </c>
      <c r="AQ71" s="648"/>
      <c r="AR71" s="640">
        <f>+AR49</f>
        <v>0</v>
      </c>
      <c r="AS71" s="687"/>
      <c r="AT71" s="449"/>
      <c r="AU71" s="648"/>
      <c r="AV71" s="640">
        <f>AY71-AR71</f>
        <v>0</v>
      </c>
      <c r="AW71" s="686">
        <f>IF(AR71&lt;&gt;0,AV71/AR71,0)</f>
        <v>0</v>
      </c>
      <c r="AX71" s="648"/>
      <c r="AY71" s="640">
        <f>+AY49</f>
        <v>0</v>
      </c>
      <c r="AZ71" s="687"/>
      <c r="BA71" s="449"/>
      <c r="BB71" s="648"/>
      <c r="BC71" s="640">
        <f>BF71-AY71</f>
        <v>0</v>
      </c>
      <c r="BD71" s="686">
        <f>IF(AY71&lt;&gt;0,BC71/AY71,0)</f>
        <v>0</v>
      </c>
      <c r="BE71" s="648"/>
      <c r="BF71" s="640">
        <f>+BF49</f>
        <v>0</v>
      </c>
      <c r="BG71" s="687"/>
      <c r="BH71" s="969"/>
      <c r="BI71" s="4"/>
      <c r="BJ71" s="50"/>
      <c r="BK71" s="50"/>
      <c r="BL71" s="50"/>
      <c r="BM71" s="50"/>
    </row>
    <row r="72" spans="1:65" s="8" customFormat="1">
      <c r="A72" s="627"/>
      <c r="B72" s="660" t="s">
        <v>1610</v>
      </c>
      <c r="C72" s="7"/>
      <c r="D72" s="449"/>
      <c r="E72" s="648"/>
      <c r="F72" s="686"/>
      <c r="G72" s="640"/>
      <c r="H72" s="648"/>
      <c r="I72" s="640">
        <f>+I50</f>
        <v>0</v>
      </c>
      <c r="J72" s="687"/>
      <c r="K72" s="449"/>
      <c r="L72" s="648"/>
      <c r="M72" s="1037">
        <f>P72-I72</f>
        <v>0</v>
      </c>
      <c r="N72" s="686">
        <f>IF(I72&lt;&gt;0,M72/I72,0)</f>
        <v>0</v>
      </c>
      <c r="O72" s="648"/>
      <c r="P72" s="640">
        <f>+P50</f>
        <v>0</v>
      </c>
      <c r="Q72" s="687"/>
      <c r="R72" s="449"/>
      <c r="S72" s="648"/>
      <c r="T72" s="1037">
        <f>W72-P72</f>
        <v>0</v>
      </c>
      <c r="U72" s="686">
        <f>IF(P72&lt;&gt;0,T72/P72,0)</f>
        <v>0</v>
      </c>
      <c r="V72" s="648"/>
      <c r="W72" s="640">
        <f>+W50</f>
        <v>0</v>
      </c>
      <c r="X72" s="687"/>
      <c r="Y72" s="449"/>
      <c r="Z72" s="648"/>
      <c r="AA72" s="1037">
        <f>AD72-W72</f>
        <v>0</v>
      </c>
      <c r="AB72" s="686">
        <f>IF(W72&lt;&gt;0,AA72/W72,0)</f>
        <v>0</v>
      </c>
      <c r="AC72" s="648"/>
      <c r="AD72" s="640">
        <f>+AD50</f>
        <v>0</v>
      </c>
      <c r="AE72" s="687"/>
      <c r="AF72" s="449"/>
      <c r="AG72" s="648"/>
      <c r="AH72" s="1037">
        <f>AK72-AD72</f>
        <v>0</v>
      </c>
      <c r="AI72" s="686">
        <f>IF(AD72&lt;&gt;0,AH72/AD72,0)</f>
        <v>0</v>
      </c>
      <c r="AJ72" s="648"/>
      <c r="AK72" s="640">
        <f>+AK50</f>
        <v>0</v>
      </c>
      <c r="AL72" s="687"/>
      <c r="AM72" s="449"/>
      <c r="AN72" s="648"/>
      <c r="AO72" s="1037">
        <f>AR72-AK72</f>
        <v>0</v>
      </c>
      <c r="AP72" s="686">
        <f>IF(AK72&lt;&gt;0,AO72/AK72,0)</f>
        <v>0</v>
      </c>
      <c r="AQ72" s="648"/>
      <c r="AR72" s="640">
        <f>+AR50</f>
        <v>0</v>
      </c>
      <c r="AS72" s="687"/>
      <c r="AT72" s="449"/>
      <c r="AU72" s="648"/>
      <c r="AV72" s="1037">
        <f>AY72-AR72</f>
        <v>0</v>
      </c>
      <c r="AW72" s="686">
        <f>IF(AR72&lt;&gt;0,AV72/AR72,0)</f>
        <v>0</v>
      </c>
      <c r="AX72" s="648"/>
      <c r="AY72" s="640">
        <f>+AY50</f>
        <v>0</v>
      </c>
      <c r="AZ72" s="687"/>
      <c r="BA72" s="449"/>
      <c r="BB72" s="648"/>
      <c r="BC72" s="1037">
        <f>BF72-AY72</f>
        <v>0</v>
      </c>
      <c r="BD72" s="686">
        <f>IF(AY72&lt;&gt;0,BC72/AY72,0)</f>
        <v>0</v>
      </c>
      <c r="BE72" s="648"/>
      <c r="BF72" s="640">
        <f>+BF50</f>
        <v>0</v>
      </c>
      <c r="BG72" s="687"/>
      <c r="BH72" s="969"/>
      <c r="BI72" s="4"/>
      <c r="BJ72" s="50"/>
      <c r="BK72" s="50"/>
      <c r="BL72" s="50"/>
      <c r="BM72" s="50"/>
    </row>
    <row r="73" spans="1:65" s="8" customFormat="1">
      <c r="A73" s="627"/>
      <c r="B73" s="702" t="s">
        <v>1601</v>
      </c>
      <c r="C73" s="7"/>
      <c r="D73" s="449"/>
      <c r="E73" s="648"/>
      <c r="F73" s="686"/>
      <c r="G73" s="640"/>
      <c r="H73" s="648"/>
      <c r="I73" s="703">
        <f>SUM(I69:I72)</f>
        <v>0</v>
      </c>
      <c r="J73" s="687"/>
      <c r="K73" s="449"/>
      <c r="L73" s="648"/>
      <c r="M73" s="1032">
        <f>SUM(M69:M72)</f>
        <v>0</v>
      </c>
      <c r="N73" s="1033">
        <f>IF(I73&lt;&gt;0,M73/I73,0)</f>
        <v>0</v>
      </c>
      <c r="O73" s="648"/>
      <c r="P73" s="703">
        <f>SUM(P69:P72)</f>
        <v>0</v>
      </c>
      <c r="Q73" s="687"/>
      <c r="R73" s="449"/>
      <c r="S73" s="648"/>
      <c r="T73" s="1032">
        <f>SUM(T69:T72)</f>
        <v>0</v>
      </c>
      <c r="U73" s="1033">
        <f>IF(P73&lt;&gt;0,T73/P73,0)</f>
        <v>0</v>
      </c>
      <c r="V73" s="648"/>
      <c r="W73" s="703">
        <f>SUM(W69:W72)</f>
        <v>0</v>
      </c>
      <c r="X73" s="687"/>
      <c r="Y73" s="449"/>
      <c r="Z73" s="648"/>
      <c r="AA73" s="1032">
        <f>SUM(AA69:AA72)</f>
        <v>0</v>
      </c>
      <c r="AB73" s="1033">
        <f>IF(W73&lt;&gt;0,AA73/W73,0)</f>
        <v>0</v>
      </c>
      <c r="AC73" s="648"/>
      <c r="AD73" s="703">
        <f>SUM(AD69:AD72)</f>
        <v>0</v>
      </c>
      <c r="AE73" s="687"/>
      <c r="AF73" s="449"/>
      <c r="AG73" s="648"/>
      <c r="AH73" s="1032">
        <f>SUM(AH69:AH72)</f>
        <v>0</v>
      </c>
      <c r="AI73" s="1033">
        <f>IF(AD73&lt;&gt;0,AH73/AD73,0)</f>
        <v>0</v>
      </c>
      <c r="AJ73" s="648"/>
      <c r="AK73" s="703">
        <f>SUM(AK69:AK72)</f>
        <v>0</v>
      </c>
      <c r="AL73" s="687"/>
      <c r="AM73" s="449"/>
      <c r="AN73" s="648"/>
      <c r="AO73" s="1032">
        <f>SUM(AO69:AO72)</f>
        <v>0</v>
      </c>
      <c r="AP73" s="1033">
        <f>IF(AK73&lt;&gt;0,AO73/AK73,0)</f>
        <v>0</v>
      </c>
      <c r="AQ73" s="648"/>
      <c r="AR73" s="703">
        <f>SUM(AR69:AR72)</f>
        <v>0</v>
      </c>
      <c r="AS73" s="687"/>
      <c r="AT73" s="449"/>
      <c r="AU73" s="648"/>
      <c r="AV73" s="1032">
        <f>SUM(AV69:AV72)</f>
        <v>0</v>
      </c>
      <c r="AW73" s="1033">
        <f>IF(AR73&lt;&gt;0,AV73/AR73,0)</f>
        <v>0</v>
      </c>
      <c r="AX73" s="648"/>
      <c r="AY73" s="703">
        <f>SUM(AY69:AY72)</f>
        <v>0</v>
      </c>
      <c r="AZ73" s="687"/>
      <c r="BA73" s="449"/>
      <c r="BB73" s="648"/>
      <c r="BC73" s="1032">
        <f>SUM(BC69:BC72)</f>
        <v>0</v>
      </c>
      <c r="BD73" s="1033">
        <f>IF(AY73&lt;&gt;0,BC73/AY73,0)</f>
        <v>0</v>
      </c>
      <c r="BE73" s="648"/>
      <c r="BF73" s="703">
        <f>SUM(BF69:BF72)</f>
        <v>0</v>
      </c>
      <c r="BG73" s="687"/>
      <c r="BH73" s="969"/>
      <c r="BI73" s="4"/>
      <c r="BJ73" s="50"/>
      <c r="BK73" s="50"/>
      <c r="BL73" s="50"/>
      <c r="BM73" s="50"/>
    </row>
    <row r="74" spans="1:65" s="8" customFormat="1" ht="6" customHeight="1" thickBot="1">
      <c r="A74" s="704"/>
      <c r="B74" s="705"/>
      <c r="C74" s="705"/>
      <c r="D74" s="706"/>
      <c r="E74" s="706"/>
      <c r="F74" s="706"/>
      <c r="G74" s="706"/>
      <c r="H74" s="707"/>
      <c r="I74" s="708"/>
      <c r="J74" s="709"/>
      <c r="K74" s="706"/>
      <c r="L74" s="706"/>
      <c r="M74" s="706"/>
      <c r="N74" s="706"/>
      <c r="O74" s="707"/>
      <c r="P74" s="708"/>
      <c r="Q74" s="709"/>
      <c r="R74" s="706"/>
      <c r="S74" s="706"/>
      <c r="T74" s="706"/>
      <c r="U74" s="706"/>
      <c r="V74" s="707"/>
      <c r="W74" s="708"/>
      <c r="X74" s="709"/>
      <c r="Y74" s="706"/>
      <c r="Z74" s="706"/>
      <c r="AA74" s="706"/>
      <c r="AB74" s="706"/>
      <c r="AC74" s="707"/>
      <c r="AD74" s="708"/>
      <c r="AE74" s="709"/>
      <c r="AF74" s="706"/>
      <c r="AG74" s="706"/>
      <c r="AH74" s="706"/>
      <c r="AI74" s="706"/>
      <c r="AJ74" s="707"/>
      <c r="AK74" s="708"/>
      <c r="AL74" s="709"/>
      <c r="AM74" s="706"/>
      <c r="AN74" s="706"/>
      <c r="AO74" s="706"/>
      <c r="AP74" s="706"/>
      <c r="AQ74" s="707"/>
      <c r="AR74" s="708"/>
      <c r="AS74" s="709"/>
      <c r="AT74" s="706"/>
      <c r="AU74" s="706"/>
      <c r="AV74" s="706"/>
      <c r="AW74" s="706"/>
      <c r="AX74" s="707"/>
      <c r="AY74" s="708"/>
      <c r="AZ74" s="709"/>
      <c r="BA74" s="706"/>
      <c r="BB74" s="706"/>
      <c r="BC74" s="706"/>
      <c r="BD74" s="706"/>
      <c r="BE74" s="707"/>
      <c r="BF74" s="708"/>
      <c r="BG74" s="709"/>
      <c r="BH74" s="969"/>
      <c r="BI74" s="4"/>
    </row>
    <row r="77" spans="1:65">
      <c r="P77" s="973"/>
    </row>
    <row r="78" spans="1:65">
      <c r="I78" s="973"/>
      <c r="J78" s="973"/>
      <c r="W78" s="973"/>
    </row>
  </sheetData>
  <sheetProtection algorithmName="SHA-512" hashValue="BAQDfjrHUw8u2A6tMqa9qERexYn5FWUNPE7chfOsF6uS++Dli6gR6LR1bAPL7RfTDBv3/YV8OP5rOPpP6J2REw==" saltValue="YPXMCvHODcb3XDOzypsn4g==" spinCount="100000" sheet="1" formatCells="0" formatColumns="0" formatRows="0"/>
  <mergeCells count="15">
    <mergeCell ref="BC68:BD68"/>
    <mergeCell ref="M68:N68"/>
    <mergeCell ref="T68:U68"/>
    <mergeCell ref="AA68:AB68"/>
    <mergeCell ref="AH68:AI68"/>
    <mergeCell ref="AO68:AP68"/>
    <mergeCell ref="AV68:AW68"/>
    <mergeCell ref="R2:X2"/>
    <mergeCell ref="K2:Q2"/>
    <mergeCell ref="D2:J2"/>
    <mergeCell ref="BA2:BG2"/>
    <mergeCell ref="AT2:AZ2"/>
    <mergeCell ref="AM2:AS2"/>
    <mergeCell ref="AF2:AL2"/>
    <mergeCell ref="Y2:AE2"/>
  </mergeCells>
  <phoneticPr fontId="51" type="noConversion"/>
  <printOptions horizontalCentered="1"/>
  <pageMargins left="0.2" right="0.2" top="0.35" bottom="0.5" header="0.05" footer="0"/>
  <pageSetup scale="55" fitToWidth="0" orientation="landscape" r:id="rId1"/>
  <headerFooter>
    <oddHeader>&amp;L&amp;12&amp;A Tab</oddHeader>
    <oddFooter>&amp;L
&amp;D&amp;T&amp;C
&amp;R
&amp;F
&amp;A - page &amp;P of &amp;N</oddFooter>
  </headerFooter>
  <colBreaks count="3" manualBreakCount="3">
    <brk id="17" max="67" man="1"/>
    <brk id="31" max="67" man="1"/>
    <brk id="45" max="67"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54038-84D0-41DC-B58A-89DDF3DF1EEE}">
  <sheetPr>
    <tabColor theme="4"/>
  </sheetPr>
  <dimension ref="A1:AH28"/>
  <sheetViews>
    <sheetView showGridLines="0" zoomScaleNormal="100" zoomScaleSheetLayoutView="70" workbookViewId="0">
      <selection activeCell="C29" sqref="C29"/>
    </sheetView>
  </sheetViews>
  <sheetFormatPr defaultColWidth="8.88671875" defaultRowHeight="13.8"/>
  <cols>
    <col min="1" max="1" width="4.109375" style="257" customWidth="1"/>
    <col min="2" max="2" width="11.44140625" style="14" customWidth="1"/>
    <col min="3" max="3" width="15.6640625" style="14" customWidth="1"/>
    <col min="4" max="4" width="1.88671875" style="240" customWidth="1"/>
    <col min="5" max="5" width="15.6640625" style="240" customWidth="1"/>
    <col min="6" max="6" width="1.88671875" style="240" customWidth="1"/>
    <col min="7" max="7" width="15.6640625" style="14" customWidth="1"/>
    <col min="8" max="8" width="1.88671875" style="241" customWidth="1"/>
    <col min="9" max="9" width="15.6640625" style="14" customWidth="1"/>
    <col min="10" max="10" width="1.88671875" style="240" customWidth="1"/>
    <col min="11" max="11" width="15.6640625" style="14" customWidth="1"/>
    <col min="12" max="12" width="1.88671875" style="240" customWidth="1"/>
    <col min="13" max="13" width="15.6640625" style="14" customWidth="1"/>
    <col min="14" max="14" width="1.88671875" style="240" customWidth="1"/>
    <col min="15" max="15" width="15.6640625" style="14" customWidth="1"/>
    <col min="16" max="16" width="1.88671875" style="240" customWidth="1"/>
    <col min="17" max="17" width="16.6640625" style="14" customWidth="1"/>
    <col min="18" max="18" width="1.88671875" style="240" customWidth="1"/>
    <col min="19" max="19" width="16.6640625" style="14" customWidth="1"/>
    <col min="20" max="20" width="1.88671875" style="240" customWidth="1"/>
    <col min="21" max="21" width="16.6640625" style="240" customWidth="1"/>
    <col min="22" max="22" width="2.88671875" style="14" customWidth="1"/>
    <col min="23" max="23" width="1.5546875" style="8" customWidth="1"/>
    <col min="24" max="24" width="47.109375" style="8" customWidth="1"/>
    <col min="25" max="25" width="1.88671875" style="8" customWidth="1"/>
    <col min="26" max="16384" width="8.88671875" style="14"/>
  </cols>
  <sheetData>
    <row r="1" spans="1:34" ht="20.25" customHeight="1" thickBot="1">
      <c r="A1" s="583" t="str">
        <f>Calculator!B1</f>
        <v xml:space="preserve">&lt;=  &lt;=  &lt;=     Enter the county code portion of your LEA CDS Code </v>
      </c>
      <c r="B1" s="543"/>
      <c r="C1" s="543"/>
      <c r="D1" s="544"/>
      <c r="E1" s="544"/>
      <c r="F1" s="544"/>
      <c r="G1" s="822"/>
      <c r="H1" s="822"/>
      <c r="I1" s="822" t="str">
        <f>+Instructions!C2</f>
        <v>v.24.1a</v>
      </c>
      <c r="J1" s="546"/>
      <c r="K1" s="547"/>
      <c r="L1" s="546"/>
      <c r="M1" s="547"/>
      <c r="N1" s="546"/>
      <c r="O1" s="547"/>
      <c r="P1" s="546"/>
      <c r="Q1" s="547"/>
      <c r="R1" s="546"/>
      <c r="S1" s="545"/>
      <c r="T1" s="546"/>
      <c r="U1" s="545"/>
      <c r="V1" s="542"/>
      <c r="X1" s="955" t="s">
        <v>23</v>
      </c>
      <c r="Y1" s="14"/>
    </row>
    <row r="2" spans="1:34" s="8" customFormat="1" ht="21" customHeight="1">
      <c r="A2" s="835"/>
      <c r="B2" s="836" t="s">
        <v>1662</v>
      </c>
      <c r="C2" s="837"/>
      <c r="D2" s="838"/>
      <c r="E2" s="838"/>
      <c r="F2" s="838"/>
      <c r="G2" s="838"/>
      <c r="H2" s="838"/>
      <c r="I2" s="838"/>
      <c r="J2" s="838"/>
      <c r="K2" s="838"/>
      <c r="L2" s="838"/>
      <c r="M2" s="838"/>
      <c r="N2" s="838"/>
      <c r="O2" s="838"/>
      <c r="P2" s="838"/>
      <c r="Q2" s="838"/>
      <c r="R2" s="838"/>
      <c r="S2" s="838"/>
      <c r="T2" s="838"/>
      <c r="U2" s="838"/>
      <c r="V2" s="839"/>
      <c r="X2" s="4"/>
      <c r="Z2" s="14"/>
    </row>
    <row r="3" spans="1:34" s="8" customFormat="1" ht="21" customHeight="1">
      <c r="A3" s="840"/>
      <c r="B3" s="841" t="str">
        <f>+'FY Control'!C9</f>
        <v>2022-23</v>
      </c>
      <c r="C3" s="842"/>
      <c r="D3" s="843"/>
      <c r="E3" s="843"/>
      <c r="F3" s="843"/>
      <c r="G3" s="843"/>
      <c r="H3" s="843"/>
      <c r="I3" s="843"/>
      <c r="J3" s="843"/>
      <c r="K3" s="843"/>
      <c r="L3" s="843"/>
      <c r="M3" s="843"/>
      <c r="N3" s="843"/>
      <c r="O3" s="843"/>
      <c r="P3" s="843"/>
      <c r="Q3" s="843"/>
      <c r="R3" s="843"/>
      <c r="S3" s="843"/>
      <c r="T3" s="843"/>
      <c r="U3" s="843"/>
      <c r="V3" s="839"/>
      <c r="X3" s="4"/>
      <c r="Z3" s="14"/>
    </row>
    <row r="4" spans="1:34" ht="15.75" customHeight="1">
      <c r="A4" s="844"/>
      <c r="B4" s="514"/>
      <c r="C4" s="15"/>
      <c r="D4" s="241"/>
      <c r="E4" s="739" t="s">
        <v>1341</v>
      </c>
      <c r="F4" s="241"/>
      <c r="G4" s="553">
        <v>100000</v>
      </c>
      <c r="H4" s="541"/>
      <c r="I4" s="541" t="s">
        <v>1710</v>
      </c>
      <c r="J4" s="541"/>
      <c r="K4" s="541"/>
      <c r="L4" s="541"/>
      <c r="M4" s="541"/>
      <c r="N4" s="541"/>
      <c r="O4" s="541"/>
      <c r="P4" s="91"/>
      <c r="Q4" s="541"/>
      <c r="R4" s="91"/>
      <c r="S4" s="740"/>
      <c r="T4" s="91"/>
      <c r="U4" s="741"/>
      <c r="V4" s="846"/>
      <c r="X4" s="4"/>
    </row>
    <row r="5" spans="1:34" ht="15.75" customHeight="1">
      <c r="A5" s="844"/>
      <c r="B5" s="514"/>
      <c r="C5" s="15"/>
      <c r="D5" s="241"/>
      <c r="E5" s="739" t="s">
        <v>1342</v>
      </c>
      <c r="F5" s="241"/>
      <c r="G5" s="553">
        <v>200000</v>
      </c>
      <c r="H5" s="541"/>
      <c r="I5" s="541" t="s">
        <v>1711</v>
      </c>
      <c r="J5" s="541"/>
      <c r="K5" s="541"/>
      <c r="L5" s="541"/>
      <c r="M5" s="541"/>
      <c r="N5" s="541"/>
      <c r="O5" s="541"/>
      <c r="P5" s="91"/>
      <c r="Q5" s="541"/>
      <c r="R5" s="91"/>
      <c r="S5" s="740"/>
      <c r="T5" s="91"/>
      <c r="U5" s="741"/>
      <c r="V5" s="846"/>
      <c r="X5" s="4"/>
    </row>
    <row r="6" spans="1:34" ht="13.5" customHeight="1">
      <c r="A6" s="844"/>
      <c r="B6" s="514"/>
      <c r="C6" s="15"/>
      <c r="D6" s="241"/>
      <c r="E6" s="739" t="s">
        <v>1343</v>
      </c>
      <c r="F6" s="241"/>
      <c r="G6" s="553">
        <v>300000</v>
      </c>
      <c r="H6" s="541"/>
      <c r="I6" s="541" t="s">
        <v>1712</v>
      </c>
      <c r="J6" s="541"/>
      <c r="K6" s="541"/>
      <c r="L6" s="541"/>
      <c r="M6" s="541"/>
      <c r="N6" s="541"/>
      <c r="O6" s="541"/>
      <c r="P6" s="91"/>
      <c r="Q6" s="541"/>
      <c r="R6" s="91"/>
      <c r="S6" s="740"/>
      <c r="T6" s="91"/>
      <c r="U6" s="741"/>
      <c r="V6" s="846"/>
      <c r="X6" s="4"/>
    </row>
    <row r="7" spans="1:34" ht="13.5" customHeight="1">
      <c r="A7" s="844"/>
      <c r="B7" s="514"/>
      <c r="C7" s="15"/>
      <c r="D7" s="241"/>
      <c r="E7" s="739"/>
      <c r="F7" s="241"/>
      <c r="G7" s="739"/>
      <c r="H7" s="541"/>
      <c r="I7" s="541"/>
      <c r="J7" s="541"/>
      <c r="K7" s="541"/>
      <c r="L7" s="541"/>
      <c r="M7" s="541"/>
      <c r="N7" s="541"/>
      <c r="O7" s="541"/>
      <c r="P7" s="91"/>
      <c r="Q7" s="541"/>
      <c r="R7" s="91"/>
      <c r="S7" s="740"/>
      <c r="T7" s="91"/>
      <c r="U7" s="741"/>
      <c r="V7" s="846"/>
      <c r="X7" s="4"/>
    </row>
    <row r="8" spans="1:34" ht="13.5" customHeight="1">
      <c r="A8" s="844"/>
      <c r="B8" s="514"/>
      <c r="C8" s="1029"/>
      <c r="D8" s="241"/>
      <c r="E8" s="513" t="s">
        <v>1714</v>
      </c>
      <c r="F8" s="241"/>
      <c r="G8" s="553">
        <v>100000</v>
      </c>
      <c r="H8" s="541"/>
      <c r="I8" s="1118" t="s">
        <v>1851</v>
      </c>
      <c r="J8" s="541"/>
      <c r="K8" s="541"/>
      <c r="L8" s="541"/>
      <c r="M8" s="541"/>
      <c r="N8" s="541"/>
      <c r="O8" s="541"/>
      <c r="P8" s="91"/>
      <c r="Q8" s="541"/>
      <c r="R8" s="91"/>
      <c r="S8" s="740"/>
      <c r="T8" s="91"/>
      <c r="U8" s="741"/>
      <c r="V8" s="846"/>
      <c r="X8" s="4"/>
    </row>
    <row r="9" spans="1:34" ht="7.5" customHeight="1">
      <c r="A9" s="844"/>
      <c r="B9" s="514"/>
      <c r="C9" s="1029"/>
      <c r="D9" s="241"/>
      <c r="E9" s="1030"/>
      <c r="F9" s="241"/>
      <c r="G9" s="550"/>
      <c r="I9" s="550"/>
      <c r="J9" s="241"/>
      <c r="K9" s="550"/>
      <c r="L9" s="241"/>
      <c r="M9" s="550"/>
      <c r="N9" s="241"/>
      <c r="O9" s="550"/>
      <c r="P9" s="241"/>
      <c r="Q9" s="550"/>
      <c r="R9" s="241"/>
      <c r="S9" s="605"/>
      <c r="T9" s="241"/>
      <c r="U9" s="603"/>
      <c r="V9" s="846"/>
      <c r="X9" s="4"/>
    </row>
    <row r="10" spans="1:34" s="8" customFormat="1" ht="18.75" customHeight="1">
      <c r="A10" s="840"/>
      <c r="B10" s="742"/>
      <c r="C10" s="694"/>
      <c r="D10" s="7"/>
      <c r="E10" s="7"/>
      <c r="F10" s="7"/>
      <c r="G10" s="631" t="str">
        <f>+'FY Control'!C7</f>
        <v>2020-21</v>
      </c>
      <c r="H10" s="631"/>
      <c r="I10" s="631" t="str">
        <f>+'FY Control'!C8</f>
        <v>2021-22</v>
      </c>
      <c r="J10" s="631"/>
      <c r="K10" s="631" t="str">
        <f>+'FY Control'!C9</f>
        <v>2022-23</v>
      </c>
      <c r="L10" s="631"/>
      <c r="M10" s="631" t="str">
        <f>+'FY Control'!C10</f>
        <v>2023-24</v>
      </c>
      <c r="N10" s="631"/>
      <c r="O10" s="744" t="str">
        <f>+'FY Control'!C11</f>
        <v>2024-25</v>
      </c>
      <c r="P10" s="631"/>
      <c r="Q10" s="631" t="str">
        <f>+'FY Control'!C12</f>
        <v>2025-26</v>
      </c>
      <c r="R10" s="631"/>
      <c r="S10" s="631" t="str">
        <f>+'FY Control'!C13</f>
        <v>2026-27</v>
      </c>
      <c r="T10" s="631"/>
      <c r="U10" s="631" t="str">
        <f>+'FY Control'!C14</f>
        <v>2027-28</v>
      </c>
      <c r="V10" s="839"/>
      <c r="X10" s="4"/>
      <c r="Z10" s="14"/>
    </row>
    <row r="11" spans="1:34" s="8" customFormat="1" ht="18.75" customHeight="1">
      <c r="A11" s="840"/>
      <c r="C11" s="2"/>
      <c r="D11" s="47"/>
      <c r="E11" s="7"/>
      <c r="F11" s="47"/>
      <c r="G11" s="552" t="s">
        <v>1665</v>
      </c>
      <c r="H11" s="512"/>
      <c r="I11" s="552" t="s">
        <v>1337</v>
      </c>
      <c r="J11" s="512"/>
      <c r="K11" s="552" t="s">
        <v>1338</v>
      </c>
      <c r="L11" s="512"/>
      <c r="M11" s="552" t="s">
        <v>1347</v>
      </c>
      <c r="N11" s="512"/>
      <c r="O11" s="552" t="s">
        <v>1347</v>
      </c>
      <c r="P11" s="512"/>
      <c r="Q11" s="552" t="s">
        <v>1347</v>
      </c>
      <c r="R11" s="167"/>
      <c r="S11" s="552" t="s">
        <v>1347</v>
      </c>
      <c r="T11" s="167"/>
      <c r="U11" s="552" t="s">
        <v>1347</v>
      </c>
      <c r="V11" s="846"/>
      <c r="X11" s="974"/>
      <c r="Y11" s="7"/>
      <c r="Z11" s="7"/>
      <c r="AA11" s="7"/>
      <c r="AB11" s="7"/>
      <c r="AC11" s="7"/>
      <c r="AD11" s="7"/>
      <c r="AE11" s="7"/>
      <c r="AF11" s="7"/>
      <c r="AG11" s="7"/>
      <c r="AH11" s="7"/>
    </row>
    <row r="12" spans="1:34" ht="15.75" customHeight="1">
      <c r="A12" s="844"/>
      <c r="B12" s="514"/>
      <c r="C12" s="15"/>
      <c r="D12" s="241"/>
      <c r="E12" s="510" t="s">
        <v>1334</v>
      </c>
      <c r="F12" s="241"/>
      <c r="G12" s="515">
        <f>+'Data Entry'!G136</f>
        <v>0</v>
      </c>
      <c r="H12" s="541"/>
      <c r="I12" s="515">
        <f>+'Data Entry'!H136</f>
        <v>0</v>
      </c>
      <c r="J12" s="541"/>
      <c r="K12" s="515">
        <f>+'Data Entry'!I136</f>
        <v>0</v>
      </c>
      <c r="L12" s="541"/>
      <c r="M12" s="515">
        <f>+'Data Entry'!J136</f>
        <v>0</v>
      </c>
      <c r="O12" s="515">
        <f>+'Data Entry'!K136</f>
        <v>0</v>
      </c>
      <c r="Q12" s="515">
        <f>+'Data Entry'!L136</f>
        <v>0</v>
      </c>
      <c r="R12" s="91"/>
      <c r="S12" s="515">
        <f>+'Data Entry'!M136</f>
        <v>0</v>
      </c>
      <c r="T12" s="91"/>
      <c r="U12" s="515">
        <f>+'Data Entry'!N136</f>
        <v>0</v>
      </c>
      <c r="V12" s="846"/>
      <c r="X12" s="4"/>
    </row>
    <row r="13" spans="1:34" ht="15.75" customHeight="1">
      <c r="A13" s="844"/>
      <c r="B13" s="514"/>
      <c r="C13" s="15"/>
      <c r="D13" s="241"/>
      <c r="E13" s="510" t="s">
        <v>1335</v>
      </c>
      <c r="F13" s="241"/>
      <c r="G13" s="515">
        <f>+'Data Entry'!G137</f>
        <v>0</v>
      </c>
      <c r="H13" s="541"/>
      <c r="I13" s="515">
        <f>+'Data Entry'!H137</f>
        <v>0</v>
      </c>
      <c r="J13" s="541"/>
      <c r="K13" s="515">
        <f>+'Data Entry'!I137</f>
        <v>0</v>
      </c>
      <c r="L13" s="541"/>
      <c r="M13" s="515">
        <f>+'Data Entry'!J137</f>
        <v>0</v>
      </c>
      <c r="O13" s="515">
        <f>+'Data Entry'!K137</f>
        <v>0</v>
      </c>
      <c r="Q13" s="515">
        <f>+'Data Entry'!L137</f>
        <v>0</v>
      </c>
      <c r="R13" s="91"/>
      <c r="S13" s="515">
        <f>+'Data Entry'!M137</f>
        <v>0</v>
      </c>
      <c r="T13" s="91"/>
      <c r="U13" s="515">
        <f>+'Data Entry'!N137</f>
        <v>0</v>
      </c>
      <c r="V13" s="846"/>
      <c r="X13" s="4"/>
    </row>
    <row r="14" spans="1:34" ht="15.75" customHeight="1">
      <c r="A14" s="844"/>
      <c r="B14" s="514"/>
      <c r="C14" s="15"/>
      <c r="D14" s="241"/>
      <c r="E14" s="510" t="s">
        <v>1336</v>
      </c>
      <c r="F14" s="241"/>
      <c r="G14" s="515">
        <f>+'Data Entry'!G138</f>
        <v>0</v>
      </c>
      <c r="H14" s="541"/>
      <c r="I14" s="515">
        <f>+'Data Entry'!H138</f>
        <v>0</v>
      </c>
      <c r="J14" s="541"/>
      <c r="K14" s="515">
        <f>+'Data Entry'!I138</f>
        <v>0</v>
      </c>
      <c r="L14" s="541"/>
      <c r="M14" s="515">
        <f>+'Data Entry'!J138</f>
        <v>0</v>
      </c>
      <c r="O14" s="515">
        <f>+'Data Entry'!K138</f>
        <v>0</v>
      </c>
      <c r="Q14" s="515">
        <f>+'Data Entry'!L138</f>
        <v>0</v>
      </c>
      <c r="R14" s="91"/>
      <c r="S14" s="515">
        <f>+'Data Entry'!M138</f>
        <v>0</v>
      </c>
      <c r="T14" s="91"/>
      <c r="U14" s="515">
        <f>+'Data Entry'!N138</f>
        <v>0</v>
      </c>
      <c r="V14" s="846"/>
      <c r="X14" s="4"/>
    </row>
    <row r="15" spans="1:34" ht="7.5" customHeight="1">
      <c r="A15" s="844"/>
      <c r="B15" s="514"/>
      <c r="C15" s="15"/>
      <c r="D15" s="241"/>
      <c r="E15" s="510"/>
      <c r="F15" s="241"/>
      <c r="G15" s="550"/>
      <c r="I15" s="550"/>
      <c r="J15" s="241"/>
      <c r="K15" s="550"/>
      <c r="L15" s="241"/>
      <c r="M15" s="550"/>
      <c r="N15" s="241"/>
      <c r="O15" s="550"/>
      <c r="P15" s="241"/>
      <c r="Q15" s="550"/>
      <c r="R15" s="550"/>
      <c r="S15" s="604"/>
      <c r="T15" s="550"/>
      <c r="U15" s="599"/>
      <c r="V15" s="846"/>
      <c r="X15" s="4"/>
    </row>
    <row r="16" spans="1:34" ht="15.75" customHeight="1">
      <c r="A16" s="844"/>
      <c r="B16" s="514"/>
      <c r="C16" s="15"/>
      <c r="D16" s="241"/>
      <c r="E16" s="510" t="s">
        <v>1344</v>
      </c>
      <c r="F16" s="241"/>
      <c r="G16" s="800">
        <f>IFERROR(+G12*$G$4+G$13*$G$5+G14*$G$6,0)</f>
        <v>0</v>
      </c>
      <c r="I16" s="800">
        <f>IFERROR(+I12*$G$4+I$13*$G$5+I14*$G$6,0)</f>
        <v>0</v>
      </c>
      <c r="J16" s="550"/>
      <c r="K16" s="800">
        <f>IFERROR(+K12*$G$4+K$13*$G$5+K14*$G$6,)</f>
        <v>0</v>
      </c>
      <c r="L16" s="550"/>
      <c r="M16" s="800">
        <f>+M12*$G$4+M$13*$G$5+M14*$G$6</f>
        <v>0</v>
      </c>
      <c r="N16" s="241"/>
      <c r="O16" s="800">
        <f>+O12*$G$4+O$13*$G$5+O14*$G$6</f>
        <v>0</v>
      </c>
      <c r="P16" s="241"/>
      <c r="Q16" s="800">
        <f>+Q12*$G$4+Q$13*$G$5+Q14*$G$6</f>
        <v>0</v>
      </c>
      <c r="R16" s="241"/>
      <c r="S16" s="800">
        <f>+S12*$G$4+S$13*$G$5+S14*$G$6</f>
        <v>0</v>
      </c>
      <c r="T16" s="241"/>
      <c r="U16" s="800">
        <f>+U12*$G$4+U$13*$G$5+U14*$G$6</f>
        <v>0</v>
      </c>
      <c r="V16" s="846"/>
      <c r="X16" s="4"/>
    </row>
    <row r="17" spans="1:24" ht="15.75" customHeight="1">
      <c r="A17" s="844"/>
      <c r="B17" s="514"/>
      <c r="C17" s="15"/>
      <c r="D17" s="241"/>
      <c r="E17" s="510" t="s">
        <v>1346</v>
      </c>
      <c r="F17" s="241"/>
      <c r="G17" s="550"/>
      <c r="I17" s="550"/>
      <c r="J17" s="550"/>
      <c r="K17" s="550">
        <f>ROUND((+G16+I16+K16)/3,0)</f>
        <v>0</v>
      </c>
      <c r="L17" s="241"/>
      <c r="M17" s="550">
        <f>ROUND((+I16+K16+M16)/3,0)</f>
        <v>0</v>
      </c>
      <c r="N17" s="241"/>
      <c r="O17" s="550">
        <f>ROUND((+K16+M16+O16)/3,0)</f>
        <v>0</v>
      </c>
      <c r="P17" s="241"/>
      <c r="Q17" s="550">
        <f>ROUND((+M16+O16+Q16)/3,0)</f>
        <v>0</v>
      </c>
      <c r="R17" s="241"/>
      <c r="S17" s="550">
        <f>ROUND((+O16+Q16+S16)/3,0)</f>
        <v>0</v>
      </c>
      <c r="T17" s="241"/>
      <c r="U17" s="550">
        <f>ROUND((+Q16+S16+U16)/3,0)</f>
        <v>0</v>
      </c>
      <c r="V17" s="846"/>
      <c r="X17" s="4"/>
    </row>
    <row r="18" spans="1:24" ht="15.75" customHeight="1">
      <c r="A18" s="844"/>
      <c r="B18" s="514"/>
      <c r="C18" s="15"/>
      <c r="D18" s="241"/>
      <c r="E18" s="510"/>
      <c r="F18" s="241"/>
      <c r="G18" s="550"/>
      <c r="I18" s="550"/>
      <c r="J18" s="550"/>
      <c r="K18" s="550"/>
      <c r="L18" s="241"/>
      <c r="M18" s="550"/>
      <c r="N18" s="241"/>
      <c r="O18" s="550"/>
      <c r="P18" s="241"/>
      <c r="Q18" s="550"/>
      <c r="R18" s="241"/>
      <c r="S18" s="550"/>
      <c r="T18" s="241"/>
      <c r="U18" s="550"/>
      <c r="V18" s="846"/>
      <c r="X18" s="4"/>
    </row>
    <row r="19" spans="1:24" ht="15.75" customHeight="1">
      <c r="A19" s="844"/>
      <c r="B19" s="514"/>
      <c r="C19" s="15"/>
      <c r="D19" s="241"/>
      <c r="E19" s="1140" t="s">
        <v>1345</v>
      </c>
      <c r="F19" s="241"/>
      <c r="G19" s="983"/>
      <c r="I19" s="983"/>
      <c r="J19" s="983"/>
      <c r="K19" s="983">
        <f>IF('Data Entry'!I134="YES",200000,0)</f>
        <v>200000</v>
      </c>
      <c r="M19" s="983">
        <f>IF('Data Entry'!J134="YES",200000,0)</f>
        <v>0</v>
      </c>
      <c r="N19" s="241"/>
      <c r="O19" s="983">
        <f>IF('Data Entry'!K134="YES",200000,0)</f>
        <v>0</v>
      </c>
      <c r="P19" s="241"/>
      <c r="Q19" s="983">
        <f>IF('Data Entry'!L134="YES",200000,0)</f>
        <v>0</v>
      </c>
      <c r="R19" s="241"/>
      <c r="S19" s="983">
        <f>IF('Data Entry'!M134="YES",200000,0)</f>
        <v>0</v>
      </c>
      <c r="T19" s="241"/>
      <c r="U19" s="983">
        <f>IF('Data Entry'!N134="YES",200000,0)</f>
        <v>0</v>
      </c>
      <c r="V19" s="846"/>
      <c r="X19" s="4"/>
    </row>
    <row r="20" spans="1:24" ht="15.75" customHeight="1">
      <c r="A20" s="844"/>
      <c r="B20" s="514"/>
      <c r="C20" s="15"/>
      <c r="D20" s="241"/>
      <c r="E20" s="510"/>
      <c r="F20" s="241"/>
      <c r="G20" s="983"/>
      <c r="I20" s="983"/>
      <c r="J20" s="983"/>
      <c r="K20" s="983"/>
      <c r="M20" s="983"/>
      <c r="N20" s="241"/>
      <c r="O20" s="983"/>
      <c r="P20" s="241"/>
      <c r="Q20" s="983"/>
      <c r="R20" s="241"/>
      <c r="S20" s="983"/>
      <c r="T20" s="241"/>
      <c r="U20" s="983"/>
      <c r="V20" s="846"/>
      <c r="X20" s="4"/>
    </row>
    <row r="21" spans="1:24" ht="15.75" customHeight="1">
      <c r="A21" s="844"/>
      <c r="B21" s="514"/>
      <c r="C21" s="15"/>
      <c r="D21" s="241"/>
      <c r="E21" s="510" t="s">
        <v>1715</v>
      </c>
      <c r="F21" s="241"/>
      <c r="G21" s="515">
        <f>+'[4]Data Entry'!G141</f>
        <v>0</v>
      </c>
      <c r="H21" s="541"/>
      <c r="I21" s="515">
        <f>+'[4]Data Entry'!H141</f>
        <v>0</v>
      </c>
      <c r="J21" s="541"/>
      <c r="K21" s="515">
        <f>+'Data Entry'!I140</f>
        <v>0</v>
      </c>
      <c r="L21" s="541"/>
      <c r="M21" s="515">
        <f>+'Data Entry'!J140</f>
        <v>0</v>
      </c>
      <c r="O21" s="515">
        <f>+'Data Entry'!K140</f>
        <v>0</v>
      </c>
      <c r="Q21" s="515">
        <f>+'Data Entry'!L140</f>
        <v>0</v>
      </c>
      <c r="R21" s="91"/>
      <c r="S21" s="515">
        <f>+'Data Entry'!M140</f>
        <v>0</v>
      </c>
      <c r="T21" s="91"/>
      <c r="U21" s="515">
        <f>+'Data Entry'!N140</f>
        <v>0</v>
      </c>
      <c r="V21" s="846"/>
      <c r="X21" s="4"/>
    </row>
    <row r="22" spans="1:24" ht="7.5" customHeight="1">
      <c r="A22" s="844"/>
      <c r="B22" s="514"/>
      <c r="C22" s="15"/>
      <c r="D22" s="241"/>
      <c r="E22" s="510"/>
      <c r="F22" s="241"/>
      <c r="G22" s="331"/>
      <c r="H22" s="23"/>
      <c r="I22" s="331"/>
      <c r="J22" s="241"/>
      <c r="K22" s="550"/>
      <c r="L22" s="241"/>
      <c r="M22" s="550"/>
      <c r="N22" s="241"/>
      <c r="O22" s="550"/>
      <c r="P22" s="241"/>
      <c r="Q22" s="550"/>
      <c r="R22" s="550"/>
      <c r="S22" s="604"/>
      <c r="T22" s="550"/>
      <c r="U22" s="599"/>
      <c r="V22" s="846"/>
      <c r="X22" s="4"/>
    </row>
    <row r="23" spans="1:24" ht="15.75" customHeight="1">
      <c r="A23" s="844"/>
      <c r="B23" s="514"/>
      <c r="C23" s="1029"/>
      <c r="D23" s="241"/>
      <c r="E23" s="510" t="s">
        <v>1716</v>
      </c>
      <c r="F23" s="241"/>
      <c r="G23" s="1138">
        <f>+'[4]Data Entry'!G141*$G$8</f>
        <v>0</v>
      </c>
      <c r="H23" s="23"/>
      <c r="I23" s="1138">
        <f>+'[4]Data Entry'!H141*$G$8</f>
        <v>0</v>
      </c>
      <c r="J23" s="1031"/>
      <c r="K23" s="983">
        <f>+K21*G8</f>
        <v>0</v>
      </c>
      <c r="L23" s="1031"/>
      <c r="M23" s="983">
        <f>+'Data Entry'!J140*$G$8</f>
        <v>0</v>
      </c>
      <c r="N23" s="1031"/>
      <c r="O23" s="983">
        <f>+'Data Entry'!K140*$G$8</f>
        <v>0</v>
      </c>
      <c r="P23" s="1031"/>
      <c r="Q23" s="983">
        <f>+'Data Entry'!L140*$G$8</f>
        <v>0</v>
      </c>
      <c r="R23" s="1031"/>
      <c r="S23" s="1139">
        <f>+'Data Entry'!M140*$G$8</f>
        <v>0</v>
      </c>
      <c r="T23" s="1031"/>
      <c r="U23" s="983">
        <f>+'Data Entry'!N140*$G$8</f>
        <v>0</v>
      </c>
      <c r="V23" s="846"/>
      <c r="X23" s="4"/>
    </row>
    <row r="24" spans="1:24" ht="15.75" customHeight="1">
      <c r="A24" s="844"/>
      <c r="B24" s="514"/>
      <c r="C24" s="1029"/>
      <c r="D24" s="241"/>
      <c r="E24" s="510" t="s">
        <v>1761</v>
      </c>
      <c r="F24" s="241"/>
      <c r="G24" s="949">
        <f>+G23</f>
        <v>0</v>
      </c>
      <c r="H24" s="23"/>
      <c r="I24" s="949">
        <f>(+I23+G23)/2</f>
        <v>0</v>
      </c>
      <c r="J24" s="1031"/>
      <c r="K24" s="1137">
        <f>ROUND((+G23+I23+K23)/1,0)</f>
        <v>0</v>
      </c>
      <c r="L24" s="1031"/>
      <c r="M24" s="1137">
        <f>ROUND((+K23+M23+I23)/2,0)</f>
        <v>0</v>
      </c>
      <c r="N24" s="1031"/>
      <c r="O24" s="1137">
        <f>ROUND((+K23+M23+O23)/2,0)</f>
        <v>0</v>
      </c>
      <c r="P24" s="1031"/>
      <c r="Q24" s="1137">
        <f>ROUND((+M23+O23+Q23)/3,0)</f>
        <v>0</v>
      </c>
      <c r="R24" s="1031"/>
      <c r="S24" s="1031">
        <f>ROUND((+O23+Q23+S23)/3,0)</f>
        <v>0</v>
      </c>
      <c r="T24" s="1031"/>
      <c r="U24" s="1137">
        <f>ROUND((+Q23+S23+U23)/3,0)</f>
        <v>0</v>
      </c>
      <c r="V24" s="846"/>
      <c r="X24" s="4"/>
    </row>
    <row r="25" spans="1:24" ht="7.5" customHeight="1">
      <c r="A25" s="844"/>
      <c r="B25" s="514"/>
      <c r="C25" s="15"/>
      <c r="D25" s="241"/>
      <c r="E25" s="510"/>
      <c r="F25" s="241"/>
      <c r="G25" s="1119"/>
      <c r="I25" s="1119"/>
      <c r="J25" s="1119"/>
      <c r="K25" s="550"/>
      <c r="L25" s="241"/>
      <c r="M25" s="550"/>
      <c r="N25" s="241"/>
      <c r="O25" s="550"/>
      <c r="P25" s="241"/>
      <c r="Q25" s="550"/>
      <c r="R25" s="241"/>
      <c r="S25" s="605"/>
      <c r="T25" s="241"/>
      <c r="U25" s="603"/>
      <c r="V25" s="846"/>
      <c r="X25" s="4"/>
    </row>
    <row r="26" spans="1:24" s="8" customFormat="1" ht="15.75" customHeight="1">
      <c r="A26" s="840"/>
      <c r="B26" s="514"/>
      <c r="C26" s="15"/>
      <c r="D26" s="91"/>
      <c r="E26" s="510" t="s">
        <v>1661</v>
      </c>
      <c r="F26" s="91"/>
      <c r="G26" s="1031"/>
      <c r="H26" s="241"/>
      <c r="I26" s="1031"/>
      <c r="J26" s="1031"/>
      <c r="K26" s="598">
        <f>+K17+K19+K24</f>
        <v>200000</v>
      </c>
      <c r="L26" s="91"/>
      <c r="M26" s="598">
        <f>+M17+M19+M24</f>
        <v>0</v>
      </c>
      <c r="N26" s="91"/>
      <c r="O26" s="598">
        <f>+O17+O19+O24</f>
        <v>0</v>
      </c>
      <c r="P26" s="91"/>
      <c r="Q26" s="598">
        <f>+Q17+Q19+Q24</f>
        <v>0</v>
      </c>
      <c r="R26" s="91"/>
      <c r="S26" s="598">
        <f>+S17+S19+S24</f>
        <v>0</v>
      </c>
      <c r="T26" s="91"/>
      <c r="U26" s="598">
        <f>+U17+U19+U24</f>
        <v>0</v>
      </c>
      <c r="V26" s="846"/>
      <c r="X26" s="4"/>
    </row>
    <row r="27" spans="1:24" s="8" customFormat="1" ht="15.75" customHeight="1">
      <c r="A27" s="840"/>
      <c r="B27" s="514"/>
      <c r="C27" s="15"/>
      <c r="D27" s="91"/>
      <c r="E27" s="510"/>
      <c r="F27" s="91"/>
      <c r="G27" s="743"/>
      <c r="H27" s="91"/>
      <c r="I27" s="550"/>
      <c r="J27" s="743"/>
      <c r="K27" s="743"/>
      <c r="L27" s="91"/>
      <c r="M27" s="743"/>
      <c r="N27" s="91"/>
      <c r="O27" s="743"/>
      <c r="P27" s="91"/>
      <c r="Q27" s="743"/>
      <c r="R27" s="91"/>
      <c r="S27" s="743"/>
      <c r="T27" s="91"/>
      <c r="U27" s="743"/>
      <c r="V27" s="846"/>
      <c r="X27" s="4"/>
    </row>
    <row r="28" spans="1:24" s="8" customFormat="1" ht="7.5" customHeight="1" thickBot="1">
      <c r="A28" s="845"/>
      <c r="B28" s="848"/>
      <c r="C28" s="848"/>
      <c r="D28" s="848"/>
      <c r="E28" s="848"/>
      <c r="F28" s="848"/>
      <c r="G28" s="849"/>
      <c r="H28" s="848"/>
      <c r="I28" s="849"/>
      <c r="J28" s="848"/>
      <c r="K28" s="849"/>
      <c r="L28" s="848"/>
      <c r="M28" s="849"/>
      <c r="N28" s="848"/>
      <c r="O28" s="849"/>
      <c r="P28" s="848"/>
      <c r="Q28" s="849"/>
      <c r="R28" s="848"/>
      <c r="S28" s="849"/>
      <c r="T28" s="848"/>
      <c r="U28" s="848"/>
      <c r="V28" s="847"/>
      <c r="X28" s="4"/>
    </row>
  </sheetData>
  <sheetProtection algorithmName="SHA-512" hashValue="ssJehfkTjye2BlPtJ7XlbFqPGRB2mPBkMXC+u/Jr5THzpaEo+hhPNUM2/mYY/pcn1phHp4SrP8NbhHPxGAnsBA==" saltValue="b/R9pmSDD5oNo1DBBu+ISA==" spinCount="100000" sheet="1" formatCells="0" formatColumns="0" formatRows="0"/>
  <printOptions horizontalCentered="1"/>
  <pageMargins left="0.2" right="0.2" top="1" bottom="0.55000000000000004" header="0.3" footer="0.3"/>
  <pageSetup scale="69" fitToHeight="0" orientation="landscape" r:id="rId1"/>
  <headerFooter>
    <oddHeader>&amp;L
&amp;A&amp;R&amp;G</oddHeader>
    <oddFooter>&amp;L&amp;D&amp;T&amp;R&amp;F
&amp;A -page &amp;P of &amp;N</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B1CEC-03A8-4285-A717-E620A812A69C}">
  <dimension ref="A1:K67"/>
  <sheetViews>
    <sheetView zoomScale="70" zoomScaleNormal="70" workbookViewId="0">
      <pane ySplit="5" topLeftCell="A6" activePane="bottomLeft" state="frozen"/>
      <selection pane="bottomLeft" activeCell="E6" sqref="E6"/>
    </sheetView>
  </sheetViews>
  <sheetFormatPr defaultColWidth="11.44140625" defaultRowHeight="15"/>
  <cols>
    <col min="1" max="1" width="10.88671875" style="737" customWidth="1"/>
    <col min="2" max="2" width="58.6640625" style="61" customWidth="1"/>
    <col min="3" max="11" width="16" style="61" customWidth="1"/>
    <col min="12" max="16384" width="11.44140625" style="61"/>
  </cols>
  <sheetData>
    <row r="1" spans="1:11" ht="21.75" customHeight="1" thickBot="1">
      <c r="A1" s="910" t="s">
        <v>1333</v>
      </c>
      <c r="G1" s="932" t="s">
        <v>1635</v>
      </c>
      <c r="I1" s="933" t="s">
        <v>1779</v>
      </c>
    </row>
    <row r="2" spans="1:11" ht="21.75" customHeight="1" thickTop="1">
      <c r="A2" s="934" t="s">
        <v>1773</v>
      </c>
      <c r="B2" s="818"/>
      <c r="C2" s="1287" t="s">
        <v>180</v>
      </c>
      <c r="D2" s="1287"/>
      <c r="E2" s="1287"/>
      <c r="F2" s="1288" t="s">
        <v>181</v>
      </c>
      <c r="G2" s="1287"/>
      <c r="H2" s="1287"/>
      <c r="I2" s="1287" t="s">
        <v>182</v>
      </c>
      <c r="J2" s="1287"/>
      <c r="K2" s="1287"/>
    </row>
    <row r="3" spans="1:11" ht="21.75" customHeight="1">
      <c r="A3" s="813" t="str">
        <f>+'Data Entry'!I10</f>
        <v>2022-23</v>
      </c>
      <c r="C3" s="814" t="s">
        <v>1543</v>
      </c>
      <c r="D3" s="814" t="s">
        <v>1544</v>
      </c>
      <c r="E3" s="814" t="s">
        <v>1545</v>
      </c>
      <c r="F3" s="814" t="s">
        <v>1546</v>
      </c>
      <c r="G3" s="814" t="s">
        <v>1547</v>
      </c>
      <c r="H3" s="814" t="s">
        <v>1548</v>
      </c>
      <c r="I3" s="814" t="s">
        <v>1549</v>
      </c>
      <c r="J3" s="814" t="s">
        <v>1550</v>
      </c>
      <c r="K3" s="814" t="s">
        <v>1551</v>
      </c>
    </row>
    <row r="4" spans="1:11" ht="175.5" customHeight="1">
      <c r="A4" s="745" t="s">
        <v>16</v>
      </c>
      <c r="B4" s="746" t="s">
        <v>20</v>
      </c>
      <c r="C4" s="747" t="s">
        <v>1671</v>
      </c>
      <c r="D4" s="747" t="s">
        <v>1672</v>
      </c>
      <c r="E4" s="991" t="s">
        <v>1673</v>
      </c>
      <c r="F4" s="747" t="s">
        <v>1674</v>
      </c>
      <c r="G4" s="747" t="s">
        <v>1675</v>
      </c>
      <c r="H4" s="747" t="s">
        <v>1676</v>
      </c>
      <c r="I4" s="747" t="s">
        <v>1677</v>
      </c>
      <c r="J4" s="747" t="s">
        <v>1678</v>
      </c>
      <c r="K4" s="747" t="s">
        <v>1679</v>
      </c>
    </row>
    <row r="5" spans="1:11" ht="24" customHeight="1">
      <c r="A5" s="747"/>
      <c r="B5" s="747"/>
      <c r="C5" s="747" t="s">
        <v>1339</v>
      </c>
      <c r="D5" s="931" t="s">
        <v>1340</v>
      </c>
      <c r="E5" s="745" t="s">
        <v>130</v>
      </c>
      <c r="F5" s="931" t="s">
        <v>439</v>
      </c>
      <c r="G5" s="931" t="s">
        <v>440</v>
      </c>
      <c r="H5" s="931" t="s">
        <v>131</v>
      </c>
      <c r="I5" s="931" t="s">
        <v>441</v>
      </c>
      <c r="J5" s="931" t="s">
        <v>442</v>
      </c>
      <c r="K5" s="931" t="s">
        <v>12</v>
      </c>
    </row>
    <row r="6" spans="1:11">
      <c r="A6" s="1068">
        <v>1</v>
      </c>
      <c r="B6" s="731" t="s">
        <v>49</v>
      </c>
      <c r="C6" s="732">
        <v>1</v>
      </c>
      <c r="D6" s="732">
        <v>1</v>
      </c>
      <c r="E6" s="732">
        <v>1</v>
      </c>
      <c r="F6" s="732">
        <v>5</v>
      </c>
      <c r="G6" s="732">
        <v>5</v>
      </c>
      <c r="H6" s="732">
        <v>7</v>
      </c>
      <c r="I6" s="732">
        <v>5</v>
      </c>
      <c r="J6" s="732">
        <v>5</v>
      </c>
      <c r="K6" s="732">
        <v>7</v>
      </c>
    </row>
    <row r="7" spans="1:11">
      <c r="A7" s="1068">
        <v>2</v>
      </c>
      <c r="B7" s="731" t="s">
        <v>51</v>
      </c>
      <c r="C7" s="732" t="s">
        <v>29</v>
      </c>
      <c r="D7" s="732" t="s">
        <v>29</v>
      </c>
      <c r="E7" s="732" t="s">
        <v>29</v>
      </c>
      <c r="F7" s="732" t="s">
        <v>29</v>
      </c>
      <c r="G7" s="732" t="s">
        <v>29</v>
      </c>
      <c r="H7" s="732" t="s">
        <v>29</v>
      </c>
      <c r="I7" s="732" t="s">
        <v>29</v>
      </c>
      <c r="J7" s="732" t="s">
        <v>29</v>
      </c>
      <c r="K7" s="732" t="s">
        <v>29</v>
      </c>
    </row>
    <row r="8" spans="1:11">
      <c r="A8" s="1068">
        <v>3</v>
      </c>
      <c r="B8" s="731" t="s">
        <v>52</v>
      </c>
      <c r="C8" s="732" t="s">
        <v>29</v>
      </c>
      <c r="D8" s="732" t="s">
        <v>29</v>
      </c>
      <c r="E8" s="732" t="s">
        <v>29</v>
      </c>
      <c r="F8" s="732" t="s">
        <v>29</v>
      </c>
      <c r="G8" s="732" t="s">
        <v>29</v>
      </c>
      <c r="H8" s="732" t="s">
        <v>29</v>
      </c>
      <c r="I8" s="732" t="s">
        <v>29</v>
      </c>
      <c r="J8" s="732" t="s">
        <v>29</v>
      </c>
      <c r="K8" s="732" t="s">
        <v>29</v>
      </c>
    </row>
    <row r="9" spans="1:11">
      <c r="A9" s="1068">
        <v>4</v>
      </c>
      <c r="B9" s="731" t="s">
        <v>53</v>
      </c>
      <c r="C9" s="732">
        <v>6</v>
      </c>
      <c r="D9" s="732">
        <v>6</v>
      </c>
      <c r="E9" s="732">
        <v>9</v>
      </c>
      <c r="F9" s="732">
        <v>0</v>
      </c>
      <c r="G9" s="732">
        <v>0</v>
      </c>
      <c r="H9" s="732">
        <v>0</v>
      </c>
      <c r="I9" s="732">
        <v>1</v>
      </c>
      <c r="J9" s="732">
        <v>1</v>
      </c>
      <c r="K9" s="732">
        <v>1</v>
      </c>
    </row>
    <row r="10" spans="1:11">
      <c r="A10" s="1068">
        <v>5</v>
      </c>
      <c r="B10" s="731" t="s">
        <v>54</v>
      </c>
      <c r="C10" s="732">
        <v>3</v>
      </c>
      <c r="D10" s="732">
        <v>3</v>
      </c>
      <c r="E10" s="732">
        <v>3</v>
      </c>
      <c r="F10" s="732">
        <v>1</v>
      </c>
      <c r="G10" s="732">
        <v>1</v>
      </c>
      <c r="H10" s="732">
        <v>1</v>
      </c>
      <c r="I10" s="732">
        <v>0</v>
      </c>
      <c r="J10" s="732">
        <v>0</v>
      </c>
      <c r="K10" s="732">
        <v>0</v>
      </c>
    </row>
    <row r="11" spans="1:11">
      <c r="A11" s="1068">
        <v>6</v>
      </c>
      <c r="B11" s="731" t="s">
        <v>55</v>
      </c>
      <c r="C11" s="732">
        <v>1</v>
      </c>
      <c r="D11" s="732">
        <v>1</v>
      </c>
      <c r="E11" s="732">
        <v>4</v>
      </c>
      <c r="F11" s="732">
        <v>0</v>
      </c>
      <c r="G11" s="732">
        <v>0</v>
      </c>
      <c r="H11" s="732">
        <v>0</v>
      </c>
      <c r="I11" s="732">
        <v>0</v>
      </c>
      <c r="J11" s="732">
        <v>0</v>
      </c>
      <c r="K11" s="732">
        <v>0</v>
      </c>
    </row>
    <row r="12" spans="1:11">
      <c r="A12" s="1068">
        <v>7</v>
      </c>
      <c r="B12" s="731" t="s">
        <v>109</v>
      </c>
      <c r="C12" s="732">
        <v>1</v>
      </c>
      <c r="D12" s="732">
        <v>1</v>
      </c>
      <c r="E12" s="732">
        <v>2</v>
      </c>
      <c r="F12" s="732">
        <v>1</v>
      </c>
      <c r="G12" s="732">
        <v>1</v>
      </c>
      <c r="H12" s="732">
        <v>4</v>
      </c>
      <c r="I12" s="732">
        <v>5</v>
      </c>
      <c r="J12" s="732">
        <v>5</v>
      </c>
      <c r="K12" s="732">
        <v>4</v>
      </c>
    </row>
    <row r="13" spans="1:11">
      <c r="A13" s="1068">
        <v>8</v>
      </c>
      <c r="B13" s="731" t="s">
        <v>56</v>
      </c>
      <c r="C13" s="732" t="s">
        <v>29</v>
      </c>
      <c r="D13" s="732" t="s">
        <v>29</v>
      </c>
      <c r="E13" s="732" t="s">
        <v>29</v>
      </c>
      <c r="F13" s="732" t="s">
        <v>29</v>
      </c>
      <c r="G13" s="732" t="s">
        <v>29</v>
      </c>
      <c r="H13" s="732" t="s">
        <v>29</v>
      </c>
      <c r="I13" s="732" t="s">
        <v>29</v>
      </c>
      <c r="J13" s="732" t="s">
        <v>29</v>
      </c>
      <c r="K13" s="732" t="s">
        <v>29</v>
      </c>
    </row>
    <row r="14" spans="1:11">
      <c r="A14" s="1068">
        <v>9</v>
      </c>
      <c r="B14" s="731" t="s">
        <v>37</v>
      </c>
      <c r="C14" s="732">
        <v>5</v>
      </c>
      <c r="D14" s="732">
        <v>5</v>
      </c>
      <c r="E14" s="732">
        <v>7</v>
      </c>
      <c r="F14" s="732">
        <v>3</v>
      </c>
      <c r="G14" s="732">
        <v>3</v>
      </c>
      <c r="H14" s="732">
        <v>4</v>
      </c>
      <c r="I14" s="732">
        <v>0</v>
      </c>
      <c r="J14" s="732">
        <v>0</v>
      </c>
      <c r="K14" s="732">
        <v>0</v>
      </c>
    </row>
    <row r="15" spans="1:11">
      <c r="A15" s="1068">
        <v>10</v>
      </c>
      <c r="B15" s="731" t="s">
        <v>48</v>
      </c>
      <c r="C15" s="732">
        <v>3</v>
      </c>
      <c r="D15" s="732">
        <v>3</v>
      </c>
      <c r="E15" s="732">
        <v>13</v>
      </c>
      <c r="F15" s="732">
        <v>2</v>
      </c>
      <c r="G15" s="732">
        <v>2</v>
      </c>
      <c r="H15" s="732">
        <v>6</v>
      </c>
      <c r="I15" s="732">
        <v>3</v>
      </c>
      <c r="J15" s="732">
        <v>3</v>
      </c>
      <c r="K15" s="732">
        <v>4</v>
      </c>
    </row>
    <row r="16" spans="1:11">
      <c r="A16" s="1068">
        <v>11</v>
      </c>
      <c r="B16" s="731" t="s">
        <v>47</v>
      </c>
      <c r="C16" s="732">
        <v>3</v>
      </c>
      <c r="D16" s="732">
        <v>3</v>
      </c>
      <c r="E16" s="732">
        <v>4</v>
      </c>
      <c r="F16" s="732">
        <v>0</v>
      </c>
      <c r="G16" s="732">
        <v>0</v>
      </c>
      <c r="H16" s="732">
        <v>0</v>
      </c>
      <c r="I16" s="732">
        <v>0</v>
      </c>
      <c r="J16" s="732">
        <v>0</v>
      </c>
      <c r="K16" s="732">
        <v>0</v>
      </c>
    </row>
    <row r="17" spans="1:11">
      <c r="A17" s="1068">
        <v>12</v>
      </c>
      <c r="B17" s="731" t="s">
        <v>57</v>
      </c>
      <c r="C17" s="732">
        <v>6</v>
      </c>
      <c r="D17" s="732">
        <v>6</v>
      </c>
      <c r="E17" s="732">
        <v>13</v>
      </c>
      <c r="F17" s="732">
        <v>1</v>
      </c>
      <c r="G17" s="732">
        <v>1</v>
      </c>
      <c r="H17" s="732">
        <v>1</v>
      </c>
      <c r="I17" s="732">
        <v>0</v>
      </c>
      <c r="J17" s="732">
        <v>0</v>
      </c>
      <c r="K17" s="732">
        <v>0</v>
      </c>
    </row>
    <row r="18" spans="1:11">
      <c r="A18" s="1068">
        <v>13</v>
      </c>
      <c r="B18" s="731" t="s">
        <v>58</v>
      </c>
      <c r="C18" s="732">
        <v>2</v>
      </c>
      <c r="D18" s="732">
        <v>2</v>
      </c>
      <c r="E18" s="732">
        <v>7</v>
      </c>
      <c r="F18" s="732">
        <v>3</v>
      </c>
      <c r="G18" s="732">
        <v>3</v>
      </c>
      <c r="H18" s="732">
        <v>4</v>
      </c>
      <c r="I18" s="732">
        <v>0</v>
      </c>
      <c r="J18" s="732">
        <v>0</v>
      </c>
      <c r="K18" s="732">
        <v>0</v>
      </c>
    </row>
    <row r="19" spans="1:11">
      <c r="A19" s="1068">
        <v>14</v>
      </c>
      <c r="B19" s="731" t="s">
        <v>36</v>
      </c>
      <c r="C19" s="732">
        <v>1</v>
      </c>
      <c r="D19" s="732">
        <v>1</v>
      </c>
      <c r="E19" s="732">
        <v>3</v>
      </c>
      <c r="F19" s="732">
        <v>0</v>
      </c>
      <c r="G19" s="732">
        <v>0</v>
      </c>
      <c r="H19" s="732">
        <v>0</v>
      </c>
      <c r="I19" s="732">
        <v>0</v>
      </c>
      <c r="J19" s="732">
        <v>0</v>
      </c>
      <c r="K19" s="732">
        <v>0</v>
      </c>
    </row>
    <row r="20" spans="1:11">
      <c r="A20" s="1068">
        <v>15</v>
      </c>
      <c r="B20" s="731" t="s">
        <v>46</v>
      </c>
      <c r="C20" s="732">
        <v>7</v>
      </c>
      <c r="D20" s="732">
        <v>7</v>
      </c>
      <c r="E20" s="732">
        <v>16</v>
      </c>
      <c r="F20" s="732">
        <v>6</v>
      </c>
      <c r="G20" s="732">
        <v>6</v>
      </c>
      <c r="H20" s="732">
        <v>15</v>
      </c>
      <c r="I20" s="732">
        <v>1</v>
      </c>
      <c r="J20" s="732">
        <v>1</v>
      </c>
      <c r="K20" s="732">
        <v>3</v>
      </c>
    </row>
    <row r="21" spans="1:11">
      <c r="A21" s="1068">
        <v>16</v>
      </c>
      <c r="B21" s="731" t="s">
        <v>59</v>
      </c>
      <c r="C21" s="732">
        <v>1</v>
      </c>
      <c r="D21" s="732">
        <v>1</v>
      </c>
      <c r="E21" s="732">
        <v>6</v>
      </c>
      <c r="F21" s="732">
        <v>3</v>
      </c>
      <c r="G21" s="732">
        <v>3</v>
      </c>
      <c r="H21" s="732">
        <v>5</v>
      </c>
      <c r="I21" s="732">
        <v>0</v>
      </c>
      <c r="J21" s="732">
        <v>0</v>
      </c>
      <c r="K21" s="732">
        <v>0</v>
      </c>
    </row>
    <row r="22" spans="1:11">
      <c r="A22" s="1068">
        <v>17</v>
      </c>
      <c r="B22" s="731" t="s">
        <v>60</v>
      </c>
      <c r="C22" s="732">
        <v>3</v>
      </c>
      <c r="D22" s="732">
        <v>3</v>
      </c>
      <c r="E22" s="732">
        <v>5</v>
      </c>
      <c r="F22" s="732">
        <v>1</v>
      </c>
      <c r="G22" s="732">
        <v>1</v>
      </c>
      <c r="H22" s="732">
        <v>1</v>
      </c>
      <c r="I22" s="732">
        <v>0</v>
      </c>
      <c r="J22" s="732">
        <v>0</v>
      </c>
      <c r="K22" s="732">
        <v>0</v>
      </c>
    </row>
    <row r="23" spans="1:11">
      <c r="A23" s="1068">
        <v>18</v>
      </c>
      <c r="B23" s="731" t="s">
        <v>61</v>
      </c>
      <c r="C23" s="732">
        <v>3</v>
      </c>
      <c r="D23" s="732">
        <v>3</v>
      </c>
      <c r="E23" s="732">
        <v>6</v>
      </c>
      <c r="F23" s="732">
        <v>0</v>
      </c>
      <c r="G23" s="732">
        <v>0</v>
      </c>
      <c r="H23" s="732">
        <v>0</v>
      </c>
      <c r="I23" s="732">
        <v>0</v>
      </c>
      <c r="J23" s="732">
        <v>0</v>
      </c>
      <c r="K23" s="732">
        <v>0</v>
      </c>
    </row>
    <row r="24" spans="1:11">
      <c r="A24" s="1068">
        <v>19</v>
      </c>
      <c r="B24" s="731" t="s">
        <v>45</v>
      </c>
      <c r="C24" s="732">
        <v>3</v>
      </c>
      <c r="D24" s="732">
        <v>3</v>
      </c>
      <c r="E24" s="732">
        <v>8</v>
      </c>
      <c r="F24" s="732">
        <v>12</v>
      </c>
      <c r="G24" s="732">
        <v>12</v>
      </c>
      <c r="H24" s="732">
        <v>29</v>
      </c>
      <c r="I24" s="732">
        <v>15</v>
      </c>
      <c r="J24" s="732">
        <v>15</v>
      </c>
      <c r="K24" s="732">
        <v>25</v>
      </c>
    </row>
    <row r="25" spans="1:11">
      <c r="A25" s="1068">
        <v>20</v>
      </c>
      <c r="B25" s="731" t="s">
        <v>124</v>
      </c>
      <c r="C25" s="732">
        <v>3</v>
      </c>
      <c r="D25" s="732">
        <v>3</v>
      </c>
      <c r="E25" s="732">
        <v>6</v>
      </c>
      <c r="F25" s="732">
        <v>0</v>
      </c>
      <c r="G25" s="732">
        <v>0</v>
      </c>
      <c r="H25" s="732">
        <v>0</v>
      </c>
      <c r="I25" s="732">
        <v>1</v>
      </c>
      <c r="J25" s="732">
        <v>1</v>
      </c>
      <c r="K25" s="732">
        <v>1</v>
      </c>
    </row>
    <row r="26" spans="1:11">
      <c r="A26" s="1068">
        <v>21</v>
      </c>
      <c r="B26" s="731" t="s">
        <v>62</v>
      </c>
      <c r="C26" s="732">
        <v>2</v>
      </c>
      <c r="D26" s="732">
        <v>2</v>
      </c>
      <c r="E26" s="732">
        <v>3</v>
      </c>
      <c r="F26" s="732">
        <v>1</v>
      </c>
      <c r="G26" s="732">
        <v>1</v>
      </c>
      <c r="H26" s="732">
        <v>2</v>
      </c>
      <c r="I26" s="732">
        <v>0</v>
      </c>
      <c r="J26" s="732">
        <v>0</v>
      </c>
      <c r="K26" s="732">
        <v>0</v>
      </c>
    </row>
    <row r="27" spans="1:11">
      <c r="A27" s="1068">
        <v>22</v>
      </c>
      <c r="B27" s="731" t="s">
        <v>63</v>
      </c>
      <c r="C27" s="732" t="s">
        <v>29</v>
      </c>
      <c r="D27" s="732" t="s">
        <v>29</v>
      </c>
      <c r="E27" s="732" t="s">
        <v>29</v>
      </c>
      <c r="F27" s="732" t="s">
        <v>29</v>
      </c>
      <c r="G27" s="732" t="s">
        <v>29</v>
      </c>
      <c r="H27" s="732" t="s">
        <v>29</v>
      </c>
      <c r="I27" s="732" t="s">
        <v>29</v>
      </c>
      <c r="J27" s="732" t="s">
        <v>29</v>
      </c>
      <c r="K27" s="732" t="s">
        <v>29</v>
      </c>
    </row>
    <row r="28" spans="1:11">
      <c r="A28" s="1068">
        <v>23</v>
      </c>
      <c r="B28" s="731" t="s">
        <v>64</v>
      </c>
      <c r="C28" s="732">
        <v>4</v>
      </c>
      <c r="D28" s="732">
        <v>4</v>
      </c>
      <c r="E28" s="732">
        <v>7</v>
      </c>
      <c r="F28" s="732">
        <v>1</v>
      </c>
      <c r="G28" s="732">
        <v>1</v>
      </c>
      <c r="H28" s="732">
        <v>1</v>
      </c>
      <c r="I28" s="732">
        <v>0</v>
      </c>
      <c r="J28" s="732">
        <v>0</v>
      </c>
      <c r="K28" s="732">
        <v>0</v>
      </c>
    </row>
    <row r="29" spans="1:11">
      <c r="A29" s="1068">
        <v>24</v>
      </c>
      <c r="B29" s="731" t="s">
        <v>65</v>
      </c>
      <c r="C29" s="732">
        <v>2</v>
      </c>
      <c r="D29" s="732">
        <v>2</v>
      </c>
      <c r="E29" s="732">
        <v>6</v>
      </c>
      <c r="F29" s="732">
        <v>0</v>
      </c>
      <c r="G29" s="732">
        <v>0</v>
      </c>
      <c r="H29" s="732">
        <v>2</v>
      </c>
      <c r="I29" s="732">
        <v>2</v>
      </c>
      <c r="J29" s="732">
        <v>2</v>
      </c>
      <c r="K29" s="732">
        <v>3</v>
      </c>
    </row>
    <row r="30" spans="1:11">
      <c r="A30" s="1068">
        <v>25</v>
      </c>
      <c r="B30" s="731" t="s">
        <v>66</v>
      </c>
      <c r="C30" s="732">
        <v>1</v>
      </c>
      <c r="D30" s="732">
        <v>1</v>
      </c>
      <c r="E30" s="732">
        <v>2</v>
      </c>
      <c r="F30" s="732">
        <v>0</v>
      </c>
      <c r="G30" s="732">
        <v>0</v>
      </c>
      <c r="H30" s="732">
        <v>0</v>
      </c>
      <c r="I30" s="732">
        <v>0</v>
      </c>
      <c r="J30" s="732">
        <v>0</v>
      </c>
      <c r="K30" s="732">
        <v>0</v>
      </c>
    </row>
    <row r="31" spans="1:11">
      <c r="A31" s="1068">
        <v>26</v>
      </c>
      <c r="B31" s="731" t="s">
        <v>35</v>
      </c>
      <c r="C31" s="732">
        <v>0</v>
      </c>
      <c r="D31" s="732">
        <v>0</v>
      </c>
      <c r="E31" s="732">
        <v>1</v>
      </c>
      <c r="F31" s="732">
        <v>0</v>
      </c>
      <c r="G31" s="732">
        <v>0</v>
      </c>
      <c r="H31" s="732">
        <v>0</v>
      </c>
      <c r="I31" s="732">
        <v>0</v>
      </c>
      <c r="J31" s="732">
        <v>0</v>
      </c>
      <c r="K31" s="732">
        <v>0</v>
      </c>
    </row>
    <row r="32" spans="1:11">
      <c r="A32" s="1068">
        <v>27</v>
      </c>
      <c r="B32" s="731" t="s">
        <v>44</v>
      </c>
      <c r="C32" s="732">
        <v>1</v>
      </c>
      <c r="D32" s="732">
        <v>1</v>
      </c>
      <c r="E32" s="732">
        <v>7</v>
      </c>
      <c r="F32" s="732">
        <v>3</v>
      </c>
      <c r="G32" s="732">
        <v>3</v>
      </c>
      <c r="H32" s="732">
        <v>8</v>
      </c>
      <c r="I32" s="732">
        <v>1</v>
      </c>
      <c r="J32" s="732">
        <v>1</v>
      </c>
      <c r="K32" s="732">
        <v>1</v>
      </c>
    </row>
    <row r="33" spans="1:11">
      <c r="A33" s="1068">
        <v>28</v>
      </c>
      <c r="B33" s="731" t="s">
        <v>67</v>
      </c>
      <c r="C33" s="732">
        <v>0</v>
      </c>
      <c r="D33" s="732">
        <v>0</v>
      </c>
      <c r="E33" s="732">
        <v>1</v>
      </c>
      <c r="F33" s="732">
        <v>0</v>
      </c>
      <c r="G33" s="732">
        <v>0</v>
      </c>
      <c r="H33" s="732">
        <v>0</v>
      </c>
      <c r="I33" s="732">
        <v>1</v>
      </c>
      <c r="J33" s="732">
        <v>1</v>
      </c>
      <c r="K33" s="732">
        <v>1</v>
      </c>
    </row>
    <row r="34" spans="1:11">
      <c r="A34" s="1068">
        <v>29</v>
      </c>
      <c r="B34" s="731" t="s">
        <v>34</v>
      </c>
      <c r="C34" s="732">
        <v>4</v>
      </c>
      <c r="D34" s="732">
        <v>4</v>
      </c>
      <c r="E34" s="732">
        <v>5</v>
      </c>
      <c r="F34" s="732">
        <v>0</v>
      </c>
      <c r="G34" s="732">
        <v>0</v>
      </c>
      <c r="H34" s="732">
        <v>0</v>
      </c>
      <c r="I34" s="732">
        <v>0</v>
      </c>
      <c r="J34" s="732">
        <v>0</v>
      </c>
      <c r="K34" s="732">
        <v>0</v>
      </c>
    </row>
    <row r="35" spans="1:11">
      <c r="A35" s="1068">
        <v>30</v>
      </c>
      <c r="B35" s="731" t="s">
        <v>68</v>
      </c>
      <c r="C35" s="732">
        <v>0</v>
      </c>
      <c r="D35" s="732">
        <v>0</v>
      </c>
      <c r="E35" s="732">
        <v>0</v>
      </c>
      <c r="F35" s="732">
        <v>1</v>
      </c>
      <c r="G35" s="732">
        <v>1</v>
      </c>
      <c r="H35" s="732">
        <v>6</v>
      </c>
      <c r="I35" s="732">
        <v>3</v>
      </c>
      <c r="J35" s="732">
        <v>3</v>
      </c>
      <c r="K35" s="732">
        <v>10</v>
      </c>
    </row>
    <row r="36" spans="1:11">
      <c r="A36" s="1068">
        <v>31</v>
      </c>
      <c r="B36" s="731" t="s">
        <v>33</v>
      </c>
      <c r="C36" s="732">
        <v>2</v>
      </c>
      <c r="D36" s="732">
        <v>2</v>
      </c>
      <c r="E36" s="732">
        <v>5</v>
      </c>
      <c r="F36" s="732">
        <v>1</v>
      </c>
      <c r="G36" s="732">
        <v>1</v>
      </c>
      <c r="H36" s="732">
        <v>4</v>
      </c>
      <c r="I36" s="732">
        <v>1</v>
      </c>
      <c r="J36" s="732">
        <v>1</v>
      </c>
      <c r="K36" s="732">
        <v>1</v>
      </c>
    </row>
    <row r="37" spans="1:11">
      <c r="A37" s="1068">
        <v>32</v>
      </c>
      <c r="B37" s="731" t="s">
        <v>69</v>
      </c>
      <c r="C37" s="732" t="s">
        <v>29</v>
      </c>
      <c r="D37" s="732" t="s">
        <v>29</v>
      </c>
      <c r="E37" s="732" t="s">
        <v>29</v>
      </c>
      <c r="F37" s="732" t="s">
        <v>29</v>
      </c>
      <c r="G37" s="732" t="s">
        <v>29</v>
      </c>
      <c r="H37" s="732" t="s">
        <v>29</v>
      </c>
      <c r="I37" s="732" t="s">
        <v>29</v>
      </c>
      <c r="J37" s="732" t="s">
        <v>29</v>
      </c>
      <c r="K37" s="732" t="s">
        <v>29</v>
      </c>
    </row>
    <row r="38" spans="1:11">
      <c r="A38" s="1068">
        <v>33</v>
      </c>
      <c r="B38" s="731" t="s">
        <v>32</v>
      </c>
      <c r="C38" s="732">
        <v>1</v>
      </c>
      <c r="D38" s="732">
        <v>1</v>
      </c>
      <c r="E38" s="732">
        <v>2</v>
      </c>
      <c r="F38" s="732">
        <v>4</v>
      </c>
      <c r="G38" s="732">
        <v>4</v>
      </c>
      <c r="H38" s="732">
        <v>5</v>
      </c>
      <c r="I38" s="732">
        <v>7</v>
      </c>
      <c r="J38" s="732">
        <v>7</v>
      </c>
      <c r="K38" s="732">
        <v>15</v>
      </c>
    </row>
    <row r="39" spans="1:11">
      <c r="A39" s="1068">
        <v>34</v>
      </c>
      <c r="B39" s="731" t="s">
        <v>43</v>
      </c>
      <c r="C39" s="732">
        <v>2</v>
      </c>
      <c r="D39" s="732">
        <v>2</v>
      </c>
      <c r="E39" s="732">
        <v>6</v>
      </c>
      <c r="F39" s="732">
        <v>1</v>
      </c>
      <c r="G39" s="732">
        <v>1</v>
      </c>
      <c r="H39" s="732">
        <v>3</v>
      </c>
      <c r="I39" s="732">
        <v>6</v>
      </c>
      <c r="J39" s="732">
        <v>6</v>
      </c>
      <c r="K39" s="732">
        <v>6</v>
      </c>
    </row>
    <row r="40" spans="1:11">
      <c r="A40" s="1068">
        <v>35</v>
      </c>
      <c r="B40" s="731" t="s">
        <v>70</v>
      </c>
      <c r="C40" s="732">
        <v>0</v>
      </c>
      <c r="D40" s="732">
        <v>0</v>
      </c>
      <c r="E40" s="732">
        <v>1</v>
      </c>
      <c r="F40" s="732">
        <v>2</v>
      </c>
      <c r="G40" s="732">
        <v>2</v>
      </c>
      <c r="H40" s="732">
        <v>2</v>
      </c>
      <c r="I40" s="732">
        <v>0</v>
      </c>
      <c r="J40" s="732">
        <v>0</v>
      </c>
      <c r="K40" s="732">
        <v>0</v>
      </c>
    </row>
    <row r="41" spans="1:11">
      <c r="A41" s="1068">
        <v>36</v>
      </c>
      <c r="B41" s="731" t="s">
        <v>110</v>
      </c>
      <c r="C41" s="732">
        <v>6</v>
      </c>
      <c r="D41" s="732">
        <v>6</v>
      </c>
      <c r="E41" s="732">
        <v>9</v>
      </c>
      <c r="F41" s="732">
        <v>5</v>
      </c>
      <c r="G41" s="732">
        <v>5</v>
      </c>
      <c r="H41" s="732">
        <v>10</v>
      </c>
      <c r="I41" s="732">
        <v>11</v>
      </c>
      <c r="J41" s="732">
        <v>11</v>
      </c>
      <c r="K41" s="732">
        <v>12</v>
      </c>
    </row>
    <row r="42" spans="1:11">
      <c r="A42" s="1068">
        <v>37</v>
      </c>
      <c r="B42" s="731" t="s">
        <v>71</v>
      </c>
      <c r="C42" s="732">
        <v>4</v>
      </c>
      <c r="D42" s="732">
        <v>4</v>
      </c>
      <c r="E42" s="732">
        <v>7</v>
      </c>
      <c r="F42" s="732">
        <v>6</v>
      </c>
      <c r="G42" s="732">
        <v>6</v>
      </c>
      <c r="H42" s="732">
        <v>10</v>
      </c>
      <c r="I42" s="732">
        <v>5</v>
      </c>
      <c r="J42" s="732">
        <v>5</v>
      </c>
      <c r="K42" s="732">
        <v>13</v>
      </c>
    </row>
    <row r="43" spans="1:11">
      <c r="A43" s="1068">
        <v>38</v>
      </c>
      <c r="B43" s="731" t="s">
        <v>111</v>
      </c>
      <c r="C43" s="732" t="s">
        <v>29</v>
      </c>
      <c r="D43" s="732" t="s">
        <v>29</v>
      </c>
      <c r="E43" s="732" t="s">
        <v>29</v>
      </c>
      <c r="F43" s="732" t="s">
        <v>29</v>
      </c>
      <c r="G43" s="732" t="s">
        <v>29</v>
      </c>
      <c r="H43" s="732" t="s">
        <v>29</v>
      </c>
      <c r="I43" s="732" t="s">
        <v>29</v>
      </c>
      <c r="J43" s="732" t="s">
        <v>29</v>
      </c>
      <c r="K43" s="732" t="s">
        <v>29</v>
      </c>
    </row>
    <row r="44" spans="1:11">
      <c r="A44" s="1068">
        <v>39</v>
      </c>
      <c r="B44" s="731" t="s">
        <v>112</v>
      </c>
      <c r="C44" s="732">
        <v>1</v>
      </c>
      <c r="D44" s="732">
        <v>1</v>
      </c>
      <c r="E44" s="732">
        <v>3</v>
      </c>
      <c r="F44" s="732">
        <v>2</v>
      </c>
      <c r="G44" s="732">
        <v>2</v>
      </c>
      <c r="H44" s="732">
        <v>1</v>
      </c>
      <c r="I44" s="732">
        <v>4</v>
      </c>
      <c r="J44" s="732">
        <v>4</v>
      </c>
      <c r="K44" s="732">
        <v>4</v>
      </c>
    </row>
    <row r="45" spans="1:11">
      <c r="A45" s="1068">
        <v>40</v>
      </c>
      <c r="B45" s="731" t="s">
        <v>113</v>
      </c>
      <c r="C45" s="732">
        <v>0</v>
      </c>
      <c r="D45" s="732">
        <v>0</v>
      </c>
      <c r="E45" s="732">
        <v>2</v>
      </c>
      <c r="F45" s="732">
        <v>2</v>
      </c>
      <c r="G45" s="732">
        <v>2</v>
      </c>
      <c r="H45" s="732">
        <v>4</v>
      </c>
      <c r="I45" s="732">
        <v>0</v>
      </c>
      <c r="J45" s="732">
        <v>0</v>
      </c>
      <c r="K45" s="732">
        <v>0</v>
      </c>
    </row>
    <row r="46" spans="1:11">
      <c r="A46" s="1068">
        <v>41</v>
      </c>
      <c r="B46" s="731" t="s">
        <v>114</v>
      </c>
      <c r="C46" s="732">
        <v>4</v>
      </c>
      <c r="D46" s="732">
        <v>3</v>
      </c>
      <c r="E46" s="732">
        <v>3</v>
      </c>
      <c r="F46" s="732">
        <v>3</v>
      </c>
      <c r="G46" s="732">
        <v>4</v>
      </c>
      <c r="H46" s="732">
        <v>11</v>
      </c>
      <c r="I46" s="732">
        <v>0</v>
      </c>
      <c r="J46" s="732">
        <v>0</v>
      </c>
      <c r="K46" s="732">
        <v>0</v>
      </c>
    </row>
    <row r="47" spans="1:11">
      <c r="A47" s="1068">
        <v>42</v>
      </c>
      <c r="B47" s="731" t="s">
        <v>115</v>
      </c>
      <c r="C47" s="732">
        <v>1</v>
      </c>
      <c r="D47" s="732">
        <v>1</v>
      </c>
      <c r="E47" s="732">
        <v>4</v>
      </c>
      <c r="F47" s="732">
        <v>3</v>
      </c>
      <c r="G47" s="732">
        <v>3</v>
      </c>
      <c r="H47" s="732">
        <v>4</v>
      </c>
      <c r="I47" s="732">
        <v>2</v>
      </c>
      <c r="J47" s="732">
        <v>2</v>
      </c>
      <c r="K47" s="732">
        <v>2</v>
      </c>
    </row>
    <row r="48" spans="1:11">
      <c r="A48" s="1068">
        <v>43</v>
      </c>
      <c r="B48" s="731" t="s">
        <v>116</v>
      </c>
      <c r="C48" s="732">
        <v>0</v>
      </c>
      <c r="D48" s="732">
        <v>0</v>
      </c>
      <c r="E48" s="732">
        <v>4</v>
      </c>
      <c r="F48" s="732">
        <v>2</v>
      </c>
      <c r="G48" s="732">
        <v>2</v>
      </c>
      <c r="H48" s="732">
        <v>9</v>
      </c>
      <c r="I48" s="732">
        <v>6</v>
      </c>
      <c r="J48" s="732">
        <v>6</v>
      </c>
      <c r="K48" s="732">
        <v>5</v>
      </c>
    </row>
    <row r="49" spans="1:11">
      <c r="A49" s="1068">
        <v>44</v>
      </c>
      <c r="B49" s="731" t="s">
        <v>117</v>
      </c>
      <c r="C49" s="732">
        <v>1</v>
      </c>
      <c r="D49" s="732">
        <v>1</v>
      </c>
      <c r="E49" s="732">
        <v>3</v>
      </c>
      <c r="F49" s="732">
        <v>0</v>
      </c>
      <c r="G49" s="732">
        <v>0</v>
      </c>
      <c r="H49" s="732">
        <v>1</v>
      </c>
      <c r="I49" s="732">
        <v>1</v>
      </c>
      <c r="J49" s="732">
        <v>1</v>
      </c>
      <c r="K49" s="732">
        <v>1</v>
      </c>
    </row>
    <row r="50" spans="1:11">
      <c r="A50" s="1068">
        <v>45</v>
      </c>
      <c r="B50" s="731" t="s">
        <v>72</v>
      </c>
      <c r="C50" s="732">
        <v>4</v>
      </c>
      <c r="D50" s="732">
        <v>4</v>
      </c>
      <c r="E50" s="732">
        <v>12</v>
      </c>
      <c r="F50" s="732">
        <v>2</v>
      </c>
      <c r="G50" s="732">
        <v>2</v>
      </c>
      <c r="H50" s="732">
        <v>4</v>
      </c>
      <c r="I50" s="732">
        <v>0</v>
      </c>
      <c r="J50" s="732">
        <v>0</v>
      </c>
      <c r="K50" s="732">
        <v>0</v>
      </c>
    </row>
    <row r="51" spans="1:11">
      <c r="A51" s="1068">
        <v>46</v>
      </c>
      <c r="B51" s="731" t="s">
        <v>73</v>
      </c>
      <c r="C51" s="732" t="s">
        <v>29</v>
      </c>
      <c r="D51" s="732" t="s">
        <v>29</v>
      </c>
      <c r="E51" s="732" t="s">
        <v>29</v>
      </c>
      <c r="F51" s="732" t="s">
        <v>29</v>
      </c>
      <c r="G51" s="732" t="s">
        <v>29</v>
      </c>
      <c r="H51" s="732" t="s">
        <v>29</v>
      </c>
      <c r="I51" s="732" t="s">
        <v>29</v>
      </c>
      <c r="J51" s="732" t="s">
        <v>29</v>
      </c>
      <c r="K51" s="732" t="s">
        <v>29</v>
      </c>
    </row>
    <row r="52" spans="1:11">
      <c r="A52" s="1068">
        <v>47</v>
      </c>
      <c r="B52" s="731" t="s">
        <v>42</v>
      </c>
      <c r="C52" s="732">
        <v>3</v>
      </c>
      <c r="D52" s="732">
        <v>3</v>
      </c>
      <c r="E52" s="732">
        <v>9</v>
      </c>
      <c r="F52" s="732">
        <v>0</v>
      </c>
      <c r="G52" s="732">
        <v>0</v>
      </c>
      <c r="H52" s="732">
        <v>0</v>
      </c>
      <c r="I52" s="732">
        <v>0</v>
      </c>
      <c r="J52" s="732">
        <v>0</v>
      </c>
      <c r="K52" s="732">
        <v>0</v>
      </c>
    </row>
    <row r="53" spans="1:11">
      <c r="A53" s="1068">
        <v>48</v>
      </c>
      <c r="B53" s="731" t="s">
        <v>74</v>
      </c>
      <c r="C53" s="732">
        <v>0</v>
      </c>
      <c r="D53" s="732">
        <v>0</v>
      </c>
      <c r="E53" s="732">
        <v>0</v>
      </c>
      <c r="F53" s="732">
        <v>1</v>
      </c>
      <c r="G53" s="732">
        <v>1</v>
      </c>
      <c r="H53" s="732">
        <v>4</v>
      </c>
      <c r="I53" s="732">
        <v>2</v>
      </c>
      <c r="J53" s="732">
        <v>2</v>
      </c>
      <c r="K53" s="732">
        <v>2</v>
      </c>
    </row>
    <row r="54" spans="1:11">
      <c r="A54" s="1068">
        <v>49</v>
      </c>
      <c r="B54" s="731" t="s">
        <v>75</v>
      </c>
      <c r="C54" s="732">
        <v>3</v>
      </c>
      <c r="D54" s="732">
        <v>3</v>
      </c>
      <c r="E54" s="732">
        <v>10</v>
      </c>
      <c r="F54" s="732">
        <v>5</v>
      </c>
      <c r="G54" s="732">
        <v>5</v>
      </c>
      <c r="H54" s="732">
        <v>6</v>
      </c>
      <c r="I54" s="732">
        <v>1</v>
      </c>
      <c r="J54" s="732">
        <v>1</v>
      </c>
      <c r="K54" s="732">
        <v>0</v>
      </c>
    </row>
    <row r="55" spans="1:11">
      <c r="A55" s="1068">
        <v>50</v>
      </c>
      <c r="B55" s="731" t="s">
        <v>41</v>
      </c>
      <c r="C55" s="732">
        <v>2</v>
      </c>
      <c r="D55" s="732">
        <v>2</v>
      </c>
      <c r="E55" s="732">
        <v>8</v>
      </c>
      <c r="F55" s="732">
        <v>6</v>
      </c>
      <c r="G55" s="732">
        <v>6</v>
      </c>
      <c r="H55" s="732">
        <v>6</v>
      </c>
      <c r="I55" s="732">
        <v>3</v>
      </c>
      <c r="J55" s="732">
        <v>3</v>
      </c>
      <c r="K55" s="732">
        <v>3</v>
      </c>
    </row>
    <row r="56" spans="1:11">
      <c r="A56" s="1069">
        <v>51</v>
      </c>
      <c r="B56" s="733" t="s">
        <v>76</v>
      </c>
      <c r="C56" s="734">
        <v>0</v>
      </c>
      <c r="D56" s="734">
        <v>0</v>
      </c>
      <c r="E56" s="734">
        <v>3</v>
      </c>
      <c r="F56" s="734">
        <v>0</v>
      </c>
      <c r="G56" s="734">
        <v>0</v>
      </c>
      <c r="H56" s="734">
        <v>0</v>
      </c>
      <c r="I56" s="734">
        <v>1</v>
      </c>
      <c r="J56" s="734">
        <v>1</v>
      </c>
      <c r="K56" s="734">
        <v>1</v>
      </c>
    </row>
    <row r="57" spans="1:11">
      <c r="A57" s="1069">
        <v>52</v>
      </c>
      <c r="B57" s="733" t="s">
        <v>77</v>
      </c>
      <c r="C57" s="734">
        <v>5</v>
      </c>
      <c r="D57" s="734">
        <v>5</v>
      </c>
      <c r="E57" s="734">
        <v>7</v>
      </c>
      <c r="F57" s="734">
        <v>0</v>
      </c>
      <c r="G57" s="734">
        <v>0</v>
      </c>
      <c r="H57" s="734">
        <v>0</v>
      </c>
      <c r="I57" s="734">
        <v>0</v>
      </c>
      <c r="J57" s="734">
        <v>0</v>
      </c>
      <c r="K57" s="734">
        <v>0</v>
      </c>
    </row>
    <row r="58" spans="1:11">
      <c r="A58" s="1069">
        <v>53</v>
      </c>
      <c r="B58" s="733" t="s">
        <v>78</v>
      </c>
      <c r="C58" s="734">
        <v>0</v>
      </c>
      <c r="D58" s="734">
        <v>0</v>
      </c>
      <c r="E58" s="734">
        <v>2</v>
      </c>
      <c r="F58" s="734">
        <v>0</v>
      </c>
      <c r="G58" s="734">
        <v>0</v>
      </c>
      <c r="H58" s="734">
        <v>0</v>
      </c>
      <c r="I58" s="734">
        <v>0</v>
      </c>
      <c r="J58" s="734">
        <v>0</v>
      </c>
      <c r="K58" s="734">
        <v>0</v>
      </c>
    </row>
    <row r="59" spans="1:11">
      <c r="A59" s="1069">
        <v>54</v>
      </c>
      <c r="B59" s="733" t="s">
        <v>31</v>
      </c>
      <c r="C59" s="734">
        <v>4</v>
      </c>
      <c r="D59" s="734">
        <v>4</v>
      </c>
      <c r="E59" s="734">
        <v>16</v>
      </c>
      <c r="F59" s="734">
        <v>4</v>
      </c>
      <c r="G59" s="734">
        <v>4</v>
      </c>
      <c r="H59" s="734">
        <v>6</v>
      </c>
      <c r="I59" s="734">
        <v>2</v>
      </c>
      <c r="J59" s="734">
        <v>2</v>
      </c>
      <c r="K59" s="734">
        <v>2</v>
      </c>
    </row>
    <row r="60" spans="1:11">
      <c r="A60" s="1069">
        <v>55</v>
      </c>
      <c r="B60" s="733" t="s">
        <v>40</v>
      </c>
      <c r="C60" s="734">
        <v>3</v>
      </c>
      <c r="D60" s="734">
        <v>3</v>
      </c>
      <c r="E60" s="734">
        <v>8</v>
      </c>
      <c r="F60" s="734">
        <v>0</v>
      </c>
      <c r="G60" s="734">
        <v>0</v>
      </c>
      <c r="H60" s="734">
        <v>0</v>
      </c>
      <c r="I60" s="734">
        <v>0</v>
      </c>
      <c r="J60" s="734">
        <v>0</v>
      </c>
      <c r="K60" s="734">
        <v>0</v>
      </c>
    </row>
    <row r="61" spans="1:11">
      <c r="A61" s="1069">
        <v>56</v>
      </c>
      <c r="B61" s="733" t="s">
        <v>39</v>
      </c>
      <c r="C61" s="734">
        <v>0</v>
      </c>
      <c r="D61" s="734">
        <v>0</v>
      </c>
      <c r="E61" s="734">
        <v>4</v>
      </c>
      <c r="F61" s="734">
        <v>3</v>
      </c>
      <c r="G61" s="734">
        <v>3</v>
      </c>
      <c r="H61" s="734">
        <v>6</v>
      </c>
      <c r="I61" s="734">
        <v>1</v>
      </c>
      <c r="J61" s="734">
        <v>1</v>
      </c>
      <c r="K61" s="734">
        <v>5</v>
      </c>
    </row>
    <row r="62" spans="1:11">
      <c r="A62" s="1069">
        <v>57</v>
      </c>
      <c r="B62" s="733" t="s">
        <v>38</v>
      </c>
      <c r="C62" s="734">
        <v>0</v>
      </c>
      <c r="D62" s="734">
        <v>0</v>
      </c>
      <c r="E62" s="734">
        <v>2</v>
      </c>
      <c r="F62" s="734">
        <v>2</v>
      </c>
      <c r="G62" s="734">
        <v>2</v>
      </c>
      <c r="H62" s="734">
        <v>3</v>
      </c>
      <c r="I62" s="734">
        <v>0</v>
      </c>
      <c r="J62" s="734">
        <v>0</v>
      </c>
      <c r="K62" s="734">
        <v>0</v>
      </c>
    </row>
    <row r="63" spans="1:11">
      <c r="A63" s="1069">
        <v>58</v>
      </c>
      <c r="B63" s="733" t="s">
        <v>79</v>
      </c>
      <c r="C63" s="734">
        <v>1</v>
      </c>
      <c r="D63" s="734">
        <v>1</v>
      </c>
      <c r="E63" s="734">
        <v>3</v>
      </c>
      <c r="F63" s="734">
        <v>1</v>
      </c>
      <c r="G63" s="734">
        <v>1</v>
      </c>
      <c r="H63" s="734">
        <v>1</v>
      </c>
      <c r="I63" s="734">
        <v>0</v>
      </c>
      <c r="J63" s="734">
        <v>0</v>
      </c>
      <c r="K63" s="734">
        <v>0</v>
      </c>
    </row>
    <row r="64" spans="1:11" ht="15.6">
      <c r="A64" s="738"/>
      <c r="B64" s="735"/>
      <c r="C64" s="736">
        <f>SUBTOTAL(109,Table1[Count of Small School Districts (count of all C-1 = SMALL) 
PY2
D-1])</f>
        <v>113</v>
      </c>
      <c r="D64" s="736">
        <f>SUBTOTAL(109,Table1[Count of Small School Districts (count of all C-1 = SMALL) 
PY
D-1])</f>
        <v>112</v>
      </c>
      <c r="E64" s="736">
        <f>SUBTOTAL(109,Table1[Count of Small School Districts (count of all C-1 = SMALL) 
CY
D-1])</f>
        <v>278</v>
      </c>
      <c r="F64" s="736">
        <f>SUBTOTAL(109,Table1[Count of Small School Districts (count of all C-1 = MEDIUM) 
PY2
D-2])</f>
        <v>99</v>
      </c>
      <c r="G64" s="736">
        <f>SUBTOTAL(109,Table1[Count of Small School Districts (count of all C-1 = MEDIUM) 
PY
D-2])</f>
        <v>100</v>
      </c>
      <c r="H64" s="736">
        <f>SUBTOTAL(109,Table1[Count of Small School Districts (count of all C-1 = MEDIUM) 
CY
D-2])</f>
        <v>196</v>
      </c>
      <c r="I64" s="736">
        <f>SUBTOTAL(109,Table1[Count of Small School Districts (count of all C-1 = LARGE) 
PY2
D-3])</f>
        <v>91</v>
      </c>
      <c r="J64" s="736">
        <f>SUBTOTAL(109,Table1[Count of Small School Districts (count of all C-1 = LARGE) 
PY
D-3])</f>
        <v>91</v>
      </c>
      <c r="K64" s="736">
        <f>SUBTOTAL(109,Table1[Count of Small School Districts (count of all C-1 = LARGE) 
CY
D-3])</f>
        <v>132</v>
      </c>
    </row>
    <row r="66" spans="3:3" ht="15.6">
      <c r="C66" s="933">
        <f>SUM(Table1[[#Totals],[Count of Small School Districts (count of all C-1 = SMALL) 
PY2
D-1]:[Count of Small School Districts (count of all C-1 = LARGE) 
CY
D-3]])</f>
        <v>1212</v>
      </c>
    </row>
    <row r="67" spans="3:3" ht="15.6">
      <c r="C67" s="1070" t="s">
        <v>1636</v>
      </c>
    </row>
  </sheetData>
  <mergeCells count="3">
    <mergeCell ref="C2:E2"/>
    <mergeCell ref="F2:H2"/>
    <mergeCell ref="I2:K2"/>
  </mergeCells>
  <pageMargins left="0.25" right="0.25" top="0.5" bottom="0.5" header="0.3" footer="0.3"/>
  <pageSetup scale="53" orientation="landscape" horizontalDpi="4294967295" verticalDpi="4294967295" r:id="rId1"/>
  <headerFooter>
    <oddFooter>&amp;R&amp;F
&amp;A</oddFooter>
  </headerFooter>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6">
    <tabColor theme="2" tint="-9.9978637043366805E-2"/>
  </sheetPr>
  <dimension ref="A1:T49"/>
  <sheetViews>
    <sheetView showGridLines="0" zoomScale="90" zoomScaleNormal="90" workbookViewId="0">
      <pane xSplit="3" ySplit="5" topLeftCell="D6" activePane="bottomRight" state="frozen"/>
      <selection activeCell="C29" sqref="C29"/>
      <selection pane="topRight" activeCell="C29" sqref="C29"/>
      <selection pane="bottomLeft" activeCell="C29" sqref="C29"/>
      <selection pane="bottomRight" activeCell="C29" sqref="C29"/>
    </sheetView>
  </sheetViews>
  <sheetFormatPr defaultColWidth="8.88671875" defaultRowHeight="13.8"/>
  <cols>
    <col min="1" max="1" width="9.109375" style="14" customWidth="1"/>
    <col min="2" max="2" width="11.88671875" style="14" customWidth="1"/>
    <col min="3" max="3" width="54.5546875" style="14" customWidth="1"/>
    <col min="4" max="4" width="13.6640625" style="93" customWidth="1"/>
    <col min="5" max="5" width="13.6640625" style="14" customWidth="1"/>
    <col min="6" max="6" width="13.6640625" style="93" customWidth="1"/>
    <col min="7" max="13" width="13.6640625" style="14" customWidth="1"/>
    <col min="14" max="14" width="13.6640625" style="15" customWidth="1"/>
    <col min="15" max="15" width="1.88671875" style="8" customWidth="1"/>
    <col min="16" max="16" width="47.109375" style="8" customWidth="1"/>
    <col min="17" max="16384" width="8.88671875" style="14"/>
  </cols>
  <sheetData>
    <row r="1" spans="1:20" s="860" customFormat="1" ht="26.25" customHeight="1" thickBot="1">
      <c r="A1" s="855" t="str">
        <f>Calculator!B1</f>
        <v xml:space="preserve">&lt;=  &lt;=  &lt;=     Enter the county code portion of your LEA CDS Code </v>
      </c>
      <c r="B1" s="856"/>
      <c r="C1" s="856"/>
      <c r="D1" s="857" t="str">
        <f>+Instructions!C2</f>
        <v>v.24.1a</v>
      </c>
      <c r="E1" s="857"/>
      <c r="F1" s="857"/>
      <c r="G1" s="856"/>
      <c r="H1" s="856"/>
      <c r="I1" s="856"/>
      <c r="J1" s="858" t="str">
        <f>IF('Data Entry'!$B$7="","",'Data Entry'!$B$7)</f>
        <v/>
      </c>
      <c r="K1" s="858"/>
      <c r="L1" s="858"/>
      <c r="M1" s="858"/>
      <c r="N1" s="859"/>
      <c r="O1" s="82"/>
      <c r="P1" s="82"/>
    </row>
    <row r="2" spans="1:20" s="8" customFormat="1" ht="18.600000000000001" thickBot="1">
      <c r="A2" s="850" t="s">
        <v>122</v>
      </c>
      <c r="B2" s="851"/>
      <c r="C2" s="851"/>
      <c r="D2" s="852"/>
      <c r="E2" s="852"/>
      <c r="F2" s="852"/>
      <c r="G2" s="851"/>
      <c r="H2" s="851"/>
      <c r="I2" s="851"/>
      <c r="J2" s="853"/>
      <c r="K2" s="853"/>
      <c r="L2" s="853"/>
      <c r="M2" s="853"/>
      <c r="N2" s="854"/>
      <c r="P2" s="955" t="s">
        <v>23</v>
      </c>
    </row>
    <row r="3" spans="1:20" s="8" customFormat="1" ht="8.25" customHeight="1">
      <c r="A3" s="90"/>
      <c r="B3" s="9"/>
      <c r="C3" s="2"/>
      <c r="D3" s="7"/>
      <c r="E3" s="7"/>
      <c r="F3" s="7"/>
      <c r="G3" s="7"/>
      <c r="H3" s="7"/>
      <c r="I3" s="7"/>
      <c r="J3" s="7"/>
      <c r="K3" s="7"/>
      <c r="L3" s="7"/>
      <c r="M3" s="7"/>
      <c r="N3" s="20"/>
      <c r="P3" s="109"/>
    </row>
    <row r="4" spans="1:20" s="12" customFormat="1" ht="18" customHeight="1">
      <c r="A4" s="90"/>
      <c r="B4" s="2"/>
      <c r="C4" s="16" t="s">
        <v>243</v>
      </c>
      <c r="D4" s="368" t="s">
        <v>190</v>
      </c>
      <c r="E4" s="369" t="s">
        <v>518</v>
      </c>
      <c r="F4" s="368" t="s">
        <v>190</v>
      </c>
      <c r="G4" s="369" t="s">
        <v>518</v>
      </c>
      <c r="H4" s="370" t="str">
        <f>+'PY1 EPA'!C2</f>
        <v>P1</v>
      </c>
      <c r="I4" s="369" t="s">
        <v>518</v>
      </c>
      <c r="J4" s="371"/>
      <c r="K4" s="371"/>
      <c r="L4" s="371"/>
      <c r="M4" s="371"/>
      <c r="N4" s="408"/>
      <c r="O4" s="8"/>
      <c r="P4" s="109"/>
    </row>
    <row r="5" spans="1:20" s="12" customFormat="1">
      <c r="A5" s="98" t="s">
        <v>6</v>
      </c>
      <c r="B5" s="10"/>
      <c r="C5" s="18"/>
      <c r="D5" s="372" t="str">
        <f>'FY Control'!C7</f>
        <v>2020-21</v>
      </c>
      <c r="E5" s="372" t="str">
        <f>'FY Control'!C7</f>
        <v>2020-21</v>
      </c>
      <c r="F5" s="372" t="str">
        <f>'FY Control'!$C$8</f>
        <v>2021-22</v>
      </c>
      <c r="G5" s="372" t="str">
        <f>'FY Control'!$C$8</f>
        <v>2021-22</v>
      </c>
      <c r="H5" s="372" t="str">
        <f>'FY Control'!C9</f>
        <v>2022-23</v>
      </c>
      <c r="I5" s="372" t="str">
        <f>'FY Control'!$C$9</f>
        <v>2022-23</v>
      </c>
      <c r="J5" s="372" t="str">
        <f>'FY Control'!C10</f>
        <v>2023-24</v>
      </c>
      <c r="K5" s="372" t="str">
        <f>'FY Control'!C11</f>
        <v>2024-25</v>
      </c>
      <c r="L5" s="372" t="str">
        <f>'FY Control'!C12</f>
        <v>2025-26</v>
      </c>
      <c r="M5" s="372" t="str">
        <f>'FY Control'!C13</f>
        <v>2026-27</v>
      </c>
      <c r="N5" s="409" t="str">
        <f>'FY Control'!C14</f>
        <v>2027-28</v>
      </c>
      <c r="O5" s="8"/>
      <c r="P5" s="4"/>
      <c r="Q5" s="13"/>
      <c r="R5" s="13"/>
      <c r="S5" s="13"/>
      <c r="T5" s="13"/>
    </row>
    <row r="6" spans="1:20" s="12" customFormat="1" ht="15" customHeight="1">
      <c r="A6" s="97" t="s">
        <v>134</v>
      </c>
      <c r="B6" s="10"/>
      <c r="C6" s="18"/>
      <c r="D6" s="373"/>
      <c r="E6" s="373"/>
      <c r="F6" s="373"/>
      <c r="G6" s="373"/>
      <c r="H6" s="373"/>
      <c r="I6" s="373"/>
      <c r="J6" s="373"/>
      <c r="K6" s="373"/>
      <c r="L6" s="373"/>
      <c r="M6" s="373"/>
      <c r="N6" s="410"/>
      <c r="O6" s="8"/>
      <c r="P6" s="4"/>
      <c r="Q6" s="13"/>
      <c r="R6" s="13"/>
      <c r="S6" s="13"/>
      <c r="T6" s="13"/>
    </row>
    <row r="7" spans="1:20" s="12" customFormat="1" ht="15" customHeight="1">
      <c r="A7" s="98" t="s">
        <v>11</v>
      </c>
      <c r="B7" s="10" t="s">
        <v>128</v>
      </c>
      <c r="C7" s="18"/>
      <c r="D7" s="374">
        <f>IFERROR(VLOOKUP('Data Entry'!$B$3,'PY3 EPA'!$A:$M,MATCH("A-1",'PY3 EPA'!$A$5:$M$5,0)),0)</f>
        <v>0</v>
      </c>
      <c r="E7" s="374">
        <f>+Calculator!D13</f>
        <v>0</v>
      </c>
      <c r="F7" s="374">
        <f>IFERROR(VLOOKUP('Data Entry'!$B$3,'PY2 EPA'!$A:$M,MATCH("A-1",'PY2 EPA'!$A$5:$M$5,0)),0)</f>
        <v>0</v>
      </c>
      <c r="G7" s="374">
        <f>+Calculator!K13</f>
        <v>0</v>
      </c>
      <c r="H7" s="374">
        <f>IFERROR(IF('FY Control'!$B$9="PY1",IF('FY Control'!$D$3="P1",Calculator!R13,VLOOKUP('Data Entry'!$B$3,'PY1 EPA'!$A:$M,MATCH("A-1",'PY1 EPA'!$A$5:$M$5,0)))),0)</f>
        <v>0</v>
      </c>
      <c r="I7" s="375">
        <f>+Calculator!R13</f>
        <v>0</v>
      </c>
      <c r="J7" s="375">
        <f>+Calculator!Y13</f>
        <v>0</v>
      </c>
      <c r="K7" s="375">
        <f>+Calculator!AF13</f>
        <v>0</v>
      </c>
      <c r="L7" s="375">
        <f>+Calculator!AM13</f>
        <v>0</v>
      </c>
      <c r="M7" s="375">
        <f>+Calculator!AT13</f>
        <v>0</v>
      </c>
      <c r="N7" s="411">
        <f>+Calculator!BA13</f>
        <v>0</v>
      </c>
      <c r="O7" s="8"/>
      <c r="P7" s="4"/>
      <c r="Q7" s="13"/>
      <c r="R7" s="13"/>
      <c r="S7" s="13"/>
      <c r="T7" s="13"/>
    </row>
    <row r="8" spans="1:20" s="12" customFormat="1" ht="15" customHeight="1">
      <c r="A8" s="98" t="s">
        <v>13</v>
      </c>
      <c r="B8" s="10" t="s">
        <v>129</v>
      </c>
      <c r="C8" s="18"/>
      <c r="D8" s="376">
        <v>200</v>
      </c>
      <c r="E8" s="376">
        <v>200</v>
      </c>
      <c r="F8" s="376">
        <v>200</v>
      </c>
      <c r="G8" s="376">
        <v>200</v>
      </c>
      <c r="H8" s="376">
        <v>200</v>
      </c>
      <c r="I8" s="376">
        <v>200</v>
      </c>
      <c r="J8" s="376">
        <v>200</v>
      </c>
      <c r="K8" s="376">
        <v>200</v>
      </c>
      <c r="L8" s="376">
        <v>200</v>
      </c>
      <c r="M8" s="376">
        <v>200</v>
      </c>
      <c r="N8" s="412">
        <v>200</v>
      </c>
      <c r="O8" s="8"/>
      <c r="P8" s="4"/>
      <c r="Q8" s="13"/>
      <c r="R8" s="13"/>
      <c r="S8" s="13"/>
      <c r="T8" s="13"/>
    </row>
    <row r="9" spans="1:20" s="12" customFormat="1" ht="15" customHeight="1">
      <c r="A9" s="98" t="s">
        <v>9</v>
      </c>
      <c r="B9" s="21" t="s">
        <v>132</v>
      </c>
      <c r="C9" s="18"/>
      <c r="D9" s="377">
        <f>+D7*D8</f>
        <v>0</v>
      </c>
      <c r="E9" s="377">
        <f>+E7*E8</f>
        <v>0</v>
      </c>
      <c r="F9" s="377">
        <f>+F7*F8</f>
        <v>0</v>
      </c>
      <c r="G9" s="376">
        <f t="shared" ref="G9:L9" si="0">G7*G8</f>
        <v>0</v>
      </c>
      <c r="H9" s="377">
        <f>+H7*H8</f>
        <v>0</v>
      </c>
      <c r="I9" s="376">
        <f t="shared" ref="I9" si="1">I7*I8</f>
        <v>0</v>
      </c>
      <c r="J9" s="376">
        <f t="shared" si="0"/>
        <v>0</v>
      </c>
      <c r="K9" s="376">
        <f t="shared" si="0"/>
        <v>0</v>
      </c>
      <c r="L9" s="376">
        <f t="shared" si="0"/>
        <v>0</v>
      </c>
      <c r="M9" s="376">
        <f t="shared" ref="M9:N9" si="2">M7*M8</f>
        <v>0</v>
      </c>
      <c r="N9" s="412">
        <f t="shared" si="2"/>
        <v>0</v>
      </c>
      <c r="O9" s="8"/>
      <c r="P9" s="6"/>
      <c r="Q9" s="13"/>
      <c r="R9" s="13"/>
      <c r="S9" s="13"/>
      <c r="T9" s="13"/>
    </row>
    <row r="10" spans="1:20" s="12" customFormat="1" ht="15" customHeight="1">
      <c r="A10" s="98"/>
      <c r="B10" s="10"/>
      <c r="C10" s="18"/>
      <c r="D10" s="373"/>
      <c r="E10" s="373"/>
      <c r="F10" s="373"/>
      <c r="G10" s="373"/>
      <c r="H10" s="373"/>
      <c r="I10" s="373"/>
      <c r="J10" s="373"/>
      <c r="K10" s="373"/>
      <c r="L10" s="373"/>
      <c r="M10" s="373"/>
      <c r="N10" s="410"/>
      <c r="O10" s="8"/>
      <c r="P10" s="4"/>
      <c r="Q10" s="13"/>
      <c r="R10" s="13"/>
      <c r="S10" s="13"/>
      <c r="T10" s="13"/>
    </row>
    <row r="11" spans="1:20" s="12" customFormat="1" ht="15" customHeight="1">
      <c r="A11" s="97" t="s">
        <v>133</v>
      </c>
      <c r="B11" s="10"/>
      <c r="C11" s="18"/>
      <c r="D11" s="373"/>
      <c r="E11" s="378"/>
      <c r="F11" s="373"/>
      <c r="G11" s="373"/>
      <c r="H11" s="373"/>
      <c r="I11" s="373"/>
      <c r="J11" s="373"/>
      <c r="K11" s="373"/>
      <c r="L11" s="373"/>
      <c r="M11" s="373"/>
      <c r="N11" s="410"/>
      <c r="O11" s="8"/>
      <c r="P11" s="4"/>
      <c r="Q11" s="13"/>
      <c r="R11" s="13"/>
      <c r="S11" s="13"/>
      <c r="T11" s="13"/>
    </row>
    <row r="12" spans="1:20" s="12" customFormat="1" ht="15" customHeight="1">
      <c r="A12" s="99" t="s">
        <v>1847</v>
      </c>
      <c r="B12" s="10" t="s">
        <v>135</v>
      </c>
      <c r="C12" s="18"/>
      <c r="D12" s="377">
        <f>IFERROR(VLOOKUP('Data Entry'!$B$3,'PY3 EPA'!$A:$M,MATCH("B-12",'PY3 EPA'!$A$5:$M$5,0)),0)</f>
        <v>0</v>
      </c>
      <c r="E12" s="1000">
        <f>+Calculator!I38</f>
        <v>0</v>
      </c>
      <c r="F12" s="377">
        <f>IFERROR(VLOOKUP('Data Entry'!$B$3,'PY2 EPA'!$A:$M,MATCH("B-12",'PY2 EPA'!$A$5:$M$5,0)),0)</f>
        <v>0</v>
      </c>
      <c r="G12" s="1000">
        <f>+Calculator!P38</f>
        <v>0</v>
      </c>
      <c r="H12" s="376">
        <f>IF('FY Control'!D3="P1",SUM(Calculator!W34:W36),
IFERROR(
VLOOKUP('Data Entry'!$B$3,'PY1 EPA'!$A:$M,MATCH("B-16",'PY1 EPA'!$A$5:$M$5,0),FALSE),0))</f>
        <v>0</v>
      </c>
      <c r="I12" s="1000">
        <f>SUM(Calculator!W34:W36)</f>
        <v>0</v>
      </c>
      <c r="J12" s="376">
        <f>SUM(Calculator!AD34:AD36)</f>
        <v>0</v>
      </c>
      <c r="K12" s="376">
        <f>SUM(Calculator!AK34:AK36)</f>
        <v>0</v>
      </c>
      <c r="L12" s="376">
        <f>SUM(Calculator!AR34:AR36)</f>
        <v>0</v>
      </c>
      <c r="M12" s="376">
        <f>SUM(Calculator!AY34:AY36)</f>
        <v>0</v>
      </c>
      <c r="N12" s="412">
        <f>SUM(Calculator!BF34:BF36)</f>
        <v>0</v>
      </c>
      <c r="O12" s="8"/>
      <c r="P12" s="4"/>
      <c r="Q12" s="13"/>
      <c r="R12" s="13"/>
      <c r="S12" s="13"/>
      <c r="T12" s="13"/>
    </row>
    <row r="13" spans="1:20" s="12" customFormat="1" ht="15" customHeight="1">
      <c r="A13" s="99" t="s">
        <v>1848</v>
      </c>
      <c r="B13" s="181" t="s">
        <v>525</v>
      </c>
      <c r="C13" s="18"/>
      <c r="D13" s="377">
        <f>IFERROR(VLOOKUP('Data Entry'!$B$3,'PY3 EPA'!$A:$M,MATCH("B-13",'PY3 EPA'!$A$5:$M$5,0)),0)</f>
        <v>0</v>
      </c>
      <c r="E13" s="1000">
        <f>+Calculator!I49</f>
        <v>0</v>
      </c>
      <c r="F13" s="377">
        <f>IFERROR(VLOOKUP('Data Entry'!$B$3,'PY2 EPA'!$A:$M,MATCH("B-13",'PY2 EPA'!$A$5:$M$5,0)),0)</f>
        <v>0</v>
      </c>
      <c r="G13" s="1000">
        <f>+Calculator!P49</f>
        <v>0</v>
      </c>
      <c r="H13" s="376">
        <f>IF('FY Control'!$D$3="P1",Calculator!W49,
IFERROR(
VLOOKUP('Data Entry'!$B$3,'PY1 EPA'!$A:$M,MATCH("B-17",'PY1 EPA'!$A$5:$M$5,0),FALSE),0))</f>
        <v>0</v>
      </c>
      <c r="I13" s="1000">
        <f>+Calculator!W49</f>
        <v>0</v>
      </c>
      <c r="J13" s="376">
        <f>+'Data Entry'!J46</f>
        <v>0</v>
      </c>
      <c r="K13" s="376">
        <f>+'Data Entry'!K46</f>
        <v>0</v>
      </c>
      <c r="L13" s="376">
        <f>+'Data Entry'!L46</f>
        <v>0</v>
      </c>
      <c r="M13" s="376">
        <f>+'Data Entry'!M46</f>
        <v>0</v>
      </c>
      <c r="N13" s="412">
        <f>+'Data Entry'!N46</f>
        <v>0</v>
      </c>
      <c r="O13" s="8"/>
      <c r="P13" s="4"/>
      <c r="Q13" s="13"/>
      <c r="R13" s="13"/>
      <c r="S13" s="13"/>
      <c r="T13" s="13"/>
    </row>
    <row r="14" spans="1:20" s="12" customFormat="1" ht="15" customHeight="1">
      <c r="A14" s="99" t="s">
        <v>1849</v>
      </c>
      <c r="B14" s="10" t="s">
        <v>173</v>
      </c>
      <c r="C14" s="18"/>
      <c r="D14" s="377">
        <f>IFERROR(VLOOKUP('Data Entry'!$B$3,'PY3 EPA'!$A:$M,MATCH("B-14",'PY3 EPA'!$A$5:$M$5,0)),0)</f>
        <v>0</v>
      </c>
      <c r="E14" s="1000">
        <f>IF(E12-E13&lt;0,0,E12-E13)</f>
        <v>0</v>
      </c>
      <c r="F14" s="376">
        <f>IFERROR(VLOOKUP('Data Entry'!$B$3,'PY2 EPA'!$A:$M,MATCH("B-14",'PY2 EPA'!$A$5:$M$5,0)),0)</f>
        <v>0</v>
      </c>
      <c r="G14" s="1000">
        <f>IF(G12-G13&lt;0,0,G12-G13)</f>
        <v>0</v>
      </c>
      <c r="H14" s="376">
        <f>IF('FY Control'!$B$10="CY",IF(H12-H13&lt;0,0,H12-H13),IF('FY Control'!$D$3="P1",IF(H12-H13&lt;0,0,H12-H13),VLOOKUP('Data Entry'!$B$3,'PY1 EPA'!$A$7,MATCH("B-18",'PY1 EPA'!$A$5:$M$5,0))))</f>
        <v>0</v>
      </c>
      <c r="I14" s="1000">
        <f>IF(I12-I13&lt;0,0,I12-I13)</f>
        <v>0</v>
      </c>
      <c r="J14" s="376">
        <f t="shared" ref="J14:L14" si="3">IF(J12-J13&lt;0,0,J12-J13)</f>
        <v>0</v>
      </c>
      <c r="K14" s="376">
        <f t="shared" si="3"/>
        <v>0</v>
      </c>
      <c r="L14" s="376">
        <f t="shared" si="3"/>
        <v>0</v>
      </c>
      <c r="M14" s="376">
        <f t="shared" ref="M14:N14" si="4">IF(M12-M13&lt;0,0,M12-M13)</f>
        <v>0</v>
      </c>
      <c r="N14" s="412">
        <f t="shared" si="4"/>
        <v>0</v>
      </c>
      <c r="O14" s="8"/>
      <c r="P14" s="4"/>
      <c r="Q14" s="13"/>
      <c r="R14" s="13"/>
      <c r="S14" s="13"/>
      <c r="T14" s="13"/>
    </row>
    <row r="15" spans="1:20" s="12" customFormat="1" ht="15" customHeight="1">
      <c r="A15" s="98"/>
      <c r="B15" s="10"/>
      <c r="C15" s="18"/>
      <c r="D15" s="379"/>
      <c r="E15" s="373"/>
      <c r="F15" s="379"/>
      <c r="G15" s="373"/>
      <c r="H15" s="373"/>
      <c r="I15" s="373"/>
      <c r="J15" s="373"/>
      <c r="K15" s="373"/>
      <c r="L15" s="373"/>
      <c r="M15" s="373"/>
      <c r="N15" s="410"/>
      <c r="O15" s="8"/>
      <c r="P15" s="4"/>
      <c r="Q15" s="13"/>
      <c r="R15" s="13"/>
      <c r="S15" s="13"/>
      <c r="T15" s="13"/>
    </row>
    <row r="16" spans="1:20" s="12" customFormat="1" ht="15" customHeight="1">
      <c r="A16" s="97" t="s">
        <v>136</v>
      </c>
      <c r="B16" s="10"/>
      <c r="C16" s="18"/>
      <c r="D16" s="379"/>
      <c r="E16" s="373"/>
      <c r="F16" s="379"/>
      <c r="G16" s="373"/>
      <c r="H16" s="373"/>
      <c r="I16" s="373"/>
      <c r="J16" s="373"/>
      <c r="K16" s="373"/>
      <c r="L16" s="373"/>
      <c r="M16" s="373"/>
      <c r="N16" s="410"/>
      <c r="O16" s="8"/>
      <c r="P16" s="6"/>
      <c r="Q16" s="13"/>
      <c r="R16" s="13"/>
      <c r="S16" s="13"/>
      <c r="T16" s="13"/>
    </row>
    <row r="17" spans="1:20" s="12" customFormat="1" ht="15" customHeight="1">
      <c r="A17" s="98" t="s">
        <v>14</v>
      </c>
      <c r="B17" s="10" t="str">
        <f>B12</f>
        <v>Adjusted Revenue Limit/Adjusted General Purpose Funding for EPA</v>
      </c>
      <c r="C17" s="18"/>
      <c r="D17" s="377">
        <f>D12</f>
        <v>0</v>
      </c>
      <c r="E17" s="377">
        <f t="shared" ref="E17:L17" si="5">E12</f>
        <v>0</v>
      </c>
      <c r="F17" s="377">
        <f>F12</f>
        <v>0</v>
      </c>
      <c r="G17" s="376">
        <f t="shared" si="5"/>
        <v>0</v>
      </c>
      <c r="H17" s="377">
        <f>H12</f>
        <v>0</v>
      </c>
      <c r="I17" s="376">
        <f t="shared" ref="I17" si="6">I12</f>
        <v>0</v>
      </c>
      <c r="J17" s="376">
        <f t="shared" si="5"/>
        <v>0</v>
      </c>
      <c r="K17" s="376">
        <f t="shared" si="5"/>
        <v>0</v>
      </c>
      <c r="L17" s="376">
        <f t="shared" si="5"/>
        <v>0</v>
      </c>
      <c r="M17" s="376">
        <f t="shared" ref="M17:N17" si="7">M12</f>
        <v>0</v>
      </c>
      <c r="N17" s="412">
        <f t="shared" si="7"/>
        <v>0</v>
      </c>
      <c r="O17" s="8"/>
      <c r="P17" s="4"/>
      <c r="Q17" s="13"/>
      <c r="R17" s="13"/>
      <c r="S17" s="13"/>
      <c r="T17" s="13"/>
    </row>
    <row r="18" spans="1:20" s="8" customFormat="1" ht="15" customHeight="1">
      <c r="A18" s="98" t="s">
        <v>97</v>
      </c>
      <c r="B18" s="10" t="s">
        <v>150</v>
      </c>
      <c r="C18" s="2"/>
      <c r="D18" s="381">
        <f>IFERROR(VLOOKUP('Data Entry'!$B$3,'PY3 EPA'!$A:$M,MATCH("C-2",'PY3 EPA'!$A$5:$M$5,0)),0)</f>
        <v>0</v>
      </c>
      <c r="E18" s="382" t="s">
        <v>29</v>
      </c>
      <c r="F18" s="381">
        <f>IFERROR(VLOOKUP('Data Entry'!$B$3,'PY2 EPA'!$A:$M,MATCH("c-2",'PY2 EPA'!$A$5:$M$5,0)),0)</f>
        <v>0</v>
      </c>
      <c r="G18" s="382" t="s">
        <v>29</v>
      </c>
      <c r="H18" s="381">
        <f>'Data Entry'!I16</f>
        <v>0.4521920787</v>
      </c>
      <c r="I18" s="382" t="s">
        <v>29</v>
      </c>
      <c r="J18" s="381">
        <f>'Data Entry'!J16</f>
        <v>0</v>
      </c>
      <c r="K18" s="381">
        <f>'Data Entry'!K16</f>
        <v>0</v>
      </c>
      <c r="L18" s="381">
        <f>'Data Entry'!L16</f>
        <v>0</v>
      </c>
      <c r="M18" s="381">
        <f>'Data Entry'!M16</f>
        <v>0</v>
      </c>
      <c r="N18" s="413">
        <f>'Data Entry'!N16</f>
        <v>0</v>
      </c>
      <c r="P18" s="4"/>
    </row>
    <row r="19" spans="1:20" s="12" customFormat="1" ht="15" customHeight="1">
      <c r="A19" s="98" t="s">
        <v>50</v>
      </c>
      <c r="B19" s="10" t="s">
        <v>137</v>
      </c>
      <c r="C19" s="18"/>
      <c r="D19" s="377">
        <f>IFERROR(VLOOKUP('Data Entry'!$B$3,'PY3 EPA'!$A:$M,MATCH("C-3",'PY3 EPA'!$A$5:$M$5,0),FALSE),0)</f>
        <v>0</v>
      </c>
      <c r="E19" s="377">
        <f>ROUND(IF(D23&gt;0,D19,E17*E28),0)</f>
        <v>0</v>
      </c>
      <c r="F19" s="376">
        <f>IFERROR(VLOOKUP('Data Entry'!$B$3,'PY2 EPA'!$A:$M,MATCH("C-3",'PY2 EPA'!$A$5:$M$5,0),FALSE),0)</f>
        <v>0</v>
      </c>
      <c r="G19" s="377">
        <f>ROUND(IF(F23&gt;0,F19,G17*G28),0)</f>
        <v>0</v>
      </c>
      <c r="H19" s="377">
        <f>IF('FY Control'!$B$9="PY1",ROUND(H17*H18,0),IF('FY Control'!$D$3="P1",ROUND(H17*H18,0),IFERROR(VLOOKUP('Data Entry'!$B$3,'PY1 EPA'!$A:$M,MATCH("C-3",'PY1 EPA'!$A$5:$M$5,0),FALSE),0)))</f>
        <v>0</v>
      </c>
      <c r="I19" s="377">
        <f>ROUND(IF(H23&gt;0,H19,I17*I28),0)</f>
        <v>0</v>
      </c>
      <c r="J19" s="376">
        <f>ROUND(J17*J18,0)</f>
        <v>0</v>
      </c>
      <c r="K19" s="376">
        <f t="shared" ref="K19:L19" si="8">ROUND(K17*K18,0)</f>
        <v>0</v>
      </c>
      <c r="L19" s="376">
        <f t="shared" si="8"/>
        <v>0</v>
      </c>
      <c r="M19" s="376">
        <f t="shared" ref="M19:N19" si="9">ROUND(M17*M18,0)</f>
        <v>0</v>
      </c>
      <c r="N19" s="412">
        <f t="shared" si="9"/>
        <v>0</v>
      </c>
      <c r="O19" s="8"/>
      <c r="P19" s="4"/>
      <c r="Q19" s="13"/>
      <c r="R19" s="13"/>
      <c r="S19" s="13"/>
      <c r="T19" s="13"/>
    </row>
    <row r="20" spans="1:20" s="12" customFormat="1" ht="15" customHeight="1">
      <c r="A20" s="98"/>
      <c r="B20" s="10"/>
      <c r="C20" s="18"/>
      <c r="D20" s="379"/>
      <c r="E20" s="373"/>
      <c r="F20" s="379"/>
      <c r="G20" s="373"/>
      <c r="H20" s="373"/>
      <c r="I20" s="373"/>
      <c r="J20" s="373"/>
      <c r="K20" s="373"/>
      <c r="L20" s="373"/>
      <c r="M20" s="373"/>
      <c r="N20" s="410"/>
      <c r="O20" s="8"/>
      <c r="P20" s="4"/>
      <c r="Q20" s="13"/>
      <c r="R20" s="13"/>
      <c r="S20" s="13"/>
      <c r="T20" s="13"/>
    </row>
    <row r="21" spans="1:20" s="12" customFormat="1" ht="15" customHeight="1">
      <c r="A21" s="97" t="s">
        <v>138</v>
      </c>
      <c r="B21" s="10"/>
      <c r="C21" s="18"/>
      <c r="D21" s="379"/>
      <c r="E21" s="373"/>
      <c r="F21" s="379"/>
      <c r="G21" s="373"/>
      <c r="H21" s="373"/>
      <c r="I21" s="373"/>
      <c r="J21" s="373"/>
      <c r="K21" s="373"/>
      <c r="L21" s="373"/>
      <c r="M21" s="373"/>
      <c r="N21" s="410"/>
      <c r="O21" s="8"/>
      <c r="P21" s="4"/>
      <c r="Q21" s="13"/>
      <c r="R21" s="13"/>
      <c r="S21" s="13"/>
      <c r="T21" s="13"/>
    </row>
    <row r="22" spans="1:20" s="12" customFormat="1" ht="15" customHeight="1">
      <c r="A22" s="98" t="s">
        <v>130</v>
      </c>
      <c r="B22" s="272" t="s">
        <v>274</v>
      </c>
      <c r="C22" s="11"/>
      <c r="D22" s="377">
        <f>IFERROR(VLOOKUP('Data Entry'!$B$3,'PY3 EPA'!$A:$M,MATCH("D-1",'PY3 EPA'!$A$5:$M$5,0),FALSE),0)</f>
        <v>0</v>
      </c>
      <c r="E22" s="377">
        <f>IF(D23&gt;0,D22,IF(IF(E19&lt;E14,E19,E14)&lt;E9,E9,IF(E19&lt;E14,E19,E14)))</f>
        <v>0</v>
      </c>
      <c r="F22" s="376">
        <f>IFERROR(VLOOKUP('Data Entry'!$B$3,'PY2 EPA'!$A:$M,MATCH("D-1",'PY2 EPA'!$A$5:$M$5,0),FALSE),0)</f>
        <v>0</v>
      </c>
      <c r="G22" s="376">
        <f>IF(IF(G19&lt;G14,G19,G14)&lt;G9,G9,IF(G19&lt;G14,G19,G14))</f>
        <v>0</v>
      </c>
      <c r="H22" s="376">
        <f>IF('FY Control'!$D$3="P1",
IF(IF(H19&lt;H14,H19,H14)&lt;H9,H9,
IF(H19&lt;H14,H19,H14)),
IFERROR(VLOOKUP('Data Entry'!$B$3,'PY1 EPA'!$A:$M,MATCH("D-1",'PY1 EPA'!$A$5:$M$5,0),FALSE),0))</f>
        <v>0</v>
      </c>
      <c r="I22" s="376">
        <f t="shared" ref="I22:N22" si="10">IF(IF(I19&lt;I14,I19,I14)&lt;I9,I9,IF(I19&lt;I14,I19,I14))</f>
        <v>0</v>
      </c>
      <c r="J22" s="376">
        <f t="shared" si="10"/>
        <v>0</v>
      </c>
      <c r="K22" s="376">
        <f t="shared" si="10"/>
        <v>0</v>
      </c>
      <c r="L22" s="376">
        <f t="shared" si="10"/>
        <v>0</v>
      </c>
      <c r="M22" s="376">
        <f t="shared" si="10"/>
        <v>0</v>
      </c>
      <c r="N22" s="412">
        <f t="shared" si="10"/>
        <v>0</v>
      </c>
      <c r="O22" s="8"/>
      <c r="P22" s="4"/>
      <c r="Q22" s="13"/>
      <c r="R22" s="13"/>
      <c r="S22" s="13"/>
      <c r="T22" s="13"/>
    </row>
    <row r="23" spans="1:20" s="12" customFormat="1" ht="15" customHeight="1">
      <c r="A23" s="98" t="s">
        <v>131</v>
      </c>
      <c r="B23" s="10" t="s">
        <v>141</v>
      </c>
      <c r="C23" s="11"/>
      <c r="D23" s="377">
        <f>IFERROR(VLOOKUP('Data Entry'!$B$3,'PY3 EPA'!$A:$M,MATCH("D-2",'PY3 EPA'!$A$5:$M$5,0),FALSE),0)</f>
        <v>0</v>
      </c>
      <c r="E23" s="377">
        <f>D23</f>
        <v>0</v>
      </c>
      <c r="F23" s="377">
        <f>IFERROR(VLOOKUP('Data Entry'!$B$3,'PY2 EPA'!$A:$M,MATCH("D-2",'PY2 EPA'!$A$5:$M$5,0),FALSE),0)</f>
        <v>0</v>
      </c>
      <c r="G23" s="377">
        <f>F23</f>
        <v>0</v>
      </c>
      <c r="H23" s="377">
        <f>IF('FY Control'!$B$10="CY",0,IF('FY Control'!$D$3="P1",0,H24-H22))</f>
        <v>0</v>
      </c>
      <c r="I23" s="377">
        <f>H23</f>
        <v>0</v>
      </c>
      <c r="J23" s="383"/>
      <c r="K23" s="383"/>
      <c r="L23" s="383"/>
      <c r="M23" s="383"/>
      <c r="N23" s="414"/>
      <c r="O23" s="8"/>
      <c r="P23" s="6"/>
      <c r="Q23" s="13"/>
      <c r="R23" s="13"/>
      <c r="S23" s="13"/>
      <c r="T23" s="13"/>
    </row>
    <row r="24" spans="1:20" s="12" customFormat="1" ht="15" customHeight="1">
      <c r="A24" s="98" t="s">
        <v>12</v>
      </c>
      <c r="B24" s="10" t="s">
        <v>139</v>
      </c>
      <c r="C24" s="11"/>
      <c r="D24" s="378">
        <f>IFERROR(VLOOKUP('Data Entry'!$B$3,'PY3 EPA'!$A:$M,MATCH("D-3",'PY3 EPA'!$A$5:$M$5,0),FALSE),0)</f>
        <v>0</v>
      </c>
      <c r="E24" s="378">
        <f>SUM(E22,E23)</f>
        <v>0</v>
      </c>
      <c r="F24" s="384">
        <f>IFERROR(VLOOKUP('Data Entry'!$B$3,'PY2 EPA'!$A:$M,MATCH("D-3",'PY2 EPA'!$A$5:$M$5,0),FALSE),0)</f>
        <v>0</v>
      </c>
      <c r="G24" s="377">
        <f>SUM(G22,G23)</f>
        <v>0</v>
      </c>
      <c r="H24" s="384">
        <f>IF('FY Control'!$B$10="CY",SUM(H22,H23),IF('FY Control'!$D$3="P1",SUM(H22,H23),IFERROR(VLOOKUP('Data Entry'!$B$3,'PY1 EPA'!$A:$M,MATCH("D-3",'PY1 EPA'!$A$5:$M$5,0),FALSE),0)))</f>
        <v>0</v>
      </c>
      <c r="I24" s="384">
        <f>SUM(I22,I23)</f>
        <v>0</v>
      </c>
      <c r="J24" s="384">
        <f t="shared" ref="J24:L24" si="11">SUM(J22,J23)</f>
        <v>0</v>
      </c>
      <c r="K24" s="384">
        <f t="shared" si="11"/>
        <v>0</v>
      </c>
      <c r="L24" s="384">
        <f t="shared" si="11"/>
        <v>0</v>
      </c>
      <c r="M24" s="384">
        <f t="shared" ref="M24:N24" si="12">SUM(M22,M23)</f>
        <v>0</v>
      </c>
      <c r="N24" s="415">
        <f t="shared" si="12"/>
        <v>0</v>
      </c>
      <c r="O24" s="8"/>
      <c r="P24" s="6"/>
      <c r="Q24" s="13"/>
      <c r="R24" s="13"/>
      <c r="S24" s="13"/>
      <c r="T24" s="13"/>
    </row>
    <row r="25" spans="1:20" s="12" customFormat="1" ht="15" customHeight="1">
      <c r="A25" s="98" t="s">
        <v>126</v>
      </c>
      <c r="B25" s="21" t="s">
        <v>140</v>
      </c>
      <c r="C25" s="22"/>
      <c r="D25" s="377">
        <f>IFERROR(VLOOKUP('Data Entry'!$B$3,'PY3 EPA'!$A:$M,MATCH("D-4",'PY3 EPA'!$A$5:$M$5,0),FALSE),0)</f>
        <v>0</v>
      </c>
      <c r="E25" s="1145">
        <f>+D25</f>
        <v>0</v>
      </c>
      <c r="F25" s="380">
        <f>IFERROR(VLOOKUP('Data Entry'!$B$3,'PY2 EPA'!$A:$M,MATCH("D-4",'PY2 EPA'!$A$5:$M$5,0)),0)</f>
        <v>0</v>
      </c>
      <c r="G25" s="1145">
        <f>+F25</f>
        <v>0</v>
      </c>
      <c r="H25" s="376">
        <f>IF('FY Control'!$D$3="P1",G22-F22,IFERROR(VLOOKUP('Data Entry'!$B$3,'PY1 EPA'!$A:$M,MATCH("D-4",'PY1 EPA'!$A$5:$M$5,0),FALSE),0))</f>
        <v>0</v>
      </c>
      <c r="I25" s="1145">
        <f>+G22-F22</f>
        <v>0</v>
      </c>
      <c r="J25" s="407">
        <f>+I22-H22</f>
        <v>0</v>
      </c>
      <c r="K25" s="407"/>
      <c r="L25" s="407"/>
      <c r="M25" s="407"/>
      <c r="N25" s="417"/>
      <c r="O25" s="50"/>
      <c r="P25" s="6"/>
      <c r="Q25" s="13"/>
      <c r="R25" s="13"/>
      <c r="S25" s="13"/>
    </row>
    <row r="26" spans="1:20" s="12" customFormat="1" ht="15" customHeight="1">
      <c r="A26" s="98" t="s">
        <v>127</v>
      </c>
      <c r="B26" s="21" t="s">
        <v>105</v>
      </c>
      <c r="C26" s="18"/>
      <c r="D26" s="377">
        <f t="shared" ref="D26:I26" si="13">D24+D25</f>
        <v>0</v>
      </c>
      <c r="E26" s="380">
        <f t="shared" si="13"/>
        <v>0</v>
      </c>
      <c r="F26" s="380">
        <f t="shared" si="13"/>
        <v>0</v>
      </c>
      <c r="G26" s="380">
        <f t="shared" si="13"/>
        <v>0</v>
      </c>
      <c r="H26" s="376">
        <f t="shared" si="13"/>
        <v>0</v>
      </c>
      <c r="I26" s="376">
        <f t="shared" si="13"/>
        <v>0</v>
      </c>
      <c r="J26" s="384">
        <f t="shared" ref="J26:L26" si="14">J24+J25</f>
        <v>0</v>
      </c>
      <c r="K26" s="384">
        <f t="shared" si="14"/>
        <v>0</v>
      </c>
      <c r="L26" s="384">
        <f t="shared" si="14"/>
        <v>0</v>
      </c>
      <c r="M26" s="384">
        <f t="shared" ref="M26:N26" si="15">M24+M25</f>
        <v>0</v>
      </c>
      <c r="N26" s="415">
        <f t="shared" si="15"/>
        <v>0</v>
      </c>
      <c r="O26" s="8"/>
      <c r="P26" s="4"/>
      <c r="Q26" s="13"/>
      <c r="R26" s="13"/>
      <c r="S26" s="13"/>
      <c r="T26" s="13"/>
    </row>
    <row r="27" spans="1:20" s="12" customFormat="1" ht="15" customHeight="1">
      <c r="A27" s="98"/>
      <c r="B27" s="21"/>
      <c r="C27" s="18"/>
      <c r="D27" s="384"/>
      <c r="E27" s="384"/>
      <c r="F27" s="384"/>
      <c r="G27" s="384"/>
      <c r="H27" s="384"/>
      <c r="I27" s="384"/>
      <c r="J27" s="384"/>
      <c r="K27" s="384"/>
      <c r="L27" s="384"/>
      <c r="M27" s="384"/>
      <c r="N27" s="415"/>
      <c r="O27" s="8"/>
      <c r="P27" s="4"/>
      <c r="Q27" s="13"/>
      <c r="R27" s="13"/>
      <c r="S27" s="13"/>
      <c r="T27" s="13"/>
    </row>
    <row r="28" spans="1:20" s="12" customFormat="1" ht="15" customHeight="1">
      <c r="A28" s="98" t="s">
        <v>97</v>
      </c>
      <c r="B28" s="10" t="s">
        <v>151</v>
      </c>
      <c r="C28" s="18"/>
      <c r="D28" s="381"/>
      <c r="E28" s="381">
        <f>'Data Entry'!G17</f>
        <v>0.82744885379999999</v>
      </c>
      <c r="F28" s="381"/>
      <c r="G28" s="381">
        <f>'Data Entry'!H17</f>
        <v>0.75371569029999996</v>
      </c>
      <c r="H28" s="381"/>
      <c r="I28" s="381">
        <f>'Data Entry'!I17</f>
        <v>0.4521920787</v>
      </c>
      <c r="J28" s="381">
        <f>'Data Entry'!J17</f>
        <v>0</v>
      </c>
      <c r="K28" s="381">
        <f>'Data Entry'!K17</f>
        <v>0</v>
      </c>
      <c r="L28" s="381">
        <f>'Data Entry'!L17</f>
        <v>0</v>
      </c>
      <c r="M28" s="381">
        <f>'Data Entry'!M17</f>
        <v>0</v>
      </c>
      <c r="N28" s="413">
        <f>'Data Entry'!N17</f>
        <v>0</v>
      </c>
      <c r="O28" s="8"/>
      <c r="P28" s="4"/>
      <c r="Q28" s="13"/>
      <c r="R28" s="13"/>
      <c r="S28" s="13"/>
      <c r="T28" s="13"/>
    </row>
    <row r="29" spans="1:20" s="26" customFormat="1" ht="15" customHeight="1" thickBot="1">
      <c r="A29" s="100"/>
      <c r="B29" s="101" t="s">
        <v>1765</v>
      </c>
      <c r="C29" s="102"/>
      <c r="D29" s="199">
        <f>SUM(D24,F25)</f>
        <v>0</v>
      </c>
      <c r="E29" s="103" t="s">
        <v>29</v>
      </c>
      <c r="F29" s="1146">
        <f>SUM(F24,H25)</f>
        <v>0</v>
      </c>
      <c r="G29" s="103" t="s">
        <v>29</v>
      </c>
      <c r="H29" s="199">
        <f>SUM(H24,J25)</f>
        <v>0</v>
      </c>
      <c r="I29" s="103" t="s">
        <v>29</v>
      </c>
      <c r="J29" s="199">
        <f t="shared" ref="J29:K29" si="16">SUM(J24,K25)</f>
        <v>0</v>
      </c>
      <c r="K29" s="199">
        <f t="shared" si="16"/>
        <v>0</v>
      </c>
      <c r="L29" s="199">
        <f>SUM(L24)</f>
        <v>0</v>
      </c>
      <c r="M29" s="199">
        <f>SUM(M24)</f>
        <v>0</v>
      </c>
      <c r="N29" s="416">
        <f>SUM(N24)</f>
        <v>0</v>
      </c>
      <c r="O29" s="17"/>
      <c r="P29" s="4"/>
      <c r="Q29" s="25"/>
      <c r="R29" s="25"/>
      <c r="S29" s="25"/>
      <c r="T29" s="25"/>
    </row>
    <row r="30" spans="1:20">
      <c r="P30" s="4"/>
    </row>
    <row r="31" spans="1:20">
      <c r="A31" s="356" t="s">
        <v>561</v>
      </c>
      <c r="P31" s="4"/>
    </row>
    <row r="32" spans="1:20">
      <c r="A32" s="200" t="s">
        <v>195</v>
      </c>
      <c r="P32" s="4"/>
    </row>
    <row r="33" spans="1:6">
      <c r="A33" s="200" t="s">
        <v>1850</v>
      </c>
      <c r="D33" s="247"/>
    </row>
    <row r="34" spans="1:6">
      <c r="D34" s="247"/>
      <c r="F34" s="14"/>
    </row>
    <row r="35" spans="1:6">
      <c r="D35" s="247"/>
      <c r="E35" s="246"/>
      <c r="F35" s="14"/>
    </row>
    <row r="36" spans="1:6">
      <c r="D36" s="14"/>
      <c r="F36" s="14"/>
    </row>
    <row r="37" spans="1:6">
      <c r="D37" s="14"/>
      <c r="F37" s="14"/>
    </row>
    <row r="38" spans="1:6">
      <c r="D38" s="248"/>
    </row>
    <row r="40" spans="1:6">
      <c r="D40" s="249"/>
    </row>
    <row r="41" spans="1:6">
      <c r="D41" s="249"/>
    </row>
    <row r="42" spans="1:6">
      <c r="D42" s="249"/>
    </row>
    <row r="43" spans="1:6">
      <c r="D43" s="249"/>
    </row>
    <row r="44" spans="1:6">
      <c r="D44" s="249"/>
    </row>
    <row r="45" spans="1:6">
      <c r="D45" s="249"/>
    </row>
    <row r="48" spans="1:6">
      <c r="D48" s="249"/>
    </row>
    <row r="49" spans="4:4">
      <c r="D49" s="249"/>
    </row>
  </sheetData>
  <sheetProtection algorithmName="SHA-512" hashValue="KG8TvQP1OoilPEwCPa1R97Xzh5caKdwVfjDlQLnEMaq6hhE/KrIfEEAo1P3rzymIltPttlqPq0yTkU5Flh+KHg==" saltValue="DVWjXGJGdAWuh6/ehVrrog==" spinCount="100000" sheet="1" formatCells="0" formatColumns="0" formatRows="0"/>
  <printOptions horizontalCentered="1"/>
  <pageMargins left="0.2" right="0.2" top="1" bottom="0.75" header="0.4" footer="0.3"/>
  <pageSetup scale="60" orientation="landscape" r:id="rId1"/>
  <headerFooter>
    <oddHeader>&amp;L
&amp;A&amp;R&amp;G</oddHeader>
    <oddFooter>&amp;L&amp;D&amp;T&amp;R&amp;F
&amp;A - page &amp;P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77" id="{20EA8F70-7457-42B5-8A88-CB29B0249077}">
            <xm:f>'Data Entry'!#REF!="Charter"</xm:f>
            <x14:dxf>
              <font>
                <color theme="0"/>
              </font>
              <fill>
                <patternFill>
                  <bgColor theme="6" tint="-0.499984740745262"/>
                </patternFill>
              </fill>
            </x14:dxf>
          </x14:cfRule>
          <x14:cfRule type="expression" priority="778" id="{26DB02BA-936A-4731-B33C-651A5A4B10B4}">
            <xm:f>'Data Entry'!#REF!="District"</xm:f>
            <x14:dxf>
              <font>
                <color theme="0"/>
              </font>
              <fill>
                <patternFill>
                  <bgColor theme="1"/>
                </patternFill>
              </fill>
            </x14:dxf>
          </x14:cfRule>
          <xm:sqref>A1:K1 N1</xm:sqref>
        </x14:conditionalFormatting>
        <x14:conditionalFormatting xmlns:xm="http://schemas.microsoft.com/office/excel/2006/main">
          <x14:cfRule type="expression" priority="783" id="{2565DA25-9AE1-4303-9665-7C0EC90A213C}">
            <xm:f>'Data Entry'!#REF!="District"</xm:f>
            <x14:dxf>
              <fill>
                <patternFill>
                  <bgColor theme="2"/>
                </patternFill>
              </fill>
            </x14:dxf>
          </x14:cfRule>
          <x14:cfRule type="expression" priority="784" id="{204E10D8-BB27-4530-8724-2052DE34F340}">
            <xm:f>'Data Entry'!#REF!="Charter"</xm:f>
            <x14:dxf>
              <fill>
                <patternFill>
                  <bgColor theme="6" tint="0.79998168889431442"/>
                </patternFill>
              </fill>
            </x14:dxf>
          </x14:cfRule>
          <xm:sqref>A2:K2 N2</xm:sqref>
        </x14:conditionalFormatting>
        <x14:conditionalFormatting xmlns:xm="http://schemas.microsoft.com/office/excel/2006/main">
          <x14:cfRule type="expression" priority="1" id="{57607CD3-A4A8-4687-858E-5D0D148C17C3}">
            <xm:f>'Data Entry'!#REF!="Charter"</xm:f>
            <x14:dxf>
              <font>
                <color theme="0"/>
              </font>
              <fill>
                <patternFill>
                  <bgColor theme="6" tint="-0.499984740745262"/>
                </patternFill>
              </fill>
            </x14:dxf>
          </x14:cfRule>
          <x14:cfRule type="expression" priority="2" id="{EB24CA7B-97C8-4B95-BA10-44BB90176ED9}">
            <xm:f>'Data Entry'!#REF!="District"</xm:f>
            <x14:dxf>
              <font>
                <color theme="0"/>
              </font>
              <fill>
                <patternFill>
                  <bgColor theme="1"/>
                </patternFill>
              </fill>
            </x14:dxf>
          </x14:cfRule>
          <xm:sqref>L1:M1</xm:sqref>
        </x14:conditionalFormatting>
        <x14:conditionalFormatting xmlns:xm="http://schemas.microsoft.com/office/excel/2006/main">
          <x14:cfRule type="expression" priority="3" id="{4B98C7BA-41F0-4E7C-AB0F-9F5618036ECF}">
            <xm:f>'Data Entry'!#REF!="District"</xm:f>
            <x14:dxf>
              <fill>
                <patternFill>
                  <bgColor theme="2"/>
                </patternFill>
              </fill>
            </x14:dxf>
          </x14:cfRule>
          <x14:cfRule type="expression" priority="4" id="{5396719F-8168-4775-B7E0-92B25BDB7628}">
            <xm:f>'Data Entry'!#REF!="Charter"</xm:f>
            <x14:dxf>
              <fill>
                <patternFill>
                  <bgColor theme="6" tint="0.79998168889431442"/>
                </patternFill>
              </fill>
            </x14:dxf>
          </x14:cfRule>
          <xm:sqref>L2:M2</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66"/>
  <sheetViews>
    <sheetView zoomScale="70" zoomScaleNormal="70" workbookViewId="0">
      <pane ySplit="5" topLeftCell="A6" activePane="bottomLeft" state="frozen"/>
      <selection activeCell="E5" sqref="E5"/>
      <selection pane="bottomLeft" activeCell="C2" sqref="C2"/>
    </sheetView>
  </sheetViews>
  <sheetFormatPr defaultColWidth="8.88671875" defaultRowHeight="15"/>
  <cols>
    <col min="1" max="1" width="12.109375" style="63" customWidth="1"/>
    <col min="2" max="2" width="50.5546875" style="35" customWidth="1"/>
    <col min="3" max="3" width="21" style="35" customWidth="1"/>
    <col min="4" max="4" width="23.44140625" style="35" customWidth="1"/>
    <col min="5" max="5" width="22.109375" style="35" bestFit="1" customWidth="1"/>
    <col min="6" max="6" width="22.33203125" style="35" bestFit="1" customWidth="1"/>
    <col min="7" max="8" width="23.33203125" style="35" bestFit="1" customWidth="1"/>
    <col min="9" max="9" width="24.88671875" style="35" customWidth="1"/>
    <col min="10" max="10" width="20.6640625" style="35" bestFit="1" customWidth="1"/>
    <col min="11" max="11" width="20.6640625" style="35" customWidth="1"/>
    <col min="12" max="12" width="22.33203125" style="35" bestFit="1" customWidth="1"/>
    <col min="13" max="13" width="18" style="35" bestFit="1" customWidth="1"/>
    <col min="14" max="14" width="6.88671875" style="35" customWidth="1"/>
    <col min="15" max="15" width="9.88671875" style="35" customWidth="1"/>
    <col min="16" max="16384" width="8.88671875" style="35"/>
  </cols>
  <sheetData>
    <row r="1" spans="1:13" ht="19.2">
      <c r="A1" s="1123" t="s">
        <v>149</v>
      </c>
      <c r="B1" s="40"/>
      <c r="D1" s="362" t="s">
        <v>1739</v>
      </c>
      <c r="E1" s="244" t="s">
        <v>164</v>
      </c>
      <c r="F1" s="77"/>
      <c r="G1" s="77"/>
    </row>
    <row r="2" spans="1:13" ht="46.5" customHeight="1">
      <c r="A2" s="816" t="s">
        <v>1773</v>
      </c>
      <c r="B2" s="1022"/>
      <c r="C2" s="1125" t="s">
        <v>120</v>
      </c>
      <c r="D2" s="244"/>
      <c r="E2" s="1289" t="s">
        <v>1769</v>
      </c>
      <c r="F2" s="1289"/>
      <c r="G2" s="1289"/>
    </row>
    <row r="3" spans="1:13" ht="18">
      <c r="A3" s="1124" t="str">
        <f>+'Data Entry'!I10</f>
        <v>2022-23</v>
      </c>
      <c r="B3" s="817"/>
      <c r="C3" s="819" t="s">
        <v>1580</v>
      </c>
      <c r="D3" s="819" t="s">
        <v>1581</v>
      </c>
      <c r="E3" s="819" t="s">
        <v>1582</v>
      </c>
      <c r="F3" s="819" t="s">
        <v>1583</v>
      </c>
      <c r="G3" s="819" t="s">
        <v>1584</v>
      </c>
      <c r="H3" s="819" t="s">
        <v>1585</v>
      </c>
      <c r="I3" s="819" t="s">
        <v>1586</v>
      </c>
      <c r="J3" s="819" t="s">
        <v>1587</v>
      </c>
      <c r="K3" s="819" t="s">
        <v>1771</v>
      </c>
      <c r="L3" s="819" t="s">
        <v>1588</v>
      </c>
      <c r="M3" s="819" t="s">
        <v>1589</v>
      </c>
    </row>
    <row r="4" spans="1:13" s="43" customFormat="1" ht="109.2">
      <c r="A4" s="44" t="s">
        <v>16</v>
      </c>
      <c r="B4" s="361" t="s">
        <v>20</v>
      </c>
      <c r="C4" s="45" t="s">
        <v>148</v>
      </c>
      <c r="D4" s="45" t="s">
        <v>147</v>
      </c>
      <c r="E4" s="1117" t="s">
        <v>1841</v>
      </c>
      <c r="F4" s="1117" t="s">
        <v>1842</v>
      </c>
      <c r="G4" s="1117" t="s">
        <v>1843</v>
      </c>
      <c r="H4" s="45" t="s">
        <v>146</v>
      </c>
      <c r="I4" s="45" t="s">
        <v>145</v>
      </c>
      <c r="J4" s="45" t="s">
        <v>144</v>
      </c>
      <c r="K4" s="80" t="s">
        <v>1770</v>
      </c>
      <c r="L4" s="45" t="s">
        <v>143</v>
      </c>
      <c r="M4" s="45" t="s">
        <v>142</v>
      </c>
    </row>
    <row r="5" spans="1:13" ht="15.6">
      <c r="A5" s="42"/>
      <c r="B5" s="42"/>
      <c r="C5" s="42" t="s">
        <v>11</v>
      </c>
      <c r="D5" s="42" t="s">
        <v>9</v>
      </c>
      <c r="E5" s="1058" t="s">
        <v>1844</v>
      </c>
      <c r="F5" s="1058" t="s">
        <v>1845</v>
      </c>
      <c r="G5" s="1058" t="s">
        <v>1846</v>
      </c>
      <c r="H5" s="42" t="s">
        <v>97</v>
      </c>
      <c r="I5" s="42" t="s">
        <v>50</v>
      </c>
      <c r="J5" s="42" t="s">
        <v>130</v>
      </c>
      <c r="K5" s="1059" t="s">
        <v>131</v>
      </c>
      <c r="L5" s="42" t="s">
        <v>12</v>
      </c>
      <c r="M5" s="42" t="s">
        <v>126</v>
      </c>
    </row>
    <row r="6" spans="1:13">
      <c r="A6" s="1121">
        <v>1</v>
      </c>
      <c r="B6" s="909" t="s">
        <v>49</v>
      </c>
      <c r="C6" s="935">
        <v>124.76</v>
      </c>
      <c r="D6" s="936">
        <v>24952</v>
      </c>
      <c r="E6" s="1060">
        <v>11269499</v>
      </c>
      <c r="F6" s="936">
        <v>18336381</v>
      </c>
      <c r="G6" s="936">
        <v>0</v>
      </c>
      <c r="H6" s="1061">
        <v>0.4521920787</v>
      </c>
      <c r="I6" s="936">
        <v>5095978</v>
      </c>
      <c r="J6" s="936">
        <v>24952</v>
      </c>
      <c r="K6" s="1060">
        <v>0</v>
      </c>
      <c r="L6" s="936">
        <v>24952</v>
      </c>
      <c r="M6" s="936">
        <v>1966</v>
      </c>
    </row>
    <row r="7" spans="1:13">
      <c r="A7" s="1121">
        <v>2</v>
      </c>
      <c r="B7" s="909" t="s">
        <v>51</v>
      </c>
      <c r="C7" s="935">
        <v>0</v>
      </c>
      <c r="D7" s="938">
        <v>0</v>
      </c>
      <c r="E7" s="1062">
        <v>686430</v>
      </c>
      <c r="F7" s="938">
        <v>0</v>
      </c>
      <c r="G7" s="938">
        <v>686430</v>
      </c>
      <c r="H7" s="1061">
        <v>0.4521920787</v>
      </c>
      <c r="I7" s="938">
        <v>310398</v>
      </c>
      <c r="J7" s="938">
        <v>310398</v>
      </c>
      <c r="K7" s="1062">
        <v>0</v>
      </c>
      <c r="L7" s="938">
        <v>310398</v>
      </c>
      <c r="M7" s="938">
        <v>14097</v>
      </c>
    </row>
    <row r="8" spans="1:13">
      <c r="A8" s="1121">
        <v>3</v>
      </c>
      <c r="B8" s="909" t="s">
        <v>52</v>
      </c>
      <c r="C8" s="935">
        <v>1.68</v>
      </c>
      <c r="D8" s="938">
        <v>336</v>
      </c>
      <c r="E8" s="1062">
        <v>1313593</v>
      </c>
      <c r="F8" s="938">
        <v>984916</v>
      </c>
      <c r="G8" s="938">
        <v>328677</v>
      </c>
      <c r="H8" s="1061">
        <v>0.4521920787</v>
      </c>
      <c r="I8" s="938">
        <v>593996</v>
      </c>
      <c r="J8" s="938">
        <v>328677</v>
      </c>
      <c r="K8" s="1062">
        <v>0</v>
      </c>
      <c r="L8" s="938">
        <v>328677</v>
      </c>
      <c r="M8" s="938">
        <v>-21679</v>
      </c>
    </row>
    <row r="9" spans="1:13">
      <c r="A9" s="1121">
        <v>4</v>
      </c>
      <c r="B9" s="909" t="s">
        <v>53</v>
      </c>
      <c r="C9" s="935">
        <v>22.18</v>
      </c>
      <c r="D9" s="938">
        <v>4436</v>
      </c>
      <c r="E9" s="1062">
        <v>2887832</v>
      </c>
      <c r="F9" s="938">
        <v>2317375</v>
      </c>
      <c r="G9" s="938">
        <v>570457</v>
      </c>
      <c r="H9" s="1061">
        <v>0.4521920787</v>
      </c>
      <c r="I9" s="938">
        <v>1305855</v>
      </c>
      <c r="J9" s="938">
        <v>570457</v>
      </c>
      <c r="K9" s="1062">
        <v>0</v>
      </c>
      <c r="L9" s="938">
        <v>570457</v>
      </c>
      <c r="M9" s="938">
        <v>-48974</v>
      </c>
    </row>
    <row r="10" spans="1:13">
      <c r="A10" s="1121">
        <v>5</v>
      </c>
      <c r="B10" s="909" t="s">
        <v>54</v>
      </c>
      <c r="C10" s="935">
        <v>28.33</v>
      </c>
      <c r="D10" s="938">
        <v>5666</v>
      </c>
      <c r="E10" s="1062">
        <v>1098896</v>
      </c>
      <c r="F10" s="938">
        <v>757931</v>
      </c>
      <c r="G10" s="938">
        <v>340965</v>
      </c>
      <c r="H10" s="1061">
        <v>0.4521920787</v>
      </c>
      <c r="I10" s="938">
        <v>496912</v>
      </c>
      <c r="J10" s="938">
        <v>340965</v>
      </c>
      <c r="K10" s="1062">
        <v>0</v>
      </c>
      <c r="L10" s="938">
        <v>340965</v>
      </c>
      <c r="M10" s="938">
        <v>657</v>
      </c>
    </row>
    <row r="11" spans="1:13">
      <c r="A11" s="1121">
        <v>6</v>
      </c>
      <c r="B11" s="909" t="s">
        <v>55</v>
      </c>
      <c r="C11" s="935">
        <v>19.21</v>
      </c>
      <c r="D11" s="938">
        <v>3842</v>
      </c>
      <c r="E11" s="1062">
        <v>1349508</v>
      </c>
      <c r="F11" s="938">
        <v>100413</v>
      </c>
      <c r="G11" s="938">
        <v>1249095</v>
      </c>
      <c r="H11" s="1061">
        <v>0.4521920787</v>
      </c>
      <c r="I11" s="938">
        <v>610237</v>
      </c>
      <c r="J11" s="938">
        <v>610237</v>
      </c>
      <c r="K11" s="1062">
        <v>0</v>
      </c>
      <c r="L11" s="938">
        <v>610237</v>
      </c>
      <c r="M11" s="938">
        <v>29094</v>
      </c>
    </row>
    <row r="12" spans="1:13">
      <c r="A12" s="1121">
        <v>7</v>
      </c>
      <c r="B12" s="909" t="s">
        <v>109</v>
      </c>
      <c r="C12" s="935">
        <v>82</v>
      </c>
      <c r="D12" s="938">
        <v>16400</v>
      </c>
      <c r="E12" s="1062">
        <v>9587973</v>
      </c>
      <c r="F12" s="938">
        <v>18737723</v>
      </c>
      <c r="G12" s="938">
        <v>0</v>
      </c>
      <c r="H12" s="1061">
        <v>0.4521920787</v>
      </c>
      <c r="I12" s="938">
        <v>4335605</v>
      </c>
      <c r="J12" s="938">
        <v>16400</v>
      </c>
      <c r="K12" s="1062">
        <v>0</v>
      </c>
      <c r="L12" s="938">
        <v>16400</v>
      </c>
      <c r="M12" s="938">
        <v>-1780</v>
      </c>
    </row>
    <row r="13" spans="1:13">
      <c r="A13" s="1121">
        <v>8</v>
      </c>
      <c r="B13" s="909" t="s">
        <v>56</v>
      </c>
      <c r="C13" s="935">
        <v>12.82</v>
      </c>
      <c r="D13" s="938">
        <v>2564</v>
      </c>
      <c r="E13" s="1062">
        <v>2487784</v>
      </c>
      <c r="F13" s="938">
        <v>45058</v>
      </c>
      <c r="G13" s="938">
        <v>2442726</v>
      </c>
      <c r="H13" s="1061">
        <v>0.4521920787</v>
      </c>
      <c r="I13" s="938">
        <v>1124956</v>
      </c>
      <c r="J13" s="938">
        <v>1124956</v>
      </c>
      <c r="K13" s="1062">
        <v>0</v>
      </c>
      <c r="L13" s="938">
        <v>1124956</v>
      </c>
      <c r="M13" s="938">
        <v>50647</v>
      </c>
    </row>
    <row r="14" spans="1:13">
      <c r="A14" s="1121">
        <v>9</v>
      </c>
      <c r="B14" s="909" t="s">
        <v>37</v>
      </c>
      <c r="C14" s="935">
        <v>384.68</v>
      </c>
      <c r="D14" s="938">
        <v>76936</v>
      </c>
      <c r="E14" s="1062">
        <v>5728940</v>
      </c>
      <c r="F14" s="938">
        <v>6710649</v>
      </c>
      <c r="G14" s="938">
        <v>0</v>
      </c>
      <c r="H14" s="1061">
        <v>0.4521920787</v>
      </c>
      <c r="I14" s="938">
        <v>2590581</v>
      </c>
      <c r="J14" s="938">
        <v>76936</v>
      </c>
      <c r="K14" s="1062">
        <v>0</v>
      </c>
      <c r="L14" s="938">
        <v>76936</v>
      </c>
      <c r="M14" s="938">
        <v>-3546</v>
      </c>
    </row>
    <row r="15" spans="1:13">
      <c r="A15" s="1121">
        <v>10</v>
      </c>
      <c r="B15" s="909" t="s">
        <v>48</v>
      </c>
      <c r="C15" s="935">
        <v>185.76</v>
      </c>
      <c r="D15" s="938">
        <v>37152</v>
      </c>
      <c r="E15" s="1062">
        <v>11307646</v>
      </c>
      <c r="F15" s="938">
        <v>17822842</v>
      </c>
      <c r="G15" s="938">
        <v>0</v>
      </c>
      <c r="H15" s="1061">
        <v>0.4521920787</v>
      </c>
      <c r="I15" s="938">
        <v>5113228</v>
      </c>
      <c r="J15" s="938">
        <v>37152</v>
      </c>
      <c r="K15" s="1062">
        <v>0</v>
      </c>
      <c r="L15" s="938">
        <v>37152</v>
      </c>
      <c r="M15" s="938">
        <v>2646</v>
      </c>
    </row>
    <row r="16" spans="1:13">
      <c r="A16" s="1121">
        <v>11</v>
      </c>
      <c r="B16" s="909" t="s">
        <v>47</v>
      </c>
      <c r="C16" s="935">
        <v>8.0299999999999994</v>
      </c>
      <c r="D16" s="938">
        <v>1606</v>
      </c>
      <c r="E16" s="1062">
        <v>2231019</v>
      </c>
      <c r="F16" s="938">
        <v>340876</v>
      </c>
      <c r="G16" s="938">
        <v>1890143</v>
      </c>
      <c r="H16" s="1061">
        <v>0.4521920787</v>
      </c>
      <c r="I16" s="938">
        <v>1008849</v>
      </c>
      <c r="J16" s="938">
        <v>1008849</v>
      </c>
      <c r="K16" s="1062">
        <v>0</v>
      </c>
      <c r="L16" s="938">
        <v>1008849</v>
      </c>
      <c r="M16" s="938">
        <v>47026</v>
      </c>
    </row>
    <row r="17" spans="1:13">
      <c r="A17" s="1121">
        <v>12</v>
      </c>
      <c r="B17" s="909" t="s">
        <v>57</v>
      </c>
      <c r="C17" s="935">
        <v>100.76</v>
      </c>
      <c r="D17" s="938">
        <v>20152</v>
      </c>
      <c r="E17" s="1062">
        <v>3245754</v>
      </c>
      <c r="F17" s="938">
        <v>1365550</v>
      </c>
      <c r="G17" s="938">
        <v>1880204</v>
      </c>
      <c r="H17" s="1061">
        <v>0.4521920787</v>
      </c>
      <c r="I17" s="938">
        <v>1467704</v>
      </c>
      <c r="J17" s="938">
        <v>1467704</v>
      </c>
      <c r="K17" s="1062">
        <v>0</v>
      </c>
      <c r="L17" s="938">
        <v>1467704</v>
      </c>
      <c r="M17" s="938">
        <v>249510</v>
      </c>
    </row>
    <row r="18" spans="1:13">
      <c r="A18" s="1121">
        <v>13</v>
      </c>
      <c r="B18" s="909" t="s">
        <v>58</v>
      </c>
      <c r="C18" s="935">
        <v>142.56</v>
      </c>
      <c r="D18" s="938">
        <v>28512</v>
      </c>
      <c r="E18" s="1062">
        <v>3810913</v>
      </c>
      <c r="F18" s="938">
        <v>666819</v>
      </c>
      <c r="G18" s="938">
        <v>3144094</v>
      </c>
      <c r="H18" s="1061">
        <v>0.4521920787</v>
      </c>
      <c r="I18" s="938">
        <v>1723265</v>
      </c>
      <c r="J18" s="938">
        <v>1723265</v>
      </c>
      <c r="K18" s="1062">
        <v>0</v>
      </c>
      <c r="L18" s="938">
        <v>1723265</v>
      </c>
      <c r="M18" s="938">
        <v>120830</v>
      </c>
    </row>
    <row r="19" spans="1:13">
      <c r="A19" s="1121">
        <v>14</v>
      </c>
      <c r="B19" s="909" t="s">
        <v>36</v>
      </c>
      <c r="C19" s="935">
        <v>3.54</v>
      </c>
      <c r="D19" s="938">
        <v>708</v>
      </c>
      <c r="E19" s="1062">
        <v>2348997</v>
      </c>
      <c r="F19" s="938">
        <v>3018194</v>
      </c>
      <c r="G19" s="938">
        <v>0</v>
      </c>
      <c r="H19" s="1061">
        <v>0.4521920787</v>
      </c>
      <c r="I19" s="938">
        <v>1062198</v>
      </c>
      <c r="J19" s="938">
        <v>708</v>
      </c>
      <c r="K19" s="1062">
        <v>0</v>
      </c>
      <c r="L19" s="938">
        <v>708</v>
      </c>
      <c r="M19" s="938">
        <v>-100</v>
      </c>
    </row>
    <row r="20" spans="1:13">
      <c r="A20" s="1121">
        <v>15</v>
      </c>
      <c r="B20" s="909" t="s">
        <v>46</v>
      </c>
      <c r="C20" s="935">
        <v>643.04999999999995</v>
      </c>
      <c r="D20" s="938">
        <v>128610</v>
      </c>
      <c r="E20" s="1062">
        <v>16100528</v>
      </c>
      <c r="F20" s="938">
        <v>16194113</v>
      </c>
      <c r="G20" s="938">
        <v>0</v>
      </c>
      <c r="H20" s="1061">
        <v>0.4521920787</v>
      </c>
      <c r="I20" s="938">
        <v>7280531</v>
      </c>
      <c r="J20" s="938">
        <v>128610</v>
      </c>
      <c r="K20" s="1062">
        <v>0</v>
      </c>
      <c r="L20" s="938">
        <v>128610</v>
      </c>
      <c r="M20" s="938">
        <v>162310</v>
      </c>
    </row>
    <row r="21" spans="1:13">
      <c r="A21" s="1121">
        <v>16</v>
      </c>
      <c r="B21" s="909" t="s">
        <v>59</v>
      </c>
      <c r="C21" s="935">
        <v>40.17</v>
      </c>
      <c r="D21" s="938">
        <v>8034</v>
      </c>
      <c r="E21" s="1062">
        <v>2594362</v>
      </c>
      <c r="F21" s="938">
        <v>2252581</v>
      </c>
      <c r="G21" s="938">
        <v>341781</v>
      </c>
      <c r="H21" s="1061">
        <v>0.4521920787</v>
      </c>
      <c r="I21" s="938">
        <v>1173150</v>
      </c>
      <c r="J21" s="938">
        <v>341781</v>
      </c>
      <c r="K21" s="1062">
        <v>0</v>
      </c>
      <c r="L21" s="938">
        <v>341781</v>
      </c>
      <c r="M21" s="938">
        <v>-185313</v>
      </c>
    </row>
    <row r="22" spans="1:13">
      <c r="A22" s="1121">
        <v>17</v>
      </c>
      <c r="B22" s="909" t="s">
        <v>60</v>
      </c>
      <c r="C22" s="935">
        <v>8.5399999999999991</v>
      </c>
      <c r="D22" s="938">
        <v>1708</v>
      </c>
      <c r="E22" s="1062">
        <v>1481762</v>
      </c>
      <c r="F22" s="938">
        <v>2200466</v>
      </c>
      <c r="G22" s="938">
        <v>0</v>
      </c>
      <c r="H22" s="1061">
        <v>0.4521920787</v>
      </c>
      <c r="I22" s="938">
        <v>670041</v>
      </c>
      <c r="J22" s="938">
        <v>1708</v>
      </c>
      <c r="K22" s="1062">
        <v>0</v>
      </c>
      <c r="L22" s="938">
        <v>1708</v>
      </c>
      <c r="M22" s="938">
        <v>214</v>
      </c>
    </row>
    <row r="23" spans="1:13">
      <c r="A23" s="1121">
        <v>18</v>
      </c>
      <c r="B23" s="909" t="s">
        <v>61</v>
      </c>
      <c r="C23" s="935">
        <v>0</v>
      </c>
      <c r="D23" s="938">
        <v>0</v>
      </c>
      <c r="E23" s="1062">
        <v>1720438</v>
      </c>
      <c r="F23" s="938">
        <v>421945</v>
      </c>
      <c r="G23" s="938">
        <v>1298493</v>
      </c>
      <c r="H23" s="1061">
        <v>0.4521920787</v>
      </c>
      <c r="I23" s="938">
        <v>777968</v>
      </c>
      <c r="J23" s="938">
        <v>777968</v>
      </c>
      <c r="K23" s="1062">
        <v>0</v>
      </c>
      <c r="L23" s="938">
        <v>777968</v>
      </c>
      <c r="M23" s="938">
        <v>35332</v>
      </c>
    </row>
    <row r="24" spans="1:13">
      <c r="A24" s="1121">
        <v>19</v>
      </c>
      <c r="B24" s="909" t="s">
        <v>45</v>
      </c>
      <c r="C24" s="935">
        <v>576.91999999999996</v>
      </c>
      <c r="D24" s="938">
        <v>115384</v>
      </c>
      <c r="E24" s="1062">
        <v>77845651</v>
      </c>
      <c r="F24" s="938">
        <v>87236267</v>
      </c>
      <c r="G24" s="938">
        <v>0</v>
      </c>
      <c r="H24" s="1061">
        <v>0.4521920787</v>
      </c>
      <c r="I24" s="938">
        <v>35201187</v>
      </c>
      <c r="J24" s="938">
        <v>115384</v>
      </c>
      <c r="K24" s="1062">
        <v>0</v>
      </c>
      <c r="L24" s="938">
        <v>115384</v>
      </c>
      <c r="M24" s="938">
        <v>3690</v>
      </c>
    </row>
    <row r="25" spans="1:13">
      <c r="A25" s="1121">
        <v>20</v>
      </c>
      <c r="B25" s="909" t="s">
        <v>124</v>
      </c>
      <c r="C25" s="935">
        <v>47.54</v>
      </c>
      <c r="D25" s="938">
        <v>9508</v>
      </c>
      <c r="E25" s="1062">
        <v>2908877</v>
      </c>
      <c r="F25" s="938">
        <v>3929591</v>
      </c>
      <c r="G25" s="938">
        <v>0</v>
      </c>
      <c r="H25" s="1061">
        <v>0.4521920787</v>
      </c>
      <c r="I25" s="938">
        <v>1315371</v>
      </c>
      <c r="J25" s="938">
        <v>9508</v>
      </c>
      <c r="K25" s="1062">
        <v>0</v>
      </c>
      <c r="L25" s="938">
        <v>9508</v>
      </c>
      <c r="M25" s="938">
        <v>-168</v>
      </c>
    </row>
    <row r="26" spans="1:13">
      <c r="A26" s="1121">
        <v>21</v>
      </c>
      <c r="B26" s="909" t="s">
        <v>62</v>
      </c>
      <c r="C26" s="935">
        <v>32.25</v>
      </c>
      <c r="D26" s="938">
        <v>6450</v>
      </c>
      <c r="E26" s="1062">
        <v>4519549</v>
      </c>
      <c r="F26" s="938">
        <v>10695100</v>
      </c>
      <c r="G26" s="938">
        <v>0</v>
      </c>
      <c r="H26" s="1061">
        <v>0.4521920787</v>
      </c>
      <c r="I26" s="938">
        <v>2043704</v>
      </c>
      <c r="J26" s="938">
        <v>6450</v>
      </c>
      <c r="K26" s="1062">
        <v>0</v>
      </c>
      <c r="L26" s="938">
        <v>6450</v>
      </c>
      <c r="M26" s="938">
        <v>2518</v>
      </c>
    </row>
    <row r="27" spans="1:13">
      <c r="A27" s="1121">
        <v>22</v>
      </c>
      <c r="B27" s="909" t="s">
        <v>63</v>
      </c>
      <c r="C27" s="935">
        <v>0.9</v>
      </c>
      <c r="D27" s="938">
        <v>180</v>
      </c>
      <c r="E27" s="1062">
        <v>1171495</v>
      </c>
      <c r="F27" s="938">
        <v>0</v>
      </c>
      <c r="G27" s="938">
        <v>1171495</v>
      </c>
      <c r="H27" s="1061">
        <v>0.4521920787</v>
      </c>
      <c r="I27" s="938">
        <v>529741</v>
      </c>
      <c r="J27" s="938">
        <v>529741</v>
      </c>
      <c r="K27" s="1062">
        <v>0</v>
      </c>
      <c r="L27" s="938">
        <v>529741</v>
      </c>
      <c r="M27" s="938">
        <v>25243</v>
      </c>
    </row>
    <row r="28" spans="1:13">
      <c r="A28" s="1121">
        <v>23</v>
      </c>
      <c r="B28" s="909" t="s">
        <v>64</v>
      </c>
      <c r="C28" s="935">
        <v>21.08</v>
      </c>
      <c r="D28" s="938">
        <v>4216</v>
      </c>
      <c r="E28" s="1062">
        <v>1727608</v>
      </c>
      <c r="F28" s="938">
        <v>3863781</v>
      </c>
      <c r="G28" s="938">
        <v>0</v>
      </c>
      <c r="H28" s="1061">
        <v>0.4521920787</v>
      </c>
      <c r="I28" s="938">
        <v>781211</v>
      </c>
      <c r="J28" s="938">
        <v>4216</v>
      </c>
      <c r="K28" s="1062">
        <v>0</v>
      </c>
      <c r="L28" s="938">
        <v>4216</v>
      </c>
      <c r="M28" s="938">
        <v>286</v>
      </c>
    </row>
    <row r="29" spans="1:13">
      <c r="A29" s="1121">
        <v>24</v>
      </c>
      <c r="B29" s="909" t="s">
        <v>65</v>
      </c>
      <c r="C29" s="935">
        <v>262.92</v>
      </c>
      <c r="D29" s="938">
        <v>52584</v>
      </c>
      <c r="E29" s="1062">
        <v>7913422</v>
      </c>
      <c r="F29" s="938">
        <v>10212587</v>
      </c>
      <c r="G29" s="938">
        <v>0</v>
      </c>
      <c r="H29" s="1061">
        <v>0.4521920787</v>
      </c>
      <c r="I29" s="938">
        <v>3578387</v>
      </c>
      <c r="J29" s="938">
        <v>52584</v>
      </c>
      <c r="K29" s="1062">
        <v>0</v>
      </c>
      <c r="L29" s="938">
        <v>52584</v>
      </c>
      <c r="M29" s="938">
        <v>1666</v>
      </c>
    </row>
    <row r="30" spans="1:13">
      <c r="A30" s="1121">
        <v>25</v>
      </c>
      <c r="B30" s="909" t="s">
        <v>66</v>
      </c>
      <c r="C30" s="935">
        <v>0</v>
      </c>
      <c r="D30" s="938">
        <v>0</v>
      </c>
      <c r="E30" s="1062">
        <v>865614</v>
      </c>
      <c r="F30" s="938">
        <v>806422</v>
      </c>
      <c r="G30" s="938">
        <v>59192</v>
      </c>
      <c r="H30" s="1061">
        <v>0.4521920787</v>
      </c>
      <c r="I30" s="938">
        <v>391424</v>
      </c>
      <c r="J30" s="938">
        <v>59192</v>
      </c>
      <c r="K30" s="1062">
        <v>0</v>
      </c>
      <c r="L30" s="938">
        <v>59192</v>
      </c>
      <c r="M30" s="938">
        <v>-15258</v>
      </c>
    </row>
    <row r="31" spans="1:13">
      <c r="A31" s="1121">
        <v>26</v>
      </c>
      <c r="B31" s="909" t="s">
        <v>35</v>
      </c>
      <c r="C31" s="935">
        <v>0</v>
      </c>
      <c r="D31" s="938">
        <v>0</v>
      </c>
      <c r="E31" s="1062">
        <v>2092359</v>
      </c>
      <c r="F31" s="938">
        <v>2503012</v>
      </c>
      <c r="G31" s="938">
        <v>0</v>
      </c>
      <c r="H31" s="1061">
        <v>0.4521920787</v>
      </c>
      <c r="I31" s="938">
        <v>946148</v>
      </c>
      <c r="J31" s="938">
        <v>0</v>
      </c>
      <c r="K31" s="1062">
        <v>0</v>
      </c>
      <c r="L31" s="938">
        <v>0</v>
      </c>
      <c r="M31" s="938">
        <v>-42</v>
      </c>
    </row>
    <row r="32" spans="1:13">
      <c r="A32" s="1121">
        <v>27</v>
      </c>
      <c r="B32" s="909" t="s">
        <v>44</v>
      </c>
      <c r="C32" s="935">
        <v>102.55</v>
      </c>
      <c r="D32" s="938">
        <v>20510</v>
      </c>
      <c r="E32" s="1062">
        <v>6601678</v>
      </c>
      <c r="F32" s="938">
        <v>18083365</v>
      </c>
      <c r="G32" s="938">
        <v>0</v>
      </c>
      <c r="H32" s="1061">
        <v>0.4521920787</v>
      </c>
      <c r="I32" s="938">
        <v>2985226</v>
      </c>
      <c r="J32" s="938">
        <v>20510</v>
      </c>
      <c r="K32" s="1062">
        <v>0</v>
      </c>
      <c r="L32" s="938">
        <v>20510</v>
      </c>
      <c r="M32" s="938">
        <v>1308</v>
      </c>
    </row>
    <row r="33" spans="1:13">
      <c r="A33" s="1121">
        <v>28</v>
      </c>
      <c r="B33" s="909" t="s">
        <v>67</v>
      </c>
      <c r="C33" s="935">
        <v>93.07</v>
      </c>
      <c r="D33" s="938">
        <v>18614</v>
      </c>
      <c r="E33" s="1062">
        <v>2980312</v>
      </c>
      <c r="F33" s="938">
        <v>9248573</v>
      </c>
      <c r="G33" s="938">
        <v>0</v>
      </c>
      <c r="H33" s="1061">
        <v>0.4521920787</v>
      </c>
      <c r="I33" s="938">
        <v>1347673</v>
      </c>
      <c r="J33" s="938">
        <v>18614</v>
      </c>
      <c r="K33" s="1062">
        <v>0</v>
      </c>
      <c r="L33" s="938">
        <v>18614</v>
      </c>
      <c r="M33" s="938">
        <v>-42</v>
      </c>
    </row>
    <row r="34" spans="1:13">
      <c r="A34" s="1121">
        <v>29</v>
      </c>
      <c r="B34" s="909" t="s">
        <v>34</v>
      </c>
      <c r="C34" s="935">
        <v>6.17</v>
      </c>
      <c r="D34" s="938">
        <v>1234</v>
      </c>
      <c r="E34" s="1062">
        <v>1182639</v>
      </c>
      <c r="F34" s="938">
        <v>1277189</v>
      </c>
      <c r="G34" s="938">
        <v>0</v>
      </c>
      <c r="H34" s="1061">
        <v>0.4521920787</v>
      </c>
      <c r="I34" s="938">
        <v>534780</v>
      </c>
      <c r="J34" s="938">
        <v>1234</v>
      </c>
      <c r="K34" s="1062">
        <v>0</v>
      </c>
      <c r="L34" s="938">
        <v>1234</v>
      </c>
      <c r="M34" s="938">
        <v>190</v>
      </c>
    </row>
    <row r="35" spans="1:13">
      <c r="A35" s="1121">
        <v>30</v>
      </c>
      <c r="B35" s="909" t="s">
        <v>68</v>
      </c>
      <c r="C35" s="935">
        <v>1317.42</v>
      </c>
      <c r="D35" s="938">
        <v>263484</v>
      </c>
      <c r="E35" s="1062">
        <v>29214024</v>
      </c>
      <c r="F35" s="938">
        <v>87587470</v>
      </c>
      <c r="G35" s="938">
        <v>0</v>
      </c>
      <c r="H35" s="1061">
        <v>0.4521920787</v>
      </c>
      <c r="I35" s="938">
        <v>13210350</v>
      </c>
      <c r="J35" s="938">
        <v>263484</v>
      </c>
      <c r="K35" s="1062">
        <v>0</v>
      </c>
      <c r="L35" s="938">
        <v>263484</v>
      </c>
      <c r="M35" s="938">
        <v>11212</v>
      </c>
    </row>
    <row r="36" spans="1:13">
      <c r="A36" s="1121">
        <v>31</v>
      </c>
      <c r="B36" s="909" t="s">
        <v>33</v>
      </c>
      <c r="C36" s="935">
        <v>85.27</v>
      </c>
      <c r="D36" s="938">
        <v>17054</v>
      </c>
      <c r="E36" s="1062">
        <v>6112295</v>
      </c>
      <c r="F36" s="938">
        <v>25771359</v>
      </c>
      <c r="G36" s="938">
        <v>0</v>
      </c>
      <c r="H36" s="1061">
        <v>0.4521920787</v>
      </c>
      <c r="I36" s="938">
        <v>2763931</v>
      </c>
      <c r="J36" s="938">
        <v>17054</v>
      </c>
      <c r="K36" s="1062">
        <v>0</v>
      </c>
      <c r="L36" s="938">
        <v>17054</v>
      </c>
      <c r="M36" s="938">
        <v>508</v>
      </c>
    </row>
    <row r="37" spans="1:13">
      <c r="A37" s="1121">
        <v>32</v>
      </c>
      <c r="B37" s="909" t="s">
        <v>69</v>
      </c>
      <c r="C37" s="935">
        <v>0</v>
      </c>
      <c r="D37" s="938">
        <v>0</v>
      </c>
      <c r="E37" s="1062">
        <v>845586</v>
      </c>
      <c r="F37" s="938">
        <v>75696</v>
      </c>
      <c r="G37" s="938">
        <v>769890</v>
      </c>
      <c r="H37" s="1061">
        <v>0.4521920787</v>
      </c>
      <c r="I37" s="938">
        <v>382367</v>
      </c>
      <c r="J37" s="938">
        <v>382367</v>
      </c>
      <c r="K37" s="1062">
        <v>0</v>
      </c>
      <c r="L37" s="938">
        <v>382367</v>
      </c>
      <c r="M37" s="938">
        <v>17365</v>
      </c>
    </row>
    <row r="38" spans="1:13">
      <c r="A38" s="1121">
        <v>33</v>
      </c>
      <c r="B38" s="909" t="s">
        <v>32</v>
      </c>
      <c r="C38" s="935">
        <v>269.54000000000002</v>
      </c>
      <c r="D38" s="938">
        <v>53908</v>
      </c>
      <c r="E38" s="1062">
        <v>22097582</v>
      </c>
      <c r="F38" s="938">
        <v>62610110</v>
      </c>
      <c r="G38" s="938">
        <v>0</v>
      </c>
      <c r="H38" s="1061">
        <v>0.4521920787</v>
      </c>
      <c r="I38" s="938">
        <v>9992352</v>
      </c>
      <c r="J38" s="938">
        <v>53908</v>
      </c>
      <c r="K38" s="1062">
        <v>0</v>
      </c>
      <c r="L38" s="938">
        <v>53908</v>
      </c>
      <c r="M38" s="938">
        <v>-942</v>
      </c>
    </row>
    <row r="39" spans="1:13">
      <c r="A39" s="1121">
        <v>34</v>
      </c>
      <c r="B39" s="909" t="s">
        <v>43</v>
      </c>
      <c r="C39" s="935">
        <v>157.47999999999999</v>
      </c>
      <c r="D39" s="938">
        <v>31496</v>
      </c>
      <c r="E39" s="1062">
        <v>10103668</v>
      </c>
      <c r="F39" s="938">
        <v>7565515</v>
      </c>
      <c r="G39" s="938">
        <v>2538153</v>
      </c>
      <c r="H39" s="1061">
        <v>0.4521920787</v>
      </c>
      <c r="I39" s="938">
        <v>4568799</v>
      </c>
      <c r="J39" s="938">
        <v>2538153</v>
      </c>
      <c r="K39" s="1062">
        <v>0</v>
      </c>
      <c r="L39" s="938">
        <v>2538153</v>
      </c>
      <c r="M39" s="938">
        <v>-349578</v>
      </c>
    </row>
    <row r="40" spans="1:13">
      <c r="A40" s="1121">
        <v>35</v>
      </c>
      <c r="B40" s="909" t="s">
        <v>70</v>
      </c>
      <c r="C40" s="935">
        <v>12.77</v>
      </c>
      <c r="D40" s="938">
        <v>2554</v>
      </c>
      <c r="E40" s="1062">
        <v>2486845</v>
      </c>
      <c r="F40" s="938">
        <v>2245174</v>
      </c>
      <c r="G40" s="938">
        <v>241671</v>
      </c>
      <c r="H40" s="1061">
        <v>0.4521920787</v>
      </c>
      <c r="I40" s="938">
        <v>1124532</v>
      </c>
      <c r="J40" s="938">
        <v>241671</v>
      </c>
      <c r="K40" s="1062">
        <v>0</v>
      </c>
      <c r="L40" s="938">
        <v>241671</v>
      </c>
      <c r="M40" s="938">
        <v>-74814</v>
      </c>
    </row>
    <row r="41" spans="1:13">
      <c r="A41" s="1121">
        <v>36</v>
      </c>
      <c r="B41" s="909" t="s">
        <v>110</v>
      </c>
      <c r="C41" s="935">
        <v>550.76</v>
      </c>
      <c r="D41" s="938">
        <v>110152</v>
      </c>
      <c r="E41" s="1062">
        <v>20663721</v>
      </c>
      <c r="F41" s="938">
        <v>9063961</v>
      </c>
      <c r="G41" s="938">
        <v>11599760</v>
      </c>
      <c r="H41" s="1061">
        <v>0.4521920787</v>
      </c>
      <c r="I41" s="938">
        <v>9343971</v>
      </c>
      <c r="J41" s="938">
        <v>9343971</v>
      </c>
      <c r="K41" s="1062">
        <v>0</v>
      </c>
      <c r="L41" s="938">
        <v>9343971</v>
      </c>
      <c r="M41" s="938">
        <v>104373</v>
      </c>
    </row>
    <row r="42" spans="1:13">
      <c r="A42" s="1121">
        <v>37</v>
      </c>
      <c r="B42" s="909" t="s">
        <v>71</v>
      </c>
      <c r="C42" s="935">
        <v>865.18</v>
      </c>
      <c r="D42" s="938">
        <v>173036</v>
      </c>
      <c r="E42" s="1062">
        <v>29491795</v>
      </c>
      <c r="F42" s="938">
        <v>100638281</v>
      </c>
      <c r="G42" s="938">
        <v>0</v>
      </c>
      <c r="H42" s="1061">
        <v>0.4521920787</v>
      </c>
      <c r="I42" s="938">
        <v>13335956</v>
      </c>
      <c r="J42" s="938">
        <v>173036</v>
      </c>
      <c r="K42" s="1062">
        <v>0</v>
      </c>
      <c r="L42" s="938">
        <v>173036</v>
      </c>
      <c r="M42" s="938">
        <v>8212</v>
      </c>
    </row>
    <row r="43" spans="1:13">
      <c r="A43" s="1121">
        <v>38</v>
      </c>
      <c r="B43" s="909" t="s">
        <v>111</v>
      </c>
      <c r="C43" s="935">
        <v>25.24</v>
      </c>
      <c r="D43" s="938">
        <v>5048</v>
      </c>
      <c r="E43" s="1062">
        <v>2670984</v>
      </c>
      <c r="F43" s="938">
        <v>2991113</v>
      </c>
      <c r="G43" s="938">
        <v>0</v>
      </c>
      <c r="H43" s="1061">
        <v>0.4521920787</v>
      </c>
      <c r="I43" s="938">
        <v>1207798</v>
      </c>
      <c r="J43" s="938">
        <v>5048</v>
      </c>
      <c r="K43" s="1062">
        <v>0</v>
      </c>
      <c r="L43" s="938">
        <v>5048</v>
      </c>
      <c r="M43" s="938">
        <v>148</v>
      </c>
    </row>
    <row r="44" spans="1:13">
      <c r="A44" s="1121">
        <v>39</v>
      </c>
      <c r="B44" s="909" t="s">
        <v>112</v>
      </c>
      <c r="C44" s="935">
        <v>1252.53</v>
      </c>
      <c r="D44" s="938">
        <v>250506</v>
      </c>
      <c r="E44" s="1062">
        <v>17518063</v>
      </c>
      <c r="F44" s="938">
        <v>13449284</v>
      </c>
      <c r="G44" s="938">
        <v>4068779</v>
      </c>
      <c r="H44" s="1061">
        <v>0.4521920787</v>
      </c>
      <c r="I44" s="938">
        <v>7921529</v>
      </c>
      <c r="J44" s="938">
        <v>4068779</v>
      </c>
      <c r="K44" s="1062">
        <v>0</v>
      </c>
      <c r="L44" s="938">
        <v>4068779</v>
      </c>
      <c r="M44" s="938">
        <v>-385267</v>
      </c>
    </row>
    <row r="45" spans="1:13">
      <c r="A45" s="1121">
        <v>40</v>
      </c>
      <c r="B45" s="909" t="s">
        <v>113</v>
      </c>
      <c r="C45" s="935">
        <v>60.2</v>
      </c>
      <c r="D45" s="938">
        <v>12040</v>
      </c>
      <c r="E45" s="1062">
        <v>3458518</v>
      </c>
      <c r="F45" s="938">
        <v>13549706</v>
      </c>
      <c r="G45" s="938">
        <v>0</v>
      </c>
      <c r="H45" s="1061">
        <v>0.4521920787</v>
      </c>
      <c r="I45" s="938">
        <v>1563914</v>
      </c>
      <c r="J45" s="938">
        <v>12040</v>
      </c>
      <c r="K45" s="1062">
        <v>0</v>
      </c>
      <c r="L45" s="938">
        <v>12040</v>
      </c>
      <c r="M45" s="938">
        <v>2324</v>
      </c>
    </row>
    <row r="46" spans="1:13">
      <c r="A46" s="1121">
        <v>41</v>
      </c>
      <c r="B46" s="909" t="s">
        <v>114</v>
      </c>
      <c r="C46" s="935">
        <v>26.71</v>
      </c>
      <c r="D46" s="938">
        <v>5342</v>
      </c>
      <c r="E46" s="1062">
        <v>12623679</v>
      </c>
      <c r="F46" s="938">
        <v>56202144</v>
      </c>
      <c r="G46" s="938">
        <v>0</v>
      </c>
      <c r="H46" s="1061">
        <v>0.4521920787</v>
      </c>
      <c r="I46" s="938">
        <v>5708328</v>
      </c>
      <c r="J46" s="938">
        <v>5342</v>
      </c>
      <c r="K46" s="1062">
        <v>0</v>
      </c>
      <c r="L46" s="938">
        <v>5342</v>
      </c>
      <c r="M46" s="938">
        <v>180</v>
      </c>
    </row>
    <row r="47" spans="1:13">
      <c r="A47" s="1121">
        <v>42</v>
      </c>
      <c r="B47" s="909" t="s">
        <v>115</v>
      </c>
      <c r="C47" s="935">
        <v>34.950000000000003</v>
      </c>
      <c r="D47" s="938">
        <v>6990</v>
      </c>
      <c r="E47" s="1062">
        <v>5963678</v>
      </c>
      <c r="F47" s="938">
        <v>22199868</v>
      </c>
      <c r="G47" s="938">
        <v>0</v>
      </c>
      <c r="H47" s="1061">
        <v>0.4521920787</v>
      </c>
      <c r="I47" s="938">
        <v>2696728</v>
      </c>
      <c r="J47" s="938">
        <v>6990</v>
      </c>
      <c r="K47" s="1062">
        <v>0</v>
      </c>
      <c r="L47" s="938">
        <v>6990</v>
      </c>
      <c r="M47" s="938">
        <v>1176</v>
      </c>
    </row>
    <row r="48" spans="1:13">
      <c r="A48" s="1121">
        <v>43</v>
      </c>
      <c r="B48" s="909" t="s">
        <v>116</v>
      </c>
      <c r="C48" s="935">
        <v>232.79</v>
      </c>
      <c r="D48" s="938">
        <v>46558</v>
      </c>
      <c r="E48" s="1062">
        <v>21573458</v>
      </c>
      <c r="F48" s="938">
        <v>79548467</v>
      </c>
      <c r="G48" s="938">
        <v>0</v>
      </c>
      <c r="H48" s="1061">
        <v>0.4521920787</v>
      </c>
      <c r="I48" s="938">
        <v>9755347</v>
      </c>
      <c r="J48" s="938">
        <v>46558</v>
      </c>
      <c r="K48" s="1062">
        <v>0</v>
      </c>
      <c r="L48" s="938">
        <v>46558</v>
      </c>
      <c r="M48" s="938">
        <v>2794</v>
      </c>
    </row>
    <row r="49" spans="1:13">
      <c r="A49" s="1121">
        <v>44</v>
      </c>
      <c r="B49" s="909" t="s">
        <v>117</v>
      </c>
      <c r="C49" s="935">
        <v>979.39</v>
      </c>
      <c r="D49" s="938">
        <v>195878</v>
      </c>
      <c r="E49" s="1062">
        <v>12332963</v>
      </c>
      <c r="F49" s="938">
        <v>5578059</v>
      </c>
      <c r="G49" s="938">
        <v>6754904</v>
      </c>
      <c r="H49" s="1061">
        <v>0.4521920787</v>
      </c>
      <c r="I49" s="938">
        <v>5576868</v>
      </c>
      <c r="J49" s="938">
        <v>5576868</v>
      </c>
      <c r="K49" s="1062">
        <v>0</v>
      </c>
      <c r="L49" s="938">
        <v>5576868</v>
      </c>
      <c r="M49" s="938">
        <v>795963</v>
      </c>
    </row>
    <row r="50" spans="1:13">
      <c r="A50" s="1121">
        <v>45</v>
      </c>
      <c r="B50" s="909" t="s">
        <v>72</v>
      </c>
      <c r="C50" s="935">
        <v>40.19</v>
      </c>
      <c r="D50" s="938">
        <v>8038</v>
      </c>
      <c r="E50" s="1062">
        <v>3331393</v>
      </c>
      <c r="F50" s="938">
        <v>4041411</v>
      </c>
      <c r="G50" s="938">
        <v>0</v>
      </c>
      <c r="H50" s="1061">
        <v>0.4521920787</v>
      </c>
      <c r="I50" s="938">
        <v>1506430</v>
      </c>
      <c r="J50" s="938">
        <v>8038</v>
      </c>
      <c r="K50" s="1062">
        <v>0</v>
      </c>
      <c r="L50" s="938">
        <v>8038</v>
      </c>
      <c r="M50" s="938">
        <v>328</v>
      </c>
    </row>
    <row r="51" spans="1:13">
      <c r="A51" s="1121">
        <v>46</v>
      </c>
      <c r="B51" s="909" t="s">
        <v>73</v>
      </c>
      <c r="C51" s="935">
        <v>0</v>
      </c>
      <c r="D51" s="938">
        <v>0</v>
      </c>
      <c r="E51" s="1062">
        <v>486164</v>
      </c>
      <c r="F51" s="938">
        <v>68769</v>
      </c>
      <c r="G51" s="938">
        <v>417395</v>
      </c>
      <c r="H51" s="1061">
        <v>0.4521920787</v>
      </c>
      <c r="I51" s="938">
        <v>219840</v>
      </c>
      <c r="J51" s="938">
        <v>219840</v>
      </c>
      <c r="K51" s="1062">
        <v>0</v>
      </c>
      <c r="L51" s="938">
        <v>219840</v>
      </c>
      <c r="M51" s="938">
        <v>9984</v>
      </c>
    </row>
    <row r="52" spans="1:13">
      <c r="A52" s="1121">
        <v>47</v>
      </c>
      <c r="B52" s="909" t="s">
        <v>42</v>
      </c>
      <c r="C52" s="935">
        <v>0</v>
      </c>
      <c r="D52" s="938">
        <v>0</v>
      </c>
      <c r="E52" s="1062">
        <v>1128423</v>
      </c>
      <c r="F52" s="938">
        <v>1121609</v>
      </c>
      <c r="G52" s="938">
        <v>6814</v>
      </c>
      <c r="H52" s="1061">
        <v>0.4521920787</v>
      </c>
      <c r="I52" s="938">
        <v>510264</v>
      </c>
      <c r="J52" s="938">
        <v>6814</v>
      </c>
      <c r="K52" s="1062">
        <v>0</v>
      </c>
      <c r="L52" s="938">
        <v>6814</v>
      </c>
      <c r="M52" s="938">
        <v>-60889</v>
      </c>
    </row>
    <row r="53" spans="1:13">
      <c r="A53" s="1121">
        <v>48</v>
      </c>
      <c r="B53" s="909" t="s">
        <v>74</v>
      </c>
      <c r="C53" s="935">
        <v>42.4</v>
      </c>
      <c r="D53" s="938">
        <v>8480</v>
      </c>
      <c r="E53" s="1062">
        <v>3531609</v>
      </c>
      <c r="F53" s="938">
        <v>6685335</v>
      </c>
      <c r="G53" s="938">
        <v>0</v>
      </c>
      <c r="H53" s="1061">
        <v>0.4521920787</v>
      </c>
      <c r="I53" s="938">
        <v>1596966</v>
      </c>
      <c r="J53" s="938">
        <v>8480</v>
      </c>
      <c r="K53" s="1062">
        <v>0</v>
      </c>
      <c r="L53" s="938">
        <v>8480</v>
      </c>
      <c r="M53" s="938">
        <v>962</v>
      </c>
    </row>
    <row r="54" spans="1:13">
      <c r="A54" s="1121">
        <v>49</v>
      </c>
      <c r="B54" s="909" t="s">
        <v>75</v>
      </c>
      <c r="C54" s="935">
        <v>74.17</v>
      </c>
      <c r="D54" s="938">
        <v>14834</v>
      </c>
      <c r="E54" s="1062">
        <v>6607083</v>
      </c>
      <c r="F54" s="938">
        <v>14414491</v>
      </c>
      <c r="G54" s="938">
        <v>0</v>
      </c>
      <c r="H54" s="1061">
        <v>0.4521920787</v>
      </c>
      <c r="I54" s="938">
        <v>2987671</v>
      </c>
      <c r="J54" s="938">
        <v>14834</v>
      </c>
      <c r="K54" s="1062">
        <v>0</v>
      </c>
      <c r="L54" s="938">
        <v>14834</v>
      </c>
      <c r="M54" s="938">
        <v>3428</v>
      </c>
    </row>
    <row r="55" spans="1:13">
      <c r="A55" s="1121">
        <v>50</v>
      </c>
      <c r="B55" s="909" t="s">
        <v>41</v>
      </c>
      <c r="C55" s="935">
        <v>94.89</v>
      </c>
      <c r="D55" s="938">
        <v>18978</v>
      </c>
      <c r="E55" s="1062">
        <v>7710927</v>
      </c>
      <c r="F55" s="938">
        <v>18850455</v>
      </c>
      <c r="G55" s="938">
        <v>0</v>
      </c>
      <c r="H55" s="1061">
        <v>0.4521920787</v>
      </c>
      <c r="I55" s="938">
        <v>3486820</v>
      </c>
      <c r="J55" s="938">
        <v>18978</v>
      </c>
      <c r="K55" s="1062">
        <v>0</v>
      </c>
      <c r="L55" s="938">
        <v>18978</v>
      </c>
      <c r="M55" s="938">
        <v>522</v>
      </c>
    </row>
    <row r="56" spans="1:13">
      <c r="A56" s="1121">
        <v>51</v>
      </c>
      <c r="B56" s="909" t="s">
        <v>76</v>
      </c>
      <c r="C56" s="935">
        <v>41.9</v>
      </c>
      <c r="D56" s="938">
        <v>8380</v>
      </c>
      <c r="E56" s="1062">
        <v>2482686</v>
      </c>
      <c r="F56" s="938">
        <v>1028117</v>
      </c>
      <c r="G56" s="938">
        <v>1454569</v>
      </c>
      <c r="H56" s="1061">
        <v>0.4521920787</v>
      </c>
      <c r="I56" s="938">
        <v>1122651</v>
      </c>
      <c r="J56" s="938">
        <v>1122651</v>
      </c>
      <c r="K56" s="1062">
        <v>0</v>
      </c>
      <c r="L56" s="938">
        <v>1122651</v>
      </c>
      <c r="M56" s="938">
        <v>7052</v>
      </c>
    </row>
    <row r="57" spans="1:13">
      <c r="A57" s="1121">
        <v>52</v>
      </c>
      <c r="B57" s="909" t="s">
        <v>77</v>
      </c>
      <c r="C57" s="935">
        <v>17.63</v>
      </c>
      <c r="D57" s="938">
        <v>3526</v>
      </c>
      <c r="E57" s="1062">
        <v>1352132</v>
      </c>
      <c r="F57" s="938">
        <v>1721998</v>
      </c>
      <c r="G57" s="938">
        <v>0</v>
      </c>
      <c r="H57" s="1061">
        <v>0.4521920787</v>
      </c>
      <c r="I57" s="938">
        <v>611423</v>
      </c>
      <c r="J57" s="938">
        <v>3526</v>
      </c>
      <c r="K57" s="1062">
        <v>0</v>
      </c>
      <c r="L57" s="938">
        <v>3526</v>
      </c>
      <c r="M57" s="938">
        <v>302</v>
      </c>
    </row>
    <row r="58" spans="1:13">
      <c r="A58" s="1121">
        <v>53</v>
      </c>
      <c r="B58" s="909" t="s">
        <v>78</v>
      </c>
      <c r="C58" s="935">
        <v>15.02</v>
      </c>
      <c r="D58" s="938">
        <v>3004</v>
      </c>
      <c r="E58" s="1062">
        <v>625017</v>
      </c>
      <c r="F58" s="938">
        <v>686030</v>
      </c>
      <c r="G58" s="938">
        <v>0</v>
      </c>
      <c r="H58" s="1061">
        <v>0.4521920787</v>
      </c>
      <c r="I58" s="938">
        <v>282628</v>
      </c>
      <c r="J58" s="938">
        <v>3004</v>
      </c>
      <c r="K58" s="1062">
        <v>0</v>
      </c>
      <c r="L58" s="938">
        <v>3004</v>
      </c>
      <c r="M58" s="938">
        <v>188</v>
      </c>
    </row>
    <row r="59" spans="1:13">
      <c r="A59" s="1121">
        <v>54</v>
      </c>
      <c r="B59" s="909" t="s">
        <v>31</v>
      </c>
      <c r="C59" s="935">
        <v>94.94</v>
      </c>
      <c r="D59" s="938">
        <v>18988</v>
      </c>
      <c r="E59" s="1062">
        <v>7292317</v>
      </c>
      <c r="F59" s="938">
        <v>4957687</v>
      </c>
      <c r="G59" s="938">
        <v>2334630</v>
      </c>
      <c r="H59" s="1061">
        <v>0.4521920787</v>
      </c>
      <c r="I59" s="938">
        <v>3297528</v>
      </c>
      <c r="J59" s="938">
        <v>2334630</v>
      </c>
      <c r="K59" s="1062">
        <v>0</v>
      </c>
      <c r="L59" s="938">
        <v>2334630</v>
      </c>
      <c r="M59" s="938">
        <v>-58862</v>
      </c>
    </row>
    <row r="60" spans="1:13">
      <c r="A60" s="1121">
        <v>55</v>
      </c>
      <c r="B60" s="909" t="s">
        <v>40</v>
      </c>
      <c r="C60" s="935">
        <v>14.68</v>
      </c>
      <c r="D60" s="938">
        <v>2936</v>
      </c>
      <c r="E60" s="1062">
        <v>1131390</v>
      </c>
      <c r="F60" s="938">
        <v>663966</v>
      </c>
      <c r="G60" s="938">
        <v>467424</v>
      </c>
      <c r="H60" s="1061">
        <v>0.4521920787</v>
      </c>
      <c r="I60" s="938">
        <v>511606</v>
      </c>
      <c r="J60" s="938">
        <v>467424</v>
      </c>
      <c r="K60" s="1062">
        <v>0</v>
      </c>
      <c r="L60" s="938">
        <v>467424</v>
      </c>
      <c r="M60" s="938">
        <v>29399</v>
      </c>
    </row>
    <row r="61" spans="1:13">
      <c r="A61" s="1121">
        <v>56</v>
      </c>
      <c r="B61" s="909" t="s">
        <v>39</v>
      </c>
      <c r="C61" s="935">
        <v>102.22</v>
      </c>
      <c r="D61" s="938">
        <v>20444</v>
      </c>
      <c r="E61" s="1062">
        <v>8485183</v>
      </c>
      <c r="F61" s="938">
        <v>15286562</v>
      </c>
      <c r="G61" s="938">
        <v>0</v>
      </c>
      <c r="H61" s="1061">
        <v>0.4521920787</v>
      </c>
      <c r="I61" s="938">
        <v>3836933</v>
      </c>
      <c r="J61" s="938">
        <v>20444</v>
      </c>
      <c r="K61" s="1062">
        <v>0</v>
      </c>
      <c r="L61" s="938">
        <v>20444</v>
      </c>
      <c r="M61" s="938">
        <v>878</v>
      </c>
    </row>
    <row r="62" spans="1:13">
      <c r="A62" s="1121">
        <v>57</v>
      </c>
      <c r="B62" s="909" t="s">
        <v>38</v>
      </c>
      <c r="C62" s="935">
        <v>30.13</v>
      </c>
      <c r="D62" s="938">
        <v>6026</v>
      </c>
      <c r="E62" s="1062">
        <v>2339721</v>
      </c>
      <c r="F62" s="938">
        <v>2512396</v>
      </c>
      <c r="G62" s="938">
        <v>0</v>
      </c>
      <c r="H62" s="1061">
        <v>0.4521920787</v>
      </c>
      <c r="I62" s="938">
        <v>1058003</v>
      </c>
      <c r="J62" s="938">
        <v>6026</v>
      </c>
      <c r="K62" s="1062">
        <v>0</v>
      </c>
      <c r="L62" s="938">
        <v>6026</v>
      </c>
      <c r="M62" s="938">
        <v>-6400</v>
      </c>
    </row>
    <row r="63" spans="1:13">
      <c r="A63" s="1121">
        <v>58</v>
      </c>
      <c r="B63" s="909" t="s">
        <v>79</v>
      </c>
      <c r="C63" s="935">
        <v>64.36</v>
      </c>
      <c r="D63" s="938">
        <v>12872</v>
      </c>
      <c r="E63" s="1062">
        <v>1940689</v>
      </c>
      <c r="F63" s="938">
        <v>2239043</v>
      </c>
      <c r="G63" s="938">
        <v>0</v>
      </c>
      <c r="H63" s="1061">
        <v>0.4521920787</v>
      </c>
      <c r="I63" s="938">
        <v>877564</v>
      </c>
      <c r="J63" s="938">
        <v>12872</v>
      </c>
      <c r="K63" s="1062">
        <v>0</v>
      </c>
      <c r="L63" s="938">
        <v>12872</v>
      </c>
      <c r="M63" s="938">
        <v>84</v>
      </c>
    </row>
    <row r="64" spans="1:13" s="55" customFormat="1">
      <c r="A64" s="1122"/>
      <c r="C64" s="55">
        <f>SUM(C6:C63)</f>
        <v>9454.23</v>
      </c>
      <c r="D64" s="55">
        <f t="shared" ref="D64:M64" si="0">SUM(D6:D63)</f>
        <v>1890846</v>
      </c>
      <c r="E64" s="55">
        <f t="shared" si="0"/>
        <v>436662671</v>
      </c>
      <c r="F64" s="55">
        <f t="shared" si="0"/>
        <v>803483795</v>
      </c>
      <c r="G64" s="55">
        <f t="shared" si="0"/>
        <v>46057741</v>
      </c>
      <c r="I64" s="55">
        <f t="shared" si="0"/>
        <v>197455401</v>
      </c>
      <c r="J64" s="55">
        <f t="shared" si="0"/>
        <v>36691986</v>
      </c>
      <c r="K64" s="55">
        <f t="shared" si="0"/>
        <v>0</v>
      </c>
      <c r="L64" s="55">
        <f t="shared" si="0"/>
        <v>36691986</v>
      </c>
      <c r="M64" s="55">
        <f t="shared" si="0"/>
        <v>532958</v>
      </c>
    </row>
    <row r="65" spans="2:2" ht="15.6">
      <c r="B65" s="939">
        <f>SUM(C64:M64)</f>
        <v>1559476838.23</v>
      </c>
    </row>
    <row r="66" spans="2:2">
      <c r="B66" s="64" t="s">
        <v>162</v>
      </c>
    </row>
  </sheetData>
  <mergeCells count="1">
    <mergeCell ref="E2:G2"/>
  </mergeCells>
  <phoneticPr fontId="189" type="noConversion"/>
  <pageMargins left="0.25" right="0.25" top="0.25" bottom="0.25" header="0.3" footer="0.3"/>
  <pageSetup paperSize="5" scale="52" orientation="landscape" r:id="rId1"/>
  <headerFooter>
    <oddFooter>&amp;R&amp;F
&amp;A</oddFooter>
  </headerFooter>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66"/>
  <sheetViews>
    <sheetView zoomScale="70" zoomScaleNormal="70" workbookViewId="0">
      <pane ySplit="5" topLeftCell="A24" activePane="bottomLeft" state="frozen"/>
      <selection activeCell="E5" sqref="E5"/>
      <selection pane="bottomLeft" activeCell="C24" sqref="C24"/>
    </sheetView>
  </sheetViews>
  <sheetFormatPr defaultColWidth="8.88671875" defaultRowHeight="15"/>
  <cols>
    <col min="1" max="1" width="12.109375" style="35" customWidth="1"/>
    <col min="2" max="2" width="50.5546875" style="35" customWidth="1"/>
    <col min="3" max="3" width="21" style="35" customWidth="1"/>
    <col min="4" max="4" width="23.44140625" style="35" customWidth="1"/>
    <col min="5" max="5" width="22.109375" style="35" bestFit="1" customWidth="1"/>
    <col min="6" max="6" width="22.33203125" style="35" bestFit="1" customWidth="1"/>
    <col min="7" max="8" width="23.33203125" style="35" bestFit="1" customWidth="1"/>
    <col min="9" max="9" width="24.88671875" style="35" customWidth="1"/>
    <col min="10" max="10" width="20.6640625" style="35" bestFit="1" customWidth="1"/>
    <col min="11" max="11" width="20.6640625" style="35" customWidth="1"/>
    <col min="12" max="12" width="22.33203125" style="35" bestFit="1" customWidth="1"/>
    <col min="13" max="13" width="18" style="35" bestFit="1" customWidth="1"/>
    <col min="14" max="14" width="6.88671875" style="35" customWidth="1"/>
    <col min="15" max="15" width="9.88671875" style="35" customWidth="1"/>
    <col min="16" max="16384" width="8.88671875" style="35"/>
  </cols>
  <sheetData>
    <row r="1" spans="1:13" ht="19.2">
      <c r="A1" s="40" t="s">
        <v>149</v>
      </c>
      <c r="B1" s="40"/>
      <c r="D1" s="362" t="s">
        <v>1739</v>
      </c>
      <c r="E1" s="244" t="s">
        <v>164</v>
      </c>
      <c r="F1" s="77"/>
      <c r="G1" s="77"/>
    </row>
    <row r="2" spans="1:13" ht="48" customHeight="1">
      <c r="A2" s="816" t="s">
        <v>1740</v>
      </c>
      <c r="B2" s="1022"/>
      <c r="D2" s="244"/>
      <c r="E2" s="1289" t="s">
        <v>1775</v>
      </c>
      <c r="F2" s="1289"/>
      <c r="G2" s="1289"/>
    </row>
    <row r="3" spans="1:13" ht="18">
      <c r="A3" s="766" t="str">
        <f>+'Data Entry'!I10</f>
        <v>2022-23</v>
      </c>
      <c r="B3" s="817"/>
      <c r="C3" s="819" t="s">
        <v>1580</v>
      </c>
      <c r="D3" s="819" t="s">
        <v>1581</v>
      </c>
      <c r="E3" s="819" t="s">
        <v>1582</v>
      </c>
      <c r="F3" s="819" t="s">
        <v>1583</v>
      </c>
      <c r="G3" s="819" t="s">
        <v>1584</v>
      </c>
      <c r="H3" s="819" t="s">
        <v>1585</v>
      </c>
      <c r="I3" s="819" t="s">
        <v>1586</v>
      </c>
      <c r="J3" s="819" t="s">
        <v>1587</v>
      </c>
      <c r="K3" s="819" t="s">
        <v>1771</v>
      </c>
      <c r="L3" s="819" t="s">
        <v>1588</v>
      </c>
      <c r="M3" s="819" t="s">
        <v>1589</v>
      </c>
    </row>
    <row r="4" spans="1:13" s="43" customFormat="1" ht="109.2">
      <c r="A4" s="44" t="s">
        <v>16</v>
      </c>
      <c r="B4" s="361" t="s">
        <v>20</v>
      </c>
      <c r="C4" s="45" t="s">
        <v>148</v>
      </c>
      <c r="D4" s="45" t="s">
        <v>147</v>
      </c>
      <c r="E4" s="1057" t="s">
        <v>170</v>
      </c>
      <c r="F4" s="1057" t="s">
        <v>171</v>
      </c>
      <c r="G4" s="1057" t="s">
        <v>172</v>
      </c>
      <c r="H4" s="45" t="s">
        <v>146</v>
      </c>
      <c r="I4" s="45" t="s">
        <v>145</v>
      </c>
      <c r="J4" s="45" t="s">
        <v>144</v>
      </c>
      <c r="K4" s="80" t="s">
        <v>1770</v>
      </c>
      <c r="L4" s="45" t="s">
        <v>143</v>
      </c>
      <c r="M4" s="45" t="s">
        <v>142</v>
      </c>
    </row>
    <row r="5" spans="1:13" ht="15.6">
      <c r="A5" s="42"/>
      <c r="B5" s="42"/>
      <c r="C5" s="42" t="s">
        <v>11</v>
      </c>
      <c r="D5" s="42" t="s">
        <v>9</v>
      </c>
      <c r="E5" s="1058" t="s">
        <v>102</v>
      </c>
      <c r="F5" s="1058" t="s">
        <v>81</v>
      </c>
      <c r="G5" s="1058" t="s">
        <v>169</v>
      </c>
      <c r="H5" s="42" t="s">
        <v>97</v>
      </c>
      <c r="I5" s="42" t="s">
        <v>50</v>
      </c>
      <c r="J5" s="42" t="s">
        <v>130</v>
      </c>
      <c r="K5" s="1059" t="s">
        <v>131</v>
      </c>
      <c r="L5" s="42" t="s">
        <v>12</v>
      </c>
      <c r="M5" s="42" t="s">
        <v>126</v>
      </c>
    </row>
    <row r="6" spans="1:13">
      <c r="A6" s="909">
        <v>1</v>
      </c>
      <c r="B6" s="909" t="s">
        <v>49</v>
      </c>
      <c r="C6" s="935">
        <v>118.66</v>
      </c>
      <c r="D6" s="936">
        <v>23732</v>
      </c>
      <c r="E6" s="936">
        <v>11217400</v>
      </c>
      <c r="F6" s="936">
        <v>20679975</v>
      </c>
      <c r="G6" s="936">
        <v>0</v>
      </c>
      <c r="H6" s="937">
        <v>0.73317890350000003</v>
      </c>
      <c r="I6" s="936">
        <v>8224361</v>
      </c>
      <c r="J6" s="936">
        <v>23732</v>
      </c>
      <c r="K6" s="936">
        <v>0</v>
      </c>
      <c r="L6" s="936">
        <v>23732</v>
      </c>
      <c r="M6" s="936">
        <v>0</v>
      </c>
    </row>
    <row r="7" spans="1:13">
      <c r="A7" s="909">
        <v>2</v>
      </c>
      <c r="B7" s="909" t="s">
        <v>51</v>
      </c>
      <c r="C7" s="935">
        <v>0</v>
      </c>
      <c r="D7" s="938">
        <v>0</v>
      </c>
      <c r="E7" s="938">
        <v>686430</v>
      </c>
      <c r="F7" s="938">
        <v>0</v>
      </c>
      <c r="G7" s="938">
        <v>686430</v>
      </c>
      <c r="H7" s="937">
        <v>0.73317890350000003</v>
      </c>
      <c r="I7" s="938">
        <v>503276</v>
      </c>
      <c r="J7" s="938">
        <v>503276</v>
      </c>
      <c r="K7" s="938">
        <v>0</v>
      </c>
      <c r="L7" s="938">
        <v>503276</v>
      </c>
      <c r="M7" s="938">
        <v>87019</v>
      </c>
    </row>
    <row r="8" spans="1:13">
      <c r="A8" s="909">
        <v>3</v>
      </c>
      <c r="B8" s="909" t="s">
        <v>52</v>
      </c>
      <c r="C8" s="935">
        <v>2.73</v>
      </c>
      <c r="D8" s="938">
        <v>546</v>
      </c>
      <c r="E8" s="938">
        <v>1322552</v>
      </c>
      <c r="F8" s="938">
        <v>919223</v>
      </c>
      <c r="G8" s="938">
        <v>403329</v>
      </c>
      <c r="H8" s="937">
        <v>0.73317890350000003</v>
      </c>
      <c r="I8" s="938">
        <v>969667</v>
      </c>
      <c r="J8" s="938">
        <v>403329</v>
      </c>
      <c r="K8" s="938">
        <v>0</v>
      </c>
      <c r="L8" s="938">
        <v>403329</v>
      </c>
      <c r="M8" s="938">
        <v>-7718</v>
      </c>
    </row>
    <row r="9" spans="1:13">
      <c r="A9" s="909">
        <v>4</v>
      </c>
      <c r="B9" s="909" t="s">
        <v>53</v>
      </c>
      <c r="C9" s="935">
        <v>17.43</v>
      </c>
      <c r="D9" s="938">
        <v>3486</v>
      </c>
      <c r="E9" s="938">
        <v>2847301</v>
      </c>
      <c r="F9" s="938">
        <v>2062896</v>
      </c>
      <c r="G9" s="938">
        <v>784405</v>
      </c>
      <c r="H9" s="937">
        <v>0.73317890350000003</v>
      </c>
      <c r="I9" s="938">
        <v>2087581</v>
      </c>
      <c r="J9" s="938">
        <v>784405</v>
      </c>
      <c r="K9" s="938">
        <v>0</v>
      </c>
      <c r="L9" s="938">
        <v>784405</v>
      </c>
      <c r="M9" s="938">
        <v>32150</v>
      </c>
    </row>
    <row r="10" spans="1:13">
      <c r="A10" s="909">
        <v>5</v>
      </c>
      <c r="B10" s="909" t="s">
        <v>54</v>
      </c>
      <c r="C10" s="935">
        <v>21.85</v>
      </c>
      <c r="D10" s="938">
        <v>4370</v>
      </c>
      <c r="E10" s="938">
        <v>1043595</v>
      </c>
      <c r="F10" s="938">
        <v>723622</v>
      </c>
      <c r="G10" s="938">
        <v>319973</v>
      </c>
      <c r="H10" s="937">
        <v>0.73317890350000003</v>
      </c>
      <c r="I10" s="938">
        <v>765142</v>
      </c>
      <c r="J10" s="938">
        <v>319973</v>
      </c>
      <c r="K10" s="938">
        <v>0</v>
      </c>
      <c r="L10" s="938">
        <v>319973</v>
      </c>
      <c r="M10" s="938">
        <v>-12876</v>
      </c>
    </row>
    <row r="11" spans="1:13">
      <c r="A11" s="909">
        <v>6</v>
      </c>
      <c r="B11" s="909" t="s">
        <v>55</v>
      </c>
      <c r="C11" s="935">
        <v>9.1</v>
      </c>
      <c r="D11" s="938">
        <v>1820</v>
      </c>
      <c r="E11" s="938">
        <v>1263245</v>
      </c>
      <c r="F11" s="938">
        <v>95211</v>
      </c>
      <c r="G11" s="938">
        <v>1168034</v>
      </c>
      <c r="H11" s="937">
        <v>0.73317890350000003</v>
      </c>
      <c r="I11" s="938">
        <v>926185</v>
      </c>
      <c r="J11" s="938">
        <v>926185</v>
      </c>
      <c r="K11" s="938">
        <v>0</v>
      </c>
      <c r="L11" s="938">
        <v>926185</v>
      </c>
      <c r="M11" s="938">
        <v>161840</v>
      </c>
    </row>
    <row r="12" spans="1:13">
      <c r="A12" s="909">
        <v>7</v>
      </c>
      <c r="B12" s="909" t="s">
        <v>109</v>
      </c>
      <c r="C12" s="935">
        <v>75.58</v>
      </c>
      <c r="D12" s="938">
        <v>15116</v>
      </c>
      <c r="E12" s="938">
        <v>9533194</v>
      </c>
      <c r="F12" s="938">
        <v>17097763</v>
      </c>
      <c r="G12" s="938">
        <v>0</v>
      </c>
      <c r="H12" s="937">
        <v>0.73317890350000003</v>
      </c>
      <c r="I12" s="938">
        <v>6989537</v>
      </c>
      <c r="J12" s="938">
        <v>15116</v>
      </c>
      <c r="K12" s="938">
        <v>0</v>
      </c>
      <c r="L12" s="938">
        <v>15116</v>
      </c>
      <c r="M12" s="938">
        <v>0</v>
      </c>
    </row>
    <row r="13" spans="1:13">
      <c r="A13" s="909">
        <v>8</v>
      </c>
      <c r="B13" s="909" t="s">
        <v>56</v>
      </c>
      <c r="C13" s="935">
        <v>16.16</v>
      </c>
      <c r="D13" s="938">
        <v>3232</v>
      </c>
      <c r="E13" s="938">
        <v>2516283</v>
      </c>
      <c r="F13" s="938">
        <v>49006</v>
      </c>
      <c r="G13" s="938">
        <v>2467277</v>
      </c>
      <c r="H13" s="937">
        <v>0.73317890350000003</v>
      </c>
      <c r="I13" s="938">
        <v>1844886</v>
      </c>
      <c r="J13" s="938">
        <v>1844886</v>
      </c>
      <c r="K13" s="938">
        <v>0</v>
      </c>
      <c r="L13" s="938">
        <v>1844886</v>
      </c>
      <c r="M13" s="938">
        <v>331753</v>
      </c>
    </row>
    <row r="14" spans="1:13">
      <c r="A14" s="909">
        <v>9</v>
      </c>
      <c r="B14" s="909" t="s">
        <v>37</v>
      </c>
      <c r="C14" s="935">
        <v>291.3</v>
      </c>
      <c r="D14" s="938">
        <v>58260</v>
      </c>
      <c r="E14" s="938">
        <v>4932168</v>
      </c>
      <c r="F14" s="938">
        <v>6243416</v>
      </c>
      <c r="G14" s="938">
        <v>0</v>
      </c>
      <c r="H14" s="937">
        <v>0.73317890350000003</v>
      </c>
      <c r="I14" s="938">
        <v>3616162</v>
      </c>
      <c r="J14" s="938">
        <v>58260</v>
      </c>
      <c r="K14" s="938">
        <v>0</v>
      </c>
      <c r="L14" s="938">
        <v>58260</v>
      </c>
      <c r="M14" s="938">
        <v>-97166</v>
      </c>
    </row>
    <row r="15" spans="1:13">
      <c r="A15" s="909">
        <v>10</v>
      </c>
      <c r="B15" s="909" t="s">
        <v>48</v>
      </c>
      <c r="C15" s="935">
        <v>158.03</v>
      </c>
      <c r="D15" s="938">
        <v>31606</v>
      </c>
      <c r="E15" s="938">
        <v>11071036</v>
      </c>
      <c r="F15" s="938">
        <v>16648844</v>
      </c>
      <c r="G15" s="938">
        <v>0</v>
      </c>
      <c r="H15" s="937">
        <v>0.73317890350000003</v>
      </c>
      <c r="I15" s="938">
        <v>8117050</v>
      </c>
      <c r="J15" s="938">
        <v>31606</v>
      </c>
      <c r="K15" s="938">
        <v>0</v>
      </c>
      <c r="L15" s="938">
        <v>31606</v>
      </c>
      <c r="M15" s="938">
        <v>0</v>
      </c>
    </row>
    <row r="16" spans="1:13">
      <c r="A16" s="909">
        <v>11</v>
      </c>
      <c r="B16" s="909" t="s">
        <v>47</v>
      </c>
      <c r="C16" s="935">
        <v>4.28</v>
      </c>
      <c r="D16" s="938">
        <v>856</v>
      </c>
      <c r="E16" s="938">
        <v>2199021</v>
      </c>
      <c r="F16" s="938">
        <v>329352</v>
      </c>
      <c r="G16" s="938">
        <v>1869669</v>
      </c>
      <c r="H16" s="937">
        <v>0.73317890350000003</v>
      </c>
      <c r="I16" s="938">
        <v>1612276</v>
      </c>
      <c r="J16" s="938">
        <v>1612276</v>
      </c>
      <c r="K16" s="938">
        <v>0</v>
      </c>
      <c r="L16" s="938">
        <v>1612276</v>
      </c>
      <c r="M16" s="938">
        <v>283260</v>
      </c>
    </row>
    <row r="17" spans="1:13">
      <c r="A17" s="909">
        <v>12</v>
      </c>
      <c r="B17" s="909" t="s">
        <v>57</v>
      </c>
      <c r="C17" s="935">
        <v>95.72</v>
      </c>
      <c r="D17" s="938">
        <v>19144</v>
      </c>
      <c r="E17" s="938">
        <v>3202699</v>
      </c>
      <c r="F17" s="938">
        <v>1332403</v>
      </c>
      <c r="G17" s="938">
        <v>1870296</v>
      </c>
      <c r="H17" s="937">
        <v>0.73317890350000003</v>
      </c>
      <c r="I17" s="938">
        <v>2348151</v>
      </c>
      <c r="J17" s="938">
        <v>1870296</v>
      </c>
      <c r="K17" s="938">
        <v>0</v>
      </c>
      <c r="L17" s="938">
        <v>1870296</v>
      </c>
      <c r="M17" s="938">
        <v>8477</v>
      </c>
    </row>
    <row r="18" spans="1:13">
      <c r="A18" s="909">
        <v>13</v>
      </c>
      <c r="B18" s="909" t="s">
        <v>58</v>
      </c>
      <c r="C18" s="935">
        <v>115.12</v>
      </c>
      <c r="D18" s="938">
        <v>23024</v>
      </c>
      <c r="E18" s="938">
        <v>3576550</v>
      </c>
      <c r="F18" s="938">
        <v>631089</v>
      </c>
      <c r="G18" s="938">
        <v>2945461</v>
      </c>
      <c r="H18" s="937">
        <v>0.73317890350000003</v>
      </c>
      <c r="I18" s="938">
        <v>2622251</v>
      </c>
      <c r="J18" s="938">
        <v>2622251</v>
      </c>
      <c r="K18" s="938">
        <v>0</v>
      </c>
      <c r="L18" s="938">
        <v>2622251</v>
      </c>
      <c r="M18" s="938">
        <v>539283</v>
      </c>
    </row>
    <row r="19" spans="1:13">
      <c r="A19" s="909">
        <v>14</v>
      </c>
      <c r="B19" s="909" t="s">
        <v>36</v>
      </c>
      <c r="C19" s="935">
        <v>5.26</v>
      </c>
      <c r="D19" s="938">
        <v>1052</v>
      </c>
      <c r="E19" s="938">
        <v>2363693</v>
      </c>
      <c r="F19" s="938">
        <v>2775261</v>
      </c>
      <c r="G19" s="938">
        <v>0</v>
      </c>
      <c r="H19" s="937">
        <v>0.73317890350000003</v>
      </c>
      <c r="I19" s="938">
        <v>1733010</v>
      </c>
      <c r="J19" s="938">
        <v>1052</v>
      </c>
      <c r="K19" s="938">
        <v>0</v>
      </c>
      <c r="L19" s="938">
        <v>1052</v>
      </c>
      <c r="M19" s="938">
        <v>0</v>
      </c>
    </row>
    <row r="20" spans="1:13">
      <c r="A20" s="909">
        <v>15</v>
      </c>
      <c r="B20" s="909" t="s">
        <v>46</v>
      </c>
      <c r="C20" s="935">
        <v>527.1</v>
      </c>
      <c r="D20" s="938">
        <v>105420</v>
      </c>
      <c r="E20" s="938">
        <v>15110087</v>
      </c>
      <c r="F20" s="938">
        <v>14009827</v>
      </c>
      <c r="G20" s="938">
        <v>1100260</v>
      </c>
      <c r="H20" s="937">
        <v>0.73317890350000003</v>
      </c>
      <c r="I20" s="938">
        <v>11078397</v>
      </c>
      <c r="J20" s="938">
        <v>1100260</v>
      </c>
      <c r="K20" s="938">
        <v>0</v>
      </c>
      <c r="L20" s="938">
        <v>1100260</v>
      </c>
      <c r="M20" s="938">
        <v>10841</v>
      </c>
    </row>
    <row r="21" spans="1:13">
      <c r="A21" s="909">
        <v>16</v>
      </c>
      <c r="B21" s="909" t="s">
        <v>59</v>
      </c>
      <c r="C21" s="935">
        <v>25.96</v>
      </c>
      <c r="D21" s="938">
        <v>5192</v>
      </c>
      <c r="E21" s="938">
        <v>2473030</v>
      </c>
      <c r="F21" s="938">
        <v>2013291</v>
      </c>
      <c r="G21" s="938">
        <v>459739</v>
      </c>
      <c r="H21" s="937">
        <v>0.73317890350000003</v>
      </c>
      <c r="I21" s="938">
        <v>1813173</v>
      </c>
      <c r="J21" s="938">
        <v>459739</v>
      </c>
      <c r="K21" s="938">
        <v>0</v>
      </c>
      <c r="L21" s="938">
        <v>459739</v>
      </c>
      <c r="M21" s="938">
        <v>-312145</v>
      </c>
    </row>
    <row r="22" spans="1:13">
      <c r="A22" s="909">
        <v>17</v>
      </c>
      <c r="B22" s="909" t="s">
        <v>60</v>
      </c>
      <c r="C22" s="935">
        <v>5.85</v>
      </c>
      <c r="D22" s="938">
        <v>1170</v>
      </c>
      <c r="E22" s="938">
        <v>1458810</v>
      </c>
      <c r="F22" s="938">
        <v>2062472</v>
      </c>
      <c r="G22" s="938">
        <v>0</v>
      </c>
      <c r="H22" s="937">
        <v>0.73317890350000003</v>
      </c>
      <c r="I22" s="938">
        <v>1069569</v>
      </c>
      <c r="J22" s="938">
        <v>1170</v>
      </c>
      <c r="K22" s="938">
        <v>0</v>
      </c>
      <c r="L22" s="938">
        <v>1170</v>
      </c>
      <c r="M22" s="938">
        <v>0</v>
      </c>
    </row>
    <row r="23" spans="1:13">
      <c r="A23" s="909">
        <v>18</v>
      </c>
      <c r="B23" s="909" t="s">
        <v>61</v>
      </c>
      <c r="C23" s="935">
        <v>0</v>
      </c>
      <c r="D23" s="938">
        <v>0</v>
      </c>
      <c r="E23" s="938">
        <v>1720438</v>
      </c>
      <c r="F23" s="938">
        <v>384422</v>
      </c>
      <c r="G23" s="938">
        <v>1336016</v>
      </c>
      <c r="H23" s="937">
        <v>0.73317890350000003</v>
      </c>
      <c r="I23" s="938">
        <v>1261389</v>
      </c>
      <c r="J23" s="938">
        <v>1261389</v>
      </c>
      <c r="K23" s="938">
        <v>0</v>
      </c>
      <c r="L23" s="938">
        <v>1261389</v>
      </c>
      <c r="M23" s="938">
        <v>121428</v>
      </c>
    </row>
    <row r="24" spans="1:13">
      <c r="A24" s="909">
        <v>19</v>
      </c>
      <c r="B24" s="909" t="s">
        <v>45</v>
      </c>
      <c r="C24" s="935">
        <v>445.07</v>
      </c>
      <c r="D24" s="938">
        <v>89014</v>
      </c>
      <c r="E24" s="938">
        <v>76720631</v>
      </c>
      <c r="F24" s="938">
        <v>88978229</v>
      </c>
      <c r="G24" s="938">
        <v>0</v>
      </c>
      <c r="H24" s="937">
        <v>0.73317890350000003</v>
      </c>
      <c r="I24" s="938">
        <v>56249948</v>
      </c>
      <c r="J24" s="938">
        <v>89014</v>
      </c>
      <c r="K24" s="938">
        <v>0</v>
      </c>
      <c r="L24" s="938">
        <v>89014</v>
      </c>
      <c r="M24" s="938">
        <v>-456120</v>
      </c>
    </row>
    <row r="25" spans="1:13">
      <c r="A25" s="909">
        <v>20</v>
      </c>
      <c r="B25" s="909" t="s">
        <v>124</v>
      </c>
      <c r="C25" s="935">
        <v>41.29</v>
      </c>
      <c r="D25" s="938">
        <v>8258</v>
      </c>
      <c r="E25" s="938">
        <v>2855522</v>
      </c>
      <c r="F25" s="938">
        <v>3671192</v>
      </c>
      <c r="G25" s="938">
        <v>0</v>
      </c>
      <c r="H25" s="937">
        <v>0.73317890350000003</v>
      </c>
      <c r="I25" s="938">
        <v>2093608</v>
      </c>
      <c r="J25" s="938">
        <v>8258</v>
      </c>
      <c r="K25" s="938">
        <v>0</v>
      </c>
      <c r="L25" s="938">
        <v>8258</v>
      </c>
      <c r="M25" s="938">
        <v>0</v>
      </c>
    </row>
    <row r="26" spans="1:13">
      <c r="A26" s="909">
        <v>21</v>
      </c>
      <c r="B26" s="909" t="s">
        <v>62</v>
      </c>
      <c r="C26" s="935">
        <v>30.84</v>
      </c>
      <c r="D26" s="938">
        <v>6168</v>
      </c>
      <c r="E26" s="938">
        <v>4507518</v>
      </c>
      <c r="F26" s="938">
        <v>10095452</v>
      </c>
      <c r="G26" s="938">
        <v>0</v>
      </c>
      <c r="H26" s="937">
        <v>0.73317890350000003</v>
      </c>
      <c r="I26" s="938">
        <v>3304817</v>
      </c>
      <c r="J26" s="938">
        <v>6168</v>
      </c>
      <c r="K26" s="938">
        <v>0</v>
      </c>
      <c r="L26" s="938">
        <v>6168</v>
      </c>
      <c r="M26" s="938">
        <v>0</v>
      </c>
    </row>
    <row r="27" spans="1:13">
      <c r="A27" s="909">
        <v>22</v>
      </c>
      <c r="B27" s="909" t="s">
        <v>63</v>
      </c>
      <c r="C27" s="935">
        <v>0.67</v>
      </c>
      <c r="D27" s="938">
        <v>134</v>
      </c>
      <c r="E27" s="938">
        <v>1169527</v>
      </c>
      <c r="F27" s="938">
        <v>0</v>
      </c>
      <c r="G27" s="938">
        <v>1169527</v>
      </c>
      <c r="H27" s="937">
        <v>0.73317890350000003</v>
      </c>
      <c r="I27" s="938">
        <v>857473</v>
      </c>
      <c r="J27" s="938">
        <v>857473</v>
      </c>
      <c r="K27" s="938">
        <v>0</v>
      </c>
      <c r="L27" s="938">
        <v>857473</v>
      </c>
      <c r="M27" s="938">
        <v>149866</v>
      </c>
    </row>
    <row r="28" spans="1:13">
      <c r="A28" s="909">
        <v>23</v>
      </c>
      <c r="B28" s="909" t="s">
        <v>64</v>
      </c>
      <c r="C28" s="935">
        <v>14.32</v>
      </c>
      <c r="D28" s="938">
        <v>2864</v>
      </c>
      <c r="E28" s="938">
        <v>1665871</v>
      </c>
      <c r="F28" s="938">
        <v>3798776</v>
      </c>
      <c r="G28" s="938">
        <v>0</v>
      </c>
      <c r="H28" s="937">
        <v>0.73317890350000003</v>
      </c>
      <c r="I28" s="938">
        <v>1221381</v>
      </c>
      <c r="J28" s="938">
        <v>2864</v>
      </c>
      <c r="K28" s="938">
        <v>0</v>
      </c>
      <c r="L28" s="938">
        <v>2864</v>
      </c>
      <c r="M28" s="938">
        <v>0</v>
      </c>
    </row>
    <row r="29" spans="1:13">
      <c r="A29" s="909">
        <v>24</v>
      </c>
      <c r="B29" s="909" t="s">
        <v>65</v>
      </c>
      <c r="C29" s="935">
        <v>178.98</v>
      </c>
      <c r="D29" s="938">
        <v>35796</v>
      </c>
      <c r="E29" s="938">
        <v>7196189</v>
      </c>
      <c r="F29" s="938">
        <v>9164567</v>
      </c>
      <c r="G29" s="938">
        <v>0</v>
      </c>
      <c r="H29" s="937">
        <v>0.73317890350000003</v>
      </c>
      <c r="I29" s="938">
        <v>5276094</v>
      </c>
      <c r="J29" s="938">
        <v>35796</v>
      </c>
      <c r="K29" s="938">
        <v>0</v>
      </c>
      <c r="L29" s="938">
        <v>35796</v>
      </c>
      <c r="M29" s="938">
        <v>0</v>
      </c>
    </row>
    <row r="30" spans="1:13">
      <c r="A30" s="909">
        <v>25</v>
      </c>
      <c r="B30" s="909" t="s">
        <v>66</v>
      </c>
      <c r="C30" s="935">
        <v>0</v>
      </c>
      <c r="D30" s="938">
        <v>0</v>
      </c>
      <c r="E30" s="938">
        <v>865614</v>
      </c>
      <c r="F30" s="938">
        <v>784477</v>
      </c>
      <c r="G30" s="938">
        <v>81137</v>
      </c>
      <c r="H30" s="937">
        <v>0.73317890350000003</v>
      </c>
      <c r="I30" s="938">
        <v>634650</v>
      </c>
      <c r="J30" s="938">
        <v>81137</v>
      </c>
      <c r="K30" s="938">
        <v>0</v>
      </c>
      <c r="L30" s="938">
        <v>81137</v>
      </c>
      <c r="M30" s="938">
        <v>-19296</v>
      </c>
    </row>
    <row r="31" spans="1:13">
      <c r="A31" s="909">
        <v>26</v>
      </c>
      <c r="B31" s="909" t="s">
        <v>35</v>
      </c>
      <c r="C31" s="935">
        <v>1.42</v>
      </c>
      <c r="D31" s="938">
        <v>284</v>
      </c>
      <c r="E31" s="938">
        <v>2104506</v>
      </c>
      <c r="F31" s="938">
        <v>2325505</v>
      </c>
      <c r="G31" s="938">
        <v>0</v>
      </c>
      <c r="H31" s="937">
        <v>0.73317890350000003</v>
      </c>
      <c r="I31" s="938">
        <v>1542979</v>
      </c>
      <c r="J31" s="938">
        <v>284</v>
      </c>
      <c r="K31" s="938">
        <v>0</v>
      </c>
      <c r="L31" s="938">
        <v>284</v>
      </c>
      <c r="M31" s="938">
        <v>0</v>
      </c>
    </row>
    <row r="32" spans="1:13">
      <c r="A32" s="909">
        <v>27</v>
      </c>
      <c r="B32" s="909" t="s">
        <v>44</v>
      </c>
      <c r="C32" s="935">
        <v>71.400000000000006</v>
      </c>
      <c r="D32" s="938">
        <v>14280</v>
      </c>
      <c r="E32" s="938">
        <v>6335628</v>
      </c>
      <c r="F32" s="938">
        <v>16211311</v>
      </c>
      <c r="G32" s="938">
        <v>0</v>
      </c>
      <c r="H32" s="937">
        <v>0.73317890350000003</v>
      </c>
      <c r="I32" s="938">
        <v>4645149</v>
      </c>
      <c r="J32" s="938">
        <v>14280</v>
      </c>
      <c r="K32" s="938">
        <v>0</v>
      </c>
      <c r="L32" s="938">
        <v>14280</v>
      </c>
      <c r="M32" s="938">
        <v>0</v>
      </c>
    </row>
    <row r="33" spans="1:13">
      <c r="A33" s="909">
        <v>28</v>
      </c>
      <c r="B33" s="909" t="s">
        <v>67</v>
      </c>
      <c r="C33" s="935">
        <v>86.1</v>
      </c>
      <c r="D33" s="938">
        <v>17220</v>
      </c>
      <c r="E33" s="938">
        <v>2920798</v>
      </c>
      <c r="F33" s="938">
        <v>8841530</v>
      </c>
      <c r="G33" s="938">
        <v>0</v>
      </c>
      <c r="H33" s="937">
        <v>0.73317890350000003</v>
      </c>
      <c r="I33" s="938">
        <v>2141467</v>
      </c>
      <c r="J33" s="938">
        <v>17220</v>
      </c>
      <c r="K33" s="938">
        <v>0</v>
      </c>
      <c r="L33" s="938">
        <v>17220</v>
      </c>
      <c r="M33" s="938">
        <v>0</v>
      </c>
    </row>
    <row r="34" spans="1:13">
      <c r="A34" s="909">
        <v>29</v>
      </c>
      <c r="B34" s="909" t="s">
        <v>34</v>
      </c>
      <c r="C34" s="935">
        <v>4.41</v>
      </c>
      <c r="D34" s="938">
        <v>882</v>
      </c>
      <c r="E34" s="938">
        <v>1167622</v>
      </c>
      <c r="F34" s="938">
        <v>1185765</v>
      </c>
      <c r="G34" s="938">
        <v>0</v>
      </c>
      <c r="H34" s="937">
        <v>0.73317890350000003</v>
      </c>
      <c r="I34" s="938">
        <v>856076</v>
      </c>
      <c r="J34" s="938">
        <v>882</v>
      </c>
      <c r="K34" s="938">
        <v>0</v>
      </c>
      <c r="L34" s="938">
        <v>882</v>
      </c>
      <c r="M34" s="938">
        <v>-39993</v>
      </c>
    </row>
    <row r="35" spans="1:13">
      <c r="A35" s="909">
        <v>30</v>
      </c>
      <c r="B35" s="909" t="s">
        <v>68</v>
      </c>
      <c r="C35" s="935">
        <v>811.02</v>
      </c>
      <c r="D35" s="938">
        <v>162204</v>
      </c>
      <c r="E35" s="938">
        <v>24888633</v>
      </c>
      <c r="F35" s="938">
        <v>82722964</v>
      </c>
      <c r="G35" s="938">
        <v>0</v>
      </c>
      <c r="H35" s="937">
        <v>0.73317890350000003</v>
      </c>
      <c r="I35" s="938">
        <v>18247821</v>
      </c>
      <c r="J35" s="938">
        <v>162204</v>
      </c>
      <c r="K35" s="938">
        <v>0</v>
      </c>
      <c r="L35" s="938">
        <v>162204</v>
      </c>
      <c r="M35" s="938">
        <v>0</v>
      </c>
    </row>
    <row r="36" spans="1:13">
      <c r="A36" s="909">
        <v>31</v>
      </c>
      <c r="B36" s="909" t="s">
        <v>33</v>
      </c>
      <c r="C36" s="935">
        <v>57.01</v>
      </c>
      <c r="D36" s="938">
        <v>11402</v>
      </c>
      <c r="E36" s="938">
        <v>5870650</v>
      </c>
      <c r="F36" s="938">
        <v>23512574</v>
      </c>
      <c r="G36" s="938">
        <v>0</v>
      </c>
      <c r="H36" s="937">
        <v>0.73317890350000003</v>
      </c>
      <c r="I36" s="938">
        <v>4304237</v>
      </c>
      <c r="J36" s="938">
        <v>11402</v>
      </c>
      <c r="K36" s="938">
        <v>0</v>
      </c>
      <c r="L36" s="938">
        <v>11402</v>
      </c>
      <c r="M36" s="938">
        <v>0</v>
      </c>
    </row>
    <row r="37" spans="1:13">
      <c r="A37" s="909">
        <v>32</v>
      </c>
      <c r="B37" s="909" t="s">
        <v>69</v>
      </c>
      <c r="C37" s="935">
        <v>0</v>
      </c>
      <c r="D37" s="938">
        <v>0</v>
      </c>
      <c r="E37" s="938">
        <v>845586</v>
      </c>
      <c r="F37" s="938">
        <v>68653</v>
      </c>
      <c r="G37" s="938">
        <v>776933</v>
      </c>
      <c r="H37" s="937">
        <v>0.73317890350000003</v>
      </c>
      <c r="I37" s="938">
        <v>619966</v>
      </c>
      <c r="J37" s="938">
        <v>619966</v>
      </c>
      <c r="K37" s="938">
        <v>0</v>
      </c>
      <c r="L37" s="938">
        <v>619966</v>
      </c>
      <c r="M37" s="938">
        <v>107195</v>
      </c>
    </row>
    <row r="38" spans="1:13">
      <c r="A38" s="909">
        <v>33</v>
      </c>
      <c r="B38" s="909" t="s">
        <v>32</v>
      </c>
      <c r="C38" s="935">
        <v>183.45</v>
      </c>
      <c r="D38" s="938">
        <v>36690</v>
      </c>
      <c r="E38" s="938">
        <v>21363011</v>
      </c>
      <c r="F38" s="938">
        <v>63119425</v>
      </c>
      <c r="G38" s="938">
        <v>0</v>
      </c>
      <c r="H38" s="937">
        <v>0.73317890350000003</v>
      </c>
      <c r="I38" s="938">
        <v>15662909</v>
      </c>
      <c r="J38" s="938">
        <v>36690</v>
      </c>
      <c r="K38" s="938">
        <v>0</v>
      </c>
      <c r="L38" s="938">
        <v>36690</v>
      </c>
      <c r="M38" s="938">
        <v>0</v>
      </c>
    </row>
    <row r="39" spans="1:13">
      <c r="A39" s="909">
        <v>34</v>
      </c>
      <c r="B39" s="909" t="s">
        <v>43</v>
      </c>
      <c r="C39" s="935">
        <v>105.19</v>
      </c>
      <c r="D39" s="938">
        <v>21038</v>
      </c>
      <c r="E39" s="938">
        <v>9657356</v>
      </c>
      <c r="F39" s="938">
        <v>6872751</v>
      </c>
      <c r="G39" s="938">
        <v>2784605</v>
      </c>
      <c r="H39" s="937">
        <v>0.73317890350000003</v>
      </c>
      <c r="I39" s="938">
        <v>7080570</v>
      </c>
      <c r="J39" s="938">
        <v>2784605</v>
      </c>
      <c r="K39" s="938">
        <v>0</v>
      </c>
      <c r="L39" s="938">
        <v>2784605</v>
      </c>
      <c r="M39" s="938">
        <v>-245109</v>
      </c>
    </row>
    <row r="40" spans="1:13">
      <c r="A40" s="909">
        <v>35</v>
      </c>
      <c r="B40" s="909" t="s">
        <v>70</v>
      </c>
      <c r="C40" s="935">
        <v>5.57</v>
      </c>
      <c r="D40" s="938">
        <v>1114</v>
      </c>
      <c r="E40" s="938">
        <v>2425411</v>
      </c>
      <c r="F40" s="938">
        <v>2233205</v>
      </c>
      <c r="G40" s="938">
        <v>192206</v>
      </c>
      <c r="H40" s="937">
        <v>0.73317890350000003</v>
      </c>
      <c r="I40" s="938">
        <v>1778260</v>
      </c>
      <c r="J40" s="938">
        <v>192206</v>
      </c>
      <c r="K40" s="938">
        <v>0</v>
      </c>
      <c r="L40" s="938">
        <v>192206</v>
      </c>
      <c r="M40" s="938">
        <v>-192740</v>
      </c>
    </row>
    <row r="41" spans="1:13">
      <c r="A41" s="909">
        <v>36</v>
      </c>
      <c r="B41" s="909" t="s">
        <v>110</v>
      </c>
      <c r="C41" s="935">
        <v>406.41</v>
      </c>
      <c r="D41" s="938">
        <v>81282</v>
      </c>
      <c r="E41" s="938">
        <v>19432044</v>
      </c>
      <c r="F41" s="938">
        <v>8531190</v>
      </c>
      <c r="G41" s="938">
        <v>10900854</v>
      </c>
      <c r="H41" s="937">
        <v>0.73317890350000003</v>
      </c>
      <c r="I41" s="938">
        <v>14247165</v>
      </c>
      <c r="J41" s="938">
        <v>10900854</v>
      </c>
      <c r="K41" s="938">
        <v>0</v>
      </c>
      <c r="L41" s="938">
        <v>10900854</v>
      </c>
      <c r="M41" s="938">
        <v>-339998</v>
      </c>
    </row>
    <row r="42" spans="1:13">
      <c r="A42" s="909">
        <v>37</v>
      </c>
      <c r="B42" s="909" t="s">
        <v>71</v>
      </c>
      <c r="C42" s="935">
        <v>657.14</v>
      </c>
      <c r="D42" s="938">
        <v>131428</v>
      </c>
      <c r="E42" s="938">
        <v>27715379</v>
      </c>
      <c r="F42" s="938">
        <v>93336613</v>
      </c>
      <c r="G42" s="938">
        <v>0</v>
      </c>
      <c r="H42" s="937">
        <v>0.73317890350000003</v>
      </c>
      <c r="I42" s="938">
        <v>20320331</v>
      </c>
      <c r="J42" s="938">
        <v>131428</v>
      </c>
      <c r="K42" s="938">
        <v>0</v>
      </c>
      <c r="L42" s="938">
        <v>131428</v>
      </c>
      <c r="M42" s="938">
        <v>0</v>
      </c>
    </row>
    <row r="43" spans="1:13">
      <c r="A43" s="909">
        <v>38</v>
      </c>
      <c r="B43" s="909" t="s">
        <v>111</v>
      </c>
      <c r="C43" s="935">
        <v>17.52</v>
      </c>
      <c r="D43" s="938">
        <v>3504</v>
      </c>
      <c r="E43" s="938">
        <v>2605113</v>
      </c>
      <c r="F43" s="938">
        <v>2859518</v>
      </c>
      <c r="G43" s="938">
        <v>0</v>
      </c>
      <c r="H43" s="937">
        <v>0.73317890350000003</v>
      </c>
      <c r="I43" s="938">
        <v>1910014</v>
      </c>
      <c r="J43" s="938">
        <v>3504</v>
      </c>
      <c r="K43" s="938">
        <v>0</v>
      </c>
      <c r="L43" s="938">
        <v>3504</v>
      </c>
      <c r="M43" s="938">
        <v>-82415</v>
      </c>
    </row>
    <row r="44" spans="1:13">
      <c r="A44" s="909">
        <v>39</v>
      </c>
      <c r="B44" s="909" t="s">
        <v>112</v>
      </c>
      <c r="C44" s="935">
        <v>848.92</v>
      </c>
      <c r="D44" s="938">
        <v>169784</v>
      </c>
      <c r="E44" s="938">
        <v>14068429</v>
      </c>
      <c r="F44" s="938">
        <v>12640883</v>
      </c>
      <c r="G44" s="938">
        <v>1427546</v>
      </c>
      <c r="H44" s="937">
        <v>0.73317890350000003</v>
      </c>
      <c r="I44" s="938">
        <v>10314675</v>
      </c>
      <c r="J44" s="938">
        <v>1427546</v>
      </c>
      <c r="K44" s="938">
        <v>0</v>
      </c>
      <c r="L44" s="938">
        <v>1427546</v>
      </c>
      <c r="M44" s="938">
        <v>-341829</v>
      </c>
    </row>
    <row r="45" spans="1:13">
      <c r="A45" s="909">
        <v>40</v>
      </c>
      <c r="B45" s="909" t="s">
        <v>113</v>
      </c>
      <c r="C45" s="935">
        <v>46.89</v>
      </c>
      <c r="D45" s="938">
        <v>9378</v>
      </c>
      <c r="E45" s="938">
        <v>3344941</v>
      </c>
      <c r="F45" s="938">
        <v>12585070</v>
      </c>
      <c r="G45" s="938">
        <v>0</v>
      </c>
      <c r="H45" s="937">
        <v>0.73317890350000003</v>
      </c>
      <c r="I45" s="938">
        <v>2452440</v>
      </c>
      <c r="J45" s="938">
        <v>9378</v>
      </c>
      <c r="K45" s="938">
        <v>0</v>
      </c>
      <c r="L45" s="938">
        <v>9378</v>
      </c>
      <c r="M45" s="938">
        <v>0</v>
      </c>
    </row>
    <row r="46" spans="1:13">
      <c r="A46" s="909">
        <v>41</v>
      </c>
      <c r="B46" s="909" t="s">
        <v>114</v>
      </c>
      <c r="C46" s="935">
        <v>19.96</v>
      </c>
      <c r="D46" s="938">
        <v>3992</v>
      </c>
      <c r="E46" s="938">
        <v>12566084</v>
      </c>
      <c r="F46" s="938">
        <v>52185596</v>
      </c>
      <c r="G46" s="938">
        <v>0</v>
      </c>
      <c r="H46" s="937">
        <v>0.73317890350000003</v>
      </c>
      <c r="I46" s="938">
        <v>9213188</v>
      </c>
      <c r="J46" s="938">
        <v>3992</v>
      </c>
      <c r="K46" s="938">
        <v>0</v>
      </c>
      <c r="L46" s="938">
        <v>3992</v>
      </c>
      <c r="M46" s="938">
        <v>0</v>
      </c>
    </row>
    <row r="47" spans="1:13">
      <c r="A47" s="909">
        <v>42</v>
      </c>
      <c r="B47" s="909" t="s">
        <v>115</v>
      </c>
      <c r="C47" s="935">
        <v>27.76</v>
      </c>
      <c r="D47" s="938">
        <v>5552</v>
      </c>
      <c r="E47" s="938">
        <v>5902328</v>
      </c>
      <c r="F47" s="938">
        <v>20539602</v>
      </c>
      <c r="G47" s="938">
        <v>0</v>
      </c>
      <c r="H47" s="937">
        <v>0.73317890350000003</v>
      </c>
      <c r="I47" s="938">
        <v>4327462</v>
      </c>
      <c r="J47" s="938">
        <v>5552</v>
      </c>
      <c r="K47" s="938">
        <v>0</v>
      </c>
      <c r="L47" s="938">
        <v>5552</v>
      </c>
      <c r="M47" s="938">
        <v>0</v>
      </c>
    </row>
    <row r="48" spans="1:13">
      <c r="A48" s="909">
        <v>43</v>
      </c>
      <c r="B48" s="909" t="s">
        <v>116</v>
      </c>
      <c r="C48" s="935">
        <v>148.55000000000001</v>
      </c>
      <c r="D48" s="938">
        <v>29710</v>
      </c>
      <c r="E48" s="938">
        <v>20834771</v>
      </c>
      <c r="F48" s="938">
        <v>73699025</v>
      </c>
      <c r="G48" s="938">
        <v>0</v>
      </c>
      <c r="H48" s="937">
        <v>0.73317890350000003</v>
      </c>
      <c r="I48" s="938">
        <v>15275615</v>
      </c>
      <c r="J48" s="938">
        <v>29710</v>
      </c>
      <c r="K48" s="938">
        <v>0</v>
      </c>
      <c r="L48" s="938">
        <v>29710</v>
      </c>
      <c r="M48" s="938">
        <v>0</v>
      </c>
    </row>
    <row r="49" spans="1:13">
      <c r="A49" s="909">
        <v>44</v>
      </c>
      <c r="B49" s="909" t="s">
        <v>117</v>
      </c>
      <c r="C49" s="935">
        <v>720.56</v>
      </c>
      <c r="D49" s="938">
        <v>144112</v>
      </c>
      <c r="E49" s="938">
        <v>10121051</v>
      </c>
      <c r="F49" s="938">
        <v>5379601</v>
      </c>
      <c r="G49" s="938">
        <v>4741450</v>
      </c>
      <c r="H49" s="937">
        <v>0.73317890350000003</v>
      </c>
      <c r="I49" s="938">
        <v>7420541</v>
      </c>
      <c r="J49" s="938">
        <v>4741450</v>
      </c>
      <c r="K49" s="938">
        <v>0</v>
      </c>
      <c r="L49" s="938">
        <v>4741450</v>
      </c>
      <c r="M49" s="938">
        <v>-456164</v>
      </c>
    </row>
    <row r="50" spans="1:13">
      <c r="A50" s="909">
        <v>45</v>
      </c>
      <c r="B50" s="909" t="s">
        <v>72</v>
      </c>
      <c r="C50" s="935">
        <v>28.49</v>
      </c>
      <c r="D50" s="938">
        <v>5698</v>
      </c>
      <c r="E50" s="938">
        <v>3213082</v>
      </c>
      <c r="F50" s="938">
        <v>3630495</v>
      </c>
      <c r="G50" s="938">
        <v>0</v>
      </c>
      <c r="H50" s="937">
        <v>0.73317890350000003</v>
      </c>
      <c r="I50" s="938">
        <v>2355764</v>
      </c>
      <c r="J50" s="938">
        <v>5698</v>
      </c>
      <c r="K50" s="938">
        <v>0</v>
      </c>
      <c r="L50" s="938">
        <v>5698</v>
      </c>
      <c r="M50" s="938">
        <v>-24410</v>
      </c>
    </row>
    <row r="51" spans="1:13">
      <c r="A51" s="909">
        <v>46</v>
      </c>
      <c r="B51" s="909" t="s">
        <v>73</v>
      </c>
      <c r="C51" s="935">
        <v>0</v>
      </c>
      <c r="D51" s="938">
        <v>0</v>
      </c>
      <c r="E51" s="938">
        <v>486164</v>
      </c>
      <c r="F51" s="938">
        <v>68088</v>
      </c>
      <c r="G51" s="938">
        <v>418076</v>
      </c>
      <c r="H51" s="937">
        <v>0.73317890350000003</v>
      </c>
      <c r="I51" s="938">
        <v>356445</v>
      </c>
      <c r="J51" s="938">
        <v>356445</v>
      </c>
      <c r="K51" s="938">
        <v>0</v>
      </c>
      <c r="L51" s="938">
        <v>356445</v>
      </c>
      <c r="M51" s="938">
        <v>83713</v>
      </c>
    </row>
    <row r="52" spans="1:13">
      <c r="A52" s="909">
        <v>47</v>
      </c>
      <c r="B52" s="909" t="s">
        <v>42</v>
      </c>
      <c r="C52" s="935">
        <v>0</v>
      </c>
      <c r="D52" s="938">
        <v>0</v>
      </c>
      <c r="E52" s="938">
        <v>1128423</v>
      </c>
      <c r="F52" s="938">
        <v>1060720</v>
      </c>
      <c r="G52" s="938">
        <v>67703</v>
      </c>
      <c r="H52" s="937">
        <v>0.73317890350000003</v>
      </c>
      <c r="I52" s="938">
        <v>827336</v>
      </c>
      <c r="J52" s="938">
        <v>67703</v>
      </c>
      <c r="K52" s="938">
        <v>0</v>
      </c>
      <c r="L52" s="938">
        <v>67703</v>
      </c>
      <c r="M52" s="938">
        <v>-55514</v>
      </c>
    </row>
    <row r="53" spans="1:13">
      <c r="A53" s="909">
        <v>48</v>
      </c>
      <c r="B53" s="909" t="s">
        <v>74</v>
      </c>
      <c r="C53" s="935">
        <v>43.26</v>
      </c>
      <c r="D53" s="938">
        <v>8652</v>
      </c>
      <c r="E53" s="938">
        <v>3538954</v>
      </c>
      <c r="F53" s="938">
        <v>6428453</v>
      </c>
      <c r="G53" s="938">
        <v>0</v>
      </c>
      <c r="H53" s="937">
        <v>0.73317890350000003</v>
      </c>
      <c r="I53" s="938">
        <v>2594686</v>
      </c>
      <c r="J53" s="938">
        <v>8652</v>
      </c>
      <c r="K53" s="938">
        <v>0</v>
      </c>
      <c r="L53" s="938">
        <v>8652</v>
      </c>
      <c r="M53" s="938">
        <v>0</v>
      </c>
    </row>
    <row r="54" spans="1:13">
      <c r="A54" s="909">
        <v>49</v>
      </c>
      <c r="B54" s="909" t="s">
        <v>75</v>
      </c>
      <c r="C54" s="935">
        <v>37.86</v>
      </c>
      <c r="D54" s="938">
        <v>7572</v>
      </c>
      <c r="E54" s="938">
        <v>6297018</v>
      </c>
      <c r="F54" s="938">
        <v>13982869</v>
      </c>
      <c r="G54" s="938">
        <v>0</v>
      </c>
      <c r="H54" s="937">
        <v>0.73317890350000003</v>
      </c>
      <c r="I54" s="938">
        <v>4616841</v>
      </c>
      <c r="J54" s="938">
        <v>7572</v>
      </c>
      <c r="K54" s="938">
        <v>0</v>
      </c>
      <c r="L54" s="938">
        <v>7572</v>
      </c>
      <c r="M54" s="938">
        <v>3932</v>
      </c>
    </row>
    <row r="55" spans="1:13">
      <c r="A55" s="909">
        <v>50</v>
      </c>
      <c r="B55" s="909" t="s">
        <v>41</v>
      </c>
      <c r="C55" s="935">
        <v>82.65</v>
      </c>
      <c r="D55" s="938">
        <v>16530</v>
      </c>
      <c r="E55" s="938">
        <v>7606489</v>
      </c>
      <c r="F55" s="938">
        <v>18383287</v>
      </c>
      <c r="G55" s="938">
        <v>0</v>
      </c>
      <c r="H55" s="937">
        <v>0.73317890350000003</v>
      </c>
      <c r="I55" s="938">
        <v>5576917</v>
      </c>
      <c r="J55" s="938">
        <v>16530</v>
      </c>
      <c r="K55" s="938">
        <v>0</v>
      </c>
      <c r="L55" s="938">
        <v>16530</v>
      </c>
      <c r="M55" s="938">
        <v>0</v>
      </c>
    </row>
    <row r="56" spans="1:13">
      <c r="A56" s="909">
        <v>51</v>
      </c>
      <c r="B56" s="909" t="s">
        <v>76</v>
      </c>
      <c r="C56" s="935">
        <v>29.04</v>
      </c>
      <c r="D56" s="938">
        <v>5808</v>
      </c>
      <c r="E56" s="938">
        <v>2372715</v>
      </c>
      <c r="F56" s="938">
        <v>1056838</v>
      </c>
      <c r="G56" s="938">
        <v>1315877</v>
      </c>
      <c r="H56" s="937">
        <v>0.73317890350000003</v>
      </c>
      <c r="I56" s="938">
        <v>1739625</v>
      </c>
      <c r="J56" s="938">
        <v>1315877</v>
      </c>
      <c r="K56" s="938">
        <v>0</v>
      </c>
      <c r="L56" s="938">
        <v>1315877</v>
      </c>
      <c r="M56" s="938">
        <v>2116</v>
      </c>
    </row>
    <row r="57" spans="1:13">
      <c r="A57" s="909">
        <v>52</v>
      </c>
      <c r="B57" s="909" t="s">
        <v>77</v>
      </c>
      <c r="C57" s="935">
        <v>20.49</v>
      </c>
      <c r="D57" s="938">
        <v>4098</v>
      </c>
      <c r="E57" s="938">
        <v>1376535</v>
      </c>
      <c r="F57" s="938">
        <v>1605743</v>
      </c>
      <c r="G57" s="938">
        <v>0</v>
      </c>
      <c r="H57" s="937">
        <v>0.73317890350000003</v>
      </c>
      <c r="I57" s="938">
        <v>1009246</v>
      </c>
      <c r="J57" s="938">
        <v>4098</v>
      </c>
      <c r="K57" s="938">
        <v>0</v>
      </c>
      <c r="L57" s="938">
        <v>4098</v>
      </c>
      <c r="M57" s="938">
        <v>0</v>
      </c>
    </row>
    <row r="58" spans="1:13">
      <c r="A58" s="909">
        <v>53</v>
      </c>
      <c r="B58" s="909" t="s">
        <v>78</v>
      </c>
      <c r="C58" s="935">
        <v>10.43</v>
      </c>
      <c r="D58" s="938">
        <v>2086</v>
      </c>
      <c r="E58" s="938">
        <v>585852</v>
      </c>
      <c r="F58" s="938">
        <v>645669</v>
      </c>
      <c r="G58" s="938">
        <v>0</v>
      </c>
      <c r="H58" s="937">
        <v>0.73317890350000003</v>
      </c>
      <c r="I58" s="938">
        <v>429534</v>
      </c>
      <c r="J58" s="938">
        <v>2086</v>
      </c>
      <c r="K58" s="938">
        <v>0</v>
      </c>
      <c r="L58" s="938">
        <v>2086</v>
      </c>
      <c r="M58" s="938">
        <v>-24321</v>
      </c>
    </row>
    <row r="59" spans="1:13">
      <c r="A59" s="909">
        <v>54</v>
      </c>
      <c r="B59" s="909" t="s">
        <v>31</v>
      </c>
      <c r="C59" s="935">
        <v>68.16</v>
      </c>
      <c r="D59" s="938">
        <v>13632</v>
      </c>
      <c r="E59" s="938">
        <v>7063815</v>
      </c>
      <c r="F59" s="938">
        <v>4763502</v>
      </c>
      <c r="G59" s="938">
        <v>2300313</v>
      </c>
      <c r="H59" s="937">
        <v>0.73317890350000003</v>
      </c>
      <c r="I59" s="938">
        <v>5179040</v>
      </c>
      <c r="J59" s="938">
        <v>2300313</v>
      </c>
      <c r="K59" s="938">
        <v>0</v>
      </c>
      <c r="L59" s="938">
        <v>2300313</v>
      </c>
      <c r="M59" s="938">
        <v>-93763</v>
      </c>
    </row>
    <row r="60" spans="1:13">
      <c r="A60" s="909">
        <v>55</v>
      </c>
      <c r="B60" s="909" t="s">
        <v>40</v>
      </c>
      <c r="C60" s="935">
        <v>21.77</v>
      </c>
      <c r="D60" s="938">
        <v>4354</v>
      </c>
      <c r="E60" s="938">
        <v>1192022</v>
      </c>
      <c r="F60" s="938">
        <v>648852</v>
      </c>
      <c r="G60" s="938">
        <v>543170</v>
      </c>
      <c r="H60" s="937">
        <v>0.73317890350000003</v>
      </c>
      <c r="I60" s="938">
        <v>873965</v>
      </c>
      <c r="J60" s="938">
        <v>543170</v>
      </c>
      <c r="K60" s="938">
        <v>0</v>
      </c>
      <c r="L60" s="938">
        <v>543170</v>
      </c>
      <c r="M60" s="938">
        <v>-6318</v>
      </c>
    </row>
    <row r="61" spans="1:13">
      <c r="A61" s="909">
        <v>56</v>
      </c>
      <c r="B61" s="909" t="s">
        <v>39</v>
      </c>
      <c r="C61" s="935">
        <v>89.12</v>
      </c>
      <c r="D61" s="938">
        <v>17824</v>
      </c>
      <c r="E61" s="938">
        <v>8373405</v>
      </c>
      <c r="F61" s="938">
        <v>14263008</v>
      </c>
      <c r="G61" s="938">
        <v>0</v>
      </c>
      <c r="H61" s="937">
        <v>0.73317890350000003</v>
      </c>
      <c r="I61" s="938">
        <v>6139204</v>
      </c>
      <c r="J61" s="938">
        <v>17824</v>
      </c>
      <c r="K61" s="938">
        <v>0</v>
      </c>
      <c r="L61" s="938">
        <v>17824</v>
      </c>
      <c r="M61" s="938">
        <v>0</v>
      </c>
    </row>
    <row r="62" spans="1:13">
      <c r="A62" s="909">
        <v>57</v>
      </c>
      <c r="B62" s="909" t="s">
        <v>38</v>
      </c>
      <c r="C62" s="935">
        <v>22.17</v>
      </c>
      <c r="D62" s="938">
        <v>4434</v>
      </c>
      <c r="E62" s="938">
        <v>2271802</v>
      </c>
      <c r="F62" s="938">
        <v>2258702</v>
      </c>
      <c r="G62" s="938">
        <v>13100</v>
      </c>
      <c r="H62" s="937">
        <v>0.73317890350000003</v>
      </c>
      <c r="I62" s="938">
        <v>1665637</v>
      </c>
      <c r="J62" s="938">
        <v>13100</v>
      </c>
      <c r="K62" s="938">
        <v>0</v>
      </c>
      <c r="L62" s="938">
        <v>13100</v>
      </c>
      <c r="M62" s="938">
        <v>-21472</v>
      </c>
    </row>
    <row r="63" spans="1:13">
      <c r="A63" s="909">
        <v>58</v>
      </c>
      <c r="B63" s="909" t="s">
        <v>79</v>
      </c>
      <c r="C63" s="935">
        <v>58.66</v>
      </c>
      <c r="D63" s="938">
        <v>11732</v>
      </c>
      <c r="E63" s="938">
        <v>1892055</v>
      </c>
      <c r="F63" s="938">
        <v>2024216</v>
      </c>
      <c r="G63" s="938">
        <v>0</v>
      </c>
      <c r="H63" s="937">
        <v>0.73317890350000003</v>
      </c>
      <c r="I63" s="938">
        <v>1387215</v>
      </c>
      <c r="J63" s="938">
        <v>11732</v>
      </c>
      <c r="K63" s="938">
        <v>0</v>
      </c>
      <c r="L63" s="938">
        <v>11732</v>
      </c>
      <c r="M63" s="938">
        <v>-84889</v>
      </c>
    </row>
    <row r="64" spans="1:13" s="55" customFormat="1">
      <c r="C64" s="55">
        <f>SUM(C6:C63)</f>
        <v>6932.6800000000012</v>
      </c>
      <c r="D64" s="55">
        <f t="shared" ref="D64:M64" si="0">SUM(D6:D63)</f>
        <v>1386536</v>
      </c>
      <c r="E64" s="55">
        <f t="shared" si="0"/>
        <v>415086076</v>
      </c>
      <c r="F64" s="55">
        <f t="shared" si="0"/>
        <v>764221989</v>
      </c>
      <c r="G64" s="55">
        <f t="shared" si="0"/>
        <v>42143386</v>
      </c>
      <c r="I64" s="55">
        <f t="shared" si="0"/>
        <v>304332354</v>
      </c>
      <c r="J64" s="55">
        <f t="shared" si="0"/>
        <v>40683864</v>
      </c>
      <c r="K64" s="55">
        <f t="shared" si="0"/>
        <v>0</v>
      </c>
      <c r="L64" s="55">
        <f t="shared" si="0"/>
        <v>40683864</v>
      </c>
      <c r="M64" s="55">
        <f t="shared" si="0"/>
        <v>-991383</v>
      </c>
    </row>
    <row r="65" spans="2:2" ht="15.6">
      <c r="B65" s="939">
        <f>SUM(C64:M64)</f>
        <v>1607553618.6800001</v>
      </c>
    </row>
    <row r="66" spans="2:2">
      <c r="B66" s="64" t="s">
        <v>162</v>
      </c>
    </row>
  </sheetData>
  <mergeCells count="1">
    <mergeCell ref="E2:G2"/>
  </mergeCells>
  <phoneticPr fontId="51" type="noConversion"/>
  <pageMargins left="0.25" right="0.25" top="0.25" bottom="0.25" header="0.3" footer="0.05"/>
  <pageSetup paperSize="5" scale="50" orientation="landscape" r:id="rId1"/>
  <headerFooter>
    <oddFooter>&amp;R&amp;F
&amp;A</oddFooter>
  </headerFooter>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66"/>
  <sheetViews>
    <sheetView zoomScale="70" zoomScaleNormal="70" workbookViewId="0">
      <pane ySplit="5" topLeftCell="A25" activePane="bottomLeft" state="frozen"/>
      <selection activeCell="E5" sqref="E5"/>
      <selection pane="bottomLeft" activeCell="E2" sqref="E2:G2"/>
    </sheetView>
  </sheetViews>
  <sheetFormatPr defaultColWidth="8.88671875" defaultRowHeight="15"/>
  <cols>
    <col min="1" max="1" width="12.109375" style="35" customWidth="1"/>
    <col min="2" max="2" width="50.5546875" style="35" customWidth="1"/>
    <col min="3" max="3" width="21" style="35" customWidth="1"/>
    <col min="4" max="4" width="23.44140625" style="35" customWidth="1"/>
    <col min="5" max="5" width="22.109375" style="35" bestFit="1" customWidth="1"/>
    <col min="6" max="6" width="22.33203125" style="35" bestFit="1" customWidth="1"/>
    <col min="7" max="8" width="23.33203125" style="35" bestFit="1" customWidth="1"/>
    <col min="9" max="9" width="24.88671875" style="35" customWidth="1"/>
    <col min="10" max="10" width="20.6640625" style="35" bestFit="1" customWidth="1"/>
    <col min="11" max="11" width="20.6640625" style="35" customWidth="1"/>
    <col min="12" max="12" width="22.33203125" style="35" bestFit="1" customWidth="1"/>
    <col min="13" max="13" width="18" style="35" bestFit="1" customWidth="1"/>
    <col min="14" max="14" width="6.88671875" style="35" customWidth="1"/>
    <col min="15" max="15" width="9.88671875" style="35" customWidth="1"/>
    <col min="16" max="16384" width="8.88671875" style="35"/>
  </cols>
  <sheetData>
    <row r="1" spans="1:13" ht="19.2">
      <c r="A1" s="40" t="s">
        <v>149</v>
      </c>
      <c r="B1" s="40"/>
      <c r="D1" s="362" t="s">
        <v>1741</v>
      </c>
      <c r="E1" s="244" t="s">
        <v>164</v>
      </c>
      <c r="F1" s="77"/>
      <c r="G1" s="77"/>
    </row>
    <row r="2" spans="1:13" ht="50.25" customHeight="1">
      <c r="A2" s="816" t="s">
        <v>558</v>
      </c>
      <c r="B2" s="815"/>
      <c r="D2" s="244"/>
      <c r="E2" s="1289" t="s">
        <v>1775</v>
      </c>
      <c r="F2" s="1289"/>
      <c r="G2" s="1289"/>
    </row>
    <row r="3" spans="1:13" ht="18">
      <c r="A3" s="766" t="str">
        <f>+'Data Entry'!H10</f>
        <v>2021-22</v>
      </c>
      <c r="C3" s="819" t="s">
        <v>1570</v>
      </c>
      <c r="D3" s="819" t="s">
        <v>1571</v>
      </c>
      <c r="E3" s="819" t="s">
        <v>1572</v>
      </c>
      <c r="F3" s="819" t="s">
        <v>1573</v>
      </c>
      <c r="G3" s="819" t="s">
        <v>1574</v>
      </c>
      <c r="H3" s="819" t="s">
        <v>1575</v>
      </c>
      <c r="I3" s="819" t="s">
        <v>1576</v>
      </c>
      <c r="J3" s="819" t="s">
        <v>1577</v>
      </c>
      <c r="K3" s="819" t="s">
        <v>1772</v>
      </c>
      <c r="L3" s="819" t="s">
        <v>1578</v>
      </c>
      <c r="M3" s="819" t="s">
        <v>1579</v>
      </c>
    </row>
    <row r="4" spans="1:13" s="43" customFormat="1" ht="129.75" customHeight="1">
      <c r="A4" s="44" t="s">
        <v>106</v>
      </c>
      <c r="B4" s="361" t="s">
        <v>20</v>
      </c>
      <c r="C4" s="45" t="s">
        <v>148</v>
      </c>
      <c r="D4" s="45" t="s">
        <v>147</v>
      </c>
      <c r="E4" s="1057" t="s">
        <v>170</v>
      </c>
      <c r="F4" s="1057" t="s">
        <v>171</v>
      </c>
      <c r="G4" s="1057" t="s">
        <v>172</v>
      </c>
      <c r="H4" s="45" t="s">
        <v>146</v>
      </c>
      <c r="I4" s="45" t="s">
        <v>145</v>
      </c>
      <c r="J4" s="45" t="s">
        <v>144</v>
      </c>
      <c r="K4" s="80" t="s">
        <v>1770</v>
      </c>
      <c r="L4" s="45" t="s">
        <v>143</v>
      </c>
      <c r="M4" s="45" t="s">
        <v>142</v>
      </c>
    </row>
    <row r="5" spans="1:13" ht="15.6">
      <c r="A5" s="42"/>
      <c r="B5" s="42"/>
      <c r="C5" s="42" t="s">
        <v>11</v>
      </c>
      <c r="D5" s="42" t="s">
        <v>9</v>
      </c>
      <c r="E5" s="1058" t="s">
        <v>102</v>
      </c>
      <c r="F5" s="1058" t="s">
        <v>81</v>
      </c>
      <c r="G5" s="1058" t="s">
        <v>169</v>
      </c>
      <c r="H5" s="42" t="s">
        <v>97</v>
      </c>
      <c r="I5" s="42" t="s">
        <v>50</v>
      </c>
      <c r="J5" s="42" t="s">
        <v>130</v>
      </c>
      <c r="K5" s="1059" t="s">
        <v>131</v>
      </c>
      <c r="L5" s="42" t="s">
        <v>12</v>
      </c>
      <c r="M5" s="42" t="s">
        <v>126</v>
      </c>
    </row>
    <row r="6" spans="1:13">
      <c r="A6" s="81">
        <v>1</v>
      </c>
      <c r="B6" s="81" t="s">
        <v>49</v>
      </c>
      <c r="C6" s="84">
        <v>276.97000000000003</v>
      </c>
      <c r="D6" s="245">
        <v>55394</v>
      </c>
      <c r="E6" s="245">
        <v>12569477</v>
      </c>
      <c r="F6" s="245">
        <v>19402540</v>
      </c>
      <c r="G6" s="245">
        <v>0</v>
      </c>
      <c r="H6" s="85">
        <v>0.70067850649999996</v>
      </c>
      <c r="I6" s="245">
        <v>8807162</v>
      </c>
      <c r="J6" s="245">
        <v>55394</v>
      </c>
      <c r="K6" s="245">
        <v>0</v>
      </c>
      <c r="L6" s="245">
        <v>55394</v>
      </c>
      <c r="M6" s="245">
        <v>10504</v>
      </c>
    </row>
    <row r="7" spans="1:13">
      <c r="A7" s="81">
        <v>2</v>
      </c>
      <c r="B7" s="81" t="s">
        <v>51</v>
      </c>
      <c r="C7" s="84">
        <v>0</v>
      </c>
      <c r="D7" s="70">
        <v>0</v>
      </c>
      <c r="E7" s="70">
        <v>686430</v>
      </c>
      <c r="F7" s="70">
        <v>0</v>
      </c>
      <c r="G7" s="70">
        <v>686430</v>
      </c>
      <c r="H7" s="85">
        <v>0.70067850649999996</v>
      </c>
      <c r="I7" s="70">
        <v>480967</v>
      </c>
      <c r="J7" s="70">
        <v>480967</v>
      </c>
      <c r="K7" s="70">
        <v>0</v>
      </c>
      <c r="L7" s="70">
        <v>480967</v>
      </c>
      <c r="M7" s="70">
        <v>350</v>
      </c>
    </row>
    <row r="8" spans="1:13">
      <c r="A8" s="81">
        <v>3</v>
      </c>
      <c r="B8" s="81" t="s">
        <v>52</v>
      </c>
      <c r="C8" s="84">
        <v>2.4300000000000002</v>
      </c>
      <c r="D8" s="70">
        <v>486</v>
      </c>
      <c r="E8" s="70">
        <v>1319992</v>
      </c>
      <c r="F8" s="70">
        <v>877165</v>
      </c>
      <c r="G8" s="70">
        <v>442827</v>
      </c>
      <c r="H8" s="85">
        <v>0.70067850649999996</v>
      </c>
      <c r="I8" s="70">
        <v>924890</v>
      </c>
      <c r="J8" s="70">
        <v>442827</v>
      </c>
      <c r="K8" s="70">
        <v>0</v>
      </c>
      <c r="L8" s="70">
        <v>442827</v>
      </c>
      <c r="M8" s="70">
        <v>673</v>
      </c>
    </row>
    <row r="9" spans="1:13">
      <c r="A9" s="81">
        <v>4</v>
      </c>
      <c r="B9" s="81" t="s">
        <v>53</v>
      </c>
      <c r="C9" s="84">
        <v>49.78</v>
      </c>
      <c r="D9" s="70">
        <v>9956</v>
      </c>
      <c r="E9" s="70">
        <v>3123330</v>
      </c>
      <c r="F9" s="70">
        <v>2029976</v>
      </c>
      <c r="G9" s="70">
        <v>1093354</v>
      </c>
      <c r="H9" s="85">
        <v>0.70067850649999996</v>
      </c>
      <c r="I9" s="70">
        <v>2188450</v>
      </c>
      <c r="J9" s="70">
        <v>1093354</v>
      </c>
      <c r="K9" s="70">
        <v>0</v>
      </c>
      <c r="L9" s="70">
        <v>1093354</v>
      </c>
      <c r="M9" s="70">
        <v>9458</v>
      </c>
    </row>
    <row r="10" spans="1:13">
      <c r="A10" s="81">
        <v>5</v>
      </c>
      <c r="B10" s="81" t="s">
        <v>54</v>
      </c>
      <c r="C10" s="84">
        <v>30.62</v>
      </c>
      <c r="D10" s="70">
        <v>6124</v>
      </c>
      <c r="E10" s="70">
        <v>1118438</v>
      </c>
      <c r="F10" s="70">
        <v>725559</v>
      </c>
      <c r="G10" s="70">
        <v>392879</v>
      </c>
      <c r="H10" s="85">
        <v>0.70067850649999996</v>
      </c>
      <c r="I10" s="70">
        <v>783665</v>
      </c>
      <c r="J10" s="70">
        <v>392879</v>
      </c>
      <c r="K10" s="70">
        <v>0</v>
      </c>
      <c r="L10" s="70">
        <v>392879</v>
      </c>
      <c r="M10" s="70">
        <v>2424</v>
      </c>
    </row>
    <row r="11" spans="1:13">
      <c r="A11" s="81">
        <v>6</v>
      </c>
      <c r="B11" s="81" t="s">
        <v>55</v>
      </c>
      <c r="C11" s="84">
        <v>10.67</v>
      </c>
      <c r="D11" s="70">
        <v>2134</v>
      </c>
      <c r="E11" s="70">
        <v>1276641</v>
      </c>
      <c r="F11" s="70">
        <v>91933</v>
      </c>
      <c r="G11" s="70">
        <v>1184708</v>
      </c>
      <c r="H11" s="85">
        <v>0.70067850649999996</v>
      </c>
      <c r="I11" s="70">
        <v>894515</v>
      </c>
      <c r="J11" s="70">
        <v>894515</v>
      </c>
      <c r="K11" s="70">
        <v>0</v>
      </c>
      <c r="L11" s="70">
        <v>894515</v>
      </c>
      <c r="M11" s="70">
        <v>-1614</v>
      </c>
    </row>
    <row r="12" spans="1:13">
      <c r="A12" s="81">
        <v>7</v>
      </c>
      <c r="B12" s="81" t="s">
        <v>109</v>
      </c>
      <c r="C12" s="84">
        <v>158.4</v>
      </c>
      <c r="D12" s="70">
        <v>31680</v>
      </c>
      <c r="E12" s="70">
        <v>10239863</v>
      </c>
      <c r="F12" s="70">
        <v>16627805</v>
      </c>
      <c r="G12" s="70">
        <v>0</v>
      </c>
      <c r="H12" s="85">
        <v>0.70067850649999996</v>
      </c>
      <c r="I12" s="70">
        <v>7174852</v>
      </c>
      <c r="J12" s="70">
        <v>31680</v>
      </c>
      <c r="K12" s="70">
        <v>0</v>
      </c>
      <c r="L12" s="70">
        <v>31680</v>
      </c>
      <c r="M12" s="70">
        <v>52</v>
      </c>
    </row>
    <row r="13" spans="1:13">
      <c r="A13" s="81">
        <v>8</v>
      </c>
      <c r="B13" s="81" t="s">
        <v>56</v>
      </c>
      <c r="C13" s="84">
        <v>27.96</v>
      </c>
      <c r="D13" s="70">
        <v>5592</v>
      </c>
      <c r="E13" s="70">
        <v>2616967</v>
      </c>
      <c r="F13" s="70">
        <v>39637</v>
      </c>
      <c r="G13" s="70">
        <v>2577330</v>
      </c>
      <c r="H13" s="85">
        <v>0.70067850649999996</v>
      </c>
      <c r="I13" s="70">
        <v>1833653</v>
      </c>
      <c r="J13" s="70">
        <v>1833653</v>
      </c>
      <c r="K13" s="70">
        <v>0</v>
      </c>
      <c r="L13" s="70">
        <v>1833653</v>
      </c>
      <c r="M13" s="70">
        <v>25199</v>
      </c>
    </row>
    <row r="14" spans="1:13">
      <c r="A14" s="81">
        <v>9</v>
      </c>
      <c r="B14" s="81" t="s">
        <v>37</v>
      </c>
      <c r="C14" s="84">
        <v>458.58</v>
      </c>
      <c r="D14" s="70">
        <v>91716</v>
      </c>
      <c r="E14" s="70">
        <v>6359497</v>
      </c>
      <c r="F14" s="70">
        <v>5986944</v>
      </c>
      <c r="G14" s="70">
        <v>372553</v>
      </c>
      <c r="H14" s="85">
        <v>0.70067850649999996</v>
      </c>
      <c r="I14" s="70">
        <v>4455963</v>
      </c>
      <c r="J14" s="70">
        <v>372553</v>
      </c>
      <c r="K14" s="70">
        <v>0</v>
      </c>
      <c r="L14" s="70">
        <v>372553</v>
      </c>
      <c r="M14" s="70">
        <v>116617</v>
      </c>
    </row>
    <row r="15" spans="1:13">
      <c r="A15" s="81">
        <v>10</v>
      </c>
      <c r="B15" s="81" t="s">
        <v>48</v>
      </c>
      <c r="C15" s="84">
        <v>323.60000000000002</v>
      </c>
      <c r="D15" s="70">
        <v>64720</v>
      </c>
      <c r="E15" s="70">
        <v>12483776</v>
      </c>
      <c r="F15" s="70">
        <v>16224938</v>
      </c>
      <c r="G15" s="70">
        <v>0</v>
      </c>
      <c r="H15" s="85">
        <v>0.70067850649999996</v>
      </c>
      <c r="I15" s="70">
        <v>8747114</v>
      </c>
      <c r="J15" s="70">
        <v>64720</v>
      </c>
      <c r="K15" s="70">
        <v>0</v>
      </c>
      <c r="L15" s="70">
        <v>64720</v>
      </c>
      <c r="M15" s="70">
        <v>19452</v>
      </c>
    </row>
    <row r="16" spans="1:13">
      <c r="A16" s="81">
        <v>11</v>
      </c>
      <c r="B16" s="81" t="s">
        <v>47</v>
      </c>
      <c r="C16" s="84">
        <v>8.43</v>
      </c>
      <c r="D16" s="70">
        <v>1686</v>
      </c>
      <c r="E16" s="70">
        <v>2234432</v>
      </c>
      <c r="F16" s="70">
        <v>309403</v>
      </c>
      <c r="G16" s="70">
        <v>1925029</v>
      </c>
      <c r="H16" s="85">
        <v>0.70067850649999996</v>
      </c>
      <c r="I16" s="70">
        <v>1565618</v>
      </c>
      <c r="J16" s="70">
        <v>1565618</v>
      </c>
      <c r="K16" s="70">
        <v>0</v>
      </c>
      <c r="L16" s="70">
        <v>1565618</v>
      </c>
      <c r="M16" s="70">
        <v>2636</v>
      </c>
    </row>
    <row r="17" spans="1:13">
      <c r="A17" s="81">
        <v>12</v>
      </c>
      <c r="B17" s="81" t="s">
        <v>57</v>
      </c>
      <c r="C17" s="84">
        <v>143.11000000000001</v>
      </c>
      <c r="D17" s="70">
        <v>28622</v>
      </c>
      <c r="E17" s="70">
        <v>3607530</v>
      </c>
      <c r="F17" s="70">
        <v>1264001</v>
      </c>
      <c r="G17" s="70">
        <v>2343529</v>
      </c>
      <c r="H17" s="85">
        <v>0.70067850649999996</v>
      </c>
      <c r="I17" s="70">
        <v>2527719</v>
      </c>
      <c r="J17" s="70">
        <v>2343529</v>
      </c>
      <c r="K17" s="70">
        <v>0</v>
      </c>
      <c r="L17" s="70">
        <v>2343529</v>
      </c>
      <c r="M17" s="70">
        <v>25588</v>
      </c>
    </row>
    <row r="18" spans="1:13">
      <c r="A18" s="81">
        <v>13</v>
      </c>
      <c r="B18" s="81" t="s">
        <v>58</v>
      </c>
      <c r="C18" s="84">
        <v>194.44</v>
      </c>
      <c r="D18" s="70">
        <v>38888</v>
      </c>
      <c r="E18" s="70">
        <v>4254018</v>
      </c>
      <c r="F18" s="70">
        <v>613421</v>
      </c>
      <c r="G18" s="70">
        <v>3640597</v>
      </c>
      <c r="H18" s="85">
        <v>0.70067850649999996</v>
      </c>
      <c r="I18" s="70">
        <v>2980699</v>
      </c>
      <c r="J18" s="70">
        <v>2980699</v>
      </c>
      <c r="K18" s="70">
        <v>0</v>
      </c>
      <c r="L18" s="70">
        <v>2980699</v>
      </c>
      <c r="M18" s="70">
        <v>17394</v>
      </c>
    </row>
    <row r="19" spans="1:13">
      <c r="A19" s="81">
        <v>14</v>
      </c>
      <c r="B19" s="81" t="s">
        <v>36</v>
      </c>
      <c r="C19" s="84">
        <v>5.95</v>
      </c>
      <c r="D19" s="70">
        <v>1190</v>
      </c>
      <c r="E19" s="70">
        <v>2369589</v>
      </c>
      <c r="F19" s="70">
        <v>2665849</v>
      </c>
      <c r="G19" s="70">
        <v>0</v>
      </c>
      <c r="H19" s="85">
        <v>0.70067850649999996</v>
      </c>
      <c r="I19" s="70">
        <v>1660320</v>
      </c>
      <c r="J19" s="70">
        <v>1190</v>
      </c>
      <c r="K19" s="70">
        <v>0</v>
      </c>
      <c r="L19" s="70">
        <v>1190</v>
      </c>
      <c r="M19" s="70">
        <v>60</v>
      </c>
    </row>
    <row r="20" spans="1:13">
      <c r="A20" s="81">
        <v>15</v>
      </c>
      <c r="B20" s="81" t="s">
        <v>46</v>
      </c>
      <c r="C20" s="84">
        <v>1193.9000000000001</v>
      </c>
      <c r="D20" s="70">
        <v>238780</v>
      </c>
      <c r="E20" s="70">
        <v>20805872</v>
      </c>
      <c r="F20" s="70">
        <v>14041160</v>
      </c>
      <c r="G20" s="70">
        <v>6764712</v>
      </c>
      <c r="H20" s="85">
        <v>0.70067850649999996</v>
      </c>
      <c r="I20" s="70">
        <v>14578227</v>
      </c>
      <c r="J20" s="70">
        <v>6764712</v>
      </c>
      <c r="K20" s="70">
        <v>0</v>
      </c>
      <c r="L20" s="70">
        <v>6764712</v>
      </c>
      <c r="M20" s="70">
        <v>315071</v>
      </c>
    </row>
    <row r="21" spans="1:13">
      <c r="A21" s="81">
        <v>16</v>
      </c>
      <c r="B21" s="81" t="s">
        <v>59</v>
      </c>
      <c r="C21" s="84">
        <v>51.32</v>
      </c>
      <c r="D21" s="70">
        <v>10264</v>
      </c>
      <c r="E21" s="70">
        <v>2689566</v>
      </c>
      <c r="F21" s="70">
        <v>1860701</v>
      </c>
      <c r="G21" s="70">
        <v>828865</v>
      </c>
      <c r="H21" s="85">
        <v>0.70067850649999996</v>
      </c>
      <c r="I21" s="70">
        <v>1884521</v>
      </c>
      <c r="J21" s="70">
        <v>828865</v>
      </c>
      <c r="K21" s="70">
        <v>0</v>
      </c>
      <c r="L21" s="70">
        <v>828865</v>
      </c>
      <c r="M21" s="70">
        <v>14586</v>
      </c>
    </row>
    <row r="22" spans="1:13">
      <c r="A22" s="81">
        <v>17</v>
      </c>
      <c r="B22" s="81" t="s">
        <v>60</v>
      </c>
      <c r="C22" s="84">
        <v>5.81</v>
      </c>
      <c r="D22" s="70">
        <v>1162</v>
      </c>
      <c r="E22" s="70">
        <v>1458468</v>
      </c>
      <c r="F22" s="70">
        <v>1967362</v>
      </c>
      <c r="G22" s="70">
        <v>0</v>
      </c>
      <c r="H22" s="85">
        <v>0.70067850649999996</v>
      </c>
      <c r="I22" s="70">
        <v>1021917</v>
      </c>
      <c r="J22" s="70">
        <v>1162</v>
      </c>
      <c r="K22" s="70">
        <v>0</v>
      </c>
      <c r="L22" s="70">
        <v>1162</v>
      </c>
      <c r="M22" s="70">
        <v>58</v>
      </c>
    </row>
    <row r="23" spans="1:13">
      <c r="A23" s="81">
        <v>18</v>
      </c>
      <c r="B23" s="81" t="s">
        <v>61</v>
      </c>
      <c r="C23" s="84">
        <v>0</v>
      </c>
      <c r="D23" s="70">
        <v>0</v>
      </c>
      <c r="E23" s="70">
        <v>1720438</v>
      </c>
      <c r="F23" s="70">
        <v>364910</v>
      </c>
      <c r="G23" s="70">
        <v>1355528</v>
      </c>
      <c r="H23" s="85">
        <v>0.70067850649999996</v>
      </c>
      <c r="I23" s="70">
        <v>1205474</v>
      </c>
      <c r="J23" s="70">
        <v>1205474</v>
      </c>
      <c r="K23" s="70">
        <v>0</v>
      </c>
      <c r="L23" s="70">
        <v>1205474</v>
      </c>
      <c r="M23" s="70">
        <v>877</v>
      </c>
    </row>
    <row r="24" spans="1:13">
      <c r="A24" s="81">
        <v>19</v>
      </c>
      <c r="B24" s="81" t="s">
        <v>45</v>
      </c>
      <c r="C24" s="84">
        <v>1341.18</v>
      </c>
      <c r="D24" s="70">
        <v>268236</v>
      </c>
      <c r="E24" s="70">
        <v>84366760</v>
      </c>
      <c r="F24" s="70">
        <v>83642404</v>
      </c>
      <c r="G24" s="70">
        <v>724356</v>
      </c>
      <c r="H24" s="85">
        <v>0.70067850649999996</v>
      </c>
      <c r="I24" s="70">
        <v>59113975</v>
      </c>
      <c r="J24" s="70">
        <v>724356</v>
      </c>
      <c r="K24" s="70">
        <v>0</v>
      </c>
      <c r="L24" s="70">
        <v>724356</v>
      </c>
      <c r="M24" s="70">
        <v>6800757</v>
      </c>
    </row>
    <row r="25" spans="1:13">
      <c r="A25" s="81">
        <v>20</v>
      </c>
      <c r="B25" s="81" t="s">
        <v>124</v>
      </c>
      <c r="C25" s="84">
        <v>95.75</v>
      </c>
      <c r="D25" s="70">
        <v>19150</v>
      </c>
      <c r="E25" s="70">
        <v>3320431</v>
      </c>
      <c r="F25" s="70">
        <v>3527400</v>
      </c>
      <c r="G25" s="70">
        <v>0</v>
      </c>
      <c r="H25" s="85">
        <v>0.70067850649999996</v>
      </c>
      <c r="I25" s="70">
        <v>2326555</v>
      </c>
      <c r="J25" s="70">
        <v>19150</v>
      </c>
      <c r="K25" s="70">
        <v>0</v>
      </c>
      <c r="L25" s="70">
        <v>19150</v>
      </c>
      <c r="M25" s="70">
        <v>3254</v>
      </c>
    </row>
    <row r="26" spans="1:13">
      <c r="A26" s="81">
        <v>21</v>
      </c>
      <c r="B26" s="81" t="s">
        <v>62</v>
      </c>
      <c r="C26" s="84">
        <v>59.84</v>
      </c>
      <c r="D26" s="70">
        <v>11968</v>
      </c>
      <c r="E26" s="70">
        <v>4754964</v>
      </c>
      <c r="F26" s="70">
        <v>9545327</v>
      </c>
      <c r="G26" s="70">
        <v>0</v>
      </c>
      <c r="H26" s="85">
        <v>0.70067850649999996</v>
      </c>
      <c r="I26" s="70">
        <v>3331701</v>
      </c>
      <c r="J26" s="70">
        <v>11968</v>
      </c>
      <c r="K26" s="70">
        <v>0</v>
      </c>
      <c r="L26" s="70">
        <v>11968</v>
      </c>
      <c r="M26" s="70">
        <v>-420</v>
      </c>
    </row>
    <row r="27" spans="1:13">
      <c r="A27" s="81">
        <v>22</v>
      </c>
      <c r="B27" s="81" t="s">
        <v>63</v>
      </c>
      <c r="C27" s="84">
        <v>2.15</v>
      </c>
      <c r="D27" s="70">
        <v>430</v>
      </c>
      <c r="E27" s="70">
        <v>1182187</v>
      </c>
      <c r="F27" s="70">
        <v>0</v>
      </c>
      <c r="G27" s="70">
        <v>1182187</v>
      </c>
      <c r="H27" s="85">
        <v>0.70067850649999996</v>
      </c>
      <c r="I27" s="70">
        <v>828333</v>
      </c>
      <c r="J27" s="70">
        <v>828333</v>
      </c>
      <c r="K27" s="70">
        <v>0</v>
      </c>
      <c r="L27" s="70">
        <v>828333</v>
      </c>
      <c r="M27" s="70">
        <v>603</v>
      </c>
    </row>
    <row r="28" spans="1:13">
      <c r="A28" s="81">
        <v>23</v>
      </c>
      <c r="B28" s="81" t="s">
        <v>64</v>
      </c>
      <c r="C28" s="84">
        <v>34.82</v>
      </c>
      <c r="D28" s="70">
        <v>6964</v>
      </c>
      <c r="E28" s="70">
        <v>1853088</v>
      </c>
      <c r="F28" s="70">
        <v>3675829</v>
      </c>
      <c r="G28" s="70">
        <v>0</v>
      </c>
      <c r="H28" s="85">
        <v>0.70067850649999996</v>
      </c>
      <c r="I28" s="70">
        <v>1298419</v>
      </c>
      <c r="J28" s="70">
        <v>6964</v>
      </c>
      <c r="K28" s="70">
        <v>0</v>
      </c>
      <c r="L28" s="70">
        <v>6964</v>
      </c>
      <c r="M28" s="70">
        <v>984</v>
      </c>
    </row>
    <row r="29" spans="1:13">
      <c r="A29" s="81">
        <v>24</v>
      </c>
      <c r="B29" s="81" t="s">
        <v>65</v>
      </c>
      <c r="C29" s="84">
        <v>277.49</v>
      </c>
      <c r="D29" s="70">
        <v>55498</v>
      </c>
      <c r="E29" s="70">
        <v>8037917</v>
      </c>
      <c r="F29" s="70">
        <v>9398592</v>
      </c>
      <c r="G29" s="70">
        <v>0</v>
      </c>
      <c r="H29" s="85">
        <v>0.70067850649999996</v>
      </c>
      <c r="I29" s="70">
        <v>5631996</v>
      </c>
      <c r="J29" s="70">
        <v>55498</v>
      </c>
      <c r="K29" s="70">
        <v>0</v>
      </c>
      <c r="L29" s="70">
        <v>55498</v>
      </c>
      <c r="M29" s="70">
        <v>-4932</v>
      </c>
    </row>
    <row r="30" spans="1:13">
      <c r="A30" s="81">
        <v>25</v>
      </c>
      <c r="B30" s="81" t="s">
        <v>66</v>
      </c>
      <c r="C30" s="84">
        <v>0</v>
      </c>
      <c r="D30" s="70">
        <v>0</v>
      </c>
      <c r="E30" s="70">
        <v>865614</v>
      </c>
      <c r="F30" s="70">
        <v>743304</v>
      </c>
      <c r="G30" s="70">
        <v>122310</v>
      </c>
      <c r="H30" s="85">
        <v>0.70067850649999996</v>
      </c>
      <c r="I30" s="70">
        <v>606517</v>
      </c>
      <c r="J30" s="70">
        <v>122310</v>
      </c>
      <c r="K30" s="70">
        <v>0</v>
      </c>
      <c r="L30" s="70">
        <v>122310</v>
      </c>
      <c r="M30" s="70">
        <v>1018</v>
      </c>
    </row>
    <row r="31" spans="1:13">
      <c r="A31" s="81">
        <v>26</v>
      </c>
      <c r="B31" s="81" t="s">
        <v>35</v>
      </c>
      <c r="C31" s="84">
        <v>2.04</v>
      </c>
      <c r="D31" s="70">
        <v>408</v>
      </c>
      <c r="E31" s="70">
        <v>2109809</v>
      </c>
      <c r="F31" s="70">
        <v>2280745</v>
      </c>
      <c r="G31" s="70">
        <v>0</v>
      </c>
      <c r="H31" s="85">
        <v>0.70067850649999996</v>
      </c>
      <c r="I31" s="70">
        <v>1478298</v>
      </c>
      <c r="J31" s="70">
        <v>408</v>
      </c>
      <c r="K31" s="70">
        <v>0</v>
      </c>
      <c r="L31" s="70">
        <v>408</v>
      </c>
      <c r="M31" s="70">
        <v>22</v>
      </c>
    </row>
    <row r="32" spans="1:13">
      <c r="A32" s="81">
        <v>27</v>
      </c>
      <c r="B32" s="81" t="s">
        <v>44</v>
      </c>
      <c r="C32" s="84">
        <v>199.25</v>
      </c>
      <c r="D32" s="70">
        <v>39850</v>
      </c>
      <c r="E32" s="70">
        <v>7427584</v>
      </c>
      <c r="F32" s="70">
        <v>15663864</v>
      </c>
      <c r="G32" s="70">
        <v>0</v>
      </c>
      <c r="H32" s="85">
        <v>0.70067850649999996</v>
      </c>
      <c r="I32" s="70">
        <v>5204348</v>
      </c>
      <c r="J32" s="70">
        <v>39850</v>
      </c>
      <c r="K32" s="70">
        <v>0</v>
      </c>
      <c r="L32" s="70">
        <v>39850</v>
      </c>
      <c r="M32" s="70">
        <v>2250</v>
      </c>
    </row>
    <row r="33" spans="1:13">
      <c r="A33" s="81">
        <v>28</v>
      </c>
      <c r="B33" s="81" t="s">
        <v>67</v>
      </c>
      <c r="C33" s="84">
        <v>111.11</v>
      </c>
      <c r="D33" s="70">
        <v>22222</v>
      </c>
      <c r="E33" s="70">
        <v>3134347</v>
      </c>
      <c r="F33" s="70">
        <v>8392613</v>
      </c>
      <c r="G33" s="70">
        <v>0</v>
      </c>
      <c r="H33" s="85">
        <v>0.70067850649999996</v>
      </c>
      <c r="I33" s="70">
        <v>2196170</v>
      </c>
      <c r="J33" s="70">
        <v>22222</v>
      </c>
      <c r="K33" s="70">
        <v>0</v>
      </c>
      <c r="L33" s="70">
        <v>22222</v>
      </c>
      <c r="M33" s="70">
        <v>2080</v>
      </c>
    </row>
    <row r="34" spans="1:13">
      <c r="A34" s="81">
        <v>29</v>
      </c>
      <c r="B34" s="81" t="s">
        <v>34</v>
      </c>
      <c r="C34" s="84">
        <v>16.07</v>
      </c>
      <c r="D34" s="70">
        <v>3214</v>
      </c>
      <c r="E34" s="70">
        <v>1267112</v>
      </c>
      <c r="F34" s="70">
        <v>1116923</v>
      </c>
      <c r="G34" s="70">
        <v>150189</v>
      </c>
      <c r="H34" s="85">
        <v>0.70067850649999996</v>
      </c>
      <c r="I34" s="70">
        <v>887838</v>
      </c>
      <c r="J34" s="70">
        <v>150189</v>
      </c>
      <c r="K34" s="70">
        <v>0</v>
      </c>
      <c r="L34" s="70">
        <v>150189</v>
      </c>
      <c r="M34" s="70">
        <v>15095</v>
      </c>
    </row>
    <row r="35" spans="1:13">
      <c r="A35" s="81">
        <v>30</v>
      </c>
      <c r="B35" s="81" t="s">
        <v>68</v>
      </c>
      <c r="C35" s="84">
        <v>2597.2800000000002</v>
      </c>
      <c r="D35" s="70">
        <v>519456</v>
      </c>
      <c r="E35" s="70">
        <v>40145884</v>
      </c>
      <c r="F35" s="70">
        <v>78442066</v>
      </c>
      <c r="G35" s="70">
        <v>0</v>
      </c>
      <c r="H35" s="85">
        <v>0.70067850649999996</v>
      </c>
      <c r="I35" s="70">
        <v>28129358</v>
      </c>
      <c r="J35" s="70">
        <v>519456</v>
      </c>
      <c r="K35" s="70">
        <v>0</v>
      </c>
      <c r="L35" s="70">
        <v>519456</v>
      </c>
      <c r="M35" s="70">
        <v>82776</v>
      </c>
    </row>
    <row r="36" spans="1:13">
      <c r="A36" s="81">
        <v>31</v>
      </c>
      <c r="B36" s="81" t="s">
        <v>33</v>
      </c>
      <c r="C36" s="84">
        <v>137.58000000000001</v>
      </c>
      <c r="D36" s="70">
        <v>27516</v>
      </c>
      <c r="E36" s="70">
        <v>6559588</v>
      </c>
      <c r="F36" s="70">
        <v>21881289</v>
      </c>
      <c r="G36" s="70">
        <v>0</v>
      </c>
      <c r="H36" s="85">
        <v>0.70067850649999996</v>
      </c>
      <c r="I36" s="70">
        <v>4596162</v>
      </c>
      <c r="J36" s="70">
        <v>27516</v>
      </c>
      <c r="K36" s="70">
        <v>0</v>
      </c>
      <c r="L36" s="70">
        <v>27516</v>
      </c>
      <c r="M36" s="70">
        <v>7644</v>
      </c>
    </row>
    <row r="37" spans="1:13">
      <c r="A37" s="81">
        <v>32</v>
      </c>
      <c r="B37" s="81" t="s">
        <v>69</v>
      </c>
      <c r="C37" s="84">
        <v>0</v>
      </c>
      <c r="D37" s="70">
        <v>0</v>
      </c>
      <c r="E37" s="70">
        <v>845586</v>
      </c>
      <c r="F37" s="70">
        <v>65065</v>
      </c>
      <c r="G37" s="70">
        <v>780521</v>
      </c>
      <c r="H37" s="85">
        <v>0.70067850649999996</v>
      </c>
      <c r="I37" s="70">
        <v>592484</v>
      </c>
      <c r="J37" s="70">
        <v>592484</v>
      </c>
      <c r="K37" s="70">
        <v>0</v>
      </c>
      <c r="L37" s="70">
        <v>592484</v>
      </c>
      <c r="M37" s="70">
        <v>432</v>
      </c>
    </row>
    <row r="38" spans="1:13">
      <c r="A38" s="81">
        <v>33</v>
      </c>
      <c r="B38" s="81" t="s">
        <v>32</v>
      </c>
      <c r="C38" s="84">
        <v>375.6</v>
      </c>
      <c r="D38" s="70">
        <v>75120</v>
      </c>
      <c r="E38" s="70">
        <v>23002547</v>
      </c>
      <c r="F38" s="70">
        <v>60132038</v>
      </c>
      <c r="G38" s="70">
        <v>0</v>
      </c>
      <c r="H38" s="85">
        <v>0.70067850649999996</v>
      </c>
      <c r="I38" s="70">
        <v>16117390</v>
      </c>
      <c r="J38" s="70">
        <v>75120</v>
      </c>
      <c r="K38" s="70">
        <v>0</v>
      </c>
      <c r="L38" s="70">
        <v>75120</v>
      </c>
      <c r="M38" s="70">
        <v>3768</v>
      </c>
    </row>
    <row r="39" spans="1:13">
      <c r="A39" s="81">
        <v>34</v>
      </c>
      <c r="B39" s="81" t="s">
        <v>43</v>
      </c>
      <c r="C39" s="84">
        <v>253.73</v>
      </c>
      <c r="D39" s="70">
        <v>50746</v>
      </c>
      <c r="E39" s="70">
        <v>10925193</v>
      </c>
      <c r="F39" s="70">
        <v>6552460</v>
      </c>
      <c r="G39" s="70">
        <v>4372733</v>
      </c>
      <c r="H39" s="85">
        <v>0.70067850649999996</v>
      </c>
      <c r="I39" s="70">
        <v>7655048</v>
      </c>
      <c r="J39" s="70">
        <v>4372733</v>
      </c>
      <c r="K39" s="70">
        <v>0</v>
      </c>
      <c r="L39" s="70">
        <v>4372733</v>
      </c>
      <c r="M39" s="70">
        <v>61678</v>
      </c>
    </row>
    <row r="40" spans="1:13">
      <c r="A40" s="81">
        <v>35</v>
      </c>
      <c r="B40" s="81" t="s">
        <v>70</v>
      </c>
      <c r="C40" s="84">
        <v>12.92</v>
      </c>
      <c r="D40" s="70">
        <v>2584</v>
      </c>
      <c r="E40" s="70">
        <v>2488125</v>
      </c>
      <c r="F40" s="70">
        <v>1881194</v>
      </c>
      <c r="G40" s="70">
        <v>606931</v>
      </c>
      <c r="H40" s="85">
        <v>0.70067850649999996</v>
      </c>
      <c r="I40" s="70">
        <v>1743376</v>
      </c>
      <c r="J40" s="70">
        <v>606931</v>
      </c>
      <c r="K40" s="70">
        <v>0</v>
      </c>
      <c r="L40" s="70">
        <v>606931</v>
      </c>
      <c r="M40" s="70">
        <v>1585</v>
      </c>
    </row>
    <row r="41" spans="1:13">
      <c r="A41" s="81">
        <v>36</v>
      </c>
      <c r="B41" s="81" t="s">
        <v>110</v>
      </c>
      <c r="C41" s="84">
        <v>814.45</v>
      </c>
      <c r="D41" s="70">
        <v>162890</v>
      </c>
      <c r="E41" s="70">
        <v>22913678</v>
      </c>
      <c r="F41" s="70">
        <v>7904811</v>
      </c>
      <c r="G41" s="70">
        <v>15008867</v>
      </c>
      <c r="H41" s="85">
        <v>0.70067850649999996</v>
      </c>
      <c r="I41" s="70">
        <v>16055122</v>
      </c>
      <c r="J41" s="70">
        <v>15008867</v>
      </c>
      <c r="K41" s="70">
        <v>0</v>
      </c>
      <c r="L41" s="70">
        <v>15008867</v>
      </c>
      <c r="M41" s="70">
        <v>313863</v>
      </c>
    </row>
    <row r="42" spans="1:13">
      <c r="A42" s="81">
        <v>37</v>
      </c>
      <c r="B42" s="81" t="s">
        <v>71</v>
      </c>
      <c r="C42" s="84">
        <v>1265.26</v>
      </c>
      <c r="D42" s="70">
        <v>253052</v>
      </c>
      <c r="E42" s="70">
        <v>32908006</v>
      </c>
      <c r="F42" s="70">
        <v>89689500</v>
      </c>
      <c r="G42" s="70">
        <v>0</v>
      </c>
      <c r="H42" s="85">
        <v>0.70067850649999996</v>
      </c>
      <c r="I42" s="70">
        <v>23057932</v>
      </c>
      <c r="J42" s="70">
        <v>253052</v>
      </c>
      <c r="K42" s="70">
        <v>0</v>
      </c>
      <c r="L42" s="70">
        <v>253052</v>
      </c>
      <c r="M42" s="70">
        <v>23796</v>
      </c>
    </row>
    <row r="43" spans="1:13">
      <c r="A43" s="81">
        <v>38</v>
      </c>
      <c r="B43" s="81" t="s">
        <v>111</v>
      </c>
      <c r="C43" s="84">
        <v>51.29</v>
      </c>
      <c r="D43" s="70">
        <v>10258</v>
      </c>
      <c r="E43" s="70">
        <v>2893258</v>
      </c>
      <c r="F43" s="70">
        <v>2780759</v>
      </c>
      <c r="G43" s="70">
        <v>112499</v>
      </c>
      <c r="H43" s="85">
        <v>0.70067850649999996</v>
      </c>
      <c r="I43" s="70">
        <v>2027244</v>
      </c>
      <c r="J43" s="70">
        <v>112499</v>
      </c>
      <c r="K43" s="70">
        <v>0</v>
      </c>
      <c r="L43" s="70">
        <v>112499</v>
      </c>
      <c r="M43" s="70">
        <v>-73721</v>
      </c>
    </row>
    <row r="44" spans="1:13">
      <c r="A44" s="81">
        <v>39</v>
      </c>
      <c r="B44" s="81" t="s">
        <v>112</v>
      </c>
      <c r="C44" s="84">
        <v>1435.66</v>
      </c>
      <c r="D44" s="70">
        <v>287132</v>
      </c>
      <c r="E44" s="70">
        <v>19083266</v>
      </c>
      <c r="F44" s="70">
        <v>12008762</v>
      </c>
      <c r="G44" s="70">
        <v>7074504</v>
      </c>
      <c r="H44" s="85">
        <v>0.70067850649999996</v>
      </c>
      <c r="I44" s="70">
        <v>13371234</v>
      </c>
      <c r="J44" s="70">
        <v>7074504</v>
      </c>
      <c r="K44" s="70">
        <v>0</v>
      </c>
      <c r="L44" s="70">
        <v>7074504</v>
      </c>
      <c r="M44" s="70">
        <v>256898</v>
      </c>
    </row>
    <row r="45" spans="1:13">
      <c r="A45" s="81">
        <v>40</v>
      </c>
      <c r="B45" s="81" t="s">
        <v>113</v>
      </c>
      <c r="C45" s="84">
        <v>97.8</v>
      </c>
      <c r="D45" s="70">
        <v>19560</v>
      </c>
      <c r="E45" s="70">
        <v>3779368</v>
      </c>
      <c r="F45" s="70">
        <v>12249326</v>
      </c>
      <c r="G45" s="70">
        <v>0</v>
      </c>
      <c r="H45" s="85">
        <v>0.70067850649999996</v>
      </c>
      <c r="I45" s="70">
        <v>2648122</v>
      </c>
      <c r="J45" s="70">
        <v>19560</v>
      </c>
      <c r="K45" s="70">
        <v>0</v>
      </c>
      <c r="L45" s="70">
        <v>19560</v>
      </c>
      <c r="M45" s="70">
        <v>962</v>
      </c>
    </row>
    <row r="46" spans="1:13">
      <c r="A46" s="81">
        <v>41</v>
      </c>
      <c r="B46" s="81" t="s">
        <v>114</v>
      </c>
      <c r="C46" s="84">
        <v>80.900000000000006</v>
      </c>
      <c r="D46" s="70">
        <v>16180</v>
      </c>
      <c r="E46" s="70">
        <v>13086059</v>
      </c>
      <c r="F46" s="70">
        <v>49886622</v>
      </c>
      <c r="G46" s="70">
        <v>0</v>
      </c>
      <c r="H46" s="85">
        <v>0.70067850649999996</v>
      </c>
      <c r="I46" s="70">
        <v>9169120</v>
      </c>
      <c r="J46" s="70">
        <v>16180</v>
      </c>
      <c r="K46" s="70">
        <v>0</v>
      </c>
      <c r="L46" s="70">
        <v>16180</v>
      </c>
      <c r="M46" s="70">
        <v>2100</v>
      </c>
    </row>
    <row r="47" spans="1:13">
      <c r="A47" s="81">
        <v>42</v>
      </c>
      <c r="B47" s="81" t="s">
        <v>115</v>
      </c>
      <c r="C47" s="84">
        <v>100.9</v>
      </c>
      <c r="D47" s="70">
        <v>20180</v>
      </c>
      <c r="E47" s="70">
        <v>6526401</v>
      </c>
      <c r="F47" s="70">
        <v>19654437</v>
      </c>
      <c r="G47" s="70">
        <v>0</v>
      </c>
      <c r="H47" s="85">
        <v>0.70067850649999996</v>
      </c>
      <c r="I47" s="70">
        <v>4572909</v>
      </c>
      <c r="J47" s="70">
        <v>20180</v>
      </c>
      <c r="K47" s="70">
        <v>0</v>
      </c>
      <c r="L47" s="70">
        <v>20180</v>
      </c>
      <c r="M47" s="70">
        <v>5264</v>
      </c>
    </row>
    <row r="48" spans="1:13">
      <c r="A48" s="81">
        <v>43</v>
      </c>
      <c r="B48" s="81" t="s">
        <v>116</v>
      </c>
      <c r="C48" s="84">
        <v>425.16</v>
      </c>
      <c r="D48" s="70">
        <v>85032</v>
      </c>
      <c r="E48" s="70">
        <v>23260320</v>
      </c>
      <c r="F48" s="70">
        <v>72118365</v>
      </c>
      <c r="G48" s="70">
        <v>0</v>
      </c>
      <c r="H48" s="85">
        <v>0.70067850649999996</v>
      </c>
      <c r="I48" s="70">
        <v>16298006</v>
      </c>
      <c r="J48" s="70">
        <v>85032</v>
      </c>
      <c r="K48" s="70">
        <v>0</v>
      </c>
      <c r="L48" s="70">
        <v>85032</v>
      </c>
      <c r="M48" s="70">
        <v>15212</v>
      </c>
    </row>
    <row r="49" spans="1:13">
      <c r="A49" s="81">
        <v>44</v>
      </c>
      <c r="B49" s="81" t="s">
        <v>117</v>
      </c>
      <c r="C49" s="84">
        <v>1005.29</v>
      </c>
      <c r="D49" s="70">
        <v>201058</v>
      </c>
      <c r="E49" s="70">
        <v>12554300</v>
      </c>
      <c r="F49" s="70">
        <v>5191465</v>
      </c>
      <c r="G49" s="70">
        <v>7362835</v>
      </c>
      <c r="H49" s="85">
        <v>0.70067850649999996</v>
      </c>
      <c r="I49" s="70">
        <v>8796528</v>
      </c>
      <c r="J49" s="70">
        <v>7362835</v>
      </c>
      <c r="K49" s="70">
        <v>0</v>
      </c>
      <c r="L49" s="70">
        <v>7362835</v>
      </c>
      <c r="M49" s="70">
        <v>198748</v>
      </c>
    </row>
    <row r="50" spans="1:13">
      <c r="A50" s="81">
        <v>45</v>
      </c>
      <c r="B50" s="81" t="s">
        <v>72</v>
      </c>
      <c r="C50" s="84">
        <v>52.29</v>
      </c>
      <c r="D50" s="70">
        <v>10458</v>
      </c>
      <c r="E50" s="70">
        <v>3453749</v>
      </c>
      <c r="F50" s="70">
        <v>3418881</v>
      </c>
      <c r="G50" s="70">
        <v>34868</v>
      </c>
      <c r="H50" s="85">
        <v>0.70067850649999996</v>
      </c>
      <c r="I50" s="70">
        <v>2419968</v>
      </c>
      <c r="J50" s="70">
        <v>34868</v>
      </c>
      <c r="K50" s="70">
        <v>0</v>
      </c>
      <c r="L50" s="70">
        <v>34868</v>
      </c>
      <c r="M50" s="70">
        <v>-43608</v>
      </c>
    </row>
    <row r="51" spans="1:13">
      <c r="A51" s="81">
        <v>46</v>
      </c>
      <c r="B51" s="81" t="s">
        <v>73</v>
      </c>
      <c r="C51" s="84">
        <v>0</v>
      </c>
      <c r="D51" s="70">
        <v>0</v>
      </c>
      <c r="E51" s="70">
        <v>486164</v>
      </c>
      <c r="F51" s="70">
        <v>167601</v>
      </c>
      <c r="G51" s="70">
        <v>318563</v>
      </c>
      <c r="H51" s="85">
        <v>0.70067850649999996</v>
      </c>
      <c r="I51" s="70">
        <v>340645</v>
      </c>
      <c r="J51" s="70">
        <v>318563</v>
      </c>
      <c r="K51" s="70">
        <v>0</v>
      </c>
      <c r="L51" s="70">
        <v>318563</v>
      </c>
      <c r="M51" s="70">
        <v>248</v>
      </c>
    </row>
    <row r="52" spans="1:13">
      <c r="A52" s="81">
        <v>47</v>
      </c>
      <c r="B52" s="81" t="s">
        <v>42</v>
      </c>
      <c r="C52" s="84">
        <v>9.69</v>
      </c>
      <c r="D52" s="70">
        <v>1938</v>
      </c>
      <c r="E52" s="70">
        <v>1232492</v>
      </c>
      <c r="F52" s="70">
        <v>1005206</v>
      </c>
      <c r="G52" s="70">
        <v>227286</v>
      </c>
      <c r="H52" s="85">
        <v>0.70067850649999996</v>
      </c>
      <c r="I52" s="70">
        <v>863581</v>
      </c>
      <c r="J52" s="70">
        <v>227286</v>
      </c>
      <c r="K52" s="70">
        <v>0</v>
      </c>
      <c r="L52" s="70">
        <v>227286</v>
      </c>
      <c r="M52" s="70">
        <v>-1634</v>
      </c>
    </row>
    <row r="53" spans="1:13">
      <c r="A53" s="81">
        <v>48</v>
      </c>
      <c r="B53" s="81" t="s">
        <v>74</v>
      </c>
      <c r="C53" s="84">
        <v>82.62</v>
      </c>
      <c r="D53" s="70">
        <v>16524</v>
      </c>
      <c r="E53" s="70">
        <v>3875124</v>
      </c>
      <c r="F53" s="70">
        <v>6119124</v>
      </c>
      <c r="G53" s="70">
        <v>0</v>
      </c>
      <c r="H53" s="85">
        <v>0.70067850649999996</v>
      </c>
      <c r="I53" s="70">
        <v>2715216</v>
      </c>
      <c r="J53" s="70">
        <v>16524</v>
      </c>
      <c r="K53" s="70">
        <v>0</v>
      </c>
      <c r="L53" s="70">
        <v>16524</v>
      </c>
      <c r="M53" s="70">
        <v>2570</v>
      </c>
    </row>
    <row r="54" spans="1:13">
      <c r="A54" s="81">
        <v>49</v>
      </c>
      <c r="B54" s="81" t="s">
        <v>75</v>
      </c>
      <c r="C54" s="84">
        <v>123.68</v>
      </c>
      <c r="D54" s="70">
        <v>24736</v>
      </c>
      <c r="E54" s="70">
        <v>7029866</v>
      </c>
      <c r="F54" s="70">
        <v>13370977</v>
      </c>
      <c r="G54" s="70">
        <v>0</v>
      </c>
      <c r="H54" s="85">
        <v>0.70067850649999996</v>
      </c>
      <c r="I54" s="70">
        <v>4925676</v>
      </c>
      <c r="J54" s="70">
        <v>24736</v>
      </c>
      <c r="K54" s="70">
        <v>0</v>
      </c>
      <c r="L54" s="70">
        <v>24736</v>
      </c>
      <c r="M54" s="70">
        <v>-38</v>
      </c>
    </row>
    <row r="55" spans="1:13">
      <c r="A55" s="81">
        <v>50</v>
      </c>
      <c r="B55" s="81" t="s">
        <v>41</v>
      </c>
      <c r="C55" s="84">
        <v>119.16</v>
      </c>
      <c r="D55" s="70">
        <v>23832</v>
      </c>
      <c r="E55" s="70">
        <v>7918013</v>
      </c>
      <c r="F55" s="70">
        <v>16817137</v>
      </c>
      <c r="G55" s="70">
        <v>0</v>
      </c>
      <c r="H55" s="85">
        <v>0.70067850649999996</v>
      </c>
      <c r="I55" s="70">
        <v>5547982</v>
      </c>
      <c r="J55" s="70">
        <v>23832</v>
      </c>
      <c r="K55" s="70">
        <v>0</v>
      </c>
      <c r="L55" s="70">
        <v>23832</v>
      </c>
      <c r="M55" s="70">
        <v>-2644</v>
      </c>
    </row>
    <row r="56" spans="1:13">
      <c r="A56" s="81">
        <v>51</v>
      </c>
      <c r="B56" s="81" t="s">
        <v>76</v>
      </c>
      <c r="C56" s="84">
        <v>48.9</v>
      </c>
      <c r="D56" s="70">
        <v>9780</v>
      </c>
      <c r="E56" s="70">
        <v>2542546</v>
      </c>
      <c r="F56" s="70">
        <v>1010170</v>
      </c>
      <c r="G56" s="70">
        <v>1532376</v>
      </c>
      <c r="H56" s="85">
        <v>0.70067850649999996</v>
      </c>
      <c r="I56" s="70">
        <v>1781507</v>
      </c>
      <c r="J56" s="70">
        <v>1532376</v>
      </c>
      <c r="K56" s="70">
        <v>0</v>
      </c>
      <c r="L56" s="70">
        <v>1532376</v>
      </c>
      <c r="M56" s="70">
        <v>6658</v>
      </c>
    </row>
    <row r="57" spans="1:13">
      <c r="A57" s="81">
        <v>52</v>
      </c>
      <c r="B57" s="81" t="s">
        <v>77</v>
      </c>
      <c r="C57" s="84">
        <v>27.73</v>
      </c>
      <c r="D57" s="70">
        <v>5546</v>
      </c>
      <c r="E57" s="70">
        <v>1438311</v>
      </c>
      <c r="F57" s="70">
        <v>1516460</v>
      </c>
      <c r="G57" s="70">
        <v>0</v>
      </c>
      <c r="H57" s="85">
        <v>0.70067850649999996</v>
      </c>
      <c r="I57" s="70">
        <v>1007794</v>
      </c>
      <c r="J57" s="70">
        <v>5546</v>
      </c>
      <c r="K57" s="70">
        <v>0</v>
      </c>
      <c r="L57" s="70">
        <v>5546</v>
      </c>
      <c r="M57" s="70">
        <v>3602</v>
      </c>
    </row>
    <row r="58" spans="1:13">
      <c r="A58" s="81">
        <v>53</v>
      </c>
      <c r="B58" s="81" t="s">
        <v>78</v>
      </c>
      <c r="C58" s="84">
        <v>10.08</v>
      </c>
      <c r="D58" s="70">
        <v>2016</v>
      </c>
      <c r="E58" s="70">
        <v>582865</v>
      </c>
      <c r="F58" s="70">
        <v>556528</v>
      </c>
      <c r="G58" s="70">
        <v>26337</v>
      </c>
      <c r="H58" s="85">
        <v>0.70067850649999996</v>
      </c>
      <c r="I58" s="70">
        <v>408401</v>
      </c>
      <c r="J58" s="70">
        <v>26337</v>
      </c>
      <c r="K58" s="70">
        <v>0</v>
      </c>
      <c r="L58" s="70">
        <v>26337</v>
      </c>
      <c r="M58" s="70">
        <v>6843</v>
      </c>
    </row>
    <row r="59" spans="1:13">
      <c r="A59" s="81">
        <v>54</v>
      </c>
      <c r="B59" s="81" t="s">
        <v>31</v>
      </c>
      <c r="C59" s="84">
        <v>117.14</v>
      </c>
      <c r="D59" s="70">
        <v>23428</v>
      </c>
      <c r="E59" s="70">
        <v>7481740</v>
      </c>
      <c r="F59" s="70">
        <v>4511507</v>
      </c>
      <c r="G59" s="70">
        <v>2970233</v>
      </c>
      <c r="H59" s="85">
        <v>0.70067850649999996</v>
      </c>
      <c r="I59" s="70">
        <v>5242294</v>
      </c>
      <c r="J59" s="70">
        <v>2970233</v>
      </c>
      <c r="K59" s="70">
        <v>0</v>
      </c>
      <c r="L59" s="70">
        <v>2970233</v>
      </c>
      <c r="M59" s="70">
        <v>962</v>
      </c>
    </row>
    <row r="60" spans="1:13">
      <c r="A60" s="81">
        <v>55</v>
      </c>
      <c r="B60" s="81" t="s">
        <v>40</v>
      </c>
      <c r="C60" s="84">
        <v>21.54</v>
      </c>
      <c r="D60" s="70">
        <v>4308</v>
      </c>
      <c r="E60" s="70">
        <v>1190055</v>
      </c>
      <c r="F60" s="70">
        <v>599641</v>
      </c>
      <c r="G60" s="70">
        <v>590414</v>
      </c>
      <c r="H60" s="85">
        <v>0.70067850649999996</v>
      </c>
      <c r="I60" s="70">
        <v>833846</v>
      </c>
      <c r="J60" s="70">
        <v>590414</v>
      </c>
      <c r="K60" s="70">
        <v>0</v>
      </c>
      <c r="L60" s="70">
        <v>590414</v>
      </c>
      <c r="M60" s="70">
        <v>-246</v>
      </c>
    </row>
    <row r="61" spans="1:13">
      <c r="A61" s="81">
        <v>56</v>
      </c>
      <c r="B61" s="81" t="s">
        <v>39</v>
      </c>
      <c r="C61" s="84">
        <v>195.75</v>
      </c>
      <c r="D61" s="70">
        <v>39150</v>
      </c>
      <c r="E61" s="70">
        <v>9283234</v>
      </c>
      <c r="F61" s="70">
        <v>13649549</v>
      </c>
      <c r="G61" s="70">
        <v>0</v>
      </c>
      <c r="H61" s="85">
        <v>0.70067850649999996</v>
      </c>
      <c r="I61" s="70">
        <v>6504563</v>
      </c>
      <c r="J61" s="70">
        <v>39150</v>
      </c>
      <c r="K61" s="70">
        <v>0</v>
      </c>
      <c r="L61" s="70">
        <v>39150</v>
      </c>
      <c r="M61" s="70">
        <v>3160</v>
      </c>
    </row>
    <row r="62" spans="1:13">
      <c r="A62" s="81">
        <v>57</v>
      </c>
      <c r="B62" s="81" t="s">
        <v>38</v>
      </c>
      <c r="C62" s="84">
        <v>71.64</v>
      </c>
      <c r="D62" s="70">
        <v>14328</v>
      </c>
      <c r="E62" s="70">
        <v>2693908</v>
      </c>
      <c r="F62" s="70">
        <v>2172118</v>
      </c>
      <c r="G62" s="70">
        <v>521790</v>
      </c>
      <c r="H62" s="85">
        <v>0.70067850649999996</v>
      </c>
      <c r="I62" s="70">
        <v>1887563</v>
      </c>
      <c r="J62" s="70">
        <v>521790</v>
      </c>
      <c r="K62" s="70">
        <v>0</v>
      </c>
      <c r="L62" s="70">
        <v>521790</v>
      </c>
      <c r="M62" s="70">
        <v>1580</v>
      </c>
    </row>
    <row r="63" spans="1:13">
      <c r="A63" s="81">
        <v>58</v>
      </c>
      <c r="B63" s="81" t="s">
        <v>79</v>
      </c>
      <c r="C63" s="84">
        <v>66.59</v>
      </c>
      <c r="D63" s="70">
        <v>13318</v>
      </c>
      <c r="E63" s="70">
        <v>1959717</v>
      </c>
      <c r="F63" s="70">
        <v>1855564</v>
      </c>
      <c r="G63" s="70">
        <v>104153</v>
      </c>
      <c r="H63" s="85">
        <v>0.70067850649999996</v>
      </c>
      <c r="I63" s="70">
        <v>1373132</v>
      </c>
      <c r="J63" s="70">
        <v>104153</v>
      </c>
      <c r="K63" s="70">
        <v>0</v>
      </c>
      <c r="L63" s="70">
        <v>104153</v>
      </c>
      <c r="M63" s="70">
        <v>-13742</v>
      </c>
    </row>
    <row r="64" spans="1:13" s="55" customFormat="1">
      <c r="C64" s="55">
        <f>SUM(C6:C63)</f>
        <v>14682.3</v>
      </c>
      <c r="D64" s="55">
        <f>SUM(D6:D63)</f>
        <v>2936460</v>
      </c>
      <c r="E64" s="55">
        <f>SUM(E6:E63)</f>
        <v>481393500</v>
      </c>
      <c r="F64" s="55">
        <f>SUM(F6:F63)</f>
        <v>730288927</v>
      </c>
      <c r="G64" s="55">
        <f>SUM(G6:G63)</f>
        <v>67432293</v>
      </c>
      <c r="I64" s="55">
        <f>SUM(I6:I63)</f>
        <v>337302079</v>
      </c>
      <c r="J64" s="55">
        <f>SUM(J6:J63)</f>
        <v>65917796</v>
      </c>
      <c r="K64" s="55">
        <f>SUM(K6:K63)</f>
        <v>0</v>
      </c>
      <c r="L64" s="55">
        <f>SUM(L6:L63)</f>
        <v>65917796</v>
      </c>
      <c r="M64" s="55">
        <f>SUM(M6:M63)</f>
        <v>8244812</v>
      </c>
    </row>
    <row r="65" spans="2:2">
      <c r="B65" s="367">
        <f>SUM(C64:M64)</f>
        <v>1759448345.3</v>
      </c>
    </row>
    <row r="66" spans="2:2">
      <c r="B66" s="64" t="s">
        <v>162</v>
      </c>
    </row>
  </sheetData>
  <mergeCells count="1">
    <mergeCell ref="E2:G2"/>
  </mergeCells>
  <phoneticPr fontId="51" type="noConversion"/>
  <pageMargins left="0.25" right="0.25" top="0.25" bottom="0.15" header="0.3" footer="0.3"/>
  <pageSetup paperSize="5" scale="50" orientation="landscape" r:id="rId1"/>
  <headerFooter>
    <oddFooter>&amp;R&amp;F
&amp;A</oddFooter>
  </headerFooter>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74">
    <tabColor theme="2" tint="-9.9978637043366805E-2"/>
  </sheetPr>
  <dimension ref="A1:J57"/>
  <sheetViews>
    <sheetView showGridLines="0" zoomScaleNormal="100" workbookViewId="0">
      <pane xSplit="1" ySplit="3" topLeftCell="B4" activePane="bottomRight" state="frozen"/>
      <selection activeCell="C29" sqref="C29"/>
      <selection pane="topRight" activeCell="C29" sqref="C29"/>
      <selection pane="bottomLeft" activeCell="C29" sqref="C29"/>
      <selection pane="bottomRight" activeCell="C29" sqref="C29"/>
    </sheetView>
  </sheetViews>
  <sheetFormatPr defaultColWidth="8.88671875" defaultRowHeight="13.8"/>
  <cols>
    <col min="1" max="1" width="68.6640625" style="1" customWidth="1"/>
    <col min="2" max="2" width="15.44140625" style="1" bestFit="1" customWidth="1"/>
    <col min="3" max="9" width="15.44140625" style="1" customWidth="1"/>
    <col min="10" max="10" width="47.109375" style="4" customWidth="1"/>
    <col min="11" max="12" width="10.6640625" style="1" customWidth="1"/>
    <col min="13" max="16384" width="8.88671875" style="1"/>
  </cols>
  <sheetData>
    <row r="1" spans="1:10" s="203" customFormat="1" ht="21.75" customHeight="1">
      <c r="A1" s="823" t="str">
        <f>Calculator!B1</f>
        <v xml:space="preserve">&lt;=  &lt;=  &lt;=     Enter the county code portion of your LEA CDS Code </v>
      </c>
      <c r="B1" s="824" t="str">
        <f>+Instructions!C2</f>
        <v>v.24.1a</v>
      </c>
      <c r="C1" s="825"/>
      <c r="D1" s="825"/>
      <c r="E1" s="826" t="str">
        <f>IF('Data Entry'!$B$7="","",'Data Entry'!$B$7)</f>
        <v/>
      </c>
      <c r="F1" s="827"/>
      <c r="G1" s="827"/>
      <c r="H1" s="827"/>
      <c r="I1" s="828"/>
      <c r="J1" s="871" t="s">
        <v>156</v>
      </c>
    </row>
    <row r="2" spans="1:10" ht="15" customHeight="1" thickBot="1">
      <c r="A2" s="829"/>
      <c r="B2" s="830" t="str">
        <f>'FY Control'!C7</f>
        <v>2020-21</v>
      </c>
      <c r="C2" s="830" t="str">
        <f>'FY Control'!C8</f>
        <v>2021-22</v>
      </c>
      <c r="D2" s="830" t="str">
        <f>'FY Control'!C9</f>
        <v>2022-23</v>
      </c>
      <c r="E2" s="830" t="str">
        <f>'FY Control'!C10</f>
        <v>2023-24</v>
      </c>
      <c r="F2" s="830" t="str">
        <f>'FY Control'!C11</f>
        <v>2024-25</v>
      </c>
      <c r="G2" s="830" t="str">
        <f>'FY Control'!C12</f>
        <v>2025-26</v>
      </c>
      <c r="H2" s="830" t="str">
        <f>'FY Control'!C13</f>
        <v>2026-27</v>
      </c>
      <c r="I2" s="831" t="str">
        <f>'FY Control'!C14</f>
        <v>2027-28</v>
      </c>
    </row>
    <row r="3" spans="1:10" ht="21" customHeight="1" thickBot="1">
      <c r="A3" s="832" t="s">
        <v>244</v>
      </c>
      <c r="B3" s="833"/>
      <c r="C3" s="833"/>
      <c r="D3" s="833"/>
      <c r="E3" s="833"/>
      <c r="F3" s="833"/>
      <c r="G3" s="833"/>
      <c r="H3" s="833"/>
      <c r="I3" s="834"/>
    </row>
    <row r="4" spans="1:10" ht="14.4" customHeight="1">
      <c r="A4" s="104" t="s">
        <v>19</v>
      </c>
      <c r="B4" s="204"/>
      <c r="C4" s="204"/>
      <c r="D4" s="204"/>
      <c r="E4" s="204"/>
      <c r="F4" s="204"/>
      <c r="G4" s="204"/>
      <c r="H4" s="204"/>
      <c r="I4" s="205"/>
    </row>
    <row r="5" spans="1:10" ht="14.4" customHeight="1">
      <c r="A5" s="385" t="s">
        <v>320</v>
      </c>
      <c r="B5" s="211">
        <f>+Calculator!I30</f>
        <v>0</v>
      </c>
      <c r="C5" s="211">
        <f>+Calculator!P30</f>
        <v>0</v>
      </c>
      <c r="D5" s="211">
        <f>+Calculator!W30</f>
        <v>0</v>
      </c>
      <c r="E5" s="211">
        <f>+Calculator!AD30</f>
        <v>0</v>
      </c>
      <c r="F5" s="211">
        <f>+Calculator!AK30</f>
        <v>0</v>
      </c>
      <c r="G5" s="211">
        <f>+Calculator!AR30</f>
        <v>0</v>
      </c>
      <c r="H5" s="211">
        <f>+Calculator!AY30</f>
        <v>0</v>
      </c>
      <c r="I5" s="386">
        <f>+Calculator!BF30</f>
        <v>0</v>
      </c>
    </row>
    <row r="6" spans="1:10" ht="14.4" customHeight="1">
      <c r="A6" s="385"/>
      <c r="B6" s="207"/>
      <c r="C6" s="207"/>
      <c r="D6" s="207"/>
      <c r="E6" s="207"/>
      <c r="F6" s="207"/>
      <c r="G6" s="207"/>
      <c r="H6" s="207"/>
      <c r="I6" s="208"/>
    </row>
    <row r="7" spans="1:10" ht="14.4" customHeight="1">
      <c r="A7" s="385" t="s">
        <v>564</v>
      </c>
      <c r="B7" s="196">
        <f>+Calculator!E13</f>
        <v>0</v>
      </c>
      <c r="C7" s="196">
        <f>+Calculator!L13</f>
        <v>0</v>
      </c>
      <c r="D7" s="196">
        <f>+Calculator!S13</f>
        <v>0</v>
      </c>
      <c r="E7" s="196">
        <f>+Calculator!Z13</f>
        <v>0</v>
      </c>
      <c r="F7" s="196">
        <f>+Calculator!AG13</f>
        <v>0</v>
      </c>
      <c r="G7" s="196">
        <f>+Calculator!AN13</f>
        <v>0</v>
      </c>
      <c r="H7" s="196">
        <f>+Calculator!AU13</f>
        <v>0</v>
      </c>
      <c r="I7" s="197">
        <f>+Calculator!BB13</f>
        <v>0</v>
      </c>
    </row>
    <row r="8" spans="1:10" ht="14.4" customHeight="1">
      <c r="A8" s="385" t="s">
        <v>565</v>
      </c>
      <c r="B8" s="184">
        <f>+Calculator!$G$13</f>
        <v>0</v>
      </c>
      <c r="C8" s="184">
        <f>+Calculator!$N$13</f>
        <v>0</v>
      </c>
      <c r="D8" s="184">
        <f>+Calculator!$U$13</f>
        <v>0</v>
      </c>
      <c r="E8" s="184">
        <f>+Calculator!$AB$13</f>
        <v>0</v>
      </c>
      <c r="F8" s="184">
        <f>+Calculator!$AI$13</f>
        <v>0</v>
      </c>
      <c r="G8" s="184">
        <f>+Calculator!$AP$13</f>
        <v>0</v>
      </c>
      <c r="H8" s="184">
        <f>+Calculator!$AW$13</f>
        <v>0</v>
      </c>
      <c r="I8" s="185">
        <f>+Calculator!$BD$13</f>
        <v>0</v>
      </c>
    </row>
    <row r="9" spans="1:10" ht="14.4" customHeight="1">
      <c r="A9" s="385" t="s">
        <v>566</v>
      </c>
      <c r="B9" s="184">
        <f>+Calculator!$H$13</f>
        <v>0</v>
      </c>
      <c r="C9" s="184">
        <f>+Calculator!$O$13</f>
        <v>0</v>
      </c>
      <c r="D9" s="184">
        <f>+Calculator!$V$13</f>
        <v>0</v>
      </c>
      <c r="E9" s="184">
        <f>+Calculator!$AC$13</f>
        <v>0</v>
      </c>
      <c r="F9" s="184">
        <f>+Calculator!$AJ$13</f>
        <v>0</v>
      </c>
      <c r="G9" s="184">
        <f>+Calculator!$AQ$13</f>
        <v>0</v>
      </c>
      <c r="H9" s="184">
        <f>+Calculator!$AX$13</f>
        <v>0</v>
      </c>
      <c r="I9" s="185">
        <f>+Calculator!$BE$13</f>
        <v>0</v>
      </c>
    </row>
    <row r="10" spans="1:10" ht="14.4" customHeight="1">
      <c r="A10" s="388" t="s">
        <v>567</v>
      </c>
      <c r="B10" s="430">
        <f>SUM(B7:B9)</f>
        <v>0</v>
      </c>
      <c r="C10" s="430">
        <f t="shared" ref="C10:H10" si="0">SUM(C7:C9)</f>
        <v>0</v>
      </c>
      <c r="D10" s="430">
        <f t="shared" si="0"/>
        <v>0</v>
      </c>
      <c r="E10" s="430">
        <f t="shared" si="0"/>
        <v>0</v>
      </c>
      <c r="F10" s="430">
        <f t="shared" si="0"/>
        <v>0</v>
      </c>
      <c r="G10" s="430">
        <f t="shared" si="0"/>
        <v>0</v>
      </c>
      <c r="H10" s="430">
        <f t="shared" si="0"/>
        <v>0</v>
      </c>
      <c r="I10" s="431">
        <f>SUM(I7:I9)</f>
        <v>0</v>
      </c>
    </row>
    <row r="11" spans="1:10" ht="14.4" customHeight="1">
      <c r="A11" s="385"/>
      <c r="B11" s="209"/>
      <c r="C11" s="209"/>
      <c r="D11" s="209"/>
      <c r="E11" s="209"/>
      <c r="F11" s="209"/>
      <c r="G11" s="209"/>
      <c r="H11" s="209"/>
      <c r="I11" s="210"/>
    </row>
    <row r="12" spans="1:10" ht="14.4" customHeight="1">
      <c r="A12" s="206" t="s">
        <v>209</v>
      </c>
      <c r="B12" s="196">
        <f>+Calculator!I15</f>
        <v>0</v>
      </c>
      <c r="C12" s="196">
        <f>+Calculator!P15</f>
        <v>0</v>
      </c>
      <c r="D12" s="196">
        <f>+Calculator!W15</f>
        <v>0</v>
      </c>
      <c r="E12" s="196">
        <f>+Calculator!AD15</f>
        <v>0</v>
      </c>
      <c r="F12" s="196">
        <f>+Calculator!AK15</f>
        <v>0</v>
      </c>
      <c r="G12" s="196">
        <f>+Calculator!AR15</f>
        <v>0</v>
      </c>
      <c r="H12" s="196">
        <f>+Calculator!AY15</f>
        <v>0</v>
      </c>
      <c r="I12" s="197">
        <f>+Calculator!BF15</f>
        <v>0</v>
      </c>
    </row>
    <row r="13" spans="1:10" ht="14.4" customHeight="1">
      <c r="A13" s="206" t="s">
        <v>210</v>
      </c>
      <c r="B13" s="184">
        <f>+Calculator!I16</f>
        <v>0</v>
      </c>
      <c r="C13" s="184">
        <f>Calculator!P$16</f>
        <v>0</v>
      </c>
      <c r="D13" s="184">
        <f>+Calculator!W16</f>
        <v>0</v>
      </c>
      <c r="E13" s="184">
        <f>+Calculator!AD16</f>
        <v>0</v>
      </c>
      <c r="F13" s="184">
        <f>+Calculator!AK16</f>
        <v>0</v>
      </c>
      <c r="G13" s="184">
        <f>+Calculator!AR16</f>
        <v>0</v>
      </c>
      <c r="H13" s="184">
        <f>+Calculator!AY16</f>
        <v>0</v>
      </c>
      <c r="I13" s="185">
        <f>+Calculator!BF$16</f>
        <v>0</v>
      </c>
    </row>
    <row r="14" spans="1:10" ht="14.4" customHeight="1">
      <c r="A14" s="206" t="s">
        <v>211</v>
      </c>
      <c r="B14" s="184">
        <f>+Calculator!I17</f>
        <v>0</v>
      </c>
      <c r="C14" s="184">
        <f>+Calculator!P$17</f>
        <v>0</v>
      </c>
      <c r="D14" s="184">
        <f>+Calculator!W17</f>
        <v>0</v>
      </c>
      <c r="E14" s="184">
        <f>+Calculator!AD17</f>
        <v>0</v>
      </c>
      <c r="F14" s="184">
        <f>+Calculator!AK17</f>
        <v>0</v>
      </c>
      <c r="G14" s="184">
        <f>+Calculator!AR17</f>
        <v>0</v>
      </c>
      <c r="H14" s="184">
        <f>+Calculator!AY17</f>
        <v>0</v>
      </c>
      <c r="I14" s="185">
        <f>+Calculator!BF$17</f>
        <v>0</v>
      </c>
      <c r="J14" s="6"/>
    </row>
    <row r="15" spans="1:10" ht="14.4" customHeight="1">
      <c r="A15" s="388" t="s">
        <v>568</v>
      </c>
      <c r="B15" s="430">
        <f>SUM(B12:B14)</f>
        <v>0</v>
      </c>
      <c r="C15" s="430">
        <f t="shared" ref="C15:I15" si="1">SUM(C12:C14)</f>
        <v>0</v>
      </c>
      <c r="D15" s="430">
        <f t="shared" si="1"/>
        <v>0</v>
      </c>
      <c r="E15" s="430">
        <f t="shared" si="1"/>
        <v>0</v>
      </c>
      <c r="F15" s="430">
        <f t="shared" si="1"/>
        <v>0</v>
      </c>
      <c r="G15" s="430">
        <f t="shared" si="1"/>
        <v>0</v>
      </c>
      <c r="H15" s="430">
        <f t="shared" si="1"/>
        <v>0</v>
      </c>
      <c r="I15" s="431">
        <f t="shared" si="1"/>
        <v>0</v>
      </c>
      <c r="J15" s="6"/>
    </row>
    <row r="16" spans="1:10" ht="14.4" customHeight="1">
      <c r="A16" s="206"/>
      <c r="B16" s="387"/>
      <c r="C16" s="387"/>
      <c r="D16" s="387"/>
      <c r="E16" s="387"/>
      <c r="F16" s="387"/>
      <c r="G16" s="387"/>
      <c r="H16" s="387"/>
      <c r="I16" s="212"/>
      <c r="J16" s="6"/>
    </row>
    <row r="17" spans="1:10" ht="14.4" customHeight="1">
      <c r="A17" s="433" t="s">
        <v>461</v>
      </c>
      <c r="B17" s="430">
        <f>+B15+B10+B5</f>
        <v>0</v>
      </c>
      <c r="C17" s="430">
        <f t="shared" ref="C17:G17" si="2">+C15+C10+C5</f>
        <v>0</v>
      </c>
      <c r="D17" s="430">
        <f t="shared" si="2"/>
        <v>0</v>
      </c>
      <c r="E17" s="430">
        <f t="shared" si="2"/>
        <v>0</v>
      </c>
      <c r="F17" s="430">
        <f t="shared" si="2"/>
        <v>0</v>
      </c>
      <c r="G17" s="430">
        <f t="shared" si="2"/>
        <v>0</v>
      </c>
      <c r="H17" s="430">
        <f>+H15+H10+H5</f>
        <v>0</v>
      </c>
      <c r="I17" s="431">
        <f>+I15+I10+I5</f>
        <v>0</v>
      </c>
      <c r="J17" s="980"/>
    </row>
    <row r="18" spans="1:10" ht="14.4" customHeight="1">
      <c r="A18" s="206"/>
      <c r="B18" s="387"/>
      <c r="C18" s="387"/>
      <c r="D18" s="387"/>
      <c r="E18" s="387"/>
      <c r="F18" s="387"/>
      <c r="G18" s="387"/>
      <c r="H18" s="387"/>
      <c r="I18" s="212"/>
    </row>
    <row r="19" spans="1:10" ht="14.4" customHeight="1">
      <c r="A19" s="434" t="s">
        <v>569</v>
      </c>
      <c r="B19" s="387"/>
      <c r="C19" s="387"/>
      <c r="D19" s="387"/>
      <c r="E19" s="387"/>
      <c r="F19" s="387"/>
      <c r="G19" s="387"/>
      <c r="H19" s="387"/>
      <c r="I19" s="212"/>
    </row>
    <row r="20" spans="1:10" ht="14.4" customHeight="1">
      <c r="A20" s="435" t="s">
        <v>519</v>
      </c>
      <c r="B20" s="429">
        <f>+Calculator!I55</f>
        <v>0</v>
      </c>
      <c r="C20" s="429">
        <f>+Calculator!P55</f>
        <v>0</v>
      </c>
      <c r="D20" s="429">
        <f>+Calculator!W55</f>
        <v>0</v>
      </c>
      <c r="E20" s="429">
        <f>+Calculator!AD55</f>
        <v>0</v>
      </c>
      <c r="F20" s="429">
        <f>+Calculator!AK55</f>
        <v>0</v>
      </c>
      <c r="G20" s="429">
        <f>+Calculator!AR55</f>
        <v>0</v>
      </c>
      <c r="H20" s="429">
        <f>+Calculator!AY55</f>
        <v>0</v>
      </c>
      <c r="I20" s="432">
        <f>+Calculator!BF55</f>
        <v>0</v>
      </c>
    </row>
    <row r="21" spans="1:10" ht="14.4" customHeight="1">
      <c r="A21" s="434"/>
      <c r="B21" s="196"/>
      <c r="C21" s="196"/>
      <c r="D21" s="196"/>
      <c r="E21" s="196"/>
      <c r="F21" s="196"/>
      <c r="G21" s="196"/>
      <c r="H21" s="196"/>
      <c r="I21" s="197"/>
    </row>
    <row r="22" spans="1:10">
      <c r="A22" s="436" t="s">
        <v>522</v>
      </c>
      <c r="B22" s="196">
        <f>+Calculator!I60</f>
        <v>0</v>
      </c>
      <c r="C22" s="196">
        <f>+Calculator!P60</f>
        <v>0</v>
      </c>
      <c r="D22" s="196">
        <f>+Calculator!W60</f>
        <v>0</v>
      </c>
      <c r="E22" s="196">
        <f>+Calculator!AD60</f>
        <v>0</v>
      </c>
      <c r="F22" s="196">
        <f>+Calculator!AK60</f>
        <v>0</v>
      </c>
      <c r="G22" s="196">
        <f>+Calculator!AR60</f>
        <v>0</v>
      </c>
      <c r="H22" s="196">
        <f>+Calculator!AY60</f>
        <v>0</v>
      </c>
      <c r="I22" s="197">
        <f>+Calculator!BF60</f>
        <v>0</v>
      </c>
      <c r="J22" s="981"/>
    </row>
    <row r="23" spans="1:10">
      <c r="A23" s="436" t="s">
        <v>523</v>
      </c>
      <c r="B23" s="184">
        <f>+Calculator!I61</f>
        <v>0</v>
      </c>
      <c r="C23" s="184">
        <f>+Calculator!P61</f>
        <v>0</v>
      </c>
      <c r="D23" s="184">
        <f>+Calculator!W61</f>
        <v>0</v>
      </c>
      <c r="E23" s="184">
        <f>+Calculator!AD61</f>
        <v>0</v>
      </c>
      <c r="F23" s="184">
        <f>+Calculator!AK61</f>
        <v>0</v>
      </c>
      <c r="G23" s="184">
        <f>+Calculator!AR61</f>
        <v>0</v>
      </c>
      <c r="H23" s="184">
        <f>+Calculator!AY61</f>
        <v>0</v>
      </c>
      <c r="I23" s="185">
        <f>+Calculator!BF61</f>
        <v>0</v>
      </c>
      <c r="J23" s="981"/>
    </row>
    <row r="24" spans="1:10">
      <c r="A24" s="437" t="s">
        <v>524</v>
      </c>
      <c r="B24" s="430">
        <f>SUM(B22:B23)</f>
        <v>0</v>
      </c>
      <c r="C24" s="430">
        <f t="shared" ref="C24:I24" si="3">SUM(C22:C23)</f>
        <v>0</v>
      </c>
      <c r="D24" s="430">
        <f t="shared" si="3"/>
        <v>0</v>
      </c>
      <c r="E24" s="430">
        <f t="shared" si="3"/>
        <v>0</v>
      </c>
      <c r="F24" s="430">
        <f t="shared" si="3"/>
        <v>0</v>
      </c>
      <c r="G24" s="430">
        <f t="shared" si="3"/>
        <v>0</v>
      </c>
      <c r="H24" s="430">
        <f t="shared" si="3"/>
        <v>0</v>
      </c>
      <c r="I24" s="431">
        <f t="shared" si="3"/>
        <v>0</v>
      </c>
      <c r="J24" s="981"/>
    </row>
    <row r="25" spans="1:10">
      <c r="A25" s="206"/>
      <c r="B25" s="184"/>
      <c r="C25" s="184"/>
      <c r="D25" s="184"/>
      <c r="E25" s="184"/>
      <c r="F25" s="184"/>
      <c r="G25" s="184"/>
      <c r="H25" s="184"/>
      <c r="I25" s="185"/>
    </row>
    <row r="26" spans="1:10" s="183" customFormat="1" ht="18" customHeight="1" thickBot="1">
      <c r="A26" s="861" t="s">
        <v>123</v>
      </c>
      <c r="B26" s="862">
        <f>+B17+B20+SUM(B22:B23)</f>
        <v>0</v>
      </c>
      <c r="C26" s="862">
        <f t="shared" ref="C26:I26" si="4">+C17+C20+SUM(C22:C23)</f>
        <v>0</v>
      </c>
      <c r="D26" s="862">
        <f t="shared" si="4"/>
        <v>0</v>
      </c>
      <c r="E26" s="862">
        <f t="shared" si="4"/>
        <v>0</v>
      </c>
      <c r="F26" s="862">
        <f t="shared" si="4"/>
        <v>0</v>
      </c>
      <c r="G26" s="862">
        <f t="shared" si="4"/>
        <v>0</v>
      </c>
      <c r="H26" s="862">
        <f t="shared" si="4"/>
        <v>0</v>
      </c>
      <c r="I26" s="863">
        <f t="shared" si="4"/>
        <v>0</v>
      </c>
      <c r="J26" s="4"/>
    </row>
    <row r="27" spans="1:10" s="183" customFormat="1" ht="12.75" customHeight="1" thickBot="1">
      <c r="A27" s="223"/>
      <c r="B27" s="51"/>
      <c r="C27" s="51"/>
      <c r="D27" s="51"/>
      <c r="E27" s="51"/>
      <c r="F27" s="51"/>
      <c r="G27" s="51"/>
      <c r="H27" s="51"/>
      <c r="I27" s="51"/>
      <c r="J27" s="6"/>
    </row>
    <row r="28" spans="1:10" ht="21" customHeight="1" thickBot="1">
      <c r="A28" s="864" t="s">
        <v>579</v>
      </c>
      <c r="B28" s="833"/>
      <c r="C28" s="833"/>
      <c r="D28" s="833"/>
      <c r="E28" s="833"/>
      <c r="F28" s="833"/>
      <c r="G28" s="833"/>
      <c r="H28" s="833"/>
      <c r="I28" s="834"/>
    </row>
    <row r="29" spans="1:10" s="214" customFormat="1" ht="13.5" customHeight="1">
      <c r="A29" s="975" t="s">
        <v>577</v>
      </c>
      <c r="B29" s="429">
        <f>+Calculator!I69</f>
        <v>0</v>
      </c>
      <c r="C29" s="429">
        <f>+Calculator!P69</f>
        <v>0</v>
      </c>
      <c r="D29" s="429">
        <f>+Calculator!W69</f>
        <v>0</v>
      </c>
      <c r="E29" s="429">
        <f>+Calculator!AD69</f>
        <v>0</v>
      </c>
      <c r="F29" s="429">
        <f>+Calculator!AK69</f>
        <v>0</v>
      </c>
      <c r="G29" s="429">
        <f>+Calculator!AR69</f>
        <v>0</v>
      </c>
      <c r="H29" s="429">
        <f>+Calculator!AY69</f>
        <v>0</v>
      </c>
      <c r="I29" s="438">
        <f>+Calculator!BF69</f>
        <v>0</v>
      </c>
      <c r="J29" s="6"/>
    </row>
    <row r="30" spans="1:10" s="214" customFormat="1" ht="13.5" customHeight="1">
      <c r="A30" s="424" t="s">
        <v>1590</v>
      </c>
      <c r="B30" s="429">
        <f>+Calculator!I70</f>
        <v>0</v>
      </c>
      <c r="C30" s="429">
        <f>+Calculator!P70</f>
        <v>0</v>
      </c>
      <c r="D30" s="429">
        <f>+Calculator!W70</f>
        <v>0</v>
      </c>
      <c r="E30" s="429">
        <f>+Calculator!AD70</f>
        <v>0</v>
      </c>
      <c r="F30" s="429">
        <f>+Calculator!AK70</f>
        <v>0</v>
      </c>
      <c r="G30" s="429">
        <f>+Calculator!AR70</f>
        <v>0</v>
      </c>
      <c r="H30" s="429">
        <f>+Calculator!AY70</f>
        <v>0</v>
      </c>
      <c r="I30" s="432">
        <f>+Calculator!BF70</f>
        <v>0</v>
      </c>
      <c r="J30" s="6"/>
    </row>
    <row r="31" spans="1:10" s="215" customFormat="1" ht="13.5" customHeight="1">
      <c r="A31" s="976"/>
      <c r="B31" s="196"/>
      <c r="C31" s="196"/>
      <c r="D31" s="196"/>
      <c r="E31" s="196"/>
      <c r="F31" s="196"/>
      <c r="G31" s="196"/>
      <c r="H31" s="196"/>
      <c r="I31" s="197"/>
      <c r="J31" s="6"/>
    </row>
    <row r="32" spans="1:10" s="216" customFormat="1" ht="13.5" customHeight="1">
      <c r="A32" s="424" t="s">
        <v>1612</v>
      </c>
      <c r="B32" s="196">
        <f>SUM(B33:B34)</f>
        <v>0</v>
      </c>
      <c r="C32" s="196">
        <f t="shared" ref="C32:I32" si="5">SUM(C33:C34)</f>
        <v>0</v>
      </c>
      <c r="D32" s="196">
        <f t="shared" si="5"/>
        <v>0</v>
      </c>
      <c r="E32" s="196">
        <f t="shared" si="5"/>
        <v>0</v>
      </c>
      <c r="F32" s="196">
        <f t="shared" si="5"/>
        <v>0</v>
      </c>
      <c r="G32" s="196">
        <f t="shared" si="5"/>
        <v>0</v>
      </c>
      <c r="H32" s="196">
        <f t="shared" si="5"/>
        <v>0</v>
      </c>
      <c r="I32" s="197">
        <f t="shared" si="5"/>
        <v>0</v>
      </c>
      <c r="J32" s="92"/>
    </row>
    <row r="33" spans="1:10" s="216" customFormat="1" ht="13.5" customHeight="1">
      <c r="A33" s="426" t="s">
        <v>578</v>
      </c>
      <c r="B33" s="184">
        <f>+'Data Entry'!G45</f>
        <v>0</v>
      </c>
      <c r="C33" s="184">
        <f>+'Data Entry'!H45</f>
        <v>0</v>
      </c>
      <c r="D33" s="184">
        <f>+'Data Entry'!I45</f>
        <v>0</v>
      </c>
      <c r="E33" s="184">
        <f>+'Data Entry'!J45</f>
        <v>0</v>
      </c>
      <c r="F33" s="184">
        <f>+'Data Entry'!K45</f>
        <v>0</v>
      </c>
      <c r="G33" s="184">
        <f>+'Data Entry'!L45</f>
        <v>0</v>
      </c>
      <c r="H33" s="184">
        <f>+'Data Entry'!M45</f>
        <v>0</v>
      </c>
      <c r="I33" s="185">
        <f>+'Data Entry'!N45</f>
        <v>0</v>
      </c>
      <c r="J33" s="92"/>
    </row>
    <row r="34" spans="1:10" s="216" customFormat="1" ht="13.5" customHeight="1">
      <c r="A34" s="427" t="s">
        <v>303</v>
      </c>
      <c r="B34" s="430">
        <f>+'Data Entry'!G46</f>
        <v>0</v>
      </c>
      <c r="C34" s="430">
        <f>+'Data Entry'!H46</f>
        <v>0</v>
      </c>
      <c r="D34" s="430">
        <f>+'Data Entry'!I46</f>
        <v>0</v>
      </c>
      <c r="E34" s="430">
        <f>+'Data Entry'!J46</f>
        <v>0</v>
      </c>
      <c r="F34" s="430">
        <f>+'Data Entry'!K46</f>
        <v>0</v>
      </c>
      <c r="G34" s="430">
        <f>+'Data Entry'!L46</f>
        <v>0</v>
      </c>
      <c r="H34" s="430">
        <f>+'Data Entry'!M46</f>
        <v>0</v>
      </c>
      <c r="I34" s="431">
        <f>+'Data Entry'!N46</f>
        <v>0</v>
      </c>
      <c r="J34" s="92"/>
    </row>
    <row r="35" spans="1:10" s="216" customFormat="1" ht="13.5" customHeight="1">
      <c r="A35" s="428"/>
      <c r="B35" s="429"/>
      <c r="C35" s="429"/>
      <c r="D35" s="429"/>
      <c r="E35" s="429"/>
      <c r="F35" s="429"/>
      <c r="G35" s="429"/>
      <c r="H35" s="429"/>
      <c r="I35" s="432"/>
      <c r="J35" s="92"/>
    </row>
    <row r="36" spans="1:10" s="216" customFormat="1" ht="13.5" customHeight="1">
      <c r="A36" s="882" t="s">
        <v>1722</v>
      </c>
      <c r="B36" s="429">
        <f>+Calculator!I72</f>
        <v>0</v>
      </c>
      <c r="C36" s="429">
        <f>+Calculator!P72</f>
        <v>0</v>
      </c>
      <c r="D36" s="429">
        <f>+Calculator!W72</f>
        <v>0</v>
      </c>
      <c r="E36" s="429">
        <f>+Calculator!AD72</f>
        <v>0</v>
      </c>
      <c r="F36" s="429">
        <f>+Calculator!AK72</f>
        <v>0</v>
      </c>
      <c r="G36" s="429">
        <f>+Calculator!AR72</f>
        <v>0</v>
      </c>
      <c r="H36" s="429">
        <f>+Calculator!AY72</f>
        <v>0</v>
      </c>
      <c r="I36" s="432">
        <f>+Calculator!BF72</f>
        <v>0</v>
      </c>
      <c r="J36" s="92"/>
    </row>
    <row r="37" spans="1:10" s="216" customFormat="1" ht="13.5" customHeight="1">
      <c r="A37" s="428"/>
      <c r="B37" s="429"/>
      <c r="C37" s="429"/>
      <c r="D37" s="429"/>
      <c r="E37" s="429"/>
      <c r="F37" s="429"/>
      <c r="G37" s="429"/>
      <c r="H37" s="429"/>
      <c r="I37" s="432"/>
      <c r="J37" s="92"/>
    </row>
    <row r="38" spans="1:10" s="183" customFormat="1" ht="18" customHeight="1" thickBot="1">
      <c r="A38" s="861" t="s">
        <v>123</v>
      </c>
      <c r="B38" s="862">
        <f>+B34+B30+B29+B36</f>
        <v>0</v>
      </c>
      <c r="C38" s="862">
        <f t="shared" ref="C38:G38" si="6">+C34+C30+C29+C36</f>
        <v>0</v>
      </c>
      <c r="D38" s="862">
        <f t="shared" si="6"/>
        <v>0</v>
      </c>
      <c r="E38" s="862">
        <f t="shared" si="6"/>
        <v>0</v>
      </c>
      <c r="F38" s="862">
        <f t="shared" si="6"/>
        <v>0</v>
      </c>
      <c r="G38" s="862">
        <f t="shared" si="6"/>
        <v>0</v>
      </c>
      <c r="H38" s="862">
        <f>+H34+H30+H29+H36</f>
        <v>0</v>
      </c>
      <c r="I38" s="863">
        <f>+I34+I30+I29+I36</f>
        <v>0</v>
      </c>
      <c r="J38" s="4"/>
    </row>
    <row r="39" spans="1:10" s="183" customFormat="1" ht="12.75" customHeight="1" thickBot="1">
      <c r="A39" s="223"/>
      <c r="B39" s="51"/>
      <c r="C39" s="51"/>
      <c r="D39" s="51"/>
      <c r="E39" s="51"/>
      <c r="F39" s="51"/>
      <c r="G39" s="51"/>
      <c r="H39" s="51"/>
      <c r="I39" s="51"/>
      <c r="J39" s="6"/>
    </row>
    <row r="40" spans="1:10" ht="21" customHeight="1" thickBot="1">
      <c r="A40" s="832" t="s">
        <v>563</v>
      </c>
      <c r="B40" s="865"/>
      <c r="C40" s="865"/>
      <c r="D40" s="865"/>
      <c r="E40" s="865"/>
      <c r="F40" s="865"/>
      <c r="G40" s="865"/>
      <c r="H40" s="865"/>
      <c r="I40" s="834"/>
    </row>
    <row r="41" spans="1:10" s="183" customFormat="1" ht="12.75" customHeight="1">
      <c r="A41" s="420" t="s">
        <v>1724</v>
      </c>
      <c r="B41" s="1016">
        <f>+Calculator!E13</f>
        <v>0</v>
      </c>
      <c r="C41" s="1016">
        <f>+Calculator!L13</f>
        <v>0</v>
      </c>
      <c r="D41" s="1016">
        <f>+Calculator!S13</f>
        <v>0</v>
      </c>
      <c r="E41" s="1016">
        <f>+Calculator!Z13</f>
        <v>0</v>
      </c>
      <c r="F41" s="1016">
        <f>+Calculator!AG13</f>
        <v>0</v>
      </c>
      <c r="G41" s="1016">
        <f>+Calculator!AN13</f>
        <v>0</v>
      </c>
      <c r="H41" s="1016">
        <f>+Calculator!AU13</f>
        <v>0</v>
      </c>
      <c r="I41" s="1017">
        <f>+Calculator!BB13</f>
        <v>0</v>
      </c>
      <c r="J41" s="6"/>
    </row>
    <row r="42" spans="1:10" s="183" customFormat="1" ht="12.75" customHeight="1">
      <c r="A42" s="424" t="s">
        <v>320</v>
      </c>
      <c r="B42" s="439">
        <f>+Calculator!I30</f>
        <v>0</v>
      </c>
      <c r="C42" s="439">
        <f>+Calculator!P30</f>
        <v>0</v>
      </c>
      <c r="D42" s="439">
        <f>+Calculator!W30</f>
        <v>0</v>
      </c>
      <c r="E42" s="999">
        <f>+Calculator!AD30</f>
        <v>0</v>
      </c>
      <c r="F42" s="439">
        <f>+Calculator!AK30</f>
        <v>0</v>
      </c>
      <c r="G42" s="439">
        <f>+Calculator!AR30</f>
        <v>0</v>
      </c>
      <c r="H42" s="439">
        <f>+Calculator!AY30</f>
        <v>0</v>
      </c>
      <c r="I42" s="1019">
        <f>+Calculator!BF30</f>
        <v>0</v>
      </c>
      <c r="J42" s="6"/>
    </row>
    <row r="43" spans="1:10" s="183" customFormat="1" ht="12.75" customHeight="1">
      <c r="A43" s="385" t="s">
        <v>1718</v>
      </c>
      <c r="B43" s="196">
        <f>SUM(B41:B42)</f>
        <v>0</v>
      </c>
      <c r="C43" s="196">
        <f t="shared" ref="C43:H43" si="7">SUM(C41:C42)</f>
        <v>0</v>
      </c>
      <c r="D43" s="196">
        <f t="shared" si="7"/>
        <v>0</v>
      </c>
      <c r="E43" s="196">
        <f t="shared" si="7"/>
        <v>0</v>
      </c>
      <c r="F43" s="196">
        <f t="shared" si="7"/>
        <v>0</v>
      </c>
      <c r="G43" s="196">
        <f t="shared" si="7"/>
        <v>0</v>
      </c>
      <c r="H43" s="196">
        <f t="shared" si="7"/>
        <v>0</v>
      </c>
      <c r="I43" s="197">
        <f t="shared" ref="I43" si="8">SUM(I41:I42)</f>
        <v>0</v>
      </c>
      <c r="J43" s="6"/>
    </row>
    <row r="44" spans="1:10" s="183" customFormat="1" ht="12.75" customHeight="1">
      <c r="A44" s="424"/>
      <c r="B44" s="51"/>
      <c r="C44" s="51"/>
      <c r="D44" s="51"/>
      <c r="E44" s="51"/>
      <c r="F44" s="51"/>
      <c r="G44" s="51"/>
      <c r="H44" s="51"/>
      <c r="I44" s="425"/>
      <c r="J44" s="6"/>
    </row>
    <row r="45" spans="1:10" s="214" customFormat="1" ht="13.5" customHeight="1">
      <c r="A45" s="421" t="s">
        <v>575</v>
      </c>
      <c r="B45" s="196">
        <f>+Calculator!G13+Calculator!H13</f>
        <v>0</v>
      </c>
      <c r="C45" s="196">
        <f>+Calculator!N13+Calculator!O13</f>
        <v>0</v>
      </c>
      <c r="D45" s="196">
        <f>+Calculator!U13+Calculator!V13</f>
        <v>0</v>
      </c>
      <c r="E45" s="196">
        <f>+Calculator!AB13+Calculator!AC13</f>
        <v>0</v>
      </c>
      <c r="F45" s="196">
        <f>+Calculator!AI13+Calculator!AJ13</f>
        <v>0</v>
      </c>
      <c r="G45" s="196">
        <f>+Calculator!AP13+Calculator!AQ13</f>
        <v>0</v>
      </c>
      <c r="H45" s="196">
        <f>+Calculator!AW13+Calculator!AX13</f>
        <v>0</v>
      </c>
      <c r="I45" s="197">
        <f>+Calculator!BD13+Calculator!BE13</f>
        <v>0</v>
      </c>
      <c r="J45" s="6"/>
    </row>
    <row r="46" spans="1:10" s="214" customFormat="1" ht="13.5" customHeight="1">
      <c r="A46" s="422" t="s">
        <v>576</v>
      </c>
      <c r="B46" s="440" t="e">
        <f>+B45/B43</f>
        <v>#DIV/0!</v>
      </c>
      <c r="C46" s="440" t="e">
        <f t="shared" ref="C46:I46" si="9">+C45/C43</f>
        <v>#DIV/0!</v>
      </c>
      <c r="D46" s="440" t="e">
        <f t="shared" si="9"/>
        <v>#DIV/0!</v>
      </c>
      <c r="E46" s="440" t="e">
        <f t="shared" si="9"/>
        <v>#DIV/0!</v>
      </c>
      <c r="F46" s="440" t="e">
        <f t="shared" si="9"/>
        <v>#DIV/0!</v>
      </c>
      <c r="G46" s="440" t="e">
        <f t="shared" si="9"/>
        <v>#DIV/0!</v>
      </c>
      <c r="H46" s="440" t="e">
        <f t="shared" si="9"/>
        <v>#DIV/0!</v>
      </c>
      <c r="I46" s="441" t="e">
        <f t="shared" si="9"/>
        <v>#DIV/0!</v>
      </c>
      <c r="J46" s="6"/>
    </row>
    <row r="47" spans="1:10" s="214" customFormat="1" ht="9" customHeight="1" thickBot="1">
      <c r="A47" s="423"/>
      <c r="B47" s="418"/>
      <c r="C47" s="418"/>
      <c r="D47" s="418"/>
      <c r="E47" s="418"/>
      <c r="F47" s="418"/>
      <c r="G47" s="418"/>
      <c r="H47" s="418"/>
      <c r="I47" s="419"/>
      <c r="J47" s="6"/>
    </row>
    <row r="48" spans="1:10" s="183" customFormat="1" ht="12.75" customHeight="1" thickBot="1">
      <c r="A48" s="223"/>
      <c r="B48" s="51"/>
      <c r="C48" s="51"/>
      <c r="D48" s="51"/>
      <c r="E48" s="51"/>
      <c r="F48" s="51"/>
      <c r="G48" s="51"/>
      <c r="H48" s="51"/>
      <c r="I48" s="51"/>
      <c r="J48" s="6"/>
    </row>
    <row r="49" spans="1:10" ht="21" customHeight="1" thickBot="1">
      <c r="A49" s="832" t="s">
        <v>245</v>
      </c>
      <c r="B49" s="865"/>
      <c r="C49" s="865"/>
      <c r="D49" s="865"/>
      <c r="E49" s="865"/>
      <c r="F49" s="865"/>
      <c r="G49" s="865"/>
      <c r="H49" s="865"/>
      <c r="I49" s="834"/>
    </row>
    <row r="50" spans="1:10" s="214" customFormat="1" ht="13.5" customHeight="1">
      <c r="A50" s="224" t="s">
        <v>153</v>
      </c>
      <c r="B50" s="225">
        <f>'Data Entry'!G17</f>
        <v>0.82744885379999999</v>
      </c>
      <c r="C50" s="225">
        <f>'Data Entry'!H17</f>
        <v>0.75371569029999996</v>
      </c>
      <c r="D50" s="225">
        <f>'Data Entry'!I17</f>
        <v>0.4521920787</v>
      </c>
      <c r="E50" s="225">
        <f>'Data Entry'!J17</f>
        <v>0</v>
      </c>
      <c r="F50" s="225">
        <f>'Data Entry'!K17</f>
        <v>0</v>
      </c>
      <c r="G50" s="225">
        <f>'Data Entry'!L17</f>
        <v>0</v>
      </c>
      <c r="H50" s="225">
        <f>'Data Entry'!M17</f>
        <v>0</v>
      </c>
      <c r="I50" s="226">
        <f>'Data Entry'!N17</f>
        <v>0</v>
      </c>
      <c r="J50" s="6"/>
    </row>
    <row r="51" spans="1:10" s="214" customFormat="1" ht="13.5" customHeight="1">
      <c r="A51" s="217" t="s">
        <v>154</v>
      </c>
      <c r="B51" s="221">
        <f>'Data Entry'!G16</f>
        <v>0.70067850649999996</v>
      </c>
      <c r="C51" s="221">
        <f>'Data Entry'!H16</f>
        <v>0.73317890350000003</v>
      </c>
      <c r="D51" s="221">
        <f>'Data Entry'!I16</f>
        <v>0.4521920787</v>
      </c>
      <c r="E51" s="221">
        <f>'Data Entry'!J16</f>
        <v>0</v>
      </c>
      <c r="F51" s="221">
        <f>'Data Entry'!K16</f>
        <v>0</v>
      </c>
      <c r="G51" s="221">
        <f>'Data Entry'!L16</f>
        <v>0</v>
      </c>
      <c r="H51" s="221">
        <f>'Data Entry'!M16</f>
        <v>0</v>
      </c>
      <c r="I51" s="222">
        <f>'Data Entry'!N16</f>
        <v>0</v>
      </c>
      <c r="J51" s="6"/>
    </row>
    <row r="52" spans="1:10" s="215" customFormat="1" ht="15.75" customHeight="1">
      <c r="A52" s="405" t="s">
        <v>574</v>
      </c>
      <c r="B52" s="196">
        <f>+EPA!D24</f>
        <v>0</v>
      </c>
      <c r="C52" s="196">
        <f>+EPA!F24</f>
        <v>0</v>
      </c>
      <c r="D52" s="196">
        <f>+EPA!H24</f>
        <v>0</v>
      </c>
      <c r="E52" s="196">
        <f>+EPA!J24</f>
        <v>0</v>
      </c>
      <c r="F52" s="196">
        <f>+EPA!K24</f>
        <v>0</v>
      </c>
      <c r="G52" s="196">
        <f>+EPA!L24</f>
        <v>0</v>
      </c>
      <c r="H52" s="196">
        <f>+EPA!M24</f>
        <v>0</v>
      </c>
      <c r="I52" s="251">
        <f>+EPA!N24</f>
        <v>0</v>
      </c>
      <c r="J52" s="6"/>
    </row>
    <row r="53" spans="1:10" s="216" customFormat="1" ht="27.6">
      <c r="A53" s="217" t="s">
        <v>246</v>
      </c>
      <c r="B53" s="250">
        <f>+EPA!D24+EPA!F25</f>
        <v>0</v>
      </c>
      <c r="C53" s="250">
        <f>+EPA!H25</f>
        <v>0</v>
      </c>
      <c r="D53" s="250">
        <f>EPA!I24</f>
        <v>0</v>
      </c>
      <c r="E53" s="250">
        <f>EPA!J24</f>
        <v>0</v>
      </c>
      <c r="F53" s="250">
        <f>EPA!K24</f>
        <v>0</v>
      </c>
      <c r="G53" s="250">
        <f>EPA!L24</f>
        <v>0</v>
      </c>
      <c r="H53" s="250">
        <f>EPA!M24</f>
        <v>0</v>
      </c>
      <c r="I53" s="251">
        <f>EPA!N24</f>
        <v>0</v>
      </c>
      <c r="J53" s="92"/>
    </row>
    <row r="54" spans="1:10" s="216" customFormat="1" ht="26.25" customHeight="1">
      <c r="A54" s="217" t="s">
        <v>247</v>
      </c>
      <c r="B54" s="1126">
        <f>EPA!D25</f>
        <v>0</v>
      </c>
      <c r="C54" s="1126">
        <f>EPA!F25</f>
        <v>0</v>
      </c>
      <c r="D54" s="1126">
        <f>EPA!H25</f>
        <v>0</v>
      </c>
      <c r="E54" s="1126">
        <f>EPA!J25</f>
        <v>0</v>
      </c>
      <c r="F54" s="1126">
        <f>EPA!K25</f>
        <v>0</v>
      </c>
      <c r="G54" s="1126">
        <f>EPA!L25</f>
        <v>0</v>
      </c>
      <c r="H54" s="1126">
        <f>EPA!M25</f>
        <v>0</v>
      </c>
      <c r="I54" s="1127">
        <f>EPA!N25</f>
        <v>0</v>
      </c>
      <c r="J54" s="92"/>
    </row>
    <row r="55" spans="1:10" s="7" customFormat="1">
      <c r="A55" s="218" t="s">
        <v>248</v>
      </c>
      <c r="B55" s="219">
        <f>'Data Entry'!G18</f>
        <v>0</v>
      </c>
      <c r="C55" s="219">
        <f>'Data Entry'!H18</f>
        <v>0</v>
      </c>
      <c r="D55" s="219">
        <f>'Data Entry'!I18</f>
        <v>0</v>
      </c>
      <c r="E55" s="219">
        <f>'Data Entry'!J18</f>
        <v>0</v>
      </c>
      <c r="F55" s="219">
        <f>'Data Entry'!K18</f>
        <v>0</v>
      </c>
      <c r="G55" s="219">
        <f>'Data Entry'!L18</f>
        <v>0</v>
      </c>
      <c r="H55" s="219">
        <f>'Data Entry'!M18</f>
        <v>0</v>
      </c>
      <c r="I55" s="220">
        <f>'Data Entry'!N18</f>
        <v>0</v>
      </c>
      <c r="J55" s="4"/>
    </row>
    <row r="56" spans="1:10" s="183" customFormat="1" ht="7.5" customHeight="1" thickBot="1">
      <c r="A56" s="213"/>
      <c r="B56" s="201"/>
      <c r="C56" s="201"/>
      <c r="D56" s="201"/>
      <c r="E56" s="201"/>
      <c r="F56" s="201"/>
      <c r="G56" s="201"/>
      <c r="H56" s="201"/>
      <c r="I56" s="202"/>
      <c r="J56" s="6"/>
    </row>
    <row r="57" spans="1:10" s="183" customFormat="1" ht="12.75" customHeight="1">
      <c r="A57" s="223"/>
      <c r="B57" s="51"/>
      <c r="C57" s="51"/>
      <c r="D57" s="51"/>
      <c r="E57" s="51"/>
      <c r="F57" s="51"/>
      <c r="G57" s="51"/>
      <c r="H57" s="51"/>
      <c r="I57" s="51"/>
      <c r="J57" s="6"/>
    </row>
  </sheetData>
  <sheetProtection algorithmName="SHA-512" hashValue="hgkBmVDsLyV/paj5P4QMsbdGB5t5pDpuWmx3nBxEzkXzyWEYaCT54OPyVu7k4ByiFSiM2dU5XuwPouXiSZ4qiA==" saltValue="/mUW93C11a+yIfpFo/QU6A==" spinCount="100000" sheet="1" formatCells="0" formatColumns="0" formatRows="0"/>
  <printOptions horizontalCentered="1"/>
  <pageMargins left="0.25" right="0.25" top="0.75" bottom="0.4" header="0.3" footer="0.25"/>
  <pageSetup scale="65" orientation="landscape" r:id="rId1"/>
  <headerFooter>
    <oddHeader>&amp;LSummary Tab&amp;R&amp;G</oddHeader>
    <oddFooter>&amp;L&amp;D&amp;T&amp;R&amp;F
&amp;A - page &amp;P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812" id="{2087E938-40E9-4BC9-AC15-228ECD53DB90}">
            <xm:f>'Data Entry'!#REF!="Charter"</xm:f>
            <x14:dxf>
              <font>
                <color theme="0"/>
              </font>
              <fill>
                <patternFill>
                  <bgColor theme="6" tint="-0.499984740745262"/>
                </patternFill>
              </fill>
            </x14:dxf>
          </x14:cfRule>
          <x14:cfRule type="expression" priority="813" id="{84EA7CDA-7186-4849-9F11-8BC7F60B6541}">
            <xm:f>'Data Entry'!#REF!="District"</xm:f>
            <x14:dxf>
              <font>
                <color theme="0"/>
              </font>
              <fill>
                <patternFill>
                  <bgColor theme="1"/>
                </patternFill>
              </fill>
            </x14:dxf>
          </x14:cfRule>
          <xm:sqref>A1:I1</xm:sqref>
        </x14:conditionalFormatting>
        <x14:conditionalFormatting xmlns:xm="http://schemas.microsoft.com/office/excel/2006/main">
          <x14:cfRule type="expression" priority="816" id="{749144A1-63EC-48FA-B870-F1F3D2C392B7}">
            <xm:f>'Data Entry'!#REF!="Charter"</xm:f>
            <x14:dxf>
              <fill>
                <patternFill>
                  <bgColor theme="6" tint="0.79998168889431442"/>
                </patternFill>
              </fill>
            </x14:dxf>
          </x14:cfRule>
          <x14:cfRule type="expression" priority="817" id="{61289FBA-4C94-42D8-975E-6D40B10A5C99}">
            <xm:f>'Data Entry'!#REF!="District"</xm:f>
            <x14:dxf>
              <fill>
                <patternFill>
                  <bgColor theme="2"/>
                </patternFill>
              </fill>
            </x14:dxf>
          </x14:cfRule>
          <xm:sqref>A3:I3 A49:I49 A26:I26</xm:sqref>
        </x14:conditionalFormatting>
        <x14:conditionalFormatting xmlns:xm="http://schemas.microsoft.com/office/excel/2006/main">
          <x14:cfRule type="expression" priority="10" id="{28C40B4F-2118-45DB-AF7A-BC9ADA2C5908}">
            <xm:f>'Data Entry'!#REF!="Charter"</xm:f>
            <x14:dxf>
              <fill>
                <patternFill>
                  <bgColor theme="6" tint="0.79998168889431442"/>
                </patternFill>
              </fill>
            </x14:dxf>
          </x14:cfRule>
          <x14:cfRule type="expression" priority="11" id="{5E0E6729-7F38-4299-87C8-80912CA386CC}">
            <xm:f>'Data Entry'!#REF!="District"</xm:f>
            <x14:dxf>
              <fill>
                <patternFill>
                  <bgColor theme="2"/>
                </patternFill>
              </fill>
            </x14:dxf>
          </x14:cfRule>
          <xm:sqref>A28:I28</xm:sqref>
        </x14:conditionalFormatting>
        <x14:conditionalFormatting xmlns:xm="http://schemas.microsoft.com/office/excel/2006/main">
          <x14:cfRule type="expression" priority="8" id="{51D5B208-1B53-4209-B3BC-B099B960F64E}">
            <xm:f>'Data Entry'!#REF!="Charter"</xm:f>
            <x14:dxf>
              <fill>
                <patternFill>
                  <bgColor theme="6" tint="0.79998168889431442"/>
                </patternFill>
              </fill>
            </x14:dxf>
          </x14:cfRule>
          <x14:cfRule type="expression" priority="9" id="{73FF7E13-9957-4A17-9A18-68374488EE6F}">
            <xm:f>'Data Entry'!#REF!="District"</xm:f>
            <x14:dxf>
              <fill>
                <patternFill>
                  <bgColor theme="2"/>
                </patternFill>
              </fill>
            </x14:dxf>
          </x14:cfRule>
          <xm:sqref>A40:I40</xm:sqref>
        </x14:conditionalFormatting>
        <x14:conditionalFormatting xmlns:xm="http://schemas.microsoft.com/office/excel/2006/main">
          <x14:cfRule type="expression" priority="4" id="{E6DBC93C-3984-40DA-BE38-4E916BFA6DE4}">
            <xm:f>'Data Entry'!#REF!="Charter"</xm:f>
            <x14:dxf>
              <fill>
                <patternFill>
                  <bgColor theme="6" tint="0.79998168889431442"/>
                </patternFill>
              </fill>
            </x14:dxf>
          </x14:cfRule>
          <x14:cfRule type="expression" priority="5" id="{28712DC1-EFED-4BE0-946C-51DFD49EF204}">
            <xm:f>'Data Entry'!#REF!="District"</xm:f>
            <x14:dxf>
              <fill>
                <patternFill>
                  <bgColor theme="2"/>
                </patternFill>
              </fill>
            </x14:dxf>
          </x14:cfRule>
          <xm:sqref>A38:I38</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8">
    <tabColor theme="4"/>
  </sheetPr>
  <dimension ref="A1:AH1573"/>
  <sheetViews>
    <sheetView showGridLines="0" zoomScale="90" zoomScaleNormal="90" zoomScaleSheetLayoutView="70" workbookViewId="0">
      <selection activeCell="C29" sqref="C29"/>
    </sheetView>
  </sheetViews>
  <sheetFormatPr defaultColWidth="8.88671875" defaultRowHeight="13.8"/>
  <cols>
    <col min="1" max="1" width="5" style="257" customWidth="1"/>
    <col min="2" max="2" width="11.44140625" style="14" customWidth="1"/>
    <col min="3" max="3" width="15.6640625" style="14" customWidth="1"/>
    <col min="4" max="4" width="1.88671875" style="240" customWidth="1"/>
    <col min="5" max="5" width="15.6640625" style="240" customWidth="1"/>
    <col min="6" max="6" width="1.88671875" style="240" customWidth="1"/>
    <col min="7" max="7" width="15.6640625" style="14" customWidth="1"/>
    <col min="8" max="8" width="1.88671875" style="241" customWidth="1"/>
    <col min="9" max="9" width="15.6640625" style="14" customWidth="1"/>
    <col min="10" max="10" width="1.88671875" style="240" customWidth="1"/>
    <col min="11" max="11" width="15.6640625" style="14" customWidth="1"/>
    <col min="12" max="12" width="1.88671875" style="240" customWidth="1"/>
    <col min="13" max="13" width="15.6640625" style="14" customWidth="1"/>
    <col min="14" max="14" width="1.88671875" style="240" customWidth="1"/>
    <col min="15" max="15" width="15.6640625" style="14" customWidth="1"/>
    <col min="16" max="16" width="1.88671875" style="240" customWidth="1"/>
    <col min="17" max="17" width="16.6640625" style="14" customWidth="1"/>
    <col min="18" max="18" width="1.88671875" style="240" customWidth="1"/>
    <col min="19" max="19" width="16.6640625" style="14" customWidth="1"/>
    <col min="20" max="20" width="1.88671875" style="240" customWidth="1"/>
    <col min="21" max="21" width="16.6640625" style="240" customWidth="1"/>
    <col min="22" max="22" width="2.88671875" style="14" customWidth="1"/>
    <col min="23" max="23" width="1.5546875" style="8" customWidth="1"/>
    <col min="24" max="24" width="66.44140625" style="4" customWidth="1"/>
    <col min="25" max="25" width="1.88671875" style="8" customWidth="1"/>
    <col min="26" max="26" width="55.33203125" style="14" customWidth="1"/>
    <col min="27" max="16384" width="8.88671875" style="14"/>
  </cols>
  <sheetData>
    <row r="1" spans="1:34" ht="20.25" customHeight="1" thickBot="1">
      <c r="A1" s="583" t="str">
        <f>Calculator!B1</f>
        <v xml:space="preserve">&lt;=  &lt;=  &lt;=     Enter the county code portion of your LEA CDS Code </v>
      </c>
      <c r="B1" s="543"/>
      <c r="C1" s="543"/>
      <c r="D1" s="544"/>
      <c r="E1" s="544"/>
      <c r="F1" s="544"/>
      <c r="G1" s="822" t="str">
        <f>+Instructions!C2</f>
        <v>v.24.1a</v>
      </c>
      <c r="H1" s="546"/>
      <c r="I1" s="547"/>
      <c r="J1" s="546"/>
      <c r="K1" s="547"/>
      <c r="L1" s="546"/>
      <c r="M1" s="547"/>
      <c r="N1" s="546"/>
      <c r="O1" s="547"/>
      <c r="P1" s="546"/>
      <c r="Q1" s="547"/>
      <c r="R1" s="546"/>
      <c r="S1" s="545"/>
      <c r="T1" s="546"/>
      <c r="U1" s="545"/>
      <c r="V1" s="542"/>
      <c r="W1" s="870"/>
      <c r="X1" s="871" t="s">
        <v>23</v>
      </c>
      <c r="Y1" s="872"/>
    </row>
    <row r="2" spans="1:34" s="8" customFormat="1" ht="21" customHeight="1">
      <c r="A2" s="835"/>
      <c r="B2" s="888" t="s">
        <v>591</v>
      </c>
      <c r="C2" s="837"/>
      <c r="D2" s="838"/>
      <c r="E2" s="838"/>
      <c r="F2" s="838"/>
      <c r="G2" s="838"/>
      <c r="H2" s="838"/>
      <c r="I2" s="838"/>
      <c r="J2" s="838"/>
      <c r="K2" s="838"/>
      <c r="L2" s="838"/>
      <c r="M2" s="838"/>
      <c r="N2" s="838"/>
      <c r="O2" s="838"/>
      <c r="P2" s="838"/>
      <c r="Q2" s="838"/>
      <c r="R2" s="838"/>
      <c r="S2" s="838"/>
      <c r="T2" s="838"/>
      <c r="U2" s="838"/>
      <c r="V2" s="889"/>
      <c r="X2" s="4"/>
      <c r="Z2" s="14"/>
    </row>
    <row r="3" spans="1:34" s="8" customFormat="1" ht="21" customHeight="1">
      <c r="A3" s="549"/>
      <c r="B3" s="885" t="s">
        <v>1616</v>
      </c>
      <c r="C3" s="886"/>
      <c r="D3" s="887"/>
      <c r="E3" s="887"/>
      <c r="F3" s="887"/>
      <c r="G3" s="887"/>
      <c r="H3" s="887"/>
      <c r="I3" s="887"/>
      <c r="J3" s="887"/>
      <c r="K3" s="887"/>
      <c r="L3" s="887"/>
      <c r="M3" s="887"/>
      <c r="N3" s="887"/>
      <c r="O3" s="887"/>
      <c r="P3" s="887"/>
      <c r="Q3" s="887"/>
      <c r="R3" s="887"/>
      <c r="S3" s="887"/>
      <c r="T3" s="887"/>
      <c r="U3" s="887"/>
      <c r="V3" s="548"/>
      <c r="X3" s="4"/>
      <c r="Z3" s="14"/>
    </row>
    <row r="4" spans="1:34" s="8" customFormat="1" ht="75" customHeight="1">
      <c r="A4" s="549"/>
      <c r="B4" s="516" t="str">
        <f>+'FY Control'!C9</f>
        <v>2022-23</v>
      </c>
      <c r="C4" s="2"/>
      <c r="D4" s="47"/>
      <c r="E4" s="7"/>
      <c r="F4" s="47"/>
      <c r="G4" s="552" t="s">
        <v>1309</v>
      </c>
      <c r="H4" s="512"/>
      <c r="I4" s="552" t="s">
        <v>1310</v>
      </c>
      <c r="J4" s="512"/>
      <c r="K4" s="552" t="s">
        <v>1311</v>
      </c>
      <c r="L4" s="512"/>
      <c r="M4" s="552" t="s">
        <v>1312</v>
      </c>
      <c r="N4" s="512"/>
      <c r="O4" s="552" t="s">
        <v>1313</v>
      </c>
      <c r="P4" s="512"/>
      <c r="Q4" s="552" t="s">
        <v>1314</v>
      </c>
      <c r="R4" s="167"/>
      <c r="S4" s="552" t="s">
        <v>1308</v>
      </c>
      <c r="T4" s="167"/>
      <c r="U4" s="552" t="s">
        <v>1615</v>
      </c>
      <c r="V4" s="95"/>
      <c r="X4" s="974"/>
      <c r="Y4" s="7"/>
      <c r="Z4" s="7"/>
      <c r="AA4" s="7"/>
      <c r="AB4" s="7"/>
      <c r="AC4" s="7"/>
      <c r="AD4" s="7"/>
      <c r="AE4" s="7"/>
      <c r="AF4" s="7"/>
      <c r="AG4" s="7"/>
      <c r="AH4" s="7"/>
    </row>
    <row r="5" spans="1:34" ht="15.75" customHeight="1">
      <c r="A5" s="256"/>
      <c r="B5" s="514"/>
      <c r="C5" s="15"/>
      <c r="D5" s="241"/>
      <c r="E5" s="510" t="s">
        <v>94</v>
      </c>
      <c r="F5" s="241"/>
      <c r="G5" s="1049">
        <f>+G16+G29+G42+G55+G68+G81+G94+G107+G120+G133+G146+G159+G172+G185+G198+G211+G224+G237+G250+G263+G276+G289+G302+G315+G328+G341+G354+G367+G380+G393+G406+G419+G432+G445+G458+G471+G484+G497+G510+G523+G536+G549+G562+G575+G588+G601+G614+G627+G640+G653+G666+G679+G692+G705+G718+G731+G744+G757+G770+G783+G796+G809+G822+G835+G848+G861+G874+G887+G900+G913+G926+G939+G952+G965+G978+G991+G1004+G1017+G1030+G1043+G1056+G1069+G1082+G1095+G1108+G1121+G1134+G1147+G1160+G1173+G1186+G1199+G1212+G1225+G1238+G1251+G1264+G1277+G1290+G1303+G1316+G1329+G1342+G1355+G1368+G1381+G1394+G1407+G1420+G1433+G1446+G1459+G1472+G1485+G1498+G1511+G1524+G1537+G1550+G1563</f>
        <v>0</v>
      </c>
      <c r="H5" s="1044"/>
      <c r="I5" s="1049">
        <f>+I16+I29+I42+I55+I68+I81+I94+I107+I120+I133+I146+I159+I172+I185+I198+I211+I224+I237+I250+I263+I276+I289+I302+I315+I328+I341+I354+I367+I380+I393+I406+I419+I432+I445+I458+I471+I484+I497+I510+I523+I536+I549+I562+I575+I588+I601+I614+I627+I640+I653+I666+I679+I692+I705+I718+I731+I744+I757+I770+I783+I796+I809+I822+I835+I848+I861+I874+I887+I900+I913+I926+I939+I952+I965+I978+I991+I1004+I1017+I1030+I1043+I1056+I1069+I1082+I1095+I1108+I1121+I1134+I1147+I1160+I1173+I1186+I1199+I1212+I1225+I1238+I1251+I1264+I1277+I1290+I1303+I1316+I1329+I1342+I1355+I1368+I1381+I1394+I1407+I1420+I1433+I1446+I1459+I1472+I1485+I1498+I1511+I1524+I1537+I1550+I1563</f>
        <v>0</v>
      </c>
      <c r="J5" s="1044"/>
      <c r="K5" s="1049">
        <f>+K16+K29+K42+K55+K68+K81+K94+K107+K120+K133+K146+K159+K172+K185+K198+K211+K224+K237+K250+K263+K276+K289+K302+K315+K328+K341+K354+K367+K380+K393+K406+K419+K432+K445+K458+K471+K484+K497+K510+K523+K536+K549+K562+K575+K588+K601+K614+K627+K640+K653+K666+K679+K692+K705+K718+K731+K744+K757+K770+K783+K796+K809+K822+K835+K848+K861+K874+K887+K900+K913+K926+K939+K952+K965+K978+K991+K1004+K1017+K1030+K1043+K1056+K1069+K1082+K1095+K1108+K1121+K1134+K1147+K1160+K1173+K1186+K1199+K1212+K1225+K1238+K1251+K1264+K1277+K1290+K1303+K1316+K1329+K1342+K1355+K1368+K1381+K1394+K1407+K1420+K1433+K1446+K1459+K1472+K1485+K1498+K1511+K1524+K1537+K1550+K1563</f>
        <v>0</v>
      </c>
      <c r="L5" s="1044"/>
      <c r="M5" s="1049">
        <f>+M16+M29+M42+M55+M68+M81+M94+M107+M120+M133+M146+M159+M172+M185+M198+M211+M224+M237+M250+M263+M276+M289+M302+M315+M328+M341+M354+M367+M380+M393+M406+M419+M432+M445+M458+M471+M484+M497+M510+M523+M536+M549+M562+M575+M588+M601+M614+M627+M640+M653+M666+M679+M692+M705+M718+M731+M744+M757+M770+M783+M796+M809+M822+M835+M848+M861+M874+M887+M900+M913+M926+M939+M952+M965+M978+M991+M1004+M1017+M1030+M1043+M1056+M1069+M1082+M1095+M1108+M1121+M1134+M1147+M1160+M1173+M1186+M1199+M1212+M1225+M1238+M1251+M1264+M1277+M1290+M1303+M1316+M1329+M1342+M1355+M1368+M1381+M1394+M1407+M1420+M1433+M1446+M1459+M1472+M1485+M1498+M1511+M1524+M1537+M1550+M1563</f>
        <v>0</v>
      </c>
      <c r="N5" s="1044"/>
      <c r="O5" s="1049">
        <f>+O16+O29+O42+O55+O68+O81+O94+O107+O120+O133+O146+O159+O172+O185+O198+O211+O224+O237+O250+O263+O276+O289+O302+O315+O328+O341+O354+O367+O380+O393+O406+O419+O432+O445+O458+O471+O484+O497+O510+O523+O536+O549+O562+O575+O588+O601+O614+O627+O640+O653+O666+O679+O692+O705+O718+O731+O744+O757+O770+O783+O796+O809+O822+O835+O848+O861+O874+O887+O900+O913+O926+O939+O952+O965+O978+O991+O1004+O1017+O1030+O1043+O1056+O1069+O1082+O1095+O1108+O1121+O1134+O1147+O1160+O1173+O1186+O1199+O1212+O1225+O1238+O1251+O1264+O1277+O1290+O1303+O1316+O1329+O1342+O1355+O1368+O1381+O1394+O1407+O1420+O1433+O1446+O1459+O1472+O1485+O1498+O1511+O1524+O1537+O1550+O1563</f>
        <v>0</v>
      </c>
      <c r="P5" s="1045"/>
      <c r="Q5" s="1049">
        <f>+Q16+Q29+Q42+Q55+Q68+Q81+Q94+Q107+Q120+Q133+Q146+Q159+Q172+Q185+Q198+Q211+Q224+Q237+Q250+Q263+Q276+Q289+Q302+Q315+Q328+Q341+Q354+Q367+Q380+Q393+Q406+Q419+Q432+Q445+Q458+Q471+Q484+Q497+Q510+Q523+Q536+Q549+Q562+Q575+Q588+Q601+Q614+Q627+Q640+Q653+Q666+Q679+Q692+Q705+Q718+Q731+Q744+Q757+Q770+Q783+Q796+Q809+Q822+Q835+Q848+Q861+Q874+Q887+Q900+Q913+Q926+Q939+Q952+Q965+Q978+Q991+Q1004+Q1017+Q1030+Q1043+Q1056+Q1069+Q1082+Q1095+Q1108+Q1121+Q1134+Q1147+Q1160+Q1173+Q1186+Q1199+Q1212+Q1225+Q1238+Q1251+Q1264+Q1277+Q1290+Q1303+Q1316+Q1329+Q1342+Q1355+Q1368+Q1381+Q1394+Q1407+Q1420+Q1433+Q1446+Q1459+Q1472+Q1485+Q1498+Q1511+Q1524+Q1537+Q1550+Q1563</f>
        <v>0</v>
      </c>
      <c r="R5" s="1045"/>
      <c r="S5" s="1046">
        <f>+S16+S29+S42+S55+S68+S81+S94+S107+S120+S133+S146+S159+S172+S185+S198+S211+S224+S237+S250+S263+S276+S289+S302+S315+S328+S341+S354+S367+S380+S393+S406+S419+S432+S445+S458+S471+S484+S497+S510+S523+S536+S549+S562+S575+S588+S601+S614+S627+S640+S653+S666+S679+S692+S705+S718+S731+S744+S757+S770+S783+S796+S809+S822+S835+S848+S861+S874+S887+S900+S913+S926+S939+S952+S965+S978+S991+S1004+S1017+S1030+S1043+S1056+S1069+S1082+S1095+S1108+S1121+S1134+S1147+S1160+S1173+S1186+S1199+S1212+S1225+S1238+S1251+S1264+S1277+S1290+S1303+S1316+S1329+S1342+S1355+S1368+S1381+S1394+S1407+S1420+S1433+S1446+S1459+S1472+S1485+S1498+S1511+S1524+S1537+S1550+S1563</f>
        <v>0</v>
      </c>
      <c r="T5" s="91"/>
      <c r="U5" s="598">
        <f>+U16+U29+U42+U55+U68+U81+U94+U107+U120+U133+U146+U159+U172+U185+U198+U211+U224+U237+U250+U263+U276+U289+U302+U315+U328+U341+U354+U367+U380+U393+U406+U419+U432+U445+U458+U471+U484+U497+U510+U523+U536+U549+U562+U575+U588+U601+U614+U627+U640+U653+U666+U679+U692+U705+U718+U731+U744+U757+U770+U783+U796+U809+U822+U835+U848+U861+U874+U887+U900+U913+U926+U939+U952+U965+U978+U991+U1004+U1017+U1030+U1043+U1056+U1069+U1082+U1095+U1108+U1121+U1134+U1147+U1160+U1173+U1186+U1199+U1212+U1225+U1238+U1251+U1264+U1277+U1290+U1303+U1316+U1329+U1342+U1355+U1368+U1381+U1394+U1407+U1420+U1433+U1446+U1459+U1472+U1485+U1498+U1511+U1524+U1537+U1550+U1563</f>
        <v>0</v>
      </c>
      <c r="V5" s="95"/>
      <c r="X5" s="947"/>
    </row>
    <row r="6" spans="1:34" ht="15.75" customHeight="1">
      <c r="A6" s="256"/>
      <c r="B6" s="514"/>
      <c r="C6" s="15"/>
      <c r="D6" s="241"/>
      <c r="E6" s="510" t="s">
        <v>2</v>
      </c>
      <c r="F6" s="241"/>
      <c r="G6" s="1049">
        <f t="shared" ref="G6:I8" si="0">+G17+G30+G43+G56+G69+G82+G95+G108+G121+G134+G147+G160+G173+G186+G199+G212+G225+G238+G251+G264+G277+G290+G303+G316+G329+G342+G355+G368+G381+G394+G407+G420+G433+G446+G459+G472+G485+G498+G511+G524+G537+G550+G563+G576+G589+G602+G615+G628+G641+G654+G667+G680+G693+G706+G719+G732+G745+G758+G771+G784+G797+G810+G823+G836+G849+G862+G875+G888+G901+G914+G927+G940+G953+G966+G979+G992+G1005+G1018+G1031+G1044+G1057+G1070+G1083+G1096+G1109+G1122+G1135+G1148+G1161+G1174+G1187+G1200+G1213+G1226+G1239+G1252+G1265+G1278+G1291+G1304+G1317+G1330+G1343+G1356+G1369+G1382+G1395+G1408+G1421+G1434+G1447+G1460+G1473+G1486+G1499+G1512+G1525+G1538+G1551+G1564</f>
        <v>0</v>
      </c>
      <c r="H6" s="1044"/>
      <c r="I6" s="1049">
        <f t="shared" si="0"/>
        <v>0</v>
      </c>
      <c r="J6" s="1044"/>
      <c r="K6" s="1049">
        <f t="shared" ref="K6" si="1">+K17+K30+K43+K56+K69+K82+K95+K108+K121+K134+K147+K160+K173+K186+K199+K212+K225+K238+K251+K264+K277+K290+K303+K316+K329+K342+K355+K368+K381+K394+K407+K420+K433+K446+K459+K472+K485+K498+K511+K524+K537+K550+K563+K576+K589+K602+K615+K628+K641+K654+K667+K680+K693+K706+K719+K732+K745+K758+K771+K784+K797+K810+K823+K836+K849+K862+K875+K888+K901+K914+K927+K940+K953+K966+K979+K992+K1005+K1018+K1031+K1044+K1057+K1070+K1083+K1096+K1109+K1122+K1135+K1148+K1161+K1174+K1187+K1200+K1213+K1226+K1239+K1252+K1265+K1278+K1291+K1304+K1317+K1330+K1343+K1356+K1369+K1382+K1395+K1408+K1421+K1434+K1447+K1460+K1473+K1486+K1499+K1512+K1525+K1538+K1551+K1564</f>
        <v>0</v>
      </c>
      <c r="L6" s="1044"/>
      <c r="M6" s="1049">
        <f t="shared" ref="M6" si="2">+M17+M30+M43+M56+M69+M82+M95+M108+M121+M134+M147+M160+M173+M186+M199+M212+M225+M238+M251+M264+M277+M290+M303+M316+M329+M342+M355+M368+M381+M394+M407+M420+M433+M446+M459+M472+M485+M498+M511+M524+M537+M550+M563+M576+M589+M602+M615+M628+M641+M654+M667+M680+M693+M706+M719+M732+M745+M758+M771+M784+M797+M810+M823+M836+M849+M862+M875+M888+M901+M914+M927+M940+M953+M966+M979+M992+M1005+M1018+M1031+M1044+M1057+M1070+M1083+M1096+M1109+M1122+M1135+M1148+M1161+M1174+M1187+M1200+M1213+M1226+M1239+M1252+M1265+M1278+M1291+M1304+M1317+M1330+M1343+M1356+M1369+M1382+M1395+M1408+M1421+M1434+M1447+M1460+M1473+M1486+M1499+M1512+M1525+M1538+M1551+M1564</f>
        <v>0</v>
      </c>
      <c r="N6" s="1044"/>
      <c r="O6" s="1049">
        <f t="shared" ref="O6" si="3">+O17+O30+O43+O56+O69+O82+O95+O108+O121+O134+O147+O160+O173+O186+O199+O212+O225+O238+O251+O264+O277+O290+O303+O316+O329+O342+O355+O368+O381+O394+O407+O420+O433+O446+O459+O472+O485+O498+O511+O524+O537+O550+O563+O576+O589+O602+O615+O628+O641+O654+O667+O680+O693+O706+O719+O732+O745+O758+O771+O784+O797+O810+O823+O836+O849+O862+O875+O888+O901+O914+O927+O940+O953+O966+O979+O992+O1005+O1018+O1031+O1044+O1057+O1070+O1083+O1096+O1109+O1122+O1135+O1148+O1161+O1174+O1187+O1200+O1213+O1226+O1239+O1252+O1265+O1278+O1291+O1304+O1317+O1330+O1343+O1356+O1369+O1382+O1395+O1408+O1421+O1434+O1447+O1460+O1473+O1486+O1499+O1512+O1525+O1538+O1551+O1564</f>
        <v>0</v>
      </c>
      <c r="P6" s="1045"/>
      <c r="Q6" s="1049">
        <f t="shared" ref="Q6" si="4">+Q17+Q30+Q43+Q56+Q69+Q82+Q95+Q108+Q121+Q134+Q147+Q160+Q173+Q186+Q199+Q212+Q225+Q238+Q251+Q264+Q277+Q290+Q303+Q316+Q329+Q342+Q355+Q368+Q381+Q394+Q407+Q420+Q433+Q446+Q459+Q472+Q485+Q498+Q511+Q524+Q537+Q550+Q563+Q576+Q589+Q602+Q615+Q628+Q641+Q654+Q667+Q680+Q693+Q706+Q719+Q732+Q745+Q758+Q771+Q784+Q797+Q810+Q823+Q836+Q849+Q862+Q875+Q888+Q901+Q914+Q927+Q940+Q953+Q966+Q979+Q992+Q1005+Q1018+Q1031+Q1044+Q1057+Q1070+Q1083+Q1096+Q1109+Q1122+Q1135+Q1148+Q1161+Q1174+Q1187+Q1200+Q1213+Q1226+Q1239+Q1252+Q1265+Q1278+Q1291+Q1304+Q1317+Q1330+Q1343+Q1356+Q1369+Q1382+Q1395+Q1408+Q1421+Q1434+Q1447+Q1460+Q1473+Q1486+Q1499+Q1512+Q1525+Q1538+Q1551+Q1564</f>
        <v>0</v>
      </c>
      <c r="R6" s="1045"/>
      <c r="S6" s="1046">
        <f t="shared" ref="S6:U6" si="5">+S17+S30+S43+S56+S69+S82+S95+S108+S121+S134+S147+S160+S173+S186+S199+S212+S225+S238+S251+S264+S277+S290+S303+S316+S329+S342+S355+S368+S381+S394+S407+S420+S433+S446+S459+S472+S485+S498+S511+S524+S537+S550+S563+S576+S589+S602+S615+S628+S641+S654+S667+S680+S693+S706+S719+S732+S745+S758+S771+S784+S797+S810+S823+S836+S849+S862+S875+S888+S901+S914+S927+S940+S953+S966+S979+S992+S1005+S1018+S1031+S1044+S1057+S1070+S1083+S1096+S1109+S1122+S1135+S1148+S1161+S1174+S1187+S1200+S1213+S1226+S1239+S1252+S1265+S1278+S1291+S1304+S1317+S1330+S1343+S1356+S1369+S1382+S1395+S1408+S1421+S1434+S1447+S1460+S1473+S1486+S1499+S1512+S1525+S1538+S1551+S1564</f>
        <v>0</v>
      </c>
      <c r="T6" s="91"/>
      <c r="U6" s="598">
        <f t="shared" si="5"/>
        <v>0</v>
      </c>
      <c r="V6" s="95"/>
    </row>
    <row r="7" spans="1:34" ht="15.75" customHeight="1">
      <c r="A7" s="256"/>
      <c r="B7" s="514"/>
      <c r="C7" s="15"/>
      <c r="D7" s="241"/>
      <c r="E7" s="510" t="s">
        <v>3</v>
      </c>
      <c r="F7" s="241"/>
      <c r="G7" s="1049">
        <f t="shared" si="0"/>
        <v>0</v>
      </c>
      <c r="H7" s="1044"/>
      <c r="I7" s="1049">
        <f t="shared" si="0"/>
        <v>0</v>
      </c>
      <c r="J7" s="1044"/>
      <c r="K7" s="1049">
        <f t="shared" ref="K7" si="6">+K18+K31+K44+K57+K70+K83+K96+K109+K122+K135+K148+K161+K174+K187+K200+K213+K226+K239+K252+K265+K278+K291+K304+K317+K330+K343+K356+K369+K382+K395+K408+K421+K434+K447+K460+K473+K486+K499+K512+K525+K538+K551+K564+K577+K590+K603+K616+K629+K642+K655+K668+K681+K694+K707+K720+K733+K746+K759+K772+K785+K798+K811+K824+K837+K850+K863+K876+K889+K902+K915+K928+K941+K954+K967+K980+K993+K1006+K1019+K1032+K1045+K1058+K1071+K1084+K1097+K1110+K1123+K1136+K1149+K1162+K1175+K1188+K1201+K1214+K1227+K1240+K1253+K1266+K1279+K1292+K1305+K1318+K1331+K1344+K1357+K1370+K1383+K1396+K1409+K1422+K1435+K1448+K1461+K1474+K1487+K1500+K1513+K1526+K1539+K1552+K1565</f>
        <v>0</v>
      </c>
      <c r="L7" s="1044"/>
      <c r="M7" s="1049">
        <f t="shared" ref="M7" si="7">+M18+M31+M44+M57+M70+M83+M96+M109+M122+M135+M148+M161+M174+M187+M200+M213+M226+M239+M252+M265+M278+M291+M304+M317+M330+M343+M356+M369+M382+M395+M408+M421+M434+M447+M460+M473+M486+M499+M512+M525+M538+M551+M564+M577+M590+M603+M616+M629+M642+M655+M668+M681+M694+M707+M720+M733+M746+M759+M772+M785+M798+M811+M824+M837+M850+M863+M876+M889+M902+M915+M928+M941+M954+M967+M980+M993+M1006+M1019+M1032+M1045+M1058+M1071+M1084+M1097+M1110+M1123+M1136+M1149+M1162+M1175+M1188+M1201+M1214+M1227+M1240+M1253+M1266+M1279+M1292+M1305+M1318+M1331+M1344+M1357+M1370+M1383+M1396+M1409+M1422+M1435+M1448+M1461+M1474+M1487+M1500+M1513+M1526+M1539+M1552+M1565</f>
        <v>0</v>
      </c>
      <c r="N7" s="1044"/>
      <c r="O7" s="1049">
        <f t="shared" ref="O7" si="8">+O18+O31+O44+O57+O70+O83+O96+O109+O122+O135+O148+O161+O174+O187+O200+O213+O226+O239+O252+O265+O278+O291+O304+O317+O330+O343+O356+O369+O382+O395+O408+O421+O434+O447+O460+O473+O486+O499+O512+O525+O538+O551+O564+O577+O590+O603+O616+O629+O642+O655+O668+O681+O694+O707+O720+O733+O746+O759+O772+O785+O798+O811+O824+O837+O850+O863+O876+O889+O902+O915+O928+O941+O954+O967+O980+O993+O1006+O1019+O1032+O1045+O1058+O1071+O1084+O1097+O1110+O1123+O1136+O1149+O1162+O1175+O1188+O1201+O1214+O1227+O1240+O1253+O1266+O1279+O1292+O1305+O1318+O1331+O1344+O1357+O1370+O1383+O1396+O1409+O1422+O1435+O1448+O1461+O1474+O1487+O1500+O1513+O1526+O1539+O1552+O1565</f>
        <v>0</v>
      </c>
      <c r="P7" s="1045"/>
      <c r="Q7" s="1049">
        <f t="shared" ref="Q7" si="9">+Q18+Q31+Q44+Q57+Q70+Q83+Q96+Q109+Q122+Q135+Q148+Q161+Q174+Q187+Q200+Q213+Q226+Q239+Q252+Q265+Q278+Q291+Q304+Q317+Q330+Q343+Q356+Q369+Q382+Q395+Q408+Q421+Q434+Q447+Q460+Q473+Q486+Q499+Q512+Q525+Q538+Q551+Q564+Q577+Q590+Q603+Q616+Q629+Q642+Q655+Q668+Q681+Q694+Q707+Q720+Q733+Q746+Q759+Q772+Q785+Q798+Q811+Q824+Q837+Q850+Q863+Q876+Q889+Q902+Q915+Q928+Q941+Q954+Q967+Q980+Q993+Q1006+Q1019+Q1032+Q1045+Q1058+Q1071+Q1084+Q1097+Q1110+Q1123+Q1136+Q1149+Q1162+Q1175+Q1188+Q1201+Q1214+Q1227+Q1240+Q1253+Q1266+Q1279+Q1292+Q1305+Q1318+Q1331+Q1344+Q1357+Q1370+Q1383+Q1396+Q1409+Q1422+Q1435+Q1448+Q1461+Q1474+Q1487+Q1500+Q1513+Q1526+Q1539+Q1552+Q1565</f>
        <v>0</v>
      </c>
      <c r="R7" s="1045"/>
      <c r="S7" s="1046">
        <f t="shared" ref="S7:U7" si="10">+S18+S31+S44+S57+S70+S83+S96+S109+S122+S135+S148+S161+S174+S187+S200+S213+S226+S239+S252+S265+S278+S291+S304+S317+S330+S343+S356+S369+S382+S395+S408+S421+S434+S447+S460+S473+S486+S499+S512+S525+S538+S551+S564+S577+S590+S603+S616+S629+S642+S655+S668+S681+S694+S707+S720+S733+S746+S759+S772+S785+S798+S811+S824+S837+S850+S863+S876+S889+S902+S915+S928+S941+S954+S967+S980+S993+S1006+S1019+S1032+S1045+S1058+S1071+S1084+S1097+S1110+S1123+S1136+S1149+S1162+S1175+S1188+S1201+S1214+S1227+S1240+S1253+S1266+S1279+S1292+S1305+S1318+S1331+S1344+S1357+S1370+S1383+S1396+S1409+S1422+S1435+S1448+S1461+S1474+S1487+S1500+S1513+S1526+S1539+S1552+S1565</f>
        <v>0</v>
      </c>
      <c r="T7" s="91"/>
      <c r="U7" s="598">
        <f t="shared" si="10"/>
        <v>0</v>
      </c>
      <c r="V7" s="95"/>
    </row>
    <row r="8" spans="1:34" ht="15.75" customHeight="1">
      <c r="A8" s="256"/>
      <c r="B8" s="514"/>
      <c r="C8" s="15"/>
      <c r="D8" s="241"/>
      <c r="E8" s="510" t="s">
        <v>4</v>
      </c>
      <c r="F8" s="241"/>
      <c r="G8" s="1049">
        <f t="shared" si="0"/>
        <v>0</v>
      </c>
      <c r="H8" s="1044"/>
      <c r="I8" s="1049">
        <f t="shared" si="0"/>
        <v>0</v>
      </c>
      <c r="J8" s="1044"/>
      <c r="K8" s="1049">
        <f t="shared" ref="K8" si="11">+K19+K32+K45+K58+K71+K84+K97+K110+K123+K136+K149+K162+K175+K188+K201+K214+K227+K240+K253+K266+K279+K292+K305+K318+K331+K344+K357+K370+K383+K396+K409+K422+K435+K448+K461+K474+K487+K500+K513+K526+K539+K552+K565+K578+K591+K604+K617+K630+K643+K656+K669+K682+K695+K708+K721+K734+K747+K760+K773+K786+K799+K812+K825+K838+K851+K864+K877+K890+K903+K916+K929+K942+K955+K968+K981+K994+K1007+K1020+K1033+K1046+K1059+K1072+K1085+K1098+K1111+K1124+K1137+K1150+K1163+K1176+K1189+K1202+K1215+K1228+K1241+K1254+K1267+K1280+K1293+K1306+K1319+K1332+K1345+K1358+K1371+K1384+K1397+K1410+K1423+K1436+K1449+K1462+K1475+K1488+K1501+K1514+K1527+K1540+K1553+K1566</f>
        <v>0</v>
      </c>
      <c r="L8" s="1044"/>
      <c r="M8" s="1049">
        <f t="shared" ref="M8" si="12">+M19+M32+M45+M58+M71+M84+M97+M110+M123+M136+M149+M162+M175+M188+M201+M214+M227+M240+M253+M266+M279+M292+M305+M318+M331+M344+M357+M370+M383+M396+M409+M422+M435+M448+M461+M474+M487+M500+M513+M526+M539+M552+M565+M578+M591+M604+M617+M630+M643+M656+M669+M682+M695+M708+M721+M734+M747+M760+M773+M786+M799+M812+M825+M838+M851+M864+M877+M890+M903+M916+M929+M942+M955+M968+M981+M994+M1007+M1020+M1033+M1046+M1059+M1072+M1085+M1098+M1111+M1124+M1137+M1150+M1163+M1176+M1189+M1202+M1215+M1228+M1241+M1254+M1267+M1280+M1293+M1306+M1319+M1332+M1345+M1358+M1371+M1384+M1397+M1410+M1423+M1436+M1449+M1462+M1475+M1488+M1501+M1514+M1527+M1540+M1553+M1566</f>
        <v>0</v>
      </c>
      <c r="N8" s="1044"/>
      <c r="O8" s="1049">
        <f t="shared" ref="O8" si="13">+O19+O32+O45+O58+O71+O84+O97+O110+O123+O136+O149+O162+O175+O188+O201+O214+O227+O240+O253+O266+O279+O292+O305+O318+O331+O344+O357+O370+O383+O396+O409+O422+O435+O448+O461+O474+O487+O500+O513+O526+O539+O552+O565+O578+O591+O604+O617+O630+O643+O656+O669+O682+O695+O708+O721+O734+O747+O760+O773+O786+O799+O812+O825+O838+O851+O864+O877+O890+O903+O916+O929+O942+O955+O968+O981+O994+O1007+O1020+O1033+O1046+O1059+O1072+O1085+O1098+O1111+O1124+O1137+O1150+O1163+O1176+O1189+O1202+O1215+O1228+O1241+O1254+O1267+O1280+O1293+O1306+O1319+O1332+O1345+O1358+O1371+O1384+O1397+O1410+O1423+O1436+O1449+O1462+O1475+O1488+O1501+O1514+O1527+O1540+O1553+O1566</f>
        <v>0</v>
      </c>
      <c r="P8" s="1045"/>
      <c r="Q8" s="1049">
        <f t="shared" ref="Q8" si="14">+Q19+Q32+Q45+Q58+Q71+Q84+Q97+Q110+Q123+Q136+Q149+Q162+Q175+Q188+Q201+Q214+Q227+Q240+Q253+Q266+Q279+Q292+Q305+Q318+Q331+Q344+Q357+Q370+Q383+Q396+Q409+Q422+Q435+Q448+Q461+Q474+Q487+Q500+Q513+Q526+Q539+Q552+Q565+Q578+Q591+Q604+Q617+Q630+Q643+Q656+Q669+Q682+Q695+Q708+Q721+Q734+Q747+Q760+Q773+Q786+Q799+Q812+Q825+Q838+Q851+Q864+Q877+Q890+Q903+Q916+Q929+Q942+Q955+Q968+Q981+Q994+Q1007+Q1020+Q1033+Q1046+Q1059+Q1072+Q1085+Q1098+Q1111+Q1124+Q1137+Q1150+Q1163+Q1176+Q1189+Q1202+Q1215+Q1228+Q1241+Q1254+Q1267+Q1280+Q1293+Q1306+Q1319+Q1332+Q1345+Q1358+Q1371+Q1384+Q1397+Q1410+Q1423+Q1436+Q1449+Q1462+Q1475+Q1488+Q1501+Q1514+Q1527+Q1540+Q1553+Q1566</f>
        <v>0</v>
      </c>
      <c r="R8" s="1045"/>
      <c r="S8" s="1046">
        <f t="shared" ref="S8:U8" si="15">+S19+S32+S45+S58+S71+S84+S97+S110+S123+S136+S149+S162+S175+S188+S201+S214+S227+S240+S253+S266+S279+S292+S305+S318+S331+S344+S357+S370+S383+S396+S409+S422+S435+S448+S461+S474+S487+S500+S513+S526+S539+S552+S565+S578+S591+S604+S617+S630+S643+S656+S669+S682+S695+S708+S721+S734+S747+S760+S773+S786+S799+S812+S825+S838+S851+S864+S877+S890+S903+S916+S929+S942+S955+S968+S981+S994+S1007+S1020+S1033+S1046+S1059+S1072+S1085+S1098+S1111+S1124+S1137+S1150+S1163+S1176+S1189+S1202+S1215+S1228+S1241+S1254+S1267+S1280+S1293+S1306+S1319+S1332+S1345+S1358+S1371+S1384+S1397+S1410+S1423+S1436+S1449+S1462+S1475+S1488+S1501+S1514+S1527+S1540+S1553+S1566</f>
        <v>0</v>
      </c>
      <c r="T8" s="91"/>
      <c r="U8" s="598">
        <f t="shared" si="15"/>
        <v>0</v>
      </c>
      <c r="V8" s="95"/>
    </row>
    <row r="9" spans="1:34" ht="7.5" customHeight="1">
      <c r="A9" s="256"/>
      <c r="B9" s="514"/>
      <c r="C9" s="15"/>
      <c r="D9" s="241"/>
      <c r="E9" s="510"/>
      <c r="F9" s="241"/>
      <c r="G9" s="1050"/>
      <c r="H9" s="1047"/>
      <c r="I9" s="1050"/>
      <c r="J9" s="1047"/>
      <c r="K9" s="1050"/>
      <c r="L9" s="1047"/>
      <c r="M9" s="1050"/>
      <c r="N9" s="1047"/>
      <c r="O9" s="1050"/>
      <c r="P9" s="1047"/>
      <c r="Q9" s="1050"/>
      <c r="R9" s="604"/>
      <c r="S9" s="1048"/>
      <c r="T9" s="550"/>
      <c r="U9" s="599"/>
      <c r="V9" s="95"/>
    </row>
    <row r="10" spans="1:34" ht="15.75" customHeight="1">
      <c r="A10" s="256"/>
      <c r="B10" s="514"/>
      <c r="C10" s="15"/>
      <c r="D10" s="241"/>
      <c r="E10" s="510" t="s">
        <v>1305</v>
      </c>
      <c r="F10" s="241"/>
      <c r="G10" s="1051">
        <f>SUM(G5:G9)</f>
        <v>0</v>
      </c>
      <c r="H10" s="1044"/>
      <c r="I10" s="1051">
        <f>SUM(I5:I9)</f>
        <v>0</v>
      </c>
      <c r="J10" s="1044"/>
      <c r="K10" s="1051">
        <f>SUM(K5:K9)</f>
        <v>0</v>
      </c>
      <c r="L10" s="1044"/>
      <c r="M10" s="1051">
        <f>SUM(M5:M9)</f>
        <v>0</v>
      </c>
      <c r="N10" s="1044"/>
      <c r="O10" s="1051">
        <f>SUM(O5:O9)</f>
        <v>0</v>
      </c>
      <c r="P10" s="1045"/>
      <c r="Q10" s="1051">
        <f>SUM(Q5:Q9)</f>
        <v>0</v>
      </c>
      <c r="R10" s="1045"/>
      <c r="S10" s="1035">
        <f>SUM(S5:S8)</f>
        <v>0</v>
      </c>
      <c r="T10" s="91"/>
      <c r="U10" s="600"/>
      <c r="V10" s="95"/>
      <c r="Z10" s="356"/>
    </row>
    <row r="11" spans="1:34" ht="7.5" customHeight="1">
      <c r="A11" s="256"/>
      <c r="B11" s="514"/>
      <c r="C11" s="15"/>
      <c r="D11" s="241"/>
      <c r="E11" s="510"/>
      <c r="F11" s="241"/>
      <c r="G11" s="550"/>
      <c r="I11" s="550"/>
      <c r="J11" s="241"/>
      <c r="K11" s="550"/>
      <c r="L11" s="241"/>
      <c r="M11" s="550"/>
      <c r="N11" s="241"/>
      <c r="O11" s="550"/>
      <c r="P11" s="241"/>
      <c r="Q11" s="550"/>
      <c r="R11" s="241"/>
      <c r="S11" s="605"/>
      <c r="T11" s="241"/>
      <c r="U11" s="603"/>
      <c r="V11" s="95"/>
    </row>
    <row r="12" spans="1:34" s="8" customFormat="1" ht="15.75" customHeight="1">
      <c r="A12" s="549"/>
      <c r="B12" s="514"/>
      <c r="C12" s="15"/>
      <c r="D12" s="91"/>
      <c r="E12" s="739" t="s">
        <v>1609</v>
      </c>
      <c r="F12" s="91"/>
      <c r="G12" s="895">
        <f>+G25+G38+G51+G64+G77+G90+G103+G116+G129+G142+G155+G168+G181+G194+G207+G220+G233+G246+G259+G272+G285+G298+G311+G324+G337+G350+G363+G376+G389+G402+G415+G428+G441+G454+G467+G480+G493+G506+G519+G532+G545+G558+G571+G584+G597+G610+G623+G636+G649+G662+G675+G688+G701+G714+G727+G740+G753+G766+G779+G792+G805+G818+G831+G844+G857+G870+G883+G896+G909+G922+G935+G948+G961+G974+G987+G1000+G1013+G1026+G1039+G1052+G1065+G1078+G1091+G1104+G1117+G1130+G1143+G1156+G1169+G1182+G1195+G1208+G1221+G1234+G1247+G1260+G1273+G1286+G1299+G1312+G1325+G1338+G1351+G1364+G1377+G1390+G1403+G1416+G1429+G1442+G1455+G1468+G1481+G1494+G1507+G1520+G1533+G1546+G1559+G1572</f>
        <v>0</v>
      </c>
      <c r="H12" s="91"/>
      <c r="I12" s="895">
        <f>+I25+I38+I51+I64+I77+I90+I103+I116+I129+I142+I155+I168+I181+I194+I207+I220+I233+I246+I259+I272+I285+I298+I311+I324+I337+I350+I363+I376+I389+I402+I415+I428+I441+I454+I467+I480+I493+I506+I519+I532+I545+I558+I571+I584+I597+I610+I623+I636+I649+I662+I675+I688+I701+I714+I727+I740+I753+I766+I779+I792+I805+I818+I831+I844+I857+I870+I883+I896+I909+I922+I935+I948+I961+I974+I987+I1000+I1013+I1026+I1039+I1052+I1065+I1078+I1091+I1104+I1117+I1130+I1143+I1156+I1169+I1182+I1195+I1208+I1221+I1234+I1247+I1260+I1273+I1286+I1299+I1312+I1325+I1338+I1351+I1364+I1377+I1390+I1403+I1416+I1429+I1442+I1455+I1468+I1481+I1494+I1507+I1520+I1533+I1546+I1559+I1572</f>
        <v>0</v>
      </c>
      <c r="J12" s="91"/>
      <c r="K12" s="895">
        <f>+K25+K38+K51+K64+K77+K90+K103+K116+K129+K142+K155+K168+K181+K194+K207+K220+K233+K246+K259+K272+K285+K298+K311+K324+K337+K350+K363+K376+K389+K402+K415+K428+K441+K454+K467+K480+K493+K506+K519+K532+K545+K558+K571+K584+K597+K610+K623+K636+K649+K662+K675+K688+K701+K714+K727+K740+K753+K766+K779+K792+K805+K818+K831+K844+K857+K870+K883+K896+K909+K922+K935+K948+K961+K974+K987+K1000+K1013+K1026+K1039+K1052+K1065+K1078+K1091+K1104+K1117+K1130+K1143+K1156+K1169+K1182+K1195+K1208+K1221+K1234+K1247+K1260+K1273+K1286+K1299+K1312+K1325+K1338+K1351+K1364+K1377+K1390+K1403+K1416+K1429+K1442+K1455+K1468+K1481+K1494+K1507+K1520+K1533+K1546+K1559+K1572</f>
        <v>0</v>
      </c>
      <c r="L12" s="91"/>
      <c r="M12" s="895">
        <f>+M25+M38+M51+M64+M77+M90+M103+M116+M129+M142+M155+M168+M181+M194+M207+M220+M233+M246+M259+M272+M285+M298+M311+M324+M337+M350+M363+M376+M389+M402+M415+M428+M441+M454+M467+M480+M493+M506+M519+M532+M545+M558+M571+M584+M597+M610+M623+M636+M649+M662+M675+M688+M701+M714+M727+M740+M753+M766+M779+M792+M805+M818+M831+M844+M857+M870+M883+M896+M909+M922+M935+M948+M961+M974+M987+M1000+M1013+M1026+M1039+M1052+M1065+M1078+M1091+M1104+M1117+M1130+M1143+M1156+M1169+M1182+M1195+M1208+M1221+M1234+M1247+M1260+M1273+M1286+M1299+M1312+M1325+M1338+M1351+M1364+M1377+M1390+M1403+M1416+M1429+M1442+M1455+M1468+M1481+M1494+M1507+M1520+M1533+M1546+M1559+M1572</f>
        <v>0</v>
      </c>
      <c r="N12" s="91"/>
      <c r="O12" s="895">
        <f>+O25+O38+O51+O64+O77+O90+O103+O116+O129+O142+O155+O168+O181+O194+O207+O220+O233+O246+O259+O272+O285+O298+O311+O324+O337+O350+O363+O376+O389+O402+O415+O428+O441+O454+O467+O480+O493+O506+O519+O532+O545+O558+O571+O584+O597+O610+O623+O636+O649+O662+O675+O688+O701+O714+O727+O740+O753+O766+O779+O792+O805+O818+O831+O844+O857+O870+O883+O896+O909+O922+O935+O948+O961+O974+O987+O1000+O1013+O1026+O1039+O1052+O1065+O1078+O1091+O1104+O1117+O1130+O1143+O1156+O1169+O1182+O1195+O1208+O1221+O1234+O1247+O1260+O1273+O1286+O1299+O1312+O1325+O1338+O1351+O1364+O1377+O1390+O1403+O1416+O1429+O1442+O1455+O1468+O1481+O1494+O1507+O1520+O1533+O1546+O1559+O1572</f>
        <v>0</v>
      </c>
      <c r="P12" s="91"/>
      <c r="Q12" s="895">
        <f>+Q25+Q38+Q51+Q64+Q77+Q90+Q103+Q116+Q129+Q142+Q155+Q168+Q181+Q194+Q207+Q220+Q233+Q246+Q259+Q272+Q285+Q298+Q311+Q324+Q337+Q350+Q363+Q376+Q389+Q402+Q415+Q428+Q441+Q454+Q467+Q480+Q493+Q506+Q519+Q532+Q545+Q558+Q571+Q584+Q597+Q610+Q623+Q636+Q649+Q662+Q675+Q688+Q701+Q714+Q727+Q740+Q753+Q766+Q779+Q792+Q805+Q818+Q831+Q844+Q857+Q870+Q883+Q896+Q909+Q922+Q935+Q948+Q961+Q974+Q987+Q1000+Q1013+Q1026+Q1039+Q1052+Q1065+Q1078+Q1091+Q1104+Q1117+Q1130+Q1143+Q1156+Q1169+Q1182+Q1195+Q1208+Q1221+Q1234+Q1247+Q1260+Q1273+Q1286+Q1299+Q1312+Q1325+Q1338+Q1351+Q1364+Q1377+Q1390+Q1403+Q1416+Q1429+Q1442+Q1455+Q1468+Q1481+Q1494+Q1507+Q1520+Q1533+Q1546+Q1559+Q1572</f>
        <v>0</v>
      </c>
      <c r="R12" s="91"/>
      <c r="S12" s="606"/>
      <c r="T12" s="91"/>
      <c r="U12" s="598">
        <f>SUM(U5:U8)</f>
        <v>0</v>
      </c>
      <c r="V12" s="95"/>
      <c r="X12" s="4"/>
      <c r="Z12" s="945"/>
    </row>
    <row r="13" spans="1:34" s="8" customFormat="1" ht="7.5" customHeight="1" thickBot="1">
      <c r="A13" s="529"/>
      <c r="B13" s="530"/>
      <c r="C13" s="530"/>
      <c r="D13" s="533"/>
      <c r="E13" s="533"/>
      <c r="F13" s="533"/>
      <c r="G13" s="996"/>
      <c r="H13" s="533"/>
      <c r="I13" s="996"/>
      <c r="J13" s="533"/>
      <c r="K13" s="996"/>
      <c r="L13" s="533"/>
      <c r="M13" s="996"/>
      <c r="N13" s="533"/>
      <c r="O13" s="996"/>
      <c r="P13" s="533"/>
      <c r="Q13" s="996"/>
      <c r="R13" s="533"/>
      <c r="S13" s="996"/>
      <c r="T13" s="533"/>
      <c r="U13" s="533"/>
      <c r="V13" s="534"/>
      <c r="X13" s="4"/>
    </row>
    <row r="14" spans="1:34" s="82" customFormat="1" ht="18" customHeight="1" thickBot="1">
      <c r="A14" s="890">
        <v>1</v>
      </c>
      <c r="B14" s="891" t="str">
        <f>'Data Entry'!$B$3&amp;"-"&amp;C14</f>
        <v>-</v>
      </c>
      <c r="C14" s="891" t="str">
        <f>IFERROR(VLOOKUP('Data Entry'!$B$3&amp;"-"&amp;A14,'PY1 TFR ADA'!$D:$AT,2,FALSE),"")</f>
        <v/>
      </c>
      <c r="D14" s="892" t="str">
        <f>IFERROR(VLOOKUP('Data Entry'!$B$3&amp;"-"&amp;A14,'PY1 TFR ADA'!$D:$AT,4,FALSE),"")</f>
        <v/>
      </c>
      <c r="E14" s="893"/>
      <c r="F14" s="893"/>
      <c r="G14" s="893"/>
      <c r="H14" s="893"/>
      <c r="I14" s="893"/>
      <c r="J14" s="893"/>
      <c r="K14" s="893"/>
      <c r="L14" s="893"/>
      <c r="M14" s="893"/>
      <c r="N14" s="893"/>
      <c r="O14" s="893"/>
      <c r="P14" s="893"/>
      <c r="Q14" s="893"/>
      <c r="R14" s="893"/>
      <c r="S14" s="893"/>
      <c r="T14" s="893"/>
      <c r="U14" s="893"/>
      <c r="V14" s="894"/>
      <c r="X14" s="83"/>
      <c r="Z14" s="945"/>
    </row>
    <row r="15" spans="1:34" ht="75" customHeight="1">
      <c r="A15" s="521"/>
      <c r="C15" s="540" t="s">
        <v>1315</v>
      </c>
      <c r="D15" s="512"/>
      <c r="E15" s="540" t="s">
        <v>1316</v>
      </c>
      <c r="F15" s="512"/>
      <c r="G15" s="540" t="s">
        <v>1309</v>
      </c>
      <c r="H15" s="512"/>
      <c r="I15" s="540" t="s">
        <v>1310</v>
      </c>
      <c r="J15" s="512"/>
      <c r="K15" s="540" t="s">
        <v>1311</v>
      </c>
      <c r="L15" s="512"/>
      <c r="M15" s="540" t="s">
        <v>1312</v>
      </c>
      <c r="N15" s="512"/>
      <c r="O15" s="540" t="s">
        <v>1313</v>
      </c>
      <c r="P15" s="512"/>
      <c r="Q15" s="540" t="s">
        <v>1314</v>
      </c>
      <c r="R15" s="167"/>
      <c r="S15" s="540" t="s">
        <v>1308</v>
      </c>
      <c r="T15" s="167"/>
      <c r="U15" s="512" t="s">
        <v>1307</v>
      </c>
      <c r="V15" s="524"/>
      <c r="X15" s="283"/>
    </row>
    <row r="16" spans="1:34" s="8" customFormat="1" ht="14.4">
      <c r="A16" s="521"/>
      <c r="B16" s="510" t="s">
        <v>94</v>
      </c>
      <c r="C16" s="525">
        <f>IFERROR(VLOOKUP($B14,'PY1 TFR ADA'!$F:$AU,MATCH("A-1.1",'PY1 TFR ADA'!$F$5:$AU$5,0),FALSE),0)</f>
        <v>0</v>
      </c>
      <c r="D16" s="167"/>
      <c r="E16" s="525">
        <f>IFERROR(VALUE(VLOOKUP($B14,'PY1 TFR ADA'!$F:$AU,MATCH("A-2.1",'PY1 TFR ADA'!$F$5:$AU$5,0),FALSE)),0)</f>
        <v>0</v>
      </c>
      <c r="F16" s="167"/>
      <c r="G16" s="609">
        <f>IFERROR(VLOOKUP($B14,'PY1 TFR ADA'!$F:$AU,MATCH("b-1.1",'PY1 TFR ADA'!$F$5:$AU$5,0),FALSE),0)</f>
        <v>0</v>
      </c>
      <c r="H16" s="527"/>
      <c r="I16" s="609">
        <f>IFERROR(VLOOKUP($B14,'PY1 TFR ADA'!$F:$AU,MATCH("b-2.1",'PY1 TFR ADA'!$F$5:$AU$5,0),FALSE),0)</f>
        <v>0</v>
      </c>
      <c r="J16" s="527"/>
      <c r="K16" s="609">
        <f>IFERROR(VLOOKUP($B14,'PY1 TFR ADA'!$F:$AU,MATCH("b-3.1",'PY1 TFR ADA'!$F$5:$AU$5,0),FALSE),0)</f>
        <v>0</v>
      </c>
      <c r="L16" s="527"/>
      <c r="M16" s="609">
        <f>IFERROR(VLOOKUP($B14,'PY1 TFR ADA'!$F:$AU,MATCH("b-4.1",'PY1 TFR ADA'!$F$5:$AU$5,0),FALSE),0)</f>
        <v>0</v>
      </c>
      <c r="N16" s="527"/>
      <c r="O16" s="609">
        <f>IFERROR(VLOOKUP($B14,'PY1 TFR ADA'!$F:$AU,MATCH("b-5.1",'PY1 TFR ADA'!$F$5:$AU$5,0),FALSE),0)</f>
        <v>0</v>
      </c>
      <c r="P16" s="527"/>
      <c r="Q16" s="609">
        <f>IFERROR(VLOOKUP($B14,'PY1 TFR ADA'!$F:$AU,MATCH("b-6.1",'PY1 TFR ADA'!$F$5:$AU$5,0),FALSE),0)</f>
        <v>0</v>
      </c>
      <c r="R16" s="551"/>
      <c r="S16" s="601">
        <f>SUM(G16:Q16)</f>
        <v>0</v>
      </c>
      <c r="T16" s="551"/>
      <c r="U16" s="536">
        <f>ROUND(IF($G23="LCFF Rate",(G16*$C16),(G16*$E16))+IF($I23="LCFF Rate",(I16*$C16),(I16*$E16))+IF($K23="LCFF Rate",(K16*$C16),(K16*$E16))+IF($M23="LCFF Rate",(M16*$C16),(M16*$E16))+IF($O23="LCFF Rate",(O16*$C16),(O16*$E16))+IF($Q23="LCFF Rate",(Q16*$C16),(Q16*$E16)),0)</f>
        <v>0</v>
      </c>
      <c r="V16" s="524"/>
      <c r="X16" s="496"/>
    </row>
    <row r="17" spans="1:24" s="8" customFormat="1" ht="14.4">
      <c r="A17" s="521"/>
      <c r="B17" s="510" t="s">
        <v>2</v>
      </c>
      <c r="C17" s="525">
        <f>IFERROR(VLOOKUP($B14,'PY1 TFR ADA'!$F:$AU,MATCH("A-1.2",'PY1 TFR ADA'!$F$5:$AU$5,0),FALSE),0)</f>
        <v>0</v>
      </c>
      <c r="D17" s="167"/>
      <c r="E17" s="525">
        <f>IFERROR(VALUE(VLOOKUP($B14,'PY1 TFR ADA'!$F:$AU,MATCH("A-2.2",'PY1 TFR ADA'!$F$5:$AU$5,0),FALSE)),0)</f>
        <v>0</v>
      </c>
      <c r="F17" s="167"/>
      <c r="G17" s="609">
        <f>IFERROR(VLOOKUP($B14,'PY1 TFR ADA'!$F:$AU,MATCH("b-1.2",'PY1 TFR ADA'!$F$5:$AU$5,0),FALSE),0)</f>
        <v>0</v>
      </c>
      <c r="H17" s="527"/>
      <c r="I17" s="609">
        <f>IFERROR(VLOOKUP($B14,'PY1 TFR ADA'!$F:$AU,MATCH("b-2.2",'PY1 TFR ADA'!$F$5:$AU$5,0),FALSE),0)</f>
        <v>0</v>
      </c>
      <c r="J17" s="527"/>
      <c r="K17" s="609">
        <f>IFERROR(VLOOKUP($B14,'PY1 TFR ADA'!$F:$AU,MATCH("b-3.2",'PY1 TFR ADA'!$F$5:$AU$5,0),FALSE),0)</f>
        <v>0</v>
      </c>
      <c r="L17" s="527"/>
      <c r="M17" s="609">
        <f>IFERROR(VLOOKUP($B14,'PY1 TFR ADA'!$F:$AU,MATCH("b-4.2",'PY1 TFR ADA'!$F$5:$AU$5,0),FALSE),0)</f>
        <v>0</v>
      </c>
      <c r="N17" s="527"/>
      <c r="O17" s="609">
        <f>IFERROR(VLOOKUP($B14,'PY1 TFR ADA'!$F:$AU,MATCH("b-5.2",'PY1 TFR ADA'!$F$5:$AU$5,0),FALSE),0)</f>
        <v>0</v>
      </c>
      <c r="P17" s="527"/>
      <c r="Q17" s="609">
        <f>IFERROR(VLOOKUP($B14,'PY1 TFR ADA'!$F:$AU,MATCH("b-6.2",'PY1 TFR ADA'!$F$5:$AU$5,0),FALSE),0)</f>
        <v>0</v>
      </c>
      <c r="R17" s="551"/>
      <c r="S17" s="601">
        <f t="shared" ref="S17:S19" si="16">SUM(G17:Q17)</f>
        <v>0</v>
      </c>
      <c r="T17" s="551"/>
      <c r="U17" s="536">
        <f>ROUND(IF($G23="LCFF Rate",(G17*$C17),(G17*$E17))+IF($I23="LCFF Rate",(I17*$C17),(I17*$E17))+IF($K23="LCFF Rate",(K17*$C17),(K17*$E17))+IF($M23="LCFF Rate",(M17*$C17),(M17*$E17))+IF($O23="LCFF Rate",(O17*$C17),(O17*$E17))+IF($Q23="LCFF Rate",(Q17*$C17),(Q17*$E17)),0)</f>
        <v>0</v>
      </c>
      <c r="V17" s="524"/>
      <c r="X17" s="496"/>
    </row>
    <row r="18" spans="1:24" s="8" customFormat="1" ht="14.4">
      <c r="A18" s="521"/>
      <c r="B18" s="510" t="s">
        <v>3</v>
      </c>
      <c r="C18" s="525">
        <f>IFERROR(VLOOKUP($B14,'PY1 TFR ADA'!$F:$AU,MATCH("A-1.3",'PY1 TFR ADA'!$F$5:$AU$5,0),FALSE),0)</f>
        <v>0</v>
      </c>
      <c r="D18" s="167"/>
      <c r="E18" s="525">
        <f>IFERROR(VALUE(VLOOKUP($B14,'PY1 TFR ADA'!$F:$AU,MATCH("A-2.3",'PY1 TFR ADA'!$F$5:$AU$5,0),FALSE)),0)</f>
        <v>0</v>
      </c>
      <c r="F18" s="167"/>
      <c r="G18" s="609">
        <f>IFERROR(VLOOKUP($B14,'PY1 TFR ADA'!$F:$AU,MATCH("b-1.3",'PY1 TFR ADA'!$F$5:$AU$5,0),FALSE),0)</f>
        <v>0</v>
      </c>
      <c r="H18" s="527"/>
      <c r="I18" s="609">
        <f>IFERROR(VLOOKUP($B14,'PY1 TFR ADA'!$F:$AU,MATCH("b-2.3",'PY1 TFR ADA'!$F$5:$AU$5,0),FALSE),0)</f>
        <v>0</v>
      </c>
      <c r="J18" s="527"/>
      <c r="K18" s="609">
        <f>IFERROR(VLOOKUP($B14,'PY1 TFR ADA'!$F:$AU,MATCH("b-3.3",'PY1 TFR ADA'!$F$5:$AU$5,0),FALSE),0)</f>
        <v>0</v>
      </c>
      <c r="L18" s="527"/>
      <c r="M18" s="609">
        <f>IFERROR(VLOOKUP($B14,'PY1 TFR ADA'!$F:$AU,MATCH("b-4.3",'PY1 TFR ADA'!$F$5:$AU$5,0),FALSE),0)</f>
        <v>0</v>
      </c>
      <c r="N18" s="527"/>
      <c r="O18" s="609">
        <f>IFERROR(VLOOKUP($B14,'PY1 TFR ADA'!$F:$AU,MATCH("b-5.3",'PY1 TFR ADA'!$F$5:$AU$5,0),FALSE),0)</f>
        <v>0</v>
      </c>
      <c r="P18" s="527"/>
      <c r="Q18" s="609">
        <f>IFERROR(VLOOKUP($B14,'PY1 TFR ADA'!$F:$AU,MATCH("b-6.3",'PY1 TFR ADA'!$F$5:$AU$5,0),FALSE),0)</f>
        <v>0</v>
      </c>
      <c r="R18" s="551"/>
      <c r="S18" s="601">
        <f t="shared" si="16"/>
        <v>0</v>
      </c>
      <c r="T18" s="551"/>
      <c r="U18" s="536">
        <f>ROUND(IF($G23="LCFF Rate",(G18*$C18),(G18*$E18))+IF($I23="LCFF Rate",(I18*$C18),(I18*$E18))+IF($K23="LCFF Rate",(K18*$C18),(K18*$E18))+IF($M23="LCFF Rate",(M18*$C18),(M18*$E18))+IF($O23="LCFF Rate",(O18*$C18),(O18*$E18))+IF($Q23="LCFF Rate",(Q18*$C18),(Q18*$E18)),0)</f>
        <v>0</v>
      </c>
      <c r="V18" s="524"/>
      <c r="X18" s="496"/>
    </row>
    <row r="19" spans="1:24" s="8" customFormat="1" ht="14.4">
      <c r="A19" s="521"/>
      <c r="B19" s="510" t="s">
        <v>4</v>
      </c>
      <c r="C19" s="525">
        <f>IFERROR(VLOOKUP($B14,'PY1 TFR ADA'!$F:$AU,MATCH("A-1.4",'PY1 TFR ADA'!$F$5:$AU$5,0),FALSE),0)</f>
        <v>0</v>
      </c>
      <c r="D19" s="523"/>
      <c r="E19" s="525">
        <f>IFERROR(VALUE(VLOOKUP($B14,'PY1 TFR ADA'!$F:$AU,MATCH("A-2.4",'PY1 TFR ADA'!$F$5:$AU$5,0),FALSE)),0)</f>
        <v>0</v>
      </c>
      <c r="F19" s="523"/>
      <c r="G19" s="609">
        <f>IFERROR(VLOOKUP($B14,'PY1 TFR ADA'!$F:$AU,MATCH("b-1.4",'PY1 TFR ADA'!$F$5:$AU$5,0),FALSE),0)</f>
        <v>0</v>
      </c>
      <c r="H19" s="527"/>
      <c r="I19" s="609">
        <f>IFERROR(VLOOKUP($B14,'PY1 TFR ADA'!$F:$AU,MATCH("b-2.4",'PY1 TFR ADA'!$F$5:$AU$5,0),FALSE),0)</f>
        <v>0</v>
      </c>
      <c r="J19" s="527"/>
      <c r="K19" s="609">
        <f>IFERROR(VLOOKUP($B14,'PY1 TFR ADA'!$F:$AU,MATCH("b-3.4",'PY1 TFR ADA'!$F$5:$AU$5,0),FALSE),0)</f>
        <v>0</v>
      </c>
      <c r="L19" s="527"/>
      <c r="M19" s="609">
        <f>IFERROR(VLOOKUP($B14,'PY1 TFR ADA'!$F:$AU,MATCH("b-4.4",'PY1 TFR ADA'!$F$5:$AU$5,0),FALSE),0)</f>
        <v>0</v>
      </c>
      <c r="N19" s="527"/>
      <c r="O19" s="609">
        <f>IFERROR(VLOOKUP($B14,'PY1 TFR ADA'!$F:$AU,MATCH("b-5.4",'PY1 TFR ADA'!$F$5:$AU$5,0),FALSE),0)</f>
        <v>0</v>
      </c>
      <c r="P19" s="527"/>
      <c r="Q19" s="609">
        <f>IFERROR(VLOOKUP($B14,'PY1 TFR ADA'!$F:$AU,MATCH("b-6.4",'PY1 TFR ADA'!$F$5:$AU$5,0),FALSE),0)</f>
        <v>0</v>
      </c>
      <c r="R19" s="551"/>
      <c r="S19" s="601">
        <f t="shared" si="16"/>
        <v>0</v>
      </c>
      <c r="T19" s="551"/>
      <c r="U19" s="536">
        <f>ROUND(IF($G23="LCFF Rate",(G19*$C19),(G19*$E19))+IF($I23="LCFF Rate",(I19*$C19),(I19*$E19))+IF($K23="LCFF Rate",(K19*$C19),(K19*$E19))+IF($M23="LCFF Rate",(M19*$C19),(M19*$E19))+IF($O23="LCFF Rate",(O19*$C19),(O19*$E19))+IF($Q23="LCFF Rate",(Q19*$C19),(Q19*$E19)),0)</f>
        <v>0</v>
      </c>
      <c r="V19" s="522"/>
      <c r="X19" s="496"/>
    </row>
    <row r="20" spans="1:24" s="8" customFormat="1" ht="8.25" customHeight="1">
      <c r="A20" s="521"/>
      <c r="B20" s="167"/>
      <c r="C20" s="165"/>
      <c r="D20" s="523"/>
      <c r="E20" s="165"/>
      <c r="F20" s="523"/>
      <c r="G20" s="520"/>
      <c r="H20" s="523"/>
      <c r="I20" s="520"/>
      <c r="J20" s="523"/>
      <c r="K20" s="520"/>
      <c r="L20" s="523"/>
      <c r="M20" s="520"/>
      <c r="N20" s="523"/>
      <c r="O20" s="520"/>
      <c r="P20" s="523"/>
      <c r="Q20" s="520"/>
      <c r="R20" s="167"/>
      <c r="S20" s="520"/>
      <c r="T20" s="167"/>
      <c r="U20" s="602"/>
      <c r="V20" s="522"/>
      <c r="X20" s="4"/>
    </row>
    <row r="21" spans="1:24" s="8" customFormat="1" ht="14.4">
      <c r="A21" s="521"/>
      <c r="B21" s="167"/>
      <c r="C21" s="165"/>
      <c r="D21" s="523"/>
      <c r="E21" s="513" t="s">
        <v>1317</v>
      </c>
      <c r="F21" s="523"/>
      <c r="G21" s="601">
        <f>SUM(G16:G19)</f>
        <v>0</v>
      </c>
      <c r="H21" s="527"/>
      <c r="I21" s="601">
        <f>SUM(I16:I19)</f>
        <v>0</v>
      </c>
      <c r="J21" s="527"/>
      <c r="K21" s="601">
        <f>SUM(K16:K19)</f>
        <v>0</v>
      </c>
      <c r="L21" s="527"/>
      <c r="M21" s="601">
        <f>SUM(M16:M19)</f>
        <v>0</v>
      </c>
      <c r="N21" s="527"/>
      <c r="O21" s="601">
        <f>SUM(O16:O19)</f>
        <v>0</v>
      </c>
      <c r="P21" s="527"/>
      <c r="Q21" s="601">
        <f>SUM(Q16:Q19)</f>
        <v>0</v>
      </c>
      <c r="R21" s="527"/>
      <c r="S21" s="601">
        <f>SUM(S16:S19)</f>
        <v>0</v>
      </c>
      <c r="T21" s="527"/>
      <c r="U21" s="536">
        <f>SUM(U16:U19)</f>
        <v>0</v>
      </c>
      <c r="V21" s="522"/>
      <c r="X21" s="4"/>
    </row>
    <row r="22" spans="1:24" s="8" customFormat="1" ht="8.25" customHeight="1">
      <c r="A22" s="521"/>
      <c r="B22" s="167"/>
      <c r="C22" s="165"/>
      <c r="D22" s="523"/>
      <c r="E22" s="165"/>
      <c r="F22" s="523"/>
      <c r="G22" s="520"/>
      <c r="H22" s="523"/>
      <c r="I22" s="520"/>
      <c r="J22" s="523"/>
      <c r="K22" s="520"/>
      <c r="L22" s="523"/>
      <c r="M22" s="520"/>
      <c r="N22" s="523"/>
      <c r="O22" s="520"/>
      <c r="P22" s="523"/>
      <c r="Q22" s="520"/>
      <c r="R22" s="167"/>
      <c r="S22" s="520"/>
      <c r="T22" s="167"/>
      <c r="U22" s="528"/>
      <c r="V22" s="522"/>
      <c r="X22" s="4"/>
    </row>
    <row r="23" spans="1:24" s="8" customFormat="1" ht="16.5" customHeight="1">
      <c r="A23" s="521"/>
      <c r="B23" s="167"/>
      <c r="C23" s="165"/>
      <c r="E23" s="513" t="s">
        <v>1304</v>
      </c>
      <c r="F23" s="523"/>
      <c r="G23" s="977">
        <f>_xlfn.IFNA(IF(VLOOKUP($B14,'PY1 TFR ADA'!$F:$AU,MATCH("B-1.5",'PY1 TFR ADA'!$F$5:$AU$5,0),FALSE)=TRUE,IF(VLOOKUP($B14,'PY1 TFR ADA'!$F:$AU,MATCH("C-1",'PY1 TFR ADA'!$F$5:$AU$5,0),FALSE)=TRUE,"Alternative Rate","LCFF Rate"),"LCFF Rate"),0)</f>
        <v>0</v>
      </c>
      <c r="H23" s="523"/>
      <c r="I23" s="977">
        <f>_xlfn.IFNA(IF(VLOOKUP($B14,'PY1 TFR ADA'!$F:$AU,MATCH("B-2.5",'PY1 TFR ADA'!$F$5:$AU$5,0),FALSE)=TRUE,IF(VLOOKUP($B14,'PY1 TFR ADA'!$F:$AU,MATCH("C-1",'PY1 TFR ADA'!$F$5:$AU$5,0),FALSE)=TRUE,"Alternative Rate","LCFF Rate"),"LCFF Rate"),0)</f>
        <v>0</v>
      </c>
      <c r="J23" s="523"/>
      <c r="K23" s="977">
        <f>_xlfn.IFNA(IF(VLOOKUP($B14,'PY1 TFR ADA'!$F:$AU,MATCH("B-3.5",'PY1 TFR ADA'!$F$5:$AU$5,0),FALSE)=TRUE,IF(VLOOKUP($B14,'PY1 TFR ADA'!$F:$AU,MATCH("C-1",'PY1 TFR ADA'!$F$5:$AU$5,0),FALSE)=TRUE,"Alternative Rate","LCFF Rate"),"LCFF Rate"),0)</f>
        <v>0</v>
      </c>
      <c r="L23" s="523"/>
      <c r="M23" s="977">
        <f>_xlfn.IFNA(IF(VLOOKUP($B14,'PY1 TFR ADA'!$F:$AU,MATCH("B-4.5",'PY1 TFR ADA'!$F$5:$AU$5,0),FALSE)=TRUE,IF(VLOOKUP($B14,'PY1 TFR ADA'!$F:$AU,MATCH("C-1",'PY1 TFR ADA'!$F$5:$AU$5,0),FALSE)=TRUE,"Alternative Rate","LCFF Rate"),"LCFF Rate"),0)</f>
        <v>0</v>
      </c>
      <c r="N23" s="523"/>
      <c r="O23" s="977">
        <f>_xlfn.IFNA(IF(VLOOKUP($B14,'PY1 TFR ADA'!$F:$AU,MATCH("B-5.5",'PY1 TFR ADA'!$F$5:$AU$5,0),FALSE)=TRUE,IF(VLOOKUP($B14,'PY1 TFR ADA'!$F:$AU,MATCH("C-1",'PY1 TFR ADA'!$F$5:$AU$5,0),FALSE)=TRUE,"Alternative Rate","LCFF Rate"),"LCFF Rate"),0)</f>
        <v>0</v>
      </c>
      <c r="P23" s="523"/>
      <c r="Q23" s="977">
        <f>_xlfn.IFNA(IF(VLOOKUP($B14,'PY1 TFR ADA'!$F:$AU,MATCH("B-6.5",'PY1 TFR ADA'!$F$5:$AU$5,0),FALSE)=TRUE,IF(VLOOKUP($B14,'PY1 TFR ADA'!$F:$AU,MATCH("C-1",'PY1 TFR ADA'!$F$5:$AU$5,0),FALSE)=TRUE,"Alternative Rate","LCFF Rate"),"LCFF Rate"),0)</f>
        <v>0</v>
      </c>
      <c r="R23" s="167"/>
      <c r="S23" s="520"/>
      <c r="T23" s="167"/>
      <c r="U23" s="528"/>
      <c r="V23" s="522"/>
      <c r="X23" s="283"/>
    </row>
    <row r="24" spans="1:24" s="8" customFormat="1" ht="8.25" customHeight="1">
      <c r="A24" s="521"/>
      <c r="B24" s="167"/>
      <c r="C24" s="165"/>
      <c r="D24" s="523"/>
      <c r="E24" s="165"/>
      <c r="F24" s="523"/>
      <c r="G24" s="520"/>
      <c r="H24" s="523"/>
      <c r="I24" s="520"/>
      <c r="J24" s="523"/>
      <c r="K24" s="520"/>
      <c r="L24" s="523"/>
      <c r="M24" s="520"/>
      <c r="N24" s="523"/>
      <c r="O24" s="520"/>
      <c r="P24" s="523"/>
      <c r="Q24" s="520"/>
      <c r="R24" s="167"/>
      <c r="S24" s="520"/>
      <c r="T24" s="167"/>
      <c r="U24" s="528"/>
      <c r="V24" s="522"/>
      <c r="X24" s="4"/>
    </row>
    <row r="25" spans="1:24" s="8" customFormat="1" ht="16.8">
      <c r="A25" s="521"/>
      <c r="B25" s="2"/>
      <c r="F25" s="523"/>
      <c r="G25" s="535">
        <f>IF(G23="LCFF Rate",(G16*C16+G17*C17+G18*C18+G19*C19),(G21*E19))</f>
        <v>0</v>
      </c>
      <c r="H25" s="537"/>
      <c r="I25" s="535">
        <f>IF(I23="LCFF Rate",(I16*C16+I17*C17+I18*C18+I19*C19),(I21*E19))</f>
        <v>0</v>
      </c>
      <c r="J25" s="537"/>
      <c r="K25" s="535">
        <f>IF(K23="LCFF Rate",(K16*C16+K17*C17+K18*C18+K19*C19),(K21*E19))</f>
        <v>0</v>
      </c>
      <c r="L25" s="537"/>
      <c r="M25" s="535">
        <f>IF(M23="LCFF Rate",(M16*C16+M17*C17+M18*C18+M19*C19),(M21*E19))</f>
        <v>0</v>
      </c>
      <c r="N25" s="537"/>
      <c r="O25" s="535">
        <f>IF(O23="LCFF Rate",(O16*C16+O17*C17+O18*C18+O19*C19),(O21*E19))</f>
        <v>0</v>
      </c>
      <c r="P25" s="537"/>
      <c r="Q25" s="535">
        <f>IF(Q23="LCFF Rate",(Q16*C16+Q17*C17+Q18*C18+Q19*C19),(Q21*E19))</f>
        <v>0</v>
      </c>
      <c r="R25" s="167"/>
      <c r="S25" s="538">
        <f>SUM(G25:Q25)</f>
        <v>0</v>
      </c>
      <c r="T25" s="167"/>
      <c r="U25" s="528"/>
      <c r="V25" s="522"/>
      <c r="X25" s="978"/>
    </row>
    <row r="26" spans="1:24" s="8" customFormat="1" ht="9" customHeight="1" thickBot="1">
      <c r="A26" s="529"/>
      <c r="B26" s="530"/>
      <c r="C26" s="531"/>
      <c r="D26" s="532"/>
      <c r="E26" s="533"/>
      <c r="F26" s="532"/>
      <c r="G26" s="530"/>
      <c r="H26" s="532"/>
      <c r="I26" s="530"/>
      <c r="J26" s="532"/>
      <c r="K26" s="530"/>
      <c r="L26" s="532"/>
      <c r="M26" s="530"/>
      <c r="N26" s="532"/>
      <c r="O26" s="530"/>
      <c r="P26" s="532"/>
      <c r="Q26" s="530"/>
      <c r="R26" s="532"/>
      <c r="S26" s="530"/>
      <c r="T26" s="532"/>
      <c r="U26" s="532"/>
      <c r="V26" s="534"/>
      <c r="X26" s="4"/>
    </row>
    <row r="27" spans="1:24" s="82" customFormat="1" ht="18" customHeight="1" thickBot="1">
      <c r="A27" s="890">
        <f>+A14+1</f>
        <v>2</v>
      </c>
      <c r="B27" s="891" t="str">
        <f>'Data Entry'!$B$3&amp;"-"&amp;C27</f>
        <v>-</v>
      </c>
      <c r="C27" s="891" t="str">
        <f>IFERROR(VLOOKUP('Data Entry'!$B$3&amp;"-"&amp;A27,'PY1 TFR ADA'!$D:$AT,2,FALSE),"")</f>
        <v/>
      </c>
      <c r="D27" s="892" t="str">
        <f>IFERROR(VLOOKUP('Data Entry'!$B$3&amp;"-"&amp;A27,'PY1 TFR ADA'!$D:$AT,4,FALSE),"")</f>
        <v/>
      </c>
      <c r="E27" s="893"/>
      <c r="F27" s="893"/>
      <c r="G27" s="893"/>
      <c r="H27" s="893"/>
      <c r="I27" s="893"/>
      <c r="J27" s="893"/>
      <c r="K27" s="893"/>
      <c r="L27" s="893"/>
      <c r="M27" s="893"/>
      <c r="N27" s="893"/>
      <c r="O27" s="893"/>
      <c r="P27" s="893"/>
      <c r="Q27" s="893"/>
      <c r="R27" s="893"/>
      <c r="S27" s="893"/>
      <c r="T27" s="893"/>
      <c r="U27" s="893"/>
      <c r="V27" s="894"/>
      <c r="X27" s="83"/>
    </row>
    <row r="28" spans="1:24" ht="75" customHeight="1">
      <c r="A28" s="521"/>
      <c r="C28" s="540" t="s">
        <v>1315</v>
      </c>
      <c r="D28" s="512"/>
      <c r="E28" s="540" t="s">
        <v>1316</v>
      </c>
      <c r="F28" s="512"/>
      <c r="G28" s="540" t="s">
        <v>1309</v>
      </c>
      <c r="H28" s="512"/>
      <c r="I28" s="540" t="s">
        <v>1310</v>
      </c>
      <c r="J28" s="512"/>
      <c r="K28" s="540" t="s">
        <v>1311</v>
      </c>
      <c r="L28" s="512"/>
      <c r="M28" s="540" t="s">
        <v>1312</v>
      </c>
      <c r="N28" s="512"/>
      <c r="O28" s="540" t="s">
        <v>1313</v>
      </c>
      <c r="P28" s="512"/>
      <c r="Q28" s="540" t="s">
        <v>1314</v>
      </c>
      <c r="R28" s="167"/>
      <c r="S28" s="540" t="s">
        <v>1308</v>
      </c>
      <c r="T28" s="167"/>
      <c r="U28" s="512" t="s">
        <v>1307</v>
      </c>
      <c r="V28" s="524"/>
      <c r="X28" s="283"/>
    </row>
    <row r="29" spans="1:24" s="8" customFormat="1" ht="14.4">
      <c r="A29" s="521"/>
      <c r="B29" s="510" t="s">
        <v>94</v>
      </c>
      <c r="C29" s="525">
        <f>IFERROR(VLOOKUP($B27,'PY1 TFR ADA'!$F:$AU,MATCH("A-1.1",'PY1 TFR ADA'!$F$5:$AU$5,0),FALSE),0)</f>
        <v>0</v>
      </c>
      <c r="D29" s="167"/>
      <c r="E29" s="525">
        <f>IFERROR(VALUE(VLOOKUP($B27,'PY1 TFR ADA'!$F:$AU,MATCH("A-2.1",'PY1 TFR ADA'!$F$5:$AU$5,0),FALSE)),0)</f>
        <v>0</v>
      </c>
      <c r="F29" s="167"/>
      <c r="G29" s="609">
        <f>IFERROR(VLOOKUP($B27,'PY1 TFR ADA'!$F:$AU,MATCH("b-1.1",'PY1 TFR ADA'!$F$5:$AU$5,0),FALSE),0)</f>
        <v>0</v>
      </c>
      <c r="H29" s="527"/>
      <c r="I29" s="609">
        <f>IFERROR(VLOOKUP($B27,'PY1 TFR ADA'!$F:$AU,MATCH("b-2.1",'PY1 TFR ADA'!$F$5:$AU$5,0),FALSE),0)</f>
        <v>0</v>
      </c>
      <c r="J29" s="527"/>
      <c r="K29" s="609">
        <f>IFERROR(VLOOKUP($B27,'PY1 TFR ADA'!$F:$AU,MATCH("b-3.1",'PY1 TFR ADA'!$F$5:$AU$5,0),FALSE),0)</f>
        <v>0</v>
      </c>
      <c r="L29" s="527"/>
      <c r="M29" s="609">
        <f>IFERROR(VLOOKUP($B27,'PY1 TFR ADA'!$F:$AU,MATCH("b-4.1",'PY1 TFR ADA'!$F$5:$AU$5,0),FALSE),0)</f>
        <v>0</v>
      </c>
      <c r="N29" s="527"/>
      <c r="O29" s="609">
        <f>IFERROR(VLOOKUP($B27,'PY1 TFR ADA'!$F:$AU,MATCH("b-5.1",'PY1 TFR ADA'!$F$5:$AU$5,0),FALSE),0)</f>
        <v>0</v>
      </c>
      <c r="P29" s="527"/>
      <c r="Q29" s="609">
        <f>IFERROR(VLOOKUP($B27,'PY1 TFR ADA'!$F:$AU,MATCH("b-6.1",'PY1 TFR ADA'!$F$5:$AU$5,0),FALSE),0)</f>
        <v>0</v>
      </c>
      <c r="R29" s="551"/>
      <c r="S29" s="601">
        <f>SUM(G29:Q29)</f>
        <v>0</v>
      </c>
      <c r="T29" s="551"/>
      <c r="U29" s="536">
        <f>ROUND(IF($G36="LCFF Rate",(G29*$C29),(G29*$E29))+IF($I36="LCFF Rate",(I29*$C29),(I29*$E29))+IF($K36="LCFF Rate",(K29*$C29),(K29*$E29))+IF($M36="LCFF Rate",(M29*$C29),(M29*$E29))+IF($O36="LCFF Rate",(O29*$C29),(O29*$E29))+IF($Q36="LCFF Rate",(Q29*$C29),(Q29*$E29)),0)</f>
        <v>0</v>
      </c>
      <c r="V29" s="524"/>
      <c r="X29" s="496"/>
    </row>
    <row r="30" spans="1:24" s="8" customFormat="1" ht="14.4">
      <c r="A30" s="521"/>
      <c r="B30" s="510" t="s">
        <v>2</v>
      </c>
      <c r="C30" s="525">
        <f>IFERROR(VLOOKUP($B27,'PY1 TFR ADA'!$F:$AU,MATCH("A-1.2",'PY1 TFR ADA'!$F$5:$AU$5,0),FALSE),0)</f>
        <v>0</v>
      </c>
      <c r="D30" s="167"/>
      <c r="E30" s="525">
        <f>IFERROR(VALUE(VLOOKUP($B27,'PY1 TFR ADA'!$F:$AU,MATCH("A-2.2",'PY1 TFR ADA'!$F$5:$AU$5,0),FALSE)),0)</f>
        <v>0</v>
      </c>
      <c r="F30" s="167"/>
      <c r="G30" s="609">
        <f>IFERROR(VLOOKUP($B27,'PY1 TFR ADA'!$F:$AU,MATCH("b-1.2",'PY1 TFR ADA'!$F$5:$AU$5,0),FALSE),0)</f>
        <v>0</v>
      </c>
      <c r="H30" s="527"/>
      <c r="I30" s="609">
        <f>IFERROR(VLOOKUP($B27,'PY1 TFR ADA'!$F:$AU,MATCH("b-2.2",'PY1 TFR ADA'!$F$5:$AU$5,0),FALSE),0)</f>
        <v>0</v>
      </c>
      <c r="J30" s="527"/>
      <c r="K30" s="609">
        <f>IFERROR(VLOOKUP($B27,'PY1 TFR ADA'!$F:$AU,MATCH("b-3.2",'PY1 TFR ADA'!$F$5:$AU$5,0),FALSE),0)</f>
        <v>0</v>
      </c>
      <c r="L30" s="527"/>
      <c r="M30" s="609">
        <f>IFERROR(VLOOKUP($B27,'PY1 TFR ADA'!$F:$AU,MATCH("b-4.2",'PY1 TFR ADA'!$F$5:$AU$5,0),FALSE),0)</f>
        <v>0</v>
      </c>
      <c r="N30" s="527"/>
      <c r="O30" s="609">
        <f>IFERROR(VLOOKUP($B27,'PY1 TFR ADA'!$F:$AU,MATCH("b-5.2",'PY1 TFR ADA'!$F$5:$AU$5,0),FALSE),0)</f>
        <v>0</v>
      </c>
      <c r="P30" s="527"/>
      <c r="Q30" s="609">
        <f>IFERROR(VLOOKUP($B27,'PY1 TFR ADA'!$F:$AU,MATCH("b-6.2",'PY1 TFR ADA'!$F$5:$AU$5,0),FALSE),0)</f>
        <v>0</v>
      </c>
      <c r="R30" s="551"/>
      <c r="S30" s="601">
        <f t="shared" ref="S30:S32" si="17">SUM(G30:Q30)</f>
        <v>0</v>
      </c>
      <c r="T30" s="551"/>
      <c r="U30" s="536">
        <f>ROUND(IF($G36="LCFF Rate",(G30*$C30),(G30*$E30))+IF($I36="LCFF Rate",(I30*$C30),(I30*$E30))+IF($K36="LCFF Rate",(K30*$C30),(K30*$E30))+IF($M36="LCFF Rate",(M30*$C30),(M30*$E30))+IF($O36="LCFF Rate",(O30*$C30),(O30*$E30))+IF($Q36="LCFF Rate",(Q30*$C30),(Q30*$E30)),0)</f>
        <v>0</v>
      </c>
      <c r="V30" s="524"/>
      <c r="X30" s="4"/>
    </row>
    <row r="31" spans="1:24" s="8" customFormat="1" ht="14.4">
      <c r="A31" s="521"/>
      <c r="B31" s="510" t="s">
        <v>3</v>
      </c>
      <c r="C31" s="525">
        <f>IFERROR(VLOOKUP($B27,'PY1 TFR ADA'!$F:$AU,MATCH("A-1.3",'PY1 TFR ADA'!$F$5:$AU$5,0),FALSE),0)</f>
        <v>0</v>
      </c>
      <c r="D31" s="167"/>
      <c r="E31" s="525">
        <f>IFERROR(VALUE(VLOOKUP($B27,'PY1 TFR ADA'!$F:$AU,MATCH("A-2.3",'PY1 TFR ADA'!$F$5:$AU$5,0),FALSE)),0)</f>
        <v>0</v>
      </c>
      <c r="F31" s="167"/>
      <c r="G31" s="609">
        <f>IFERROR(VLOOKUP($B27,'PY1 TFR ADA'!$F:$AU,MATCH("b-1.3",'PY1 TFR ADA'!$F$5:$AU$5,0),FALSE),0)</f>
        <v>0</v>
      </c>
      <c r="H31" s="527"/>
      <c r="I31" s="609">
        <f>IFERROR(VLOOKUP($B27,'PY1 TFR ADA'!$F:$AU,MATCH("b-2.3",'PY1 TFR ADA'!$F$5:$AU$5,0),FALSE),0)</f>
        <v>0</v>
      </c>
      <c r="J31" s="527"/>
      <c r="K31" s="609">
        <f>IFERROR(VLOOKUP($B27,'PY1 TFR ADA'!$F:$AU,MATCH("b-3.3",'PY1 TFR ADA'!$F$5:$AU$5,0),FALSE),0)</f>
        <v>0</v>
      </c>
      <c r="L31" s="527"/>
      <c r="M31" s="609">
        <f>IFERROR(VLOOKUP($B27,'PY1 TFR ADA'!$F:$AU,MATCH("b-4.3",'PY1 TFR ADA'!$F$5:$AU$5,0),FALSE),0)</f>
        <v>0</v>
      </c>
      <c r="N31" s="527"/>
      <c r="O31" s="609">
        <f>IFERROR(VLOOKUP($B27,'PY1 TFR ADA'!$F:$AU,MATCH("b-5.3",'PY1 TFR ADA'!$F$5:$AU$5,0),FALSE),0)</f>
        <v>0</v>
      </c>
      <c r="P31" s="527"/>
      <c r="Q31" s="609">
        <f>IFERROR(VLOOKUP($B27,'PY1 TFR ADA'!$F:$AU,MATCH("b-6.3",'PY1 TFR ADA'!$F$5:$AU$5,0),FALSE),0)</f>
        <v>0</v>
      </c>
      <c r="R31" s="551"/>
      <c r="S31" s="601">
        <f t="shared" si="17"/>
        <v>0</v>
      </c>
      <c r="T31" s="551"/>
      <c r="U31" s="536">
        <f>ROUND(IF($G36="LCFF Rate",(G31*$C31),(G31*$E31))+IF($I36="LCFF Rate",(I31*$C31),(I31*$E31))+IF($K36="LCFF Rate",(K31*$C31),(K31*$E31))+IF($M36="LCFF Rate",(M31*$C31),(M31*$E31))+IF($O36="LCFF Rate",(O31*$C31),(O31*$E31))+IF($Q36="LCFF Rate",(Q31*$C31),(Q31*$E31)),0)</f>
        <v>0</v>
      </c>
      <c r="V31" s="524"/>
      <c r="X31" s="4"/>
    </row>
    <row r="32" spans="1:24" s="8" customFormat="1" ht="14.4">
      <c r="A32" s="526"/>
      <c r="B32" s="510" t="s">
        <v>4</v>
      </c>
      <c r="C32" s="525">
        <f>IFERROR(VLOOKUP($B27,'PY1 TFR ADA'!$F:$AU,MATCH("A-1.4",'PY1 TFR ADA'!$F$5:$AU$5,0),FALSE),0)</f>
        <v>0</v>
      </c>
      <c r="D32" s="523"/>
      <c r="E32" s="525">
        <f>IFERROR(VALUE(VLOOKUP($B27,'PY1 TFR ADA'!$F:$AU,MATCH("A-2.4",'PY1 TFR ADA'!$F$5:$AU$5,0),FALSE)),0)</f>
        <v>0</v>
      </c>
      <c r="F32" s="523"/>
      <c r="G32" s="609">
        <f>IFERROR(VLOOKUP($B27,'PY1 TFR ADA'!$F:$AU,MATCH("b-1.4",'PY1 TFR ADA'!$F$5:$AU$5,0),FALSE),0)</f>
        <v>0</v>
      </c>
      <c r="H32" s="527"/>
      <c r="I32" s="609">
        <f>IFERROR(VLOOKUP($B27,'PY1 TFR ADA'!$F:$AU,MATCH("b-2.4",'PY1 TFR ADA'!$F$5:$AU$5,0),FALSE),0)</f>
        <v>0</v>
      </c>
      <c r="J32" s="527"/>
      <c r="K32" s="609">
        <f>IFERROR(VLOOKUP($B27,'PY1 TFR ADA'!$F:$AU,MATCH("b-3.4",'PY1 TFR ADA'!$F$5:$AU$5,0),FALSE),0)</f>
        <v>0</v>
      </c>
      <c r="L32" s="527"/>
      <c r="M32" s="609">
        <f>IFERROR(VLOOKUP($B27,'PY1 TFR ADA'!$F:$AU,MATCH("b-4.4",'PY1 TFR ADA'!$F$5:$AU$5,0),FALSE),0)</f>
        <v>0</v>
      </c>
      <c r="N32" s="527"/>
      <c r="O32" s="609">
        <f>IFERROR(VLOOKUP($B27,'PY1 TFR ADA'!$F:$AU,MATCH("b-5.4",'PY1 TFR ADA'!$F$5:$AU$5,0),FALSE),0)</f>
        <v>0</v>
      </c>
      <c r="P32" s="527"/>
      <c r="Q32" s="609">
        <f>IFERROR(VLOOKUP($B27,'PY1 TFR ADA'!$F:$AU,MATCH("b-6.4",'PY1 TFR ADA'!$F$5:$AU$5,0),FALSE),0)</f>
        <v>0</v>
      </c>
      <c r="R32" s="551"/>
      <c r="S32" s="601">
        <f t="shared" si="17"/>
        <v>0</v>
      </c>
      <c r="T32" s="551"/>
      <c r="U32" s="536">
        <f>ROUND(IF($G36="LCFF Rate",(G32*$C32),(G32*$E32))+IF($I36="LCFF Rate",(I32*$C32),(I32*$E32))+IF($K36="LCFF Rate",(K32*$C32),(K32*$E32))+IF($M36="LCFF Rate",(M32*$C32),(M32*$E32))+IF($O36="LCFF Rate",(O32*$C32),(O32*$E32))+IF($Q36="LCFF Rate",(Q32*$C32),(Q32*$E32)),0)</f>
        <v>0</v>
      </c>
      <c r="V32" s="522"/>
      <c r="X32" s="496"/>
    </row>
    <row r="33" spans="1:24" s="8" customFormat="1" ht="8.25" customHeight="1">
      <c r="A33" s="521"/>
      <c r="B33" s="167"/>
      <c r="C33" s="165"/>
      <c r="D33" s="523"/>
      <c r="E33" s="165"/>
      <c r="F33" s="523"/>
      <c r="G33" s="520"/>
      <c r="H33" s="523"/>
      <c r="I33" s="520"/>
      <c r="J33" s="523"/>
      <c r="K33" s="520"/>
      <c r="L33" s="523"/>
      <c r="M33" s="520"/>
      <c r="N33" s="523"/>
      <c r="O33" s="520"/>
      <c r="P33" s="523"/>
      <c r="Q33" s="520"/>
      <c r="R33" s="167"/>
      <c r="S33" s="520"/>
      <c r="T33" s="167"/>
      <c r="U33" s="602"/>
      <c r="V33" s="522"/>
      <c r="X33" s="4"/>
    </row>
    <row r="34" spans="1:24" s="8" customFormat="1" ht="14.4">
      <c r="A34" s="521"/>
      <c r="B34" s="167"/>
      <c r="C34" s="165"/>
      <c r="D34" s="523"/>
      <c r="E34" s="513" t="s">
        <v>1317</v>
      </c>
      <c r="F34" s="523"/>
      <c r="G34" s="601">
        <f>SUM(G29:G32)</f>
        <v>0</v>
      </c>
      <c r="H34" s="527"/>
      <c r="I34" s="601">
        <f>SUM(I29:I32)</f>
        <v>0</v>
      </c>
      <c r="J34" s="527"/>
      <c r="K34" s="601">
        <f>SUM(K29:K32)</f>
        <v>0</v>
      </c>
      <c r="L34" s="527"/>
      <c r="M34" s="601">
        <f>SUM(M29:M32)</f>
        <v>0</v>
      </c>
      <c r="N34" s="527"/>
      <c r="O34" s="601">
        <f>SUM(O29:O32)</f>
        <v>0</v>
      </c>
      <c r="P34" s="527"/>
      <c r="Q34" s="601">
        <f>SUM(Q29:Q32)</f>
        <v>0</v>
      </c>
      <c r="R34" s="527"/>
      <c r="S34" s="601">
        <f>SUM(S29:S32)</f>
        <v>0</v>
      </c>
      <c r="T34" s="527"/>
      <c r="U34" s="536">
        <f>SUM(U29:U32)</f>
        <v>0</v>
      </c>
      <c r="V34" s="522"/>
      <c r="X34" s="4"/>
    </row>
    <row r="35" spans="1:24" s="8" customFormat="1" ht="8.25" customHeight="1">
      <c r="A35" s="521"/>
      <c r="B35" s="167"/>
      <c r="C35" s="165"/>
      <c r="D35" s="523"/>
      <c r="E35" s="165"/>
      <c r="F35" s="523"/>
      <c r="G35" s="520"/>
      <c r="H35" s="523"/>
      <c r="I35" s="520"/>
      <c r="J35" s="523"/>
      <c r="K35" s="520"/>
      <c r="L35" s="523"/>
      <c r="M35" s="520"/>
      <c r="N35" s="523"/>
      <c r="O35" s="520"/>
      <c r="P35" s="523"/>
      <c r="Q35" s="520"/>
      <c r="R35" s="167"/>
      <c r="S35" s="520"/>
      <c r="T35" s="167"/>
      <c r="U35" s="528"/>
      <c r="V35" s="522"/>
      <c r="X35" s="4"/>
    </row>
    <row r="36" spans="1:24" s="8" customFormat="1" ht="16.5" customHeight="1">
      <c r="A36" s="521"/>
      <c r="B36" s="167"/>
      <c r="C36" s="165"/>
      <c r="E36" s="513" t="s">
        <v>1304</v>
      </c>
      <c r="F36" s="523"/>
      <c r="G36" s="977">
        <f>_xlfn.IFNA(IF(VLOOKUP($B27,'PY1 TFR ADA'!$F:$AU,MATCH("B-1.5",'PY1 TFR ADA'!$F$5:$AU$5,0),FALSE)=TRUE,IF(VLOOKUP($B27,'PY1 TFR ADA'!$F:$AU,MATCH("C-1",'PY1 TFR ADA'!$F$5:$AU$5,0),FALSE)=TRUE,"Alternative Rate","LCFF Rate"),"LCFF Rate"),0)</f>
        <v>0</v>
      </c>
      <c r="H36" s="523"/>
      <c r="I36" s="977">
        <f>_xlfn.IFNA(IF(VLOOKUP($B27,'PY1 TFR ADA'!$F:$AU,MATCH("B-2.5",'PY1 TFR ADA'!$F$5:$AU$5,0),FALSE)=TRUE,IF(VLOOKUP($B27,'PY1 TFR ADA'!$F:$AU,MATCH("C-1",'PY1 TFR ADA'!$F$5:$AU$5,0),FALSE)=TRUE,"Alternative Rate","LCFF Rate"),"LCFF Rate"),0)</f>
        <v>0</v>
      </c>
      <c r="J36" s="523"/>
      <c r="K36" s="977">
        <f>_xlfn.IFNA(IF(VLOOKUP($B27,'PY1 TFR ADA'!$F:$AU,MATCH("B-3.5",'PY1 TFR ADA'!$F$5:$AU$5,0),FALSE)=TRUE,IF(VLOOKUP($B27,'PY1 TFR ADA'!$F:$AU,MATCH("C-1",'PY1 TFR ADA'!$F$5:$AU$5,0),FALSE)=TRUE,"Alternative Rate","LCFF Rate"),"LCFF Rate"),0)</f>
        <v>0</v>
      </c>
      <c r="L36" s="523"/>
      <c r="M36" s="977">
        <f>_xlfn.IFNA(IF(VLOOKUP($B27,'PY1 TFR ADA'!$F:$AU,MATCH("B-4.5",'PY1 TFR ADA'!$F$5:$AU$5,0),FALSE)=TRUE,IF(VLOOKUP($B27,'PY1 TFR ADA'!$F:$AU,MATCH("C-1",'PY1 TFR ADA'!$F$5:$AU$5,0),FALSE)=TRUE,"Alternative Rate","LCFF Rate"),"LCFF Rate"),0)</f>
        <v>0</v>
      </c>
      <c r="N36" s="523"/>
      <c r="O36" s="977">
        <f>_xlfn.IFNA(IF(VLOOKUP($B27,'PY1 TFR ADA'!$F:$AU,MATCH("B-5.5",'PY1 TFR ADA'!$F$5:$AU$5,0),FALSE)=TRUE,IF(VLOOKUP($B27,'PY1 TFR ADA'!$F:$AU,MATCH("C-1",'PY1 TFR ADA'!$F$5:$AU$5,0),FALSE)=TRUE,"Alternative Rate","LCFF Rate"),"LCFF Rate"),0)</f>
        <v>0</v>
      </c>
      <c r="P36" s="523"/>
      <c r="Q36" s="977">
        <f>_xlfn.IFNA(IF(VLOOKUP($B27,'PY1 TFR ADA'!$F:$AU,MATCH("B-6.5",'PY1 TFR ADA'!$F$5:$AU$5,0),FALSE)=TRUE,IF(VLOOKUP($B27,'PY1 TFR ADA'!$F:$AU,MATCH("C-1",'PY1 TFR ADA'!$F$5:$AU$5,0),FALSE)=TRUE,"Alternative Rate","LCFF Rate"),"LCFF Rate"),0)</f>
        <v>0</v>
      </c>
      <c r="R36" s="167"/>
      <c r="S36" s="520"/>
      <c r="T36" s="167"/>
      <c r="U36" s="528"/>
      <c r="V36" s="522"/>
      <c r="X36" s="283"/>
    </row>
    <row r="37" spans="1:24" s="8" customFormat="1" ht="8.25" customHeight="1">
      <c r="A37" s="521"/>
      <c r="B37" s="167"/>
      <c r="C37" s="165"/>
      <c r="D37" s="523"/>
      <c r="E37" s="165"/>
      <c r="F37" s="523"/>
      <c r="G37" s="520"/>
      <c r="H37" s="523"/>
      <c r="I37" s="520"/>
      <c r="J37" s="523"/>
      <c r="K37" s="520"/>
      <c r="L37" s="523"/>
      <c r="M37" s="520"/>
      <c r="N37" s="523"/>
      <c r="O37" s="520"/>
      <c r="P37" s="523"/>
      <c r="Q37" s="520"/>
      <c r="R37" s="167"/>
      <c r="S37" s="520"/>
      <c r="T37" s="167"/>
      <c r="U37" s="528"/>
      <c r="V37" s="522"/>
      <c r="X37" s="4"/>
    </row>
    <row r="38" spans="1:24" s="8" customFormat="1" ht="16.8">
      <c r="A38" s="521"/>
      <c r="B38" s="2"/>
      <c r="F38" s="523"/>
      <c r="G38" s="535">
        <f>IF(G36="LCFF Rate",(G29*C29+G30*C30+G31*C31+G32*C32),(G34*E32))</f>
        <v>0</v>
      </c>
      <c r="H38" s="537"/>
      <c r="I38" s="535">
        <f>IF(I36="LCFF Rate",(I29*C29+I30*C30+I31*C31+I32*C32),(I34*E32))</f>
        <v>0</v>
      </c>
      <c r="J38" s="537"/>
      <c r="K38" s="535">
        <f>IF(K36="LCFF Rate",(K29*C29+K30*C30+K31*C31+K32*C32),(K34*E32))</f>
        <v>0</v>
      </c>
      <c r="L38" s="537"/>
      <c r="M38" s="535">
        <f>IF(M36="LCFF Rate",(M29*C29+M30*C30+M31*C31+M32*C32),(M34*E32))</f>
        <v>0</v>
      </c>
      <c r="N38" s="537"/>
      <c r="O38" s="535">
        <f>IF(O36="LCFF Rate",(O29*C29+O30*C30+O31*C31+O32*C32),(O34*E32))</f>
        <v>0</v>
      </c>
      <c r="P38" s="537"/>
      <c r="Q38" s="535">
        <f>IF(Q36="LCFF Rate",(Q29*C29+Q30*C30+Q31*C31+Q32*C32),(Q34*E32))</f>
        <v>0</v>
      </c>
      <c r="R38" s="167"/>
      <c r="S38" s="538">
        <f>SUM(G38:Q38)</f>
        <v>0</v>
      </c>
      <c r="T38" s="167"/>
      <c r="U38" s="528"/>
      <c r="V38" s="522"/>
      <c r="X38" s="979"/>
    </row>
    <row r="39" spans="1:24" s="8" customFormat="1" ht="9" customHeight="1" thickBot="1">
      <c r="A39" s="529"/>
      <c r="B39" s="530"/>
      <c r="C39" s="531"/>
      <c r="D39" s="532"/>
      <c r="E39" s="533"/>
      <c r="F39" s="532"/>
      <c r="G39" s="530"/>
      <c r="H39" s="532"/>
      <c r="I39" s="530"/>
      <c r="J39" s="532"/>
      <c r="K39" s="530"/>
      <c r="L39" s="532"/>
      <c r="M39" s="530"/>
      <c r="N39" s="532"/>
      <c r="O39" s="530"/>
      <c r="P39" s="532"/>
      <c r="Q39" s="530"/>
      <c r="R39" s="532"/>
      <c r="S39" s="530"/>
      <c r="T39" s="532"/>
      <c r="U39" s="532"/>
      <c r="V39" s="534"/>
      <c r="X39" s="4"/>
    </row>
    <row r="40" spans="1:24" s="82" customFormat="1" ht="18" customHeight="1" thickBot="1">
      <c r="A40" s="890">
        <f>+A27+1</f>
        <v>3</v>
      </c>
      <c r="B40" s="891" t="str">
        <f>'Data Entry'!$B$3&amp;"-"&amp;C40</f>
        <v>-</v>
      </c>
      <c r="C40" s="891" t="str">
        <f>IFERROR(VLOOKUP('Data Entry'!$B$3&amp;"-"&amp;A40,'PY1 TFR ADA'!$D:$AT,2,FALSE),"")</f>
        <v/>
      </c>
      <c r="D40" s="892" t="str">
        <f>IFERROR(VLOOKUP('Data Entry'!$B$3&amp;"-"&amp;A40,'PY1 TFR ADA'!$D:$AT,4,FALSE),"")</f>
        <v/>
      </c>
      <c r="E40" s="893"/>
      <c r="F40" s="893"/>
      <c r="G40" s="893"/>
      <c r="H40" s="893"/>
      <c r="I40" s="893"/>
      <c r="J40" s="893"/>
      <c r="K40" s="893"/>
      <c r="L40" s="893"/>
      <c r="M40" s="893"/>
      <c r="N40" s="893"/>
      <c r="O40" s="893"/>
      <c r="P40" s="893"/>
      <c r="Q40" s="893"/>
      <c r="R40" s="893"/>
      <c r="S40" s="893"/>
      <c r="T40" s="893"/>
      <c r="U40" s="893"/>
      <c r="V40" s="894"/>
      <c r="X40" s="83"/>
    </row>
    <row r="41" spans="1:24" ht="75" customHeight="1">
      <c r="A41" s="521"/>
      <c r="C41" s="540" t="s">
        <v>1315</v>
      </c>
      <c r="D41" s="512"/>
      <c r="E41" s="540" t="s">
        <v>1316</v>
      </c>
      <c r="F41" s="512"/>
      <c r="G41" s="540" t="s">
        <v>1309</v>
      </c>
      <c r="H41" s="512"/>
      <c r="I41" s="540" t="s">
        <v>1310</v>
      </c>
      <c r="J41" s="512"/>
      <c r="K41" s="540" t="s">
        <v>1311</v>
      </c>
      <c r="L41" s="512"/>
      <c r="M41" s="540" t="s">
        <v>1312</v>
      </c>
      <c r="N41" s="512"/>
      <c r="O41" s="540" t="s">
        <v>1313</v>
      </c>
      <c r="P41" s="512"/>
      <c r="Q41" s="540" t="s">
        <v>1314</v>
      </c>
      <c r="R41" s="167"/>
      <c r="S41" s="540" t="s">
        <v>1308</v>
      </c>
      <c r="T41" s="167"/>
      <c r="U41" s="512" t="s">
        <v>1307</v>
      </c>
      <c r="V41" s="524"/>
      <c r="X41" s="283"/>
    </row>
    <row r="42" spans="1:24" s="8" customFormat="1" ht="14.4">
      <c r="A42" s="521"/>
      <c r="B42" s="510" t="s">
        <v>94</v>
      </c>
      <c r="C42" s="525">
        <f>IFERROR(VLOOKUP($B40,'PY1 TFR ADA'!$F:$AU,MATCH("A-1.1",'PY1 TFR ADA'!$F$5:$AU$5,0),FALSE),0)</f>
        <v>0</v>
      </c>
      <c r="D42" s="167"/>
      <c r="E42" s="525">
        <f>IFERROR(VALUE(VLOOKUP($B40,'PY1 TFR ADA'!$F:$AU,MATCH("A-2.1",'PY1 TFR ADA'!$F$5:$AU$5,0),FALSE)),0)</f>
        <v>0</v>
      </c>
      <c r="F42" s="167"/>
      <c r="G42" s="609">
        <f>IFERROR(VLOOKUP($B40,'PY1 TFR ADA'!$F:$AU,MATCH("b-1.1",'PY1 TFR ADA'!$F$5:$AU$5,0),FALSE),0)</f>
        <v>0</v>
      </c>
      <c r="H42" s="527"/>
      <c r="I42" s="609">
        <f>IFERROR(VLOOKUP($B40,'PY1 TFR ADA'!$F:$AU,MATCH("b-2.1",'PY1 TFR ADA'!$F$5:$AU$5,0),FALSE),0)</f>
        <v>0</v>
      </c>
      <c r="J42" s="527"/>
      <c r="K42" s="609">
        <f>IFERROR(VLOOKUP($B40,'PY1 TFR ADA'!$F:$AU,MATCH("b-3.1",'PY1 TFR ADA'!$F$5:$AU$5,0),FALSE),0)</f>
        <v>0</v>
      </c>
      <c r="L42" s="527"/>
      <c r="M42" s="609">
        <f>IFERROR(VLOOKUP($B40,'PY1 TFR ADA'!$F:$AU,MATCH("b-4.1",'PY1 TFR ADA'!$F$5:$AU$5,0),FALSE),0)</f>
        <v>0</v>
      </c>
      <c r="N42" s="527"/>
      <c r="O42" s="609">
        <f>IFERROR(VLOOKUP($B40,'PY1 TFR ADA'!$F:$AU,MATCH("b-5.1",'PY1 TFR ADA'!$F$5:$AU$5,0),FALSE),0)</f>
        <v>0</v>
      </c>
      <c r="P42" s="527"/>
      <c r="Q42" s="609">
        <f>IFERROR(VLOOKUP($B40,'PY1 TFR ADA'!$F:$AU,MATCH("b-6.1",'PY1 TFR ADA'!$F$5:$AU$5,0),FALSE),0)</f>
        <v>0</v>
      </c>
      <c r="R42" s="551"/>
      <c r="S42" s="601">
        <f t="shared" ref="S42:S45" si="18">SUM(G42:Q42)</f>
        <v>0</v>
      </c>
      <c r="T42" s="551"/>
      <c r="U42" s="536">
        <f t="shared" ref="U42" si="19">ROUND(IF($G49="LCFF Rate",(G42*$C42),(G42*$E42))+IF($I49="LCFF Rate",(I42*$C42),(I42*$E42))+IF($K49="LCFF Rate",(K42*$C42),(K42*$E42))+IF($M49="LCFF Rate",(M42*$C42),(M42*$E42))+IF($O49="LCFF Rate",(O42*$C42),(O42*$E42))+IF($Q49="LCFF Rate",(Q42*$C42),(Q42*$E42)),0)</f>
        <v>0</v>
      </c>
      <c r="V42" s="524"/>
      <c r="X42" s="496"/>
    </row>
    <row r="43" spans="1:24" s="8" customFormat="1" ht="14.4">
      <c r="A43" s="521"/>
      <c r="B43" s="510" t="s">
        <v>2</v>
      </c>
      <c r="C43" s="525">
        <f>IFERROR(VLOOKUP($B40,'PY1 TFR ADA'!$F:$AU,MATCH("A-1.2",'PY1 TFR ADA'!$F$5:$AU$5,0),FALSE),0)</f>
        <v>0</v>
      </c>
      <c r="D43" s="167"/>
      <c r="E43" s="525">
        <f>IFERROR(VALUE(VLOOKUP($B40,'PY1 TFR ADA'!$F:$AU,MATCH("A-2.2",'PY1 TFR ADA'!$F$5:$AU$5,0),FALSE)),0)</f>
        <v>0</v>
      </c>
      <c r="F43" s="167"/>
      <c r="G43" s="609">
        <f>IFERROR(VLOOKUP($B40,'PY1 TFR ADA'!$F:$AU,MATCH("b-1.2",'PY1 TFR ADA'!$F$5:$AU$5,0),FALSE),0)</f>
        <v>0</v>
      </c>
      <c r="H43" s="527"/>
      <c r="I43" s="609">
        <f>IFERROR(VLOOKUP($B40,'PY1 TFR ADA'!$F:$AU,MATCH("b-2.2",'PY1 TFR ADA'!$F$5:$AU$5,0),FALSE),0)</f>
        <v>0</v>
      </c>
      <c r="J43" s="527"/>
      <c r="K43" s="609">
        <f>IFERROR(VLOOKUP($B40,'PY1 TFR ADA'!$F:$AU,MATCH("b-3.2",'PY1 TFR ADA'!$F$5:$AU$5,0),FALSE),0)</f>
        <v>0</v>
      </c>
      <c r="L43" s="527"/>
      <c r="M43" s="609">
        <f>IFERROR(VLOOKUP($B40,'PY1 TFR ADA'!$F:$AU,MATCH("b-4.2",'PY1 TFR ADA'!$F$5:$AU$5,0),FALSE),0)</f>
        <v>0</v>
      </c>
      <c r="N43" s="527"/>
      <c r="O43" s="609">
        <f>IFERROR(VLOOKUP($B40,'PY1 TFR ADA'!$F:$AU,MATCH("b-5.2",'PY1 TFR ADA'!$F$5:$AU$5,0),FALSE),0)</f>
        <v>0</v>
      </c>
      <c r="P43" s="527"/>
      <c r="Q43" s="609">
        <f>IFERROR(VLOOKUP($B40,'PY1 TFR ADA'!$F:$AU,MATCH("b-6.2",'PY1 TFR ADA'!$F$5:$AU$5,0),FALSE),0)</f>
        <v>0</v>
      </c>
      <c r="R43" s="551"/>
      <c r="S43" s="601">
        <f t="shared" si="18"/>
        <v>0</v>
      </c>
      <c r="T43" s="551"/>
      <c r="U43" s="536">
        <f t="shared" ref="U43" si="20">ROUND(IF($G49="LCFF Rate",(G43*$C43),(G43*$E43))+IF($I49="LCFF Rate",(I43*$C43),(I43*$E43))+IF($K49="LCFF Rate",(K43*$C43),(K43*$E43))+IF($M49="LCFF Rate",(M43*$C43),(M43*$E43))+IF($O49="LCFF Rate",(O43*$C43),(O43*$E43))+IF($Q49="LCFF Rate",(Q43*$C43),(Q43*$E43)),0)</f>
        <v>0</v>
      </c>
      <c r="V43" s="524"/>
      <c r="X43" s="4"/>
    </row>
    <row r="44" spans="1:24" s="8" customFormat="1" ht="14.4">
      <c r="A44" s="521"/>
      <c r="B44" s="510" t="s">
        <v>3</v>
      </c>
      <c r="C44" s="525">
        <f>IFERROR(VLOOKUP($B40,'PY1 TFR ADA'!$F:$AU,MATCH("A-1.3",'PY1 TFR ADA'!$F$5:$AU$5,0),FALSE),0)</f>
        <v>0</v>
      </c>
      <c r="D44" s="167"/>
      <c r="E44" s="525">
        <f>IFERROR(VALUE(VLOOKUP($B40,'PY1 TFR ADA'!$F:$AU,MATCH("A-2.3",'PY1 TFR ADA'!$F$5:$AU$5,0),FALSE)),0)</f>
        <v>0</v>
      </c>
      <c r="F44" s="167"/>
      <c r="G44" s="609">
        <f>IFERROR(VLOOKUP($B40,'PY1 TFR ADA'!$F:$AU,MATCH("b-1.3",'PY1 TFR ADA'!$F$5:$AU$5,0),FALSE),0)</f>
        <v>0</v>
      </c>
      <c r="H44" s="527"/>
      <c r="I44" s="609">
        <f>IFERROR(VLOOKUP($B40,'PY1 TFR ADA'!$F:$AU,MATCH("b-2.3",'PY1 TFR ADA'!$F$5:$AU$5,0),FALSE),0)</f>
        <v>0</v>
      </c>
      <c r="J44" s="527"/>
      <c r="K44" s="609">
        <f>IFERROR(VLOOKUP($B40,'PY1 TFR ADA'!$F:$AU,MATCH("b-3.3",'PY1 TFR ADA'!$F$5:$AU$5,0),FALSE),0)</f>
        <v>0</v>
      </c>
      <c r="L44" s="527"/>
      <c r="M44" s="609">
        <f>IFERROR(VLOOKUP($B40,'PY1 TFR ADA'!$F:$AU,MATCH("b-4.3",'PY1 TFR ADA'!$F$5:$AU$5,0),FALSE),0)</f>
        <v>0</v>
      </c>
      <c r="N44" s="527"/>
      <c r="O44" s="609">
        <f>IFERROR(VLOOKUP($B40,'PY1 TFR ADA'!$F:$AU,MATCH("b-5.3",'PY1 TFR ADA'!$F$5:$AU$5,0),FALSE),0)</f>
        <v>0</v>
      </c>
      <c r="P44" s="527"/>
      <c r="Q44" s="609">
        <f>IFERROR(VLOOKUP($B40,'PY1 TFR ADA'!$F:$AU,MATCH("b-6.3",'PY1 TFR ADA'!$F$5:$AU$5,0),FALSE),0)</f>
        <v>0</v>
      </c>
      <c r="R44" s="551"/>
      <c r="S44" s="601">
        <f t="shared" si="18"/>
        <v>0</v>
      </c>
      <c r="T44" s="551"/>
      <c r="U44" s="536">
        <f t="shared" ref="U44" si="21">ROUND(IF($G49="LCFF Rate",(G44*$C44),(G44*$E44))+IF($I49="LCFF Rate",(I44*$C44),(I44*$E44))+IF($K49="LCFF Rate",(K44*$C44),(K44*$E44))+IF($M49="LCFF Rate",(M44*$C44),(M44*$E44))+IF($O49="LCFF Rate",(O44*$C44),(O44*$E44))+IF($Q49="LCFF Rate",(Q44*$C44),(Q44*$E44)),0)</f>
        <v>0</v>
      </c>
      <c r="V44" s="524"/>
      <c r="X44" s="4"/>
    </row>
    <row r="45" spans="1:24" s="8" customFormat="1" ht="14.4">
      <c r="A45" s="526"/>
      <c r="B45" s="510" t="s">
        <v>4</v>
      </c>
      <c r="C45" s="525">
        <f>IFERROR(VLOOKUP($B40,'PY1 TFR ADA'!$F:$AU,MATCH("A-1.4",'PY1 TFR ADA'!$F$5:$AU$5,0),FALSE),0)</f>
        <v>0</v>
      </c>
      <c r="D45" s="523"/>
      <c r="E45" s="525">
        <f>IFERROR(VALUE(VLOOKUP($B40,'PY1 TFR ADA'!$F:$AU,MATCH("A-2.4",'PY1 TFR ADA'!$F$5:$AU$5,0),FALSE)),0)</f>
        <v>0</v>
      </c>
      <c r="F45" s="523"/>
      <c r="G45" s="609">
        <f>IFERROR(VLOOKUP($B40,'PY1 TFR ADA'!$F:$AU,MATCH("b-1.4",'PY1 TFR ADA'!$F$5:$AU$5,0),FALSE),0)</f>
        <v>0</v>
      </c>
      <c r="H45" s="527"/>
      <c r="I45" s="609">
        <f>IFERROR(VLOOKUP($B40,'PY1 TFR ADA'!$F:$AU,MATCH("b-2.4",'PY1 TFR ADA'!$F$5:$AU$5,0),FALSE),0)</f>
        <v>0</v>
      </c>
      <c r="J45" s="527"/>
      <c r="K45" s="609">
        <f>IFERROR(VLOOKUP($B40,'PY1 TFR ADA'!$F:$AU,MATCH("b-3.4",'PY1 TFR ADA'!$F$5:$AU$5,0),FALSE),0)</f>
        <v>0</v>
      </c>
      <c r="L45" s="527"/>
      <c r="M45" s="609">
        <f>IFERROR(VLOOKUP($B40,'PY1 TFR ADA'!$F:$AU,MATCH("b-4.4",'PY1 TFR ADA'!$F$5:$AU$5,0),FALSE),0)</f>
        <v>0</v>
      </c>
      <c r="N45" s="527"/>
      <c r="O45" s="609">
        <f>IFERROR(VLOOKUP($B40,'PY1 TFR ADA'!$F:$AU,MATCH("b-5.4",'PY1 TFR ADA'!$F$5:$AU$5,0),FALSE),0)</f>
        <v>0</v>
      </c>
      <c r="P45" s="527"/>
      <c r="Q45" s="609">
        <f>IFERROR(VLOOKUP($B40,'PY1 TFR ADA'!$F:$AU,MATCH("b-6.4",'PY1 TFR ADA'!$F$5:$AU$5,0),FALSE),0)</f>
        <v>0</v>
      </c>
      <c r="R45" s="551"/>
      <c r="S45" s="601">
        <f t="shared" si="18"/>
        <v>0</v>
      </c>
      <c r="T45" s="551"/>
      <c r="U45" s="536">
        <f t="shared" ref="U45" si="22">ROUND(IF($G49="LCFF Rate",(G45*$C45),(G45*$E45))+IF($I49="LCFF Rate",(I45*$C45),(I45*$E45))+IF($K49="LCFF Rate",(K45*$C45),(K45*$E45))+IF($M49="LCFF Rate",(M45*$C45),(M45*$E45))+IF($O49="LCFF Rate",(O45*$C45),(O45*$E45))+IF($Q49="LCFF Rate",(Q45*$C45),(Q45*$E45)),0)</f>
        <v>0</v>
      </c>
      <c r="V45" s="522"/>
      <c r="X45" s="496"/>
    </row>
    <row r="46" spans="1:24" s="8" customFormat="1" ht="8.25" customHeight="1">
      <c r="A46" s="521"/>
      <c r="B46" s="167"/>
      <c r="C46" s="165"/>
      <c r="D46" s="523"/>
      <c r="E46" s="165"/>
      <c r="F46" s="523"/>
      <c r="G46" s="520"/>
      <c r="H46" s="523"/>
      <c r="I46" s="520"/>
      <c r="J46" s="523"/>
      <c r="K46" s="520"/>
      <c r="L46" s="523"/>
      <c r="M46" s="520"/>
      <c r="N46" s="523"/>
      <c r="O46" s="520"/>
      <c r="P46" s="523"/>
      <c r="Q46" s="520"/>
      <c r="R46" s="167"/>
      <c r="S46" s="520"/>
      <c r="T46" s="167"/>
      <c r="U46" s="602"/>
      <c r="V46" s="522"/>
      <c r="X46" s="4"/>
    </row>
    <row r="47" spans="1:24" s="8" customFormat="1" ht="14.4">
      <c r="A47" s="521"/>
      <c r="B47" s="167"/>
      <c r="C47" s="165"/>
      <c r="D47" s="523"/>
      <c r="E47" s="513" t="s">
        <v>1317</v>
      </c>
      <c r="F47" s="523"/>
      <c r="G47" s="601">
        <f t="shared" ref="G47" si="23">SUM(G42:G45)</f>
        <v>0</v>
      </c>
      <c r="H47" s="527"/>
      <c r="I47" s="601">
        <f t="shared" ref="I47" si="24">SUM(I42:I45)</f>
        <v>0</v>
      </c>
      <c r="J47" s="527"/>
      <c r="K47" s="601">
        <f t="shared" ref="K47" si="25">SUM(K42:K45)</f>
        <v>0</v>
      </c>
      <c r="L47" s="527"/>
      <c r="M47" s="601">
        <f t="shared" ref="M47" si="26">SUM(M42:M45)</f>
        <v>0</v>
      </c>
      <c r="N47" s="527"/>
      <c r="O47" s="601">
        <f t="shared" ref="O47" si="27">SUM(O42:O45)</f>
        <v>0</v>
      </c>
      <c r="P47" s="527"/>
      <c r="Q47" s="601">
        <f t="shared" ref="Q47" si="28">SUM(Q42:Q45)</f>
        <v>0</v>
      </c>
      <c r="R47" s="527"/>
      <c r="S47" s="601">
        <f t="shared" ref="S47" si="29">SUM(S42:S45)</f>
        <v>0</v>
      </c>
      <c r="T47" s="527"/>
      <c r="U47" s="536">
        <f t="shared" ref="U47" si="30">SUM(U42:U45)</f>
        <v>0</v>
      </c>
      <c r="V47" s="522"/>
      <c r="X47" s="4"/>
    </row>
    <row r="48" spans="1:24" s="8" customFormat="1" ht="8.25" customHeight="1">
      <c r="A48" s="521"/>
      <c r="B48" s="167"/>
      <c r="C48" s="165"/>
      <c r="D48" s="523"/>
      <c r="E48" s="165"/>
      <c r="F48" s="523"/>
      <c r="G48" s="520"/>
      <c r="H48" s="523"/>
      <c r="I48" s="520"/>
      <c r="J48" s="523"/>
      <c r="K48" s="520"/>
      <c r="L48" s="523"/>
      <c r="M48" s="520"/>
      <c r="N48" s="523"/>
      <c r="O48" s="520"/>
      <c r="P48" s="523"/>
      <c r="Q48" s="520"/>
      <c r="R48" s="167"/>
      <c r="S48" s="520"/>
      <c r="T48" s="167"/>
      <c r="U48" s="528"/>
      <c r="V48" s="522"/>
      <c r="X48" s="4"/>
    </row>
    <row r="49" spans="1:24" s="8" customFormat="1" ht="16.5" customHeight="1">
      <c r="A49" s="521"/>
      <c r="B49" s="167"/>
      <c r="C49" s="165"/>
      <c r="E49" s="513" t="s">
        <v>1304</v>
      </c>
      <c r="F49" s="523"/>
      <c r="G49" s="977">
        <f>_xlfn.IFNA(IF(VLOOKUP($B40,'PY1 TFR ADA'!$F:$AU,MATCH("B-1.5",'PY1 TFR ADA'!$F$5:$AU$5,0),FALSE)=TRUE,IF(VLOOKUP($B40,'PY1 TFR ADA'!$F:$AU,MATCH("C-1",'PY1 TFR ADA'!$F$5:$AU$5,0),FALSE)=TRUE,"Alternative Rate","LCFF Rate"),"LCFF Rate"),0)</f>
        <v>0</v>
      </c>
      <c r="H49" s="523"/>
      <c r="I49" s="977">
        <f>_xlfn.IFNA(IF(VLOOKUP($B40,'PY1 TFR ADA'!$F:$AU,MATCH("B-2.5",'PY1 TFR ADA'!$F$5:$AU$5,0),FALSE)=TRUE,IF(VLOOKUP($B40,'PY1 TFR ADA'!$F:$AU,MATCH("C-1",'PY1 TFR ADA'!$F$5:$AU$5,0),FALSE)=TRUE,"Alternative Rate","LCFF Rate"),"LCFF Rate"),0)</f>
        <v>0</v>
      </c>
      <c r="J49" s="523"/>
      <c r="K49" s="977">
        <f>_xlfn.IFNA(IF(VLOOKUP($B40,'PY1 TFR ADA'!$F:$AU,MATCH("B-3.5",'PY1 TFR ADA'!$F$5:$AU$5,0),FALSE)=TRUE,IF(VLOOKUP($B40,'PY1 TFR ADA'!$F:$AU,MATCH("C-1",'PY1 TFR ADA'!$F$5:$AU$5,0),FALSE)=TRUE,"Alternative Rate","LCFF Rate"),"LCFF Rate"),0)</f>
        <v>0</v>
      </c>
      <c r="L49" s="523"/>
      <c r="M49" s="977">
        <f>_xlfn.IFNA(IF(VLOOKUP($B40,'PY1 TFR ADA'!$F:$AU,MATCH("B-4.5",'PY1 TFR ADA'!$F$5:$AU$5,0),FALSE)=TRUE,IF(VLOOKUP($B40,'PY1 TFR ADA'!$F:$AU,MATCH("C-1",'PY1 TFR ADA'!$F$5:$AU$5,0),FALSE)=TRUE,"Alternative Rate","LCFF Rate"),"LCFF Rate"),0)</f>
        <v>0</v>
      </c>
      <c r="N49" s="523"/>
      <c r="O49" s="977">
        <f>_xlfn.IFNA(IF(VLOOKUP($B40,'PY1 TFR ADA'!$F:$AU,MATCH("B-5.5",'PY1 TFR ADA'!$F$5:$AU$5,0),FALSE)=TRUE,IF(VLOOKUP($B40,'PY1 TFR ADA'!$F:$AU,MATCH("C-1",'PY1 TFR ADA'!$F$5:$AU$5,0),FALSE)=TRUE,"Alternative Rate","LCFF Rate"),"LCFF Rate"),0)</f>
        <v>0</v>
      </c>
      <c r="P49" s="523"/>
      <c r="Q49" s="977">
        <f>_xlfn.IFNA(IF(VLOOKUP($B40,'PY1 TFR ADA'!$F:$AU,MATCH("B-6.5",'PY1 TFR ADA'!$F$5:$AU$5,0),FALSE)=TRUE,IF(VLOOKUP($B40,'PY1 TFR ADA'!$F:$AU,MATCH("C-1",'PY1 TFR ADA'!$F$5:$AU$5,0),FALSE)=TRUE,"Alternative Rate","LCFF Rate"),"LCFF Rate"),0)</f>
        <v>0</v>
      </c>
      <c r="R49" s="167"/>
      <c r="S49" s="520"/>
      <c r="T49" s="167"/>
      <c r="U49" s="528"/>
      <c r="V49" s="522"/>
      <c r="X49" s="283"/>
    </row>
    <row r="50" spans="1:24" s="8" customFormat="1" ht="8.25" customHeight="1">
      <c r="A50" s="521"/>
      <c r="B50" s="167"/>
      <c r="C50" s="165"/>
      <c r="D50" s="523"/>
      <c r="E50" s="165"/>
      <c r="F50" s="523"/>
      <c r="G50" s="520"/>
      <c r="H50" s="523"/>
      <c r="I50" s="520"/>
      <c r="J50" s="523"/>
      <c r="K50" s="520"/>
      <c r="L50" s="523"/>
      <c r="M50" s="520"/>
      <c r="N50" s="523"/>
      <c r="O50" s="520"/>
      <c r="P50" s="523"/>
      <c r="Q50" s="520"/>
      <c r="R50" s="167"/>
      <c r="S50" s="520"/>
      <c r="T50" s="167"/>
      <c r="U50" s="528"/>
      <c r="V50" s="522"/>
      <c r="X50" s="4"/>
    </row>
    <row r="51" spans="1:24" s="8" customFormat="1" ht="16.8">
      <c r="A51" s="521"/>
      <c r="B51" s="2"/>
      <c r="F51" s="523"/>
      <c r="G51" s="535">
        <f t="shared" ref="G51" si="31">IF(G49="LCFF Rate",(G42*C42+G43*C43+G44*C44+G45*C45),(G47*E45))</f>
        <v>0</v>
      </c>
      <c r="H51" s="537"/>
      <c r="I51" s="535">
        <f t="shared" ref="I51" si="32">IF(I49="LCFF Rate",(I42*C42+I43*C43+I44*C44+I45*C45),(I47*E45))</f>
        <v>0</v>
      </c>
      <c r="J51" s="537"/>
      <c r="K51" s="535">
        <f t="shared" ref="K51" si="33">IF(K49="LCFF Rate",(K42*C42+K43*C43+K44*C44+K45*C45),(K47*E45))</f>
        <v>0</v>
      </c>
      <c r="L51" s="537"/>
      <c r="M51" s="535">
        <f t="shared" ref="M51" si="34">IF(M49="LCFF Rate",(M42*C42+M43*C43+M44*C44+M45*C45),(M47*E45))</f>
        <v>0</v>
      </c>
      <c r="N51" s="537"/>
      <c r="O51" s="535">
        <f t="shared" ref="O51" si="35">IF(O49="LCFF Rate",(O42*C42+O43*C43+O44*C44+O45*C45),(O47*E45))</f>
        <v>0</v>
      </c>
      <c r="P51" s="537"/>
      <c r="Q51" s="535">
        <f t="shared" ref="Q51" si="36">IF(Q49="LCFF Rate",(Q42*C42+Q43*C43+Q44*C44+Q45*C45),(Q47*E45))</f>
        <v>0</v>
      </c>
      <c r="R51" s="167"/>
      <c r="S51" s="538">
        <f t="shared" ref="S51" si="37">SUM(G51:Q51)</f>
        <v>0</v>
      </c>
      <c r="T51" s="167"/>
      <c r="U51" s="528"/>
      <c r="V51" s="522"/>
      <c r="X51" s="979"/>
    </row>
    <row r="52" spans="1:24" s="8" customFormat="1" ht="9" customHeight="1" thickBot="1">
      <c r="A52" s="529"/>
      <c r="B52" s="530"/>
      <c r="C52" s="531"/>
      <c r="D52" s="532"/>
      <c r="E52" s="533"/>
      <c r="F52" s="532"/>
      <c r="G52" s="530"/>
      <c r="H52" s="532"/>
      <c r="I52" s="530"/>
      <c r="J52" s="532"/>
      <c r="K52" s="530"/>
      <c r="L52" s="532"/>
      <c r="M52" s="530"/>
      <c r="N52" s="532"/>
      <c r="O52" s="530"/>
      <c r="P52" s="532"/>
      <c r="Q52" s="530"/>
      <c r="R52" s="532"/>
      <c r="S52" s="530"/>
      <c r="T52" s="532"/>
      <c r="U52" s="532"/>
      <c r="V52" s="534"/>
      <c r="X52" s="4"/>
    </row>
    <row r="53" spans="1:24" s="82" customFormat="1" ht="18" customHeight="1" thickBot="1">
      <c r="A53" s="890">
        <f>+A40+1</f>
        <v>4</v>
      </c>
      <c r="B53" s="891" t="str">
        <f>'Data Entry'!$B$3&amp;"-"&amp;C53</f>
        <v>-</v>
      </c>
      <c r="C53" s="891" t="str">
        <f>IFERROR(VLOOKUP('Data Entry'!$B$3&amp;"-"&amp;A53,'PY1 TFR ADA'!$D:$AT,2,FALSE),"")</f>
        <v/>
      </c>
      <c r="D53" s="892" t="str">
        <f>IFERROR(VLOOKUP('Data Entry'!$B$3&amp;"-"&amp;A53,'PY1 TFR ADA'!$D:$AT,4,FALSE),"")</f>
        <v/>
      </c>
      <c r="E53" s="893"/>
      <c r="F53" s="893"/>
      <c r="G53" s="893"/>
      <c r="H53" s="893"/>
      <c r="I53" s="893"/>
      <c r="J53" s="893"/>
      <c r="K53" s="893"/>
      <c r="L53" s="893"/>
      <c r="M53" s="893"/>
      <c r="N53" s="893"/>
      <c r="O53" s="893"/>
      <c r="P53" s="893"/>
      <c r="Q53" s="893"/>
      <c r="R53" s="893"/>
      <c r="S53" s="893"/>
      <c r="T53" s="893"/>
      <c r="U53" s="893"/>
      <c r="V53" s="894"/>
      <c r="X53" s="83"/>
    </row>
    <row r="54" spans="1:24" ht="75" customHeight="1">
      <c r="A54" s="521"/>
      <c r="C54" s="540" t="s">
        <v>1315</v>
      </c>
      <c r="D54" s="512"/>
      <c r="E54" s="540" t="s">
        <v>1316</v>
      </c>
      <c r="F54" s="512"/>
      <c r="G54" s="540" t="s">
        <v>1309</v>
      </c>
      <c r="H54" s="512"/>
      <c r="I54" s="540" t="s">
        <v>1310</v>
      </c>
      <c r="J54" s="512"/>
      <c r="K54" s="540" t="s">
        <v>1311</v>
      </c>
      <c r="L54" s="512"/>
      <c r="M54" s="540" t="s">
        <v>1312</v>
      </c>
      <c r="N54" s="512"/>
      <c r="O54" s="540" t="s">
        <v>1313</v>
      </c>
      <c r="P54" s="512"/>
      <c r="Q54" s="540" t="s">
        <v>1314</v>
      </c>
      <c r="R54" s="167"/>
      <c r="S54" s="540" t="s">
        <v>1308</v>
      </c>
      <c r="T54" s="167"/>
      <c r="U54" s="512" t="s">
        <v>1307</v>
      </c>
      <c r="V54" s="524"/>
      <c r="X54" s="283"/>
    </row>
    <row r="55" spans="1:24" s="8" customFormat="1" ht="14.4">
      <c r="A55" s="521"/>
      <c r="B55" s="510" t="s">
        <v>94</v>
      </c>
      <c r="C55" s="525">
        <f>IFERROR(VLOOKUP($B53,'PY1 TFR ADA'!$F:$AU,MATCH("A-1.1",'PY1 TFR ADA'!$F$5:$AU$5,0),FALSE),0)</f>
        <v>0</v>
      </c>
      <c r="D55" s="167"/>
      <c r="E55" s="525">
        <f>IFERROR(VALUE(VLOOKUP($B53,'PY1 TFR ADA'!$F:$AU,MATCH("A-2.1",'PY1 TFR ADA'!$F$5:$AU$5,0),FALSE)),0)</f>
        <v>0</v>
      </c>
      <c r="F55" s="167"/>
      <c r="G55" s="609">
        <f>IFERROR(VLOOKUP($B53,'PY1 TFR ADA'!$F:$AU,MATCH("b-1.1",'PY1 TFR ADA'!$F$5:$AU$5,0),FALSE),0)</f>
        <v>0</v>
      </c>
      <c r="H55" s="527"/>
      <c r="I55" s="609">
        <f>IFERROR(VLOOKUP($B53,'PY1 TFR ADA'!$F:$AU,MATCH("b-2.1",'PY1 TFR ADA'!$F$5:$AU$5,0),FALSE),0)</f>
        <v>0</v>
      </c>
      <c r="J55" s="527"/>
      <c r="K55" s="609">
        <f>IFERROR(VLOOKUP($B53,'PY1 TFR ADA'!$F:$AU,MATCH("b-3.1",'PY1 TFR ADA'!$F$5:$AU$5,0),FALSE),0)</f>
        <v>0</v>
      </c>
      <c r="L55" s="527"/>
      <c r="M55" s="609">
        <f>IFERROR(VLOOKUP($B53,'PY1 TFR ADA'!$F:$AU,MATCH("b-4.1",'PY1 TFR ADA'!$F$5:$AU$5,0),FALSE),0)</f>
        <v>0</v>
      </c>
      <c r="N55" s="527"/>
      <c r="O55" s="609">
        <f>IFERROR(VLOOKUP($B53,'PY1 TFR ADA'!$F:$AU,MATCH("b-5.1",'PY1 TFR ADA'!$F$5:$AU$5,0),FALSE),0)</f>
        <v>0</v>
      </c>
      <c r="P55" s="527"/>
      <c r="Q55" s="609">
        <f>IFERROR(VLOOKUP($B53,'PY1 TFR ADA'!$F:$AU,MATCH("b-6.1",'PY1 TFR ADA'!$F$5:$AU$5,0),FALSE),0)</f>
        <v>0</v>
      </c>
      <c r="R55" s="551"/>
      <c r="S55" s="601">
        <f t="shared" ref="S55:S58" si="38">SUM(G55:Q55)</f>
        <v>0</v>
      </c>
      <c r="T55" s="551"/>
      <c r="U55" s="536">
        <f t="shared" ref="U55" si="39">ROUND(IF($G62="LCFF Rate",(G55*$C55),(G55*$E55))+IF($I62="LCFF Rate",(I55*$C55),(I55*$E55))+IF($K62="LCFF Rate",(K55*$C55),(K55*$E55))+IF($M62="LCFF Rate",(M55*$C55),(M55*$E55))+IF($O62="LCFF Rate",(O55*$C55),(O55*$E55))+IF($Q62="LCFF Rate",(Q55*$C55),(Q55*$E55)),0)</f>
        <v>0</v>
      </c>
      <c r="V55" s="524"/>
      <c r="X55" s="496"/>
    </row>
    <row r="56" spans="1:24" s="8" customFormat="1" ht="14.4">
      <c r="A56" s="521"/>
      <c r="B56" s="510" t="s">
        <v>2</v>
      </c>
      <c r="C56" s="525">
        <f>IFERROR(VLOOKUP($B53,'PY1 TFR ADA'!$F:$AU,MATCH("A-1.2",'PY1 TFR ADA'!$F$5:$AU$5,0),FALSE),0)</f>
        <v>0</v>
      </c>
      <c r="D56" s="167"/>
      <c r="E56" s="525">
        <f>IFERROR(VALUE(VLOOKUP($B53,'PY1 TFR ADA'!$F:$AU,MATCH("A-2.2",'PY1 TFR ADA'!$F$5:$AU$5,0),FALSE)),0)</f>
        <v>0</v>
      </c>
      <c r="F56" s="167"/>
      <c r="G56" s="609">
        <f>IFERROR(VLOOKUP($B53,'PY1 TFR ADA'!$F:$AU,MATCH("b-1.2",'PY1 TFR ADA'!$F$5:$AU$5,0),FALSE),0)</f>
        <v>0</v>
      </c>
      <c r="H56" s="527"/>
      <c r="I56" s="609">
        <f>IFERROR(VLOOKUP($B53,'PY1 TFR ADA'!$F:$AU,MATCH("b-2.2",'PY1 TFR ADA'!$F$5:$AU$5,0),FALSE),0)</f>
        <v>0</v>
      </c>
      <c r="J56" s="527"/>
      <c r="K56" s="609">
        <f>IFERROR(VLOOKUP($B53,'PY1 TFR ADA'!$F:$AU,MATCH("b-3.2",'PY1 TFR ADA'!$F$5:$AU$5,0),FALSE),0)</f>
        <v>0</v>
      </c>
      <c r="L56" s="527"/>
      <c r="M56" s="609">
        <f>IFERROR(VLOOKUP($B53,'PY1 TFR ADA'!$F:$AU,MATCH("b-4.2",'PY1 TFR ADA'!$F$5:$AU$5,0),FALSE),0)</f>
        <v>0</v>
      </c>
      <c r="N56" s="527"/>
      <c r="O56" s="609">
        <f>IFERROR(VLOOKUP($B53,'PY1 TFR ADA'!$F:$AU,MATCH("b-5.2",'PY1 TFR ADA'!$F$5:$AU$5,0),FALSE),0)</f>
        <v>0</v>
      </c>
      <c r="P56" s="527"/>
      <c r="Q56" s="609">
        <f>IFERROR(VLOOKUP($B53,'PY1 TFR ADA'!$F:$AU,MATCH("b-6.2",'PY1 TFR ADA'!$F$5:$AU$5,0),FALSE),0)</f>
        <v>0</v>
      </c>
      <c r="R56" s="551"/>
      <c r="S56" s="601">
        <f t="shared" si="38"/>
        <v>0</v>
      </c>
      <c r="T56" s="551"/>
      <c r="U56" s="536">
        <f t="shared" ref="U56" si="40">ROUND(IF($G62="LCFF Rate",(G56*$C56),(G56*$E56))+IF($I62="LCFF Rate",(I56*$C56),(I56*$E56))+IF($K62="LCFF Rate",(K56*$C56),(K56*$E56))+IF($M62="LCFF Rate",(M56*$C56),(M56*$E56))+IF($O62="LCFF Rate",(O56*$C56),(O56*$E56))+IF($Q62="LCFF Rate",(Q56*$C56),(Q56*$E56)),0)</f>
        <v>0</v>
      </c>
      <c r="V56" s="524"/>
      <c r="X56" s="4"/>
    </row>
    <row r="57" spans="1:24" s="8" customFormat="1" ht="14.4">
      <c r="A57" s="521"/>
      <c r="B57" s="510" t="s">
        <v>3</v>
      </c>
      <c r="C57" s="525">
        <f>IFERROR(VLOOKUP($B53,'PY1 TFR ADA'!$F:$AU,MATCH("A-1.3",'PY1 TFR ADA'!$F$5:$AU$5,0),FALSE),0)</f>
        <v>0</v>
      </c>
      <c r="D57" s="167"/>
      <c r="E57" s="525">
        <f>IFERROR(VALUE(VLOOKUP($B53,'PY1 TFR ADA'!$F:$AU,MATCH("A-2.3",'PY1 TFR ADA'!$F$5:$AU$5,0),FALSE)),0)</f>
        <v>0</v>
      </c>
      <c r="F57" s="167"/>
      <c r="G57" s="609">
        <f>IFERROR(VLOOKUP($B53,'PY1 TFR ADA'!$F:$AU,MATCH("b-1.3",'PY1 TFR ADA'!$F$5:$AU$5,0),FALSE),0)</f>
        <v>0</v>
      </c>
      <c r="H57" s="527"/>
      <c r="I57" s="609">
        <f>IFERROR(VLOOKUP($B53,'PY1 TFR ADA'!$F:$AU,MATCH("b-2.3",'PY1 TFR ADA'!$F$5:$AU$5,0),FALSE),0)</f>
        <v>0</v>
      </c>
      <c r="J57" s="527"/>
      <c r="K57" s="609">
        <f>IFERROR(VLOOKUP($B53,'PY1 TFR ADA'!$F:$AU,MATCH("b-3.3",'PY1 TFR ADA'!$F$5:$AU$5,0),FALSE),0)</f>
        <v>0</v>
      </c>
      <c r="L57" s="527"/>
      <c r="M57" s="609">
        <f>IFERROR(VLOOKUP($B53,'PY1 TFR ADA'!$F:$AU,MATCH("b-4.3",'PY1 TFR ADA'!$F$5:$AU$5,0),FALSE),0)</f>
        <v>0</v>
      </c>
      <c r="N57" s="527"/>
      <c r="O57" s="609">
        <f>IFERROR(VLOOKUP($B53,'PY1 TFR ADA'!$F:$AU,MATCH("b-5.3",'PY1 TFR ADA'!$F$5:$AU$5,0),FALSE),0)</f>
        <v>0</v>
      </c>
      <c r="P57" s="527"/>
      <c r="Q57" s="609">
        <f>IFERROR(VLOOKUP($B53,'PY1 TFR ADA'!$F:$AU,MATCH("b-6.3",'PY1 TFR ADA'!$F$5:$AU$5,0),FALSE),0)</f>
        <v>0</v>
      </c>
      <c r="R57" s="551"/>
      <c r="S57" s="601">
        <f t="shared" si="38"/>
        <v>0</v>
      </c>
      <c r="T57" s="551"/>
      <c r="U57" s="536">
        <f t="shared" ref="U57" si="41">ROUND(IF($G62="LCFF Rate",(G57*$C57),(G57*$E57))+IF($I62="LCFF Rate",(I57*$C57),(I57*$E57))+IF($K62="LCFF Rate",(K57*$C57),(K57*$E57))+IF($M62="LCFF Rate",(M57*$C57),(M57*$E57))+IF($O62="LCFF Rate",(O57*$C57),(O57*$E57))+IF($Q62="LCFF Rate",(Q57*$C57),(Q57*$E57)),0)</f>
        <v>0</v>
      </c>
      <c r="V57" s="524"/>
      <c r="X57" s="4"/>
    </row>
    <row r="58" spans="1:24" s="8" customFormat="1" ht="14.4">
      <c r="A58" s="526"/>
      <c r="B58" s="510" t="s">
        <v>4</v>
      </c>
      <c r="C58" s="525">
        <f>IFERROR(VLOOKUP($B53,'PY1 TFR ADA'!$F:$AU,MATCH("A-1.4",'PY1 TFR ADA'!$F$5:$AU$5,0),FALSE),0)</f>
        <v>0</v>
      </c>
      <c r="D58" s="523"/>
      <c r="E58" s="525">
        <f>IFERROR(VALUE(VLOOKUP($B53,'PY1 TFR ADA'!$F:$AU,MATCH("A-2.4",'PY1 TFR ADA'!$F$5:$AU$5,0),FALSE)),0)</f>
        <v>0</v>
      </c>
      <c r="F58" s="523"/>
      <c r="G58" s="609">
        <f>IFERROR(VLOOKUP($B53,'PY1 TFR ADA'!$F:$AU,MATCH("b-1.4",'PY1 TFR ADA'!$F$5:$AU$5,0),FALSE),0)</f>
        <v>0</v>
      </c>
      <c r="H58" s="527"/>
      <c r="I58" s="609">
        <f>IFERROR(VLOOKUP($B53,'PY1 TFR ADA'!$F:$AU,MATCH("b-2.4",'PY1 TFR ADA'!$F$5:$AU$5,0),FALSE),0)</f>
        <v>0</v>
      </c>
      <c r="J58" s="527"/>
      <c r="K58" s="609">
        <f>IFERROR(VLOOKUP($B53,'PY1 TFR ADA'!$F:$AU,MATCH("b-3.4",'PY1 TFR ADA'!$F$5:$AU$5,0),FALSE),0)</f>
        <v>0</v>
      </c>
      <c r="L58" s="527"/>
      <c r="M58" s="609">
        <f>IFERROR(VLOOKUP($B53,'PY1 TFR ADA'!$F:$AU,MATCH("b-4.4",'PY1 TFR ADA'!$F$5:$AU$5,0),FALSE),0)</f>
        <v>0</v>
      </c>
      <c r="N58" s="527"/>
      <c r="O58" s="609">
        <f>IFERROR(VLOOKUP($B53,'PY1 TFR ADA'!$F:$AU,MATCH("b-5.4",'PY1 TFR ADA'!$F$5:$AU$5,0),FALSE),0)</f>
        <v>0</v>
      </c>
      <c r="P58" s="527"/>
      <c r="Q58" s="609">
        <f>IFERROR(VLOOKUP($B53,'PY1 TFR ADA'!$F:$AU,MATCH("b-6.4",'PY1 TFR ADA'!$F$5:$AU$5,0),FALSE),0)</f>
        <v>0</v>
      </c>
      <c r="R58" s="551"/>
      <c r="S58" s="601">
        <f t="shared" si="38"/>
        <v>0</v>
      </c>
      <c r="T58" s="551"/>
      <c r="U58" s="536">
        <f t="shared" ref="U58" si="42">ROUND(IF($G62="LCFF Rate",(G58*$C58),(G58*$E58))+IF($I62="LCFF Rate",(I58*$C58),(I58*$E58))+IF($K62="LCFF Rate",(K58*$C58),(K58*$E58))+IF($M62="LCFF Rate",(M58*$C58),(M58*$E58))+IF($O62="LCFF Rate",(O58*$C58),(O58*$E58))+IF($Q62="LCFF Rate",(Q58*$C58),(Q58*$E58)),0)</f>
        <v>0</v>
      </c>
      <c r="V58" s="522"/>
      <c r="X58" s="496"/>
    </row>
    <row r="59" spans="1:24" s="8" customFormat="1" ht="8.25" customHeight="1">
      <c r="A59" s="521"/>
      <c r="B59" s="167"/>
      <c r="C59" s="165"/>
      <c r="D59" s="523"/>
      <c r="E59" s="165"/>
      <c r="F59" s="523"/>
      <c r="G59" s="520"/>
      <c r="H59" s="523"/>
      <c r="I59" s="520"/>
      <c r="J59" s="523"/>
      <c r="K59" s="520"/>
      <c r="L59" s="523"/>
      <c r="M59" s="520"/>
      <c r="N59" s="523"/>
      <c r="O59" s="520"/>
      <c r="P59" s="523"/>
      <c r="Q59" s="520"/>
      <c r="R59" s="167"/>
      <c r="S59" s="520"/>
      <c r="T59" s="167"/>
      <c r="U59" s="602"/>
      <c r="V59" s="522"/>
      <c r="X59" s="4"/>
    </row>
    <row r="60" spans="1:24" s="8" customFormat="1" ht="14.4">
      <c r="A60" s="521"/>
      <c r="B60" s="167"/>
      <c r="C60" s="165"/>
      <c r="D60" s="523"/>
      <c r="E60" s="513" t="s">
        <v>1317</v>
      </c>
      <c r="F60" s="523"/>
      <c r="G60" s="601">
        <f t="shared" ref="G60" si="43">SUM(G55:G58)</f>
        <v>0</v>
      </c>
      <c r="H60" s="527"/>
      <c r="I60" s="601">
        <f t="shared" ref="I60" si="44">SUM(I55:I58)</f>
        <v>0</v>
      </c>
      <c r="J60" s="527"/>
      <c r="K60" s="601">
        <f t="shared" ref="K60" si="45">SUM(K55:K58)</f>
        <v>0</v>
      </c>
      <c r="L60" s="527"/>
      <c r="M60" s="601">
        <f t="shared" ref="M60" si="46">SUM(M55:M58)</f>
        <v>0</v>
      </c>
      <c r="N60" s="527"/>
      <c r="O60" s="601">
        <f t="shared" ref="O60" si="47">SUM(O55:O58)</f>
        <v>0</v>
      </c>
      <c r="P60" s="527"/>
      <c r="Q60" s="601">
        <f t="shared" ref="Q60" si="48">SUM(Q55:Q58)</f>
        <v>0</v>
      </c>
      <c r="R60" s="527"/>
      <c r="S60" s="601">
        <f t="shared" ref="S60" si="49">SUM(S55:S58)</f>
        <v>0</v>
      </c>
      <c r="T60" s="527"/>
      <c r="U60" s="536">
        <f t="shared" ref="U60" si="50">SUM(U55:U58)</f>
        <v>0</v>
      </c>
      <c r="V60" s="522"/>
      <c r="X60" s="4"/>
    </row>
    <row r="61" spans="1:24" s="8" customFormat="1" ht="8.25" customHeight="1">
      <c r="A61" s="521"/>
      <c r="B61" s="167"/>
      <c r="C61" s="165"/>
      <c r="D61" s="523"/>
      <c r="E61" s="165"/>
      <c r="F61" s="523"/>
      <c r="G61" s="520"/>
      <c r="H61" s="523"/>
      <c r="I61" s="520"/>
      <c r="J61" s="523"/>
      <c r="K61" s="520"/>
      <c r="L61" s="523"/>
      <c r="M61" s="520"/>
      <c r="N61" s="523"/>
      <c r="O61" s="520"/>
      <c r="P61" s="523"/>
      <c r="Q61" s="520"/>
      <c r="R61" s="167"/>
      <c r="S61" s="520"/>
      <c r="T61" s="167"/>
      <c r="U61" s="528"/>
      <c r="V61" s="522"/>
      <c r="X61" s="4"/>
    </row>
    <row r="62" spans="1:24" s="8" customFormat="1" ht="16.5" customHeight="1">
      <c r="A62" s="521"/>
      <c r="B62" s="167"/>
      <c r="C62" s="165"/>
      <c r="E62" s="513" t="s">
        <v>1304</v>
      </c>
      <c r="F62" s="523"/>
      <c r="G62" s="977">
        <f>_xlfn.IFNA(IF(VLOOKUP($B53,'PY1 TFR ADA'!$F:$AU,MATCH("B-1.5",'PY1 TFR ADA'!$F$5:$AU$5,0),FALSE)=TRUE,IF(VLOOKUP($B53,'PY1 TFR ADA'!$F:$AU,MATCH("C-1",'PY1 TFR ADA'!$F$5:$AU$5,0),FALSE)=TRUE,"Alternative Rate","LCFF Rate"),"LCFF Rate"),0)</f>
        <v>0</v>
      </c>
      <c r="H62" s="523"/>
      <c r="I62" s="977">
        <f>_xlfn.IFNA(IF(VLOOKUP($B53,'PY1 TFR ADA'!$F:$AU,MATCH("B-2.5",'PY1 TFR ADA'!$F$5:$AU$5,0),FALSE)=TRUE,IF(VLOOKUP($B53,'PY1 TFR ADA'!$F:$AU,MATCH("C-1",'PY1 TFR ADA'!$F$5:$AU$5,0),FALSE)=TRUE,"Alternative Rate","LCFF Rate"),"LCFF Rate"),0)</f>
        <v>0</v>
      </c>
      <c r="J62" s="523"/>
      <c r="K62" s="977">
        <f>_xlfn.IFNA(IF(VLOOKUP($B53,'PY1 TFR ADA'!$F:$AU,MATCH("B-3.5",'PY1 TFR ADA'!$F$5:$AU$5,0),FALSE)=TRUE,IF(VLOOKUP($B53,'PY1 TFR ADA'!$F:$AU,MATCH("C-1",'PY1 TFR ADA'!$F$5:$AU$5,0),FALSE)=TRUE,"Alternative Rate","LCFF Rate"),"LCFF Rate"),0)</f>
        <v>0</v>
      </c>
      <c r="L62" s="523"/>
      <c r="M62" s="977">
        <f>_xlfn.IFNA(IF(VLOOKUP($B53,'PY1 TFR ADA'!$F:$AU,MATCH("B-4.5",'PY1 TFR ADA'!$F$5:$AU$5,0),FALSE)=TRUE,IF(VLOOKUP($B53,'PY1 TFR ADA'!$F:$AU,MATCH("C-1",'PY1 TFR ADA'!$F$5:$AU$5,0),FALSE)=TRUE,"Alternative Rate","LCFF Rate"),"LCFF Rate"),0)</f>
        <v>0</v>
      </c>
      <c r="N62" s="523"/>
      <c r="O62" s="977">
        <f>_xlfn.IFNA(IF(VLOOKUP($B53,'PY1 TFR ADA'!$F:$AU,MATCH("B-5.5",'PY1 TFR ADA'!$F$5:$AU$5,0),FALSE)=TRUE,IF(VLOOKUP($B53,'PY1 TFR ADA'!$F:$AU,MATCH("C-1",'PY1 TFR ADA'!$F$5:$AU$5,0),FALSE)=TRUE,"Alternative Rate","LCFF Rate"),"LCFF Rate"),0)</f>
        <v>0</v>
      </c>
      <c r="P62" s="523"/>
      <c r="Q62" s="977">
        <f>_xlfn.IFNA(IF(VLOOKUP($B53,'PY1 TFR ADA'!$F:$AU,MATCH("B-6.5",'PY1 TFR ADA'!$F$5:$AU$5,0),FALSE)=TRUE,IF(VLOOKUP($B53,'PY1 TFR ADA'!$F:$AU,MATCH("C-1",'PY1 TFR ADA'!$F$5:$AU$5,0),FALSE)=TRUE,"Alternative Rate","LCFF Rate"),"LCFF Rate"),0)</f>
        <v>0</v>
      </c>
      <c r="R62" s="167"/>
      <c r="S62" s="520"/>
      <c r="T62" s="167"/>
      <c r="U62" s="528"/>
      <c r="V62" s="522"/>
      <c r="X62" s="283"/>
    </row>
    <row r="63" spans="1:24" s="8" customFormat="1" ht="8.25" customHeight="1">
      <c r="A63" s="521"/>
      <c r="B63" s="167"/>
      <c r="C63" s="165"/>
      <c r="D63" s="523"/>
      <c r="E63" s="165"/>
      <c r="F63" s="523"/>
      <c r="G63" s="520"/>
      <c r="H63" s="523"/>
      <c r="I63" s="520"/>
      <c r="J63" s="523"/>
      <c r="K63" s="520"/>
      <c r="L63" s="523"/>
      <c r="M63" s="520"/>
      <c r="N63" s="523"/>
      <c r="O63" s="520"/>
      <c r="P63" s="523"/>
      <c r="Q63" s="520"/>
      <c r="R63" s="167"/>
      <c r="S63" s="520"/>
      <c r="T63" s="167"/>
      <c r="U63" s="528"/>
      <c r="V63" s="522"/>
      <c r="X63" s="4"/>
    </row>
    <row r="64" spans="1:24" s="8" customFormat="1" ht="16.8">
      <c r="A64" s="521"/>
      <c r="B64" s="2"/>
      <c r="F64" s="523"/>
      <c r="G64" s="535">
        <f t="shared" ref="G64" si="51">IF(G62="LCFF Rate",(G55*C55+G56*C56+G57*C57+G58*C58),(G60*E58))</f>
        <v>0</v>
      </c>
      <c r="H64" s="537"/>
      <c r="I64" s="535">
        <f t="shared" ref="I64" si="52">IF(I62="LCFF Rate",(I55*C55+I56*C56+I57*C57+I58*C58),(I60*E58))</f>
        <v>0</v>
      </c>
      <c r="J64" s="537"/>
      <c r="K64" s="535">
        <f t="shared" ref="K64" si="53">IF(K62="LCFF Rate",(K55*C55+K56*C56+K57*C57+K58*C58),(K60*E58))</f>
        <v>0</v>
      </c>
      <c r="L64" s="537"/>
      <c r="M64" s="535">
        <f t="shared" ref="M64" si="54">IF(M62="LCFF Rate",(M55*C55+M56*C56+M57*C57+M58*C58),(M60*E58))</f>
        <v>0</v>
      </c>
      <c r="N64" s="537"/>
      <c r="O64" s="535">
        <f t="shared" ref="O64" si="55">IF(O62="LCFF Rate",(O55*C55+O56*C56+O57*C57+O58*C58),(O60*E58))</f>
        <v>0</v>
      </c>
      <c r="P64" s="537"/>
      <c r="Q64" s="535">
        <f t="shared" ref="Q64" si="56">IF(Q62="LCFF Rate",(Q55*C55+Q56*C56+Q57*C57+Q58*C58),(Q60*E58))</f>
        <v>0</v>
      </c>
      <c r="R64" s="167"/>
      <c r="S64" s="538">
        <f t="shared" ref="S64" si="57">SUM(G64:Q64)</f>
        <v>0</v>
      </c>
      <c r="T64" s="167"/>
      <c r="U64" s="528"/>
      <c r="V64" s="522"/>
      <c r="X64" s="979"/>
    </row>
    <row r="65" spans="1:24" s="8" customFormat="1" ht="9" customHeight="1" thickBot="1">
      <c r="A65" s="529"/>
      <c r="B65" s="530"/>
      <c r="C65" s="531"/>
      <c r="D65" s="532"/>
      <c r="E65" s="533"/>
      <c r="F65" s="532"/>
      <c r="G65" s="530"/>
      <c r="H65" s="532"/>
      <c r="I65" s="530"/>
      <c r="J65" s="532"/>
      <c r="K65" s="530"/>
      <c r="L65" s="532"/>
      <c r="M65" s="530"/>
      <c r="N65" s="532"/>
      <c r="O65" s="530"/>
      <c r="P65" s="532"/>
      <c r="Q65" s="530"/>
      <c r="R65" s="532"/>
      <c r="S65" s="530"/>
      <c r="T65" s="532"/>
      <c r="U65" s="532"/>
      <c r="V65" s="534"/>
      <c r="X65" s="4"/>
    </row>
    <row r="66" spans="1:24" s="82" customFormat="1" ht="18" customHeight="1" thickBot="1">
      <c r="A66" s="890">
        <f>+A53+1</f>
        <v>5</v>
      </c>
      <c r="B66" s="891" t="str">
        <f>'Data Entry'!$B$3&amp;"-"&amp;C66</f>
        <v>-</v>
      </c>
      <c r="C66" s="891" t="str">
        <f>IFERROR(VLOOKUP('Data Entry'!$B$3&amp;"-"&amp;A66,'PY1 TFR ADA'!$D:$AT,2,FALSE),"")</f>
        <v/>
      </c>
      <c r="D66" s="892" t="str">
        <f>IFERROR(VLOOKUP('Data Entry'!$B$3&amp;"-"&amp;A66,'PY1 TFR ADA'!$D:$AT,4,FALSE),"")</f>
        <v/>
      </c>
      <c r="E66" s="893"/>
      <c r="F66" s="893"/>
      <c r="G66" s="893"/>
      <c r="H66" s="893"/>
      <c r="I66" s="893"/>
      <c r="J66" s="893"/>
      <c r="K66" s="893"/>
      <c r="L66" s="893"/>
      <c r="M66" s="893"/>
      <c r="N66" s="893"/>
      <c r="O66" s="893"/>
      <c r="P66" s="893"/>
      <c r="Q66" s="893"/>
      <c r="R66" s="893"/>
      <c r="S66" s="893"/>
      <c r="T66" s="893"/>
      <c r="U66" s="893"/>
      <c r="V66" s="894"/>
      <c r="X66" s="83"/>
    </row>
    <row r="67" spans="1:24" ht="75" customHeight="1">
      <c r="A67" s="521"/>
      <c r="C67" s="540" t="s">
        <v>1315</v>
      </c>
      <c r="D67" s="512"/>
      <c r="E67" s="540" t="s">
        <v>1316</v>
      </c>
      <c r="F67" s="512"/>
      <c r="G67" s="540" t="s">
        <v>1309</v>
      </c>
      <c r="H67" s="512"/>
      <c r="I67" s="540" t="s">
        <v>1310</v>
      </c>
      <c r="J67" s="512"/>
      <c r="K67" s="540" t="s">
        <v>1311</v>
      </c>
      <c r="L67" s="512"/>
      <c r="M67" s="540" t="s">
        <v>1312</v>
      </c>
      <c r="N67" s="512"/>
      <c r="O67" s="540" t="s">
        <v>1313</v>
      </c>
      <c r="P67" s="512"/>
      <c r="Q67" s="540" t="s">
        <v>1314</v>
      </c>
      <c r="R67" s="167"/>
      <c r="S67" s="540" t="s">
        <v>1308</v>
      </c>
      <c r="T67" s="167"/>
      <c r="U67" s="512" t="s">
        <v>1307</v>
      </c>
      <c r="V67" s="524"/>
      <c r="X67" s="283"/>
    </row>
    <row r="68" spans="1:24" s="8" customFormat="1" ht="14.4">
      <c r="A68" s="521"/>
      <c r="B68" s="510" t="s">
        <v>94</v>
      </c>
      <c r="C68" s="525">
        <f>IFERROR(VLOOKUP($B66,'PY1 TFR ADA'!$F:$AU,MATCH("A-1.1",'PY1 TFR ADA'!$F$5:$AU$5,0),FALSE),0)</f>
        <v>0</v>
      </c>
      <c r="D68" s="167"/>
      <c r="E68" s="525">
        <f>IFERROR(VALUE(VLOOKUP($B66,'PY1 TFR ADA'!$F:$AU,MATCH("A-2.1",'PY1 TFR ADA'!$F$5:$AU$5,0),FALSE)),0)</f>
        <v>0</v>
      </c>
      <c r="F68" s="167"/>
      <c r="G68" s="609">
        <f>IFERROR(VLOOKUP($B66,'PY1 TFR ADA'!$F:$AU,MATCH("b-1.1",'PY1 TFR ADA'!$F$5:$AU$5,0),FALSE),0)</f>
        <v>0</v>
      </c>
      <c r="H68" s="527"/>
      <c r="I68" s="609">
        <f>IFERROR(VLOOKUP($B66,'PY1 TFR ADA'!$F:$AU,MATCH("b-2.1",'PY1 TFR ADA'!$F$5:$AU$5,0),FALSE),0)</f>
        <v>0</v>
      </c>
      <c r="J68" s="527"/>
      <c r="K68" s="609">
        <f>IFERROR(VLOOKUP($B66,'PY1 TFR ADA'!$F:$AU,MATCH("b-3.1",'PY1 TFR ADA'!$F$5:$AU$5,0),FALSE),0)</f>
        <v>0</v>
      </c>
      <c r="L68" s="527"/>
      <c r="M68" s="609">
        <f>IFERROR(VLOOKUP($B66,'PY1 TFR ADA'!$F:$AU,MATCH("b-4.1",'PY1 TFR ADA'!$F$5:$AU$5,0),FALSE),0)</f>
        <v>0</v>
      </c>
      <c r="N68" s="527"/>
      <c r="O68" s="609">
        <f>IFERROR(VLOOKUP($B66,'PY1 TFR ADA'!$F:$AU,MATCH("b-5.1",'PY1 TFR ADA'!$F$5:$AU$5,0),FALSE),0)</f>
        <v>0</v>
      </c>
      <c r="P68" s="527"/>
      <c r="Q68" s="609">
        <f>IFERROR(VLOOKUP($B66,'PY1 TFR ADA'!$F:$AU,MATCH("b-6.1",'PY1 TFR ADA'!$F$5:$AU$5,0),FALSE),0)</f>
        <v>0</v>
      </c>
      <c r="R68" s="551"/>
      <c r="S68" s="601">
        <f t="shared" ref="S68:S71" si="58">SUM(G68:Q68)</f>
        <v>0</v>
      </c>
      <c r="T68" s="551"/>
      <c r="U68" s="536">
        <f t="shared" ref="U68" si="59">ROUND(IF($G75="LCFF Rate",(G68*$C68),(G68*$E68))+IF($I75="LCFF Rate",(I68*$C68),(I68*$E68))+IF($K75="LCFF Rate",(K68*$C68),(K68*$E68))+IF($M75="LCFF Rate",(M68*$C68),(M68*$E68))+IF($O75="LCFF Rate",(O68*$C68),(O68*$E68))+IF($Q75="LCFF Rate",(Q68*$C68),(Q68*$E68)),0)</f>
        <v>0</v>
      </c>
      <c r="V68" s="524"/>
      <c r="X68" s="496"/>
    </row>
    <row r="69" spans="1:24" s="8" customFormat="1" ht="14.4">
      <c r="A69" s="521"/>
      <c r="B69" s="510" t="s">
        <v>2</v>
      </c>
      <c r="C69" s="525">
        <f>IFERROR(VLOOKUP($B66,'PY1 TFR ADA'!$F:$AU,MATCH("A-1.2",'PY1 TFR ADA'!$F$5:$AU$5,0),FALSE),0)</f>
        <v>0</v>
      </c>
      <c r="D69" s="167"/>
      <c r="E69" s="525">
        <f>IFERROR(VALUE(VLOOKUP($B66,'PY1 TFR ADA'!$F:$AU,MATCH("A-2.2",'PY1 TFR ADA'!$F$5:$AU$5,0),FALSE)),0)</f>
        <v>0</v>
      </c>
      <c r="F69" s="167"/>
      <c r="G69" s="609">
        <f>IFERROR(VLOOKUP($B66,'PY1 TFR ADA'!$F:$AU,MATCH("b-1.2",'PY1 TFR ADA'!$F$5:$AU$5,0),FALSE),0)</f>
        <v>0</v>
      </c>
      <c r="H69" s="527"/>
      <c r="I69" s="609">
        <f>IFERROR(VLOOKUP($B66,'PY1 TFR ADA'!$F:$AU,MATCH("b-2.2",'PY1 TFR ADA'!$F$5:$AU$5,0),FALSE),0)</f>
        <v>0</v>
      </c>
      <c r="J69" s="527"/>
      <c r="K69" s="609">
        <f>IFERROR(VLOOKUP($B66,'PY1 TFR ADA'!$F:$AU,MATCH("b-3.2",'PY1 TFR ADA'!$F$5:$AU$5,0),FALSE),0)</f>
        <v>0</v>
      </c>
      <c r="L69" s="527"/>
      <c r="M69" s="609">
        <f>IFERROR(VLOOKUP($B66,'PY1 TFR ADA'!$F:$AU,MATCH("b-4.2",'PY1 TFR ADA'!$F$5:$AU$5,0),FALSE),0)</f>
        <v>0</v>
      </c>
      <c r="N69" s="527"/>
      <c r="O69" s="609">
        <f>IFERROR(VLOOKUP($B66,'PY1 TFR ADA'!$F:$AU,MATCH("b-5.2",'PY1 TFR ADA'!$F$5:$AU$5,0),FALSE),0)</f>
        <v>0</v>
      </c>
      <c r="P69" s="527"/>
      <c r="Q69" s="609">
        <f>IFERROR(VLOOKUP($B66,'PY1 TFR ADA'!$F:$AU,MATCH("b-6.2",'PY1 TFR ADA'!$F$5:$AU$5,0),FALSE),0)</f>
        <v>0</v>
      </c>
      <c r="R69" s="551"/>
      <c r="S69" s="601">
        <f t="shared" si="58"/>
        <v>0</v>
      </c>
      <c r="T69" s="551"/>
      <c r="U69" s="536">
        <f t="shared" ref="U69" si="60">ROUND(IF($G75="LCFF Rate",(G69*$C69),(G69*$E69))+IF($I75="LCFF Rate",(I69*$C69),(I69*$E69))+IF($K75="LCFF Rate",(K69*$C69),(K69*$E69))+IF($M75="LCFF Rate",(M69*$C69),(M69*$E69))+IF($O75="LCFF Rate",(O69*$C69),(O69*$E69))+IF($Q75="LCFF Rate",(Q69*$C69),(Q69*$E69)),0)</f>
        <v>0</v>
      </c>
      <c r="V69" s="524"/>
      <c r="X69" s="4"/>
    </row>
    <row r="70" spans="1:24" s="8" customFormat="1" ht="14.4">
      <c r="A70" s="521"/>
      <c r="B70" s="510" t="s">
        <v>3</v>
      </c>
      <c r="C70" s="525">
        <f>IFERROR(VLOOKUP($B66,'PY1 TFR ADA'!$F:$AU,MATCH("A-1.3",'PY1 TFR ADA'!$F$5:$AU$5,0),FALSE),0)</f>
        <v>0</v>
      </c>
      <c r="D70" s="167"/>
      <c r="E70" s="525">
        <f>IFERROR(VALUE(VLOOKUP($B66,'PY1 TFR ADA'!$F:$AU,MATCH("A-2.3",'PY1 TFR ADA'!$F$5:$AU$5,0),FALSE)),0)</f>
        <v>0</v>
      </c>
      <c r="F70" s="167"/>
      <c r="G70" s="609">
        <f>IFERROR(VLOOKUP($B66,'PY1 TFR ADA'!$F:$AU,MATCH("b-1.3",'PY1 TFR ADA'!$F$5:$AU$5,0),FALSE),0)</f>
        <v>0</v>
      </c>
      <c r="H70" s="527"/>
      <c r="I70" s="609">
        <f>IFERROR(VLOOKUP($B66,'PY1 TFR ADA'!$F:$AU,MATCH("b-2.3",'PY1 TFR ADA'!$F$5:$AU$5,0),FALSE),0)</f>
        <v>0</v>
      </c>
      <c r="J70" s="527"/>
      <c r="K70" s="609">
        <f>IFERROR(VLOOKUP($B66,'PY1 TFR ADA'!$F:$AU,MATCH("b-3.3",'PY1 TFR ADA'!$F$5:$AU$5,0),FALSE),0)</f>
        <v>0</v>
      </c>
      <c r="L70" s="527"/>
      <c r="M70" s="609">
        <f>IFERROR(VLOOKUP($B66,'PY1 TFR ADA'!$F:$AU,MATCH("b-4.3",'PY1 TFR ADA'!$F$5:$AU$5,0),FALSE),0)</f>
        <v>0</v>
      </c>
      <c r="N70" s="527"/>
      <c r="O70" s="609">
        <f>IFERROR(VLOOKUP($B66,'PY1 TFR ADA'!$F:$AU,MATCH("b-5.3",'PY1 TFR ADA'!$F$5:$AU$5,0),FALSE),0)</f>
        <v>0</v>
      </c>
      <c r="P70" s="527"/>
      <c r="Q70" s="609">
        <f>IFERROR(VLOOKUP($B66,'PY1 TFR ADA'!$F:$AU,MATCH("b-6.3",'PY1 TFR ADA'!$F$5:$AU$5,0),FALSE),0)</f>
        <v>0</v>
      </c>
      <c r="R70" s="551"/>
      <c r="S70" s="601">
        <f t="shared" si="58"/>
        <v>0</v>
      </c>
      <c r="T70" s="551"/>
      <c r="U70" s="536">
        <f t="shared" ref="U70" si="61">ROUND(IF($G75="LCFF Rate",(G70*$C70),(G70*$E70))+IF($I75="LCFF Rate",(I70*$C70),(I70*$E70))+IF($K75="LCFF Rate",(K70*$C70),(K70*$E70))+IF($M75="LCFF Rate",(M70*$C70),(M70*$E70))+IF($O75="LCFF Rate",(O70*$C70),(O70*$E70))+IF($Q75="LCFF Rate",(Q70*$C70),(Q70*$E70)),0)</f>
        <v>0</v>
      </c>
      <c r="V70" s="524"/>
      <c r="X70" s="4"/>
    </row>
    <row r="71" spans="1:24" s="8" customFormat="1" ht="14.4">
      <c r="A71" s="526"/>
      <c r="B71" s="510" t="s">
        <v>4</v>
      </c>
      <c r="C71" s="525">
        <f>IFERROR(VLOOKUP($B66,'PY1 TFR ADA'!$F:$AU,MATCH("A-1.4",'PY1 TFR ADA'!$F$5:$AU$5,0),FALSE),0)</f>
        <v>0</v>
      </c>
      <c r="D71" s="523"/>
      <c r="E71" s="525">
        <f>IFERROR(VALUE(VLOOKUP($B66,'PY1 TFR ADA'!$F:$AU,MATCH("A-2.4",'PY1 TFR ADA'!$F$5:$AU$5,0),FALSE)),0)</f>
        <v>0</v>
      </c>
      <c r="F71" s="523"/>
      <c r="G71" s="609">
        <f>IFERROR(VLOOKUP($B66,'PY1 TFR ADA'!$F:$AU,MATCH("b-1.4",'PY1 TFR ADA'!$F$5:$AU$5,0),FALSE),0)</f>
        <v>0</v>
      </c>
      <c r="H71" s="527"/>
      <c r="I71" s="609">
        <f>IFERROR(VLOOKUP($B66,'PY1 TFR ADA'!$F:$AU,MATCH("b-2.4",'PY1 TFR ADA'!$F$5:$AU$5,0),FALSE),0)</f>
        <v>0</v>
      </c>
      <c r="J71" s="527"/>
      <c r="K71" s="609">
        <f>IFERROR(VLOOKUP($B66,'PY1 TFR ADA'!$F:$AU,MATCH("b-3.4",'PY1 TFR ADA'!$F$5:$AU$5,0),FALSE),0)</f>
        <v>0</v>
      </c>
      <c r="L71" s="527"/>
      <c r="M71" s="609">
        <f>IFERROR(VLOOKUP($B66,'PY1 TFR ADA'!$F:$AU,MATCH("b-4.4",'PY1 TFR ADA'!$F$5:$AU$5,0),FALSE),0)</f>
        <v>0</v>
      </c>
      <c r="N71" s="527"/>
      <c r="O71" s="609">
        <f>IFERROR(VLOOKUP($B66,'PY1 TFR ADA'!$F:$AU,MATCH("b-5.4",'PY1 TFR ADA'!$F$5:$AU$5,0),FALSE),0)</f>
        <v>0</v>
      </c>
      <c r="P71" s="527"/>
      <c r="Q71" s="609">
        <f>IFERROR(VLOOKUP($B66,'PY1 TFR ADA'!$F:$AU,MATCH("b-6.4",'PY1 TFR ADA'!$F$5:$AU$5,0),FALSE),0)</f>
        <v>0</v>
      </c>
      <c r="R71" s="551"/>
      <c r="S71" s="601">
        <f t="shared" si="58"/>
        <v>0</v>
      </c>
      <c r="T71" s="551"/>
      <c r="U71" s="536">
        <f t="shared" ref="U71" si="62">ROUND(IF($G75="LCFF Rate",(G71*$C71),(G71*$E71))+IF($I75="LCFF Rate",(I71*$C71),(I71*$E71))+IF($K75="LCFF Rate",(K71*$C71),(K71*$E71))+IF($M75="LCFF Rate",(M71*$C71),(M71*$E71))+IF($O75="LCFF Rate",(O71*$C71),(O71*$E71))+IF($Q75="LCFF Rate",(Q71*$C71),(Q71*$E71)),0)</f>
        <v>0</v>
      </c>
      <c r="V71" s="522"/>
      <c r="X71" s="496"/>
    </row>
    <row r="72" spans="1:24" s="8" customFormat="1" ht="8.25" customHeight="1">
      <c r="A72" s="521"/>
      <c r="B72" s="167"/>
      <c r="C72" s="165"/>
      <c r="D72" s="523"/>
      <c r="E72" s="165"/>
      <c r="F72" s="523"/>
      <c r="G72" s="520"/>
      <c r="H72" s="523"/>
      <c r="I72" s="520"/>
      <c r="J72" s="523"/>
      <c r="K72" s="520"/>
      <c r="L72" s="523"/>
      <c r="M72" s="520"/>
      <c r="N72" s="523"/>
      <c r="O72" s="520"/>
      <c r="P72" s="523"/>
      <c r="Q72" s="520"/>
      <c r="R72" s="167"/>
      <c r="S72" s="520"/>
      <c r="T72" s="167"/>
      <c r="U72" s="602"/>
      <c r="V72" s="522"/>
      <c r="X72" s="4"/>
    </row>
    <row r="73" spans="1:24" s="8" customFormat="1" ht="14.4">
      <c r="A73" s="521"/>
      <c r="B73" s="167"/>
      <c r="C73" s="165"/>
      <c r="D73" s="523"/>
      <c r="E73" s="513" t="s">
        <v>1317</v>
      </c>
      <c r="F73" s="523"/>
      <c r="G73" s="601">
        <f t="shared" ref="G73" si="63">SUM(G68:G71)</f>
        <v>0</v>
      </c>
      <c r="H73" s="527"/>
      <c r="I73" s="601">
        <f t="shared" ref="I73" si="64">SUM(I68:I71)</f>
        <v>0</v>
      </c>
      <c r="J73" s="527"/>
      <c r="K73" s="601">
        <f t="shared" ref="K73" si="65">SUM(K68:K71)</f>
        <v>0</v>
      </c>
      <c r="L73" s="527"/>
      <c r="M73" s="601">
        <f t="shared" ref="M73" si="66">SUM(M68:M71)</f>
        <v>0</v>
      </c>
      <c r="N73" s="527"/>
      <c r="O73" s="601">
        <f t="shared" ref="O73" si="67">SUM(O68:O71)</f>
        <v>0</v>
      </c>
      <c r="P73" s="527"/>
      <c r="Q73" s="601">
        <f t="shared" ref="Q73" si="68">SUM(Q68:Q71)</f>
        <v>0</v>
      </c>
      <c r="R73" s="527"/>
      <c r="S73" s="601">
        <f t="shared" ref="S73" si="69">SUM(S68:S71)</f>
        <v>0</v>
      </c>
      <c r="T73" s="527"/>
      <c r="U73" s="536">
        <f t="shared" ref="U73" si="70">SUM(U68:U71)</f>
        <v>0</v>
      </c>
      <c r="V73" s="522"/>
      <c r="X73" s="4"/>
    </row>
    <row r="74" spans="1:24" s="8" customFormat="1" ht="8.25" customHeight="1">
      <c r="A74" s="521"/>
      <c r="B74" s="167"/>
      <c r="C74" s="165"/>
      <c r="D74" s="523"/>
      <c r="E74" s="165"/>
      <c r="F74" s="523"/>
      <c r="G74" s="520"/>
      <c r="H74" s="523"/>
      <c r="I74" s="520"/>
      <c r="J74" s="523"/>
      <c r="K74" s="520"/>
      <c r="L74" s="523"/>
      <c r="M74" s="520"/>
      <c r="N74" s="523"/>
      <c r="O74" s="520"/>
      <c r="P74" s="523"/>
      <c r="Q74" s="520"/>
      <c r="R74" s="167"/>
      <c r="S74" s="520"/>
      <c r="T74" s="167"/>
      <c r="U74" s="528"/>
      <c r="V74" s="522"/>
      <c r="X74" s="4"/>
    </row>
    <row r="75" spans="1:24" s="8" customFormat="1" ht="16.5" customHeight="1">
      <c r="A75" s="521"/>
      <c r="B75" s="167"/>
      <c r="C75" s="165"/>
      <c r="E75" s="513" t="s">
        <v>1304</v>
      </c>
      <c r="F75" s="523"/>
      <c r="G75" s="977">
        <f>_xlfn.IFNA(IF(VLOOKUP($B66,'PY1 TFR ADA'!$F:$AU,MATCH("B-1.5",'PY1 TFR ADA'!$F$5:$AU$5,0),FALSE)=TRUE,IF(VLOOKUP($B66,'PY1 TFR ADA'!$F:$AU,MATCH("C-1",'PY1 TFR ADA'!$F$5:$AU$5,0),FALSE)=TRUE,"Alternative Rate","LCFF Rate"),"LCFF Rate"),0)</f>
        <v>0</v>
      </c>
      <c r="H75" s="523"/>
      <c r="I75" s="977">
        <f>_xlfn.IFNA(IF(VLOOKUP($B66,'PY1 TFR ADA'!$F:$AU,MATCH("B-2.5",'PY1 TFR ADA'!$F$5:$AU$5,0),FALSE)=TRUE,IF(VLOOKUP($B66,'PY1 TFR ADA'!$F:$AU,MATCH("C-1",'PY1 TFR ADA'!$F$5:$AU$5,0),FALSE)=TRUE,"Alternative Rate","LCFF Rate"),"LCFF Rate"),0)</f>
        <v>0</v>
      </c>
      <c r="J75" s="523"/>
      <c r="K75" s="977">
        <f>_xlfn.IFNA(IF(VLOOKUP($B66,'PY1 TFR ADA'!$F:$AU,MATCH("B-3.5",'PY1 TFR ADA'!$F$5:$AU$5,0),FALSE)=TRUE,IF(VLOOKUP($B66,'PY1 TFR ADA'!$F:$AU,MATCH("C-1",'PY1 TFR ADA'!$F$5:$AU$5,0),FALSE)=TRUE,"Alternative Rate","LCFF Rate"),"LCFF Rate"),0)</f>
        <v>0</v>
      </c>
      <c r="L75" s="523"/>
      <c r="M75" s="977">
        <f>_xlfn.IFNA(IF(VLOOKUP($B66,'PY1 TFR ADA'!$F:$AU,MATCH("B-4.5",'PY1 TFR ADA'!$F$5:$AU$5,0),FALSE)=TRUE,IF(VLOOKUP($B66,'PY1 TFR ADA'!$F:$AU,MATCH("C-1",'PY1 TFR ADA'!$F$5:$AU$5,0),FALSE)=TRUE,"Alternative Rate","LCFF Rate"),"LCFF Rate"),0)</f>
        <v>0</v>
      </c>
      <c r="N75" s="523"/>
      <c r="O75" s="977">
        <f>_xlfn.IFNA(IF(VLOOKUP($B66,'PY1 TFR ADA'!$F:$AU,MATCH("B-5.5",'PY1 TFR ADA'!$F$5:$AU$5,0),FALSE)=TRUE,IF(VLOOKUP($B66,'PY1 TFR ADA'!$F:$AU,MATCH("C-1",'PY1 TFR ADA'!$F$5:$AU$5,0),FALSE)=TRUE,"Alternative Rate","LCFF Rate"),"LCFF Rate"),0)</f>
        <v>0</v>
      </c>
      <c r="P75" s="523"/>
      <c r="Q75" s="977">
        <f>_xlfn.IFNA(IF(VLOOKUP($B66,'PY1 TFR ADA'!$F:$AU,MATCH("B-6.5",'PY1 TFR ADA'!$F$5:$AU$5,0),FALSE)=TRUE,IF(VLOOKUP($B66,'PY1 TFR ADA'!$F:$AU,MATCH("C-1",'PY1 TFR ADA'!$F$5:$AU$5,0),FALSE)=TRUE,"Alternative Rate","LCFF Rate"),"LCFF Rate"),0)</f>
        <v>0</v>
      </c>
      <c r="R75" s="167"/>
      <c r="S75" s="520"/>
      <c r="T75" s="167"/>
      <c r="U75" s="528"/>
      <c r="V75" s="522"/>
      <c r="X75" s="283"/>
    </row>
    <row r="76" spans="1:24" s="8" customFormat="1" ht="8.25" customHeight="1">
      <c r="A76" s="521"/>
      <c r="B76" s="167"/>
      <c r="C76" s="165"/>
      <c r="D76" s="523"/>
      <c r="E76" s="165"/>
      <c r="F76" s="523"/>
      <c r="G76" s="520"/>
      <c r="H76" s="523"/>
      <c r="I76" s="520"/>
      <c r="J76" s="523"/>
      <c r="K76" s="520"/>
      <c r="L76" s="523"/>
      <c r="M76" s="520"/>
      <c r="N76" s="523"/>
      <c r="O76" s="520"/>
      <c r="P76" s="523"/>
      <c r="Q76" s="520"/>
      <c r="R76" s="167"/>
      <c r="S76" s="520"/>
      <c r="T76" s="167"/>
      <c r="U76" s="528"/>
      <c r="V76" s="522"/>
      <c r="X76" s="4"/>
    </row>
    <row r="77" spans="1:24" s="8" customFormat="1" ht="16.8">
      <c r="A77" s="521"/>
      <c r="B77" s="2"/>
      <c r="F77" s="523"/>
      <c r="G77" s="535">
        <f t="shared" ref="G77" si="71">IF(G75="LCFF Rate",(G68*C68+G69*C69+G70*C70+G71*C71),(G73*E71))</f>
        <v>0</v>
      </c>
      <c r="H77" s="537"/>
      <c r="I77" s="535">
        <f t="shared" ref="I77" si="72">IF(I75="LCFF Rate",(I68*C68+I69*C69+I70*C70+I71*C71),(I73*E71))</f>
        <v>0</v>
      </c>
      <c r="J77" s="537"/>
      <c r="K77" s="535">
        <f t="shared" ref="K77" si="73">IF(K75="LCFF Rate",(K68*C68+K69*C69+K70*C70+K71*C71),(K73*E71))</f>
        <v>0</v>
      </c>
      <c r="L77" s="537"/>
      <c r="M77" s="535">
        <f t="shared" ref="M77" si="74">IF(M75="LCFF Rate",(M68*C68+M69*C69+M70*C70+M71*C71),(M73*E71))</f>
        <v>0</v>
      </c>
      <c r="N77" s="537"/>
      <c r="O77" s="535">
        <f t="shared" ref="O77" si="75">IF(O75="LCFF Rate",(O68*C68+O69*C69+O70*C70+O71*C71),(O73*E71))</f>
        <v>0</v>
      </c>
      <c r="P77" s="537"/>
      <c r="Q77" s="535">
        <f t="shared" ref="Q77" si="76">IF(Q75="LCFF Rate",(Q68*C68+Q69*C69+Q70*C70+Q71*C71),(Q73*E71))</f>
        <v>0</v>
      </c>
      <c r="R77" s="167"/>
      <c r="S77" s="538">
        <f t="shared" ref="S77" si="77">SUM(G77:Q77)</f>
        <v>0</v>
      </c>
      <c r="T77" s="167"/>
      <c r="U77" s="528"/>
      <c r="V77" s="522"/>
      <c r="X77" s="979"/>
    </row>
    <row r="78" spans="1:24" s="8" customFormat="1" ht="9" customHeight="1" thickBot="1">
      <c r="A78" s="529"/>
      <c r="B78" s="530"/>
      <c r="C78" s="531"/>
      <c r="D78" s="532"/>
      <c r="E78" s="533"/>
      <c r="F78" s="532"/>
      <c r="G78" s="530"/>
      <c r="H78" s="532"/>
      <c r="I78" s="530"/>
      <c r="J78" s="532"/>
      <c r="K78" s="530"/>
      <c r="L78" s="532"/>
      <c r="M78" s="530"/>
      <c r="N78" s="532"/>
      <c r="O78" s="530"/>
      <c r="P78" s="532"/>
      <c r="Q78" s="530"/>
      <c r="R78" s="532"/>
      <c r="S78" s="530"/>
      <c r="T78" s="532"/>
      <c r="U78" s="532"/>
      <c r="V78" s="534"/>
      <c r="X78" s="4"/>
    </row>
    <row r="79" spans="1:24" s="82" customFormat="1" ht="18" customHeight="1" thickBot="1">
      <c r="A79" s="890">
        <f>+A66+1</f>
        <v>6</v>
      </c>
      <c r="B79" s="891" t="str">
        <f>'Data Entry'!$B$3&amp;"-"&amp;C79</f>
        <v>-</v>
      </c>
      <c r="C79" s="891" t="str">
        <f>IFERROR(VLOOKUP('Data Entry'!$B$3&amp;"-"&amp;A79,'PY1 TFR ADA'!$D:$AT,2,FALSE),"")</f>
        <v/>
      </c>
      <c r="D79" s="892" t="str">
        <f>IFERROR(VLOOKUP('Data Entry'!$B$3&amp;"-"&amp;A79,'PY1 TFR ADA'!$D:$AT,4,FALSE),"")</f>
        <v/>
      </c>
      <c r="E79" s="893"/>
      <c r="F79" s="893"/>
      <c r="G79" s="893"/>
      <c r="H79" s="893"/>
      <c r="I79" s="893"/>
      <c r="J79" s="893"/>
      <c r="K79" s="893"/>
      <c r="L79" s="893"/>
      <c r="M79" s="893"/>
      <c r="N79" s="893"/>
      <c r="O79" s="893"/>
      <c r="P79" s="893"/>
      <c r="Q79" s="893"/>
      <c r="R79" s="893"/>
      <c r="S79" s="893"/>
      <c r="T79" s="893"/>
      <c r="U79" s="893"/>
      <c r="V79" s="894"/>
      <c r="X79" s="83"/>
    </row>
    <row r="80" spans="1:24" ht="75" customHeight="1">
      <c r="A80" s="521"/>
      <c r="C80" s="540" t="s">
        <v>1315</v>
      </c>
      <c r="D80" s="512"/>
      <c r="E80" s="540" t="s">
        <v>1316</v>
      </c>
      <c r="F80" s="512"/>
      <c r="G80" s="540" t="s">
        <v>1309</v>
      </c>
      <c r="H80" s="512"/>
      <c r="I80" s="540" t="s">
        <v>1310</v>
      </c>
      <c r="J80" s="512"/>
      <c r="K80" s="540" t="s">
        <v>1311</v>
      </c>
      <c r="L80" s="512"/>
      <c r="M80" s="540" t="s">
        <v>1312</v>
      </c>
      <c r="N80" s="512"/>
      <c r="O80" s="540" t="s">
        <v>1313</v>
      </c>
      <c r="P80" s="512"/>
      <c r="Q80" s="540" t="s">
        <v>1314</v>
      </c>
      <c r="R80" s="167"/>
      <c r="S80" s="540" t="s">
        <v>1308</v>
      </c>
      <c r="T80" s="167"/>
      <c r="U80" s="512" t="s">
        <v>1307</v>
      </c>
      <c r="V80" s="524"/>
      <c r="X80" s="283"/>
    </row>
    <row r="81" spans="1:24" s="8" customFormat="1" ht="14.4">
      <c r="A81" s="521"/>
      <c r="B81" s="510" t="s">
        <v>94</v>
      </c>
      <c r="C81" s="525">
        <f>IFERROR(VLOOKUP($B79,'PY1 TFR ADA'!$F:$AU,MATCH("A-1.1",'PY1 TFR ADA'!$F$5:$AU$5,0),FALSE),0)</f>
        <v>0</v>
      </c>
      <c r="D81" s="167"/>
      <c r="E81" s="525">
        <f>IFERROR(VALUE(VLOOKUP($B79,'PY1 TFR ADA'!$F:$AU,MATCH("A-2.1",'PY1 TFR ADA'!$F$5:$AU$5,0),FALSE)),0)</f>
        <v>0</v>
      </c>
      <c r="F81" s="167"/>
      <c r="G81" s="609">
        <f>IFERROR(VLOOKUP($B79,'PY1 TFR ADA'!$F:$AU,MATCH("b-1.1",'PY1 TFR ADA'!$F$5:$AU$5,0),FALSE),0)</f>
        <v>0</v>
      </c>
      <c r="H81" s="527"/>
      <c r="I81" s="609">
        <f>IFERROR(VLOOKUP($B79,'PY1 TFR ADA'!$F:$AU,MATCH("b-2.1",'PY1 TFR ADA'!$F$5:$AU$5,0),FALSE),0)</f>
        <v>0</v>
      </c>
      <c r="J81" s="527"/>
      <c r="K81" s="609">
        <f>IFERROR(VLOOKUP($B79,'PY1 TFR ADA'!$F:$AU,MATCH("b-3.1",'PY1 TFR ADA'!$F$5:$AU$5,0),FALSE),0)</f>
        <v>0</v>
      </c>
      <c r="L81" s="527"/>
      <c r="M81" s="609">
        <f>IFERROR(VLOOKUP($B79,'PY1 TFR ADA'!$F:$AU,MATCH("b-4.1",'PY1 TFR ADA'!$F$5:$AU$5,0),FALSE),0)</f>
        <v>0</v>
      </c>
      <c r="N81" s="527"/>
      <c r="O81" s="609">
        <f>IFERROR(VLOOKUP($B79,'PY1 TFR ADA'!$F:$AU,MATCH("b-5.1",'PY1 TFR ADA'!$F$5:$AU$5,0),FALSE),0)</f>
        <v>0</v>
      </c>
      <c r="P81" s="527"/>
      <c r="Q81" s="609">
        <f>IFERROR(VLOOKUP($B79,'PY1 TFR ADA'!$F:$AU,MATCH("b-6.1",'PY1 TFR ADA'!$F$5:$AU$5,0),FALSE),0)</f>
        <v>0</v>
      </c>
      <c r="R81" s="551"/>
      <c r="S81" s="601">
        <f t="shared" ref="S81:S84" si="78">SUM(G81:Q81)</f>
        <v>0</v>
      </c>
      <c r="T81" s="551"/>
      <c r="U81" s="536">
        <f t="shared" ref="U81" si="79">ROUND(IF($G88="LCFF Rate",(G81*$C81),(G81*$E81))+IF($I88="LCFF Rate",(I81*$C81),(I81*$E81))+IF($K88="LCFF Rate",(K81*$C81),(K81*$E81))+IF($M88="LCFF Rate",(M81*$C81),(M81*$E81))+IF($O88="LCFF Rate",(O81*$C81),(O81*$E81))+IF($Q88="LCFF Rate",(Q81*$C81),(Q81*$E81)),0)</f>
        <v>0</v>
      </c>
      <c r="V81" s="524"/>
      <c r="X81" s="496"/>
    </row>
    <row r="82" spans="1:24" s="8" customFormat="1" ht="14.4">
      <c r="A82" s="521"/>
      <c r="B82" s="510" t="s">
        <v>2</v>
      </c>
      <c r="C82" s="525">
        <f>IFERROR(VLOOKUP($B79,'PY1 TFR ADA'!$F:$AU,MATCH("A-1.2",'PY1 TFR ADA'!$F$5:$AU$5,0),FALSE),0)</f>
        <v>0</v>
      </c>
      <c r="D82" s="167"/>
      <c r="E82" s="525">
        <f>IFERROR(VALUE(VLOOKUP($B79,'PY1 TFR ADA'!$F:$AU,MATCH("A-2.2",'PY1 TFR ADA'!$F$5:$AU$5,0),FALSE)),0)</f>
        <v>0</v>
      </c>
      <c r="F82" s="167"/>
      <c r="G82" s="609">
        <f>IFERROR(VLOOKUP($B79,'PY1 TFR ADA'!$F:$AU,MATCH("b-1.2",'PY1 TFR ADA'!$F$5:$AU$5,0),FALSE),0)</f>
        <v>0</v>
      </c>
      <c r="H82" s="527"/>
      <c r="I82" s="609">
        <f>IFERROR(VLOOKUP($B79,'PY1 TFR ADA'!$F:$AU,MATCH("b-2.2",'PY1 TFR ADA'!$F$5:$AU$5,0),FALSE),0)</f>
        <v>0</v>
      </c>
      <c r="J82" s="527"/>
      <c r="K82" s="609">
        <f>IFERROR(VLOOKUP($B79,'PY1 TFR ADA'!$F:$AU,MATCH("b-3.2",'PY1 TFR ADA'!$F$5:$AU$5,0),FALSE),0)</f>
        <v>0</v>
      </c>
      <c r="L82" s="527"/>
      <c r="M82" s="609">
        <f>IFERROR(VLOOKUP($B79,'PY1 TFR ADA'!$F:$AU,MATCH("b-4.2",'PY1 TFR ADA'!$F$5:$AU$5,0),FALSE),0)</f>
        <v>0</v>
      </c>
      <c r="N82" s="527"/>
      <c r="O82" s="609">
        <f>IFERROR(VLOOKUP($B79,'PY1 TFR ADA'!$F:$AU,MATCH("b-5.2",'PY1 TFR ADA'!$F$5:$AU$5,0),FALSE),0)</f>
        <v>0</v>
      </c>
      <c r="P82" s="527"/>
      <c r="Q82" s="609">
        <f>IFERROR(VLOOKUP($B79,'PY1 TFR ADA'!$F:$AU,MATCH("b-6.2",'PY1 TFR ADA'!$F$5:$AU$5,0),FALSE),0)</f>
        <v>0</v>
      </c>
      <c r="R82" s="551"/>
      <c r="S82" s="601">
        <f t="shared" si="78"/>
        <v>0</v>
      </c>
      <c r="T82" s="551"/>
      <c r="U82" s="536">
        <f t="shared" ref="U82" si="80">ROUND(IF($G88="LCFF Rate",(G82*$C82),(G82*$E82))+IF($I88="LCFF Rate",(I82*$C82),(I82*$E82))+IF($K88="LCFF Rate",(K82*$C82),(K82*$E82))+IF($M88="LCFF Rate",(M82*$C82),(M82*$E82))+IF($O88="LCFF Rate",(O82*$C82),(O82*$E82))+IF($Q88="LCFF Rate",(Q82*$C82),(Q82*$E82)),0)</f>
        <v>0</v>
      </c>
      <c r="V82" s="524"/>
      <c r="X82" s="4"/>
    </row>
    <row r="83" spans="1:24" s="8" customFormat="1" ht="14.4">
      <c r="A83" s="521"/>
      <c r="B83" s="510" t="s">
        <v>3</v>
      </c>
      <c r="C83" s="525">
        <f>IFERROR(VLOOKUP($B79,'PY1 TFR ADA'!$F:$AU,MATCH("A-1.3",'PY1 TFR ADA'!$F$5:$AU$5,0),FALSE),0)</f>
        <v>0</v>
      </c>
      <c r="D83" s="167"/>
      <c r="E83" s="525">
        <f>IFERROR(VALUE(VLOOKUP($B79,'PY1 TFR ADA'!$F:$AU,MATCH("A-2.3",'PY1 TFR ADA'!$F$5:$AU$5,0),FALSE)),0)</f>
        <v>0</v>
      </c>
      <c r="F83" s="167"/>
      <c r="G83" s="609">
        <f>IFERROR(VLOOKUP($B79,'PY1 TFR ADA'!$F:$AU,MATCH("b-1.3",'PY1 TFR ADA'!$F$5:$AU$5,0),FALSE),0)</f>
        <v>0</v>
      </c>
      <c r="H83" s="527"/>
      <c r="I83" s="609">
        <f>IFERROR(VLOOKUP($B79,'PY1 TFR ADA'!$F:$AU,MATCH("b-2.3",'PY1 TFR ADA'!$F$5:$AU$5,0),FALSE),0)</f>
        <v>0</v>
      </c>
      <c r="J83" s="527"/>
      <c r="K83" s="609">
        <f>IFERROR(VLOOKUP($B79,'PY1 TFR ADA'!$F:$AU,MATCH("b-3.3",'PY1 TFR ADA'!$F$5:$AU$5,0),FALSE),0)</f>
        <v>0</v>
      </c>
      <c r="L83" s="527"/>
      <c r="M83" s="609">
        <f>IFERROR(VLOOKUP($B79,'PY1 TFR ADA'!$F:$AU,MATCH("b-4.3",'PY1 TFR ADA'!$F$5:$AU$5,0),FALSE),0)</f>
        <v>0</v>
      </c>
      <c r="N83" s="527"/>
      <c r="O83" s="609">
        <f>IFERROR(VLOOKUP($B79,'PY1 TFR ADA'!$F:$AU,MATCH("b-5.3",'PY1 TFR ADA'!$F$5:$AU$5,0),FALSE),0)</f>
        <v>0</v>
      </c>
      <c r="P83" s="527"/>
      <c r="Q83" s="609">
        <f>IFERROR(VLOOKUP($B79,'PY1 TFR ADA'!$F:$AU,MATCH("b-6.3",'PY1 TFR ADA'!$F$5:$AU$5,0),FALSE),0)</f>
        <v>0</v>
      </c>
      <c r="R83" s="551"/>
      <c r="S83" s="601">
        <f t="shared" si="78"/>
        <v>0</v>
      </c>
      <c r="T83" s="551"/>
      <c r="U83" s="536">
        <f t="shared" ref="U83" si="81">ROUND(IF($G88="LCFF Rate",(G83*$C83),(G83*$E83))+IF($I88="LCFF Rate",(I83*$C83),(I83*$E83))+IF($K88="LCFF Rate",(K83*$C83),(K83*$E83))+IF($M88="LCFF Rate",(M83*$C83),(M83*$E83))+IF($O88="LCFF Rate",(O83*$C83),(O83*$E83))+IF($Q88="LCFF Rate",(Q83*$C83),(Q83*$E83)),0)</f>
        <v>0</v>
      </c>
      <c r="V83" s="524"/>
      <c r="X83" s="4"/>
    </row>
    <row r="84" spans="1:24" s="8" customFormat="1" ht="14.4">
      <c r="A84" s="526"/>
      <c r="B84" s="510" t="s">
        <v>4</v>
      </c>
      <c r="C84" s="525">
        <f>IFERROR(VLOOKUP($B79,'PY1 TFR ADA'!$F:$AU,MATCH("A-1.4",'PY1 TFR ADA'!$F$5:$AU$5,0),FALSE),0)</f>
        <v>0</v>
      </c>
      <c r="D84" s="523"/>
      <c r="E84" s="525">
        <f>IFERROR(VALUE(VLOOKUP($B79,'PY1 TFR ADA'!$F:$AU,MATCH("A-2.4",'PY1 TFR ADA'!$F$5:$AU$5,0),FALSE)),0)</f>
        <v>0</v>
      </c>
      <c r="F84" s="523"/>
      <c r="G84" s="609">
        <f>IFERROR(VLOOKUP($B79,'PY1 TFR ADA'!$F:$AU,MATCH("b-1.4",'PY1 TFR ADA'!$F$5:$AU$5,0),FALSE),0)</f>
        <v>0</v>
      </c>
      <c r="H84" s="527"/>
      <c r="I84" s="609">
        <f>IFERROR(VLOOKUP($B79,'PY1 TFR ADA'!$F:$AU,MATCH("b-2.4",'PY1 TFR ADA'!$F$5:$AU$5,0),FALSE),0)</f>
        <v>0</v>
      </c>
      <c r="J84" s="527"/>
      <c r="K84" s="609">
        <f>IFERROR(VLOOKUP($B79,'PY1 TFR ADA'!$F:$AU,MATCH("b-3.4",'PY1 TFR ADA'!$F$5:$AU$5,0),FALSE),0)</f>
        <v>0</v>
      </c>
      <c r="L84" s="527"/>
      <c r="M84" s="609">
        <f>IFERROR(VLOOKUP($B79,'PY1 TFR ADA'!$F:$AU,MATCH("b-4.4",'PY1 TFR ADA'!$F$5:$AU$5,0),FALSE),0)</f>
        <v>0</v>
      </c>
      <c r="N84" s="527"/>
      <c r="O84" s="609">
        <f>IFERROR(VLOOKUP($B79,'PY1 TFR ADA'!$F:$AU,MATCH("b-5.4",'PY1 TFR ADA'!$F$5:$AU$5,0),FALSE),0)</f>
        <v>0</v>
      </c>
      <c r="P84" s="527"/>
      <c r="Q84" s="609">
        <f>IFERROR(VLOOKUP($B79,'PY1 TFR ADA'!$F:$AU,MATCH("b-6.4",'PY1 TFR ADA'!$F$5:$AU$5,0),FALSE),0)</f>
        <v>0</v>
      </c>
      <c r="R84" s="551"/>
      <c r="S84" s="601">
        <f t="shared" si="78"/>
        <v>0</v>
      </c>
      <c r="T84" s="551"/>
      <c r="U84" s="536">
        <f t="shared" ref="U84" si="82">ROUND(IF($G88="LCFF Rate",(G84*$C84),(G84*$E84))+IF($I88="LCFF Rate",(I84*$C84),(I84*$E84))+IF($K88="LCFF Rate",(K84*$C84),(K84*$E84))+IF($M88="LCFF Rate",(M84*$C84),(M84*$E84))+IF($O88="LCFF Rate",(O84*$C84),(O84*$E84))+IF($Q88="LCFF Rate",(Q84*$C84),(Q84*$E84)),0)</f>
        <v>0</v>
      </c>
      <c r="V84" s="522"/>
      <c r="X84" s="496"/>
    </row>
    <row r="85" spans="1:24" s="8" customFormat="1" ht="8.25" customHeight="1">
      <c r="A85" s="521"/>
      <c r="B85" s="167"/>
      <c r="C85" s="165"/>
      <c r="D85" s="523"/>
      <c r="E85" s="165"/>
      <c r="F85" s="523"/>
      <c r="G85" s="520"/>
      <c r="H85" s="523"/>
      <c r="I85" s="520"/>
      <c r="J85" s="523"/>
      <c r="K85" s="520"/>
      <c r="L85" s="523"/>
      <c r="M85" s="520"/>
      <c r="N85" s="523"/>
      <c r="O85" s="520"/>
      <c r="P85" s="523"/>
      <c r="Q85" s="520"/>
      <c r="R85" s="167"/>
      <c r="S85" s="520"/>
      <c r="T85" s="167"/>
      <c r="U85" s="602"/>
      <c r="V85" s="522"/>
      <c r="X85" s="4"/>
    </row>
    <row r="86" spans="1:24" s="8" customFormat="1" ht="14.4">
      <c r="A86" s="521"/>
      <c r="B86" s="167"/>
      <c r="C86" s="165"/>
      <c r="D86" s="523"/>
      <c r="E86" s="513" t="s">
        <v>1317</v>
      </c>
      <c r="F86" s="523"/>
      <c r="G86" s="601">
        <f t="shared" ref="G86" si="83">SUM(G81:G84)</f>
        <v>0</v>
      </c>
      <c r="H86" s="527"/>
      <c r="I86" s="601">
        <f t="shared" ref="I86" si="84">SUM(I81:I84)</f>
        <v>0</v>
      </c>
      <c r="J86" s="527"/>
      <c r="K86" s="601">
        <f t="shared" ref="K86" si="85">SUM(K81:K84)</f>
        <v>0</v>
      </c>
      <c r="L86" s="527"/>
      <c r="M86" s="601">
        <f t="shared" ref="M86" si="86">SUM(M81:M84)</f>
        <v>0</v>
      </c>
      <c r="N86" s="527"/>
      <c r="O86" s="601">
        <f t="shared" ref="O86" si="87">SUM(O81:O84)</f>
        <v>0</v>
      </c>
      <c r="P86" s="527"/>
      <c r="Q86" s="601">
        <f t="shared" ref="Q86" si="88">SUM(Q81:Q84)</f>
        <v>0</v>
      </c>
      <c r="R86" s="527"/>
      <c r="S86" s="601">
        <f t="shared" ref="S86" si="89">SUM(S81:S84)</f>
        <v>0</v>
      </c>
      <c r="T86" s="527"/>
      <c r="U86" s="536">
        <f t="shared" ref="U86" si="90">SUM(U81:U84)</f>
        <v>0</v>
      </c>
      <c r="V86" s="522"/>
      <c r="X86" s="4"/>
    </row>
    <row r="87" spans="1:24" s="8" customFormat="1" ht="8.25" customHeight="1">
      <c r="A87" s="521"/>
      <c r="B87" s="167"/>
      <c r="C87" s="165"/>
      <c r="D87" s="523"/>
      <c r="E87" s="165"/>
      <c r="F87" s="523"/>
      <c r="G87" s="520"/>
      <c r="H87" s="523"/>
      <c r="I87" s="520"/>
      <c r="J87" s="523"/>
      <c r="K87" s="520"/>
      <c r="L87" s="523"/>
      <c r="M87" s="520"/>
      <c r="N87" s="523"/>
      <c r="O87" s="520"/>
      <c r="P87" s="523"/>
      <c r="Q87" s="520"/>
      <c r="R87" s="167"/>
      <c r="S87" s="520"/>
      <c r="T87" s="167"/>
      <c r="U87" s="528"/>
      <c r="V87" s="522"/>
      <c r="X87" s="4"/>
    </row>
    <row r="88" spans="1:24" s="8" customFormat="1" ht="16.5" customHeight="1">
      <c r="A88" s="521"/>
      <c r="B88" s="167"/>
      <c r="C88" s="165"/>
      <c r="E88" s="513" t="s">
        <v>1304</v>
      </c>
      <c r="F88" s="523"/>
      <c r="G88" s="977">
        <f>_xlfn.IFNA(IF(VLOOKUP($B79,'PY1 TFR ADA'!$F:$AU,MATCH("B-1.5",'PY1 TFR ADA'!$F$5:$AU$5,0),FALSE)=TRUE,IF(VLOOKUP($B79,'PY1 TFR ADA'!$F:$AU,MATCH("C-1",'PY1 TFR ADA'!$F$5:$AU$5,0),FALSE)=TRUE,"Alternative Rate","LCFF Rate"),"LCFF Rate"),0)</f>
        <v>0</v>
      </c>
      <c r="H88" s="523"/>
      <c r="I88" s="977">
        <f>_xlfn.IFNA(IF(VLOOKUP($B79,'PY1 TFR ADA'!$F:$AU,MATCH("B-2.5",'PY1 TFR ADA'!$F$5:$AU$5,0),FALSE)=TRUE,IF(VLOOKUP($B79,'PY1 TFR ADA'!$F:$AU,MATCH("C-1",'PY1 TFR ADA'!$F$5:$AU$5,0),FALSE)=TRUE,"Alternative Rate","LCFF Rate"),"LCFF Rate"),0)</f>
        <v>0</v>
      </c>
      <c r="J88" s="523"/>
      <c r="K88" s="977">
        <f>_xlfn.IFNA(IF(VLOOKUP($B79,'PY1 TFR ADA'!$F:$AU,MATCH("B-3.5",'PY1 TFR ADA'!$F$5:$AU$5,0),FALSE)=TRUE,IF(VLOOKUP($B79,'PY1 TFR ADA'!$F:$AU,MATCH("C-1",'PY1 TFR ADA'!$F$5:$AU$5,0),FALSE)=TRUE,"Alternative Rate","LCFF Rate"),"LCFF Rate"),0)</f>
        <v>0</v>
      </c>
      <c r="L88" s="523"/>
      <c r="M88" s="977">
        <f>_xlfn.IFNA(IF(VLOOKUP($B79,'PY1 TFR ADA'!$F:$AU,MATCH("B-4.5",'PY1 TFR ADA'!$F$5:$AU$5,0),FALSE)=TRUE,IF(VLOOKUP($B79,'PY1 TFR ADA'!$F:$AU,MATCH("C-1",'PY1 TFR ADA'!$F$5:$AU$5,0),FALSE)=TRUE,"Alternative Rate","LCFF Rate"),"LCFF Rate"),0)</f>
        <v>0</v>
      </c>
      <c r="N88" s="523"/>
      <c r="O88" s="977">
        <f>_xlfn.IFNA(IF(VLOOKUP($B79,'PY1 TFR ADA'!$F:$AU,MATCH("B-5.5",'PY1 TFR ADA'!$F$5:$AU$5,0),FALSE)=TRUE,IF(VLOOKUP($B79,'PY1 TFR ADA'!$F:$AU,MATCH("C-1",'PY1 TFR ADA'!$F$5:$AU$5,0),FALSE)=TRUE,"Alternative Rate","LCFF Rate"),"LCFF Rate"),0)</f>
        <v>0</v>
      </c>
      <c r="P88" s="523"/>
      <c r="Q88" s="977">
        <f>_xlfn.IFNA(IF(VLOOKUP($B79,'PY1 TFR ADA'!$F:$AU,MATCH("B-6.5",'PY1 TFR ADA'!$F$5:$AU$5,0),FALSE)=TRUE,IF(VLOOKUP($B79,'PY1 TFR ADA'!$F:$AU,MATCH("C-1",'PY1 TFR ADA'!$F$5:$AU$5,0),FALSE)=TRUE,"Alternative Rate","LCFF Rate"),"LCFF Rate"),0)</f>
        <v>0</v>
      </c>
      <c r="R88" s="167"/>
      <c r="S88" s="520"/>
      <c r="T88" s="167"/>
      <c r="U88" s="528"/>
      <c r="V88" s="522"/>
      <c r="X88" s="283"/>
    </row>
    <row r="89" spans="1:24" s="8" customFormat="1" ht="8.25" customHeight="1">
      <c r="A89" s="521"/>
      <c r="B89" s="167"/>
      <c r="C89" s="165"/>
      <c r="D89" s="523"/>
      <c r="E89" s="165"/>
      <c r="F89" s="523"/>
      <c r="G89" s="520"/>
      <c r="H89" s="523"/>
      <c r="I89" s="520"/>
      <c r="J89" s="523"/>
      <c r="K89" s="520"/>
      <c r="L89" s="523"/>
      <c r="M89" s="520"/>
      <c r="N89" s="523"/>
      <c r="O89" s="520"/>
      <c r="P89" s="523"/>
      <c r="Q89" s="520"/>
      <c r="R89" s="167"/>
      <c r="S89" s="520"/>
      <c r="T89" s="167"/>
      <c r="U89" s="528"/>
      <c r="V89" s="522"/>
      <c r="X89" s="4"/>
    </row>
    <row r="90" spans="1:24" s="8" customFormat="1" ht="16.8">
      <c r="A90" s="521"/>
      <c r="B90" s="2"/>
      <c r="F90" s="523"/>
      <c r="G90" s="535">
        <f t="shared" ref="G90" si="91">IF(G88="LCFF Rate",(G81*C81+G82*C82+G83*C83+G84*C84),(G86*E84))</f>
        <v>0</v>
      </c>
      <c r="H90" s="537"/>
      <c r="I90" s="535">
        <f t="shared" ref="I90" si="92">IF(I88="LCFF Rate",(I81*C81+I82*C82+I83*C83+I84*C84),(I86*E84))</f>
        <v>0</v>
      </c>
      <c r="J90" s="537"/>
      <c r="K90" s="535">
        <f t="shared" ref="K90" si="93">IF(K88="LCFF Rate",(K81*C81+K82*C82+K83*C83+K84*C84),(K86*E84))</f>
        <v>0</v>
      </c>
      <c r="L90" s="537"/>
      <c r="M90" s="535">
        <f t="shared" ref="M90" si="94">IF(M88="LCFF Rate",(M81*C81+M82*C82+M83*C83+M84*C84),(M86*E84))</f>
        <v>0</v>
      </c>
      <c r="N90" s="537"/>
      <c r="O90" s="535">
        <f t="shared" ref="O90" si="95">IF(O88="LCFF Rate",(O81*C81+O82*C82+O83*C83+O84*C84),(O86*E84))</f>
        <v>0</v>
      </c>
      <c r="P90" s="537"/>
      <c r="Q90" s="535">
        <f t="shared" ref="Q90" si="96">IF(Q88="LCFF Rate",(Q81*C81+Q82*C82+Q83*C83+Q84*C84),(Q86*E84))</f>
        <v>0</v>
      </c>
      <c r="R90" s="167"/>
      <c r="S90" s="538">
        <f t="shared" ref="S90" si="97">SUM(G90:Q90)</f>
        <v>0</v>
      </c>
      <c r="T90" s="167"/>
      <c r="U90" s="528"/>
      <c r="V90" s="522"/>
      <c r="X90" s="979"/>
    </row>
    <row r="91" spans="1:24" s="8" customFormat="1" ht="9" customHeight="1" thickBot="1">
      <c r="A91" s="529"/>
      <c r="B91" s="530"/>
      <c r="C91" s="531"/>
      <c r="D91" s="532"/>
      <c r="E91" s="533"/>
      <c r="F91" s="532"/>
      <c r="G91" s="530"/>
      <c r="H91" s="532"/>
      <c r="I91" s="530"/>
      <c r="J91" s="532"/>
      <c r="K91" s="530"/>
      <c r="L91" s="532"/>
      <c r="M91" s="530"/>
      <c r="N91" s="532"/>
      <c r="O91" s="530"/>
      <c r="P91" s="532"/>
      <c r="Q91" s="530"/>
      <c r="R91" s="532"/>
      <c r="S91" s="530"/>
      <c r="T91" s="532"/>
      <c r="U91" s="532"/>
      <c r="V91" s="534"/>
      <c r="X91" s="4"/>
    </row>
    <row r="92" spans="1:24" s="82" customFormat="1" ht="18" customHeight="1" thickBot="1">
      <c r="A92" s="890">
        <f>+A79+1</f>
        <v>7</v>
      </c>
      <c r="B92" s="891" t="str">
        <f>'Data Entry'!$B$3&amp;"-"&amp;C92</f>
        <v>-</v>
      </c>
      <c r="C92" s="891" t="str">
        <f>IFERROR(VLOOKUP('Data Entry'!$B$3&amp;"-"&amp;A92,'PY1 TFR ADA'!$D:$AT,2,FALSE),"")</f>
        <v/>
      </c>
      <c r="D92" s="892" t="str">
        <f>IFERROR(VLOOKUP('Data Entry'!$B$3&amp;"-"&amp;A92,'PY1 TFR ADA'!$D:$AT,4,FALSE),"")</f>
        <v/>
      </c>
      <c r="E92" s="893"/>
      <c r="F92" s="893"/>
      <c r="G92" s="893"/>
      <c r="H92" s="893"/>
      <c r="I92" s="893"/>
      <c r="J92" s="893"/>
      <c r="K92" s="893"/>
      <c r="L92" s="893"/>
      <c r="M92" s="893"/>
      <c r="N92" s="893"/>
      <c r="O92" s="893"/>
      <c r="P92" s="893"/>
      <c r="Q92" s="893"/>
      <c r="R92" s="893"/>
      <c r="S92" s="893"/>
      <c r="T92" s="893"/>
      <c r="U92" s="893"/>
      <c r="V92" s="894"/>
      <c r="X92" s="83"/>
    </row>
    <row r="93" spans="1:24" ht="75" customHeight="1">
      <c r="A93" s="521"/>
      <c r="C93" s="540" t="s">
        <v>1315</v>
      </c>
      <c r="D93" s="512"/>
      <c r="E93" s="540" t="s">
        <v>1316</v>
      </c>
      <c r="F93" s="512"/>
      <c r="G93" s="540" t="s">
        <v>1309</v>
      </c>
      <c r="H93" s="512"/>
      <c r="I93" s="540" t="s">
        <v>1310</v>
      </c>
      <c r="J93" s="512"/>
      <c r="K93" s="540" t="s">
        <v>1311</v>
      </c>
      <c r="L93" s="512"/>
      <c r="M93" s="540" t="s">
        <v>1312</v>
      </c>
      <c r="N93" s="512"/>
      <c r="O93" s="540" t="s">
        <v>1313</v>
      </c>
      <c r="P93" s="512"/>
      <c r="Q93" s="540" t="s">
        <v>1314</v>
      </c>
      <c r="R93" s="167"/>
      <c r="S93" s="540" t="s">
        <v>1308</v>
      </c>
      <c r="T93" s="167"/>
      <c r="U93" s="512" t="s">
        <v>1307</v>
      </c>
      <c r="V93" s="524"/>
      <c r="X93" s="283"/>
    </row>
    <row r="94" spans="1:24" s="8" customFormat="1" ht="14.4">
      <c r="A94" s="521"/>
      <c r="B94" s="510" t="s">
        <v>94</v>
      </c>
      <c r="C94" s="525">
        <f>IFERROR(VLOOKUP($B92,'PY1 TFR ADA'!$F:$AU,MATCH("A-1.1",'PY1 TFR ADA'!$F$5:$AU$5,0),FALSE),0)</f>
        <v>0</v>
      </c>
      <c r="D94" s="167"/>
      <c r="E94" s="525">
        <f>IFERROR(VALUE(VLOOKUP($B92,'PY1 TFR ADA'!$F:$AU,MATCH("A-2.1",'PY1 TFR ADA'!$F$5:$AU$5,0),FALSE)),0)</f>
        <v>0</v>
      </c>
      <c r="F94" s="167"/>
      <c r="G94" s="609">
        <f>IFERROR(VLOOKUP($B92,'PY1 TFR ADA'!$F:$AU,MATCH("b-1.1",'PY1 TFR ADA'!$F$5:$AU$5,0),FALSE),0)</f>
        <v>0</v>
      </c>
      <c r="H94" s="527"/>
      <c r="I94" s="609">
        <f>IFERROR(VLOOKUP($B92,'PY1 TFR ADA'!$F:$AU,MATCH("b-2.1",'PY1 TFR ADA'!$F$5:$AU$5,0),FALSE),0)</f>
        <v>0</v>
      </c>
      <c r="J94" s="527"/>
      <c r="K94" s="609">
        <f>IFERROR(VLOOKUP($B92,'PY1 TFR ADA'!$F:$AU,MATCH("b-3.1",'PY1 TFR ADA'!$F$5:$AU$5,0),FALSE),0)</f>
        <v>0</v>
      </c>
      <c r="L94" s="527"/>
      <c r="M94" s="609">
        <f>IFERROR(VLOOKUP($B92,'PY1 TFR ADA'!$F:$AU,MATCH("b-4.1",'PY1 TFR ADA'!$F$5:$AU$5,0),FALSE),0)</f>
        <v>0</v>
      </c>
      <c r="N94" s="527"/>
      <c r="O94" s="609">
        <f>IFERROR(VLOOKUP($B92,'PY1 TFR ADA'!$F:$AU,MATCH("b-5.1",'PY1 TFR ADA'!$F$5:$AU$5,0),FALSE),0)</f>
        <v>0</v>
      </c>
      <c r="P94" s="527"/>
      <c r="Q94" s="609">
        <f>IFERROR(VLOOKUP($B92,'PY1 TFR ADA'!$F:$AU,MATCH("b-6.1",'PY1 TFR ADA'!$F$5:$AU$5,0),FALSE),0)</f>
        <v>0</v>
      </c>
      <c r="R94" s="551"/>
      <c r="S94" s="601">
        <f t="shared" ref="S94:S97" si="98">SUM(G94:Q94)</f>
        <v>0</v>
      </c>
      <c r="T94" s="551"/>
      <c r="U94" s="536">
        <f t="shared" ref="U94" si="99">ROUND(IF($G101="LCFF Rate",(G94*$C94),(G94*$E94))+IF($I101="LCFF Rate",(I94*$C94),(I94*$E94))+IF($K101="LCFF Rate",(K94*$C94),(K94*$E94))+IF($M101="LCFF Rate",(M94*$C94),(M94*$E94))+IF($O101="LCFF Rate",(O94*$C94),(O94*$E94))+IF($Q101="LCFF Rate",(Q94*$C94),(Q94*$E94)),0)</f>
        <v>0</v>
      </c>
      <c r="V94" s="524"/>
      <c r="X94" s="496"/>
    </row>
    <row r="95" spans="1:24" s="8" customFormat="1" ht="14.4">
      <c r="A95" s="521"/>
      <c r="B95" s="510" t="s">
        <v>2</v>
      </c>
      <c r="C95" s="525">
        <f>IFERROR(VLOOKUP($B92,'PY1 TFR ADA'!$F:$AU,MATCH("A-1.2",'PY1 TFR ADA'!$F$5:$AU$5,0),FALSE),0)</f>
        <v>0</v>
      </c>
      <c r="D95" s="167"/>
      <c r="E95" s="525">
        <f>IFERROR(VALUE(VLOOKUP($B92,'PY1 TFR ADA'!$F:$AU,MATCH("A-2.2",'PY1 TFR ADA'!$F$5:$AU$5,0),FALSE)),0)</f>
        <v>0</v>
      </c>
      <c r="F95" s="167"/>
      <c r="G95" s="609">
        <f>IFERROR(VLOOKUP($B92,'PY1 TFR ADA'!$F:$AU,MATCH("b-1.2",'PY1 TFR ADA'!$F$5:$AU$5,0),FALSE),0)</f>
        <v>0</v>
      </c>
      <c r="H95" s="527"/>
      <c r="I95" s="609">
        <f>IFERROR(VLOOKUP($B92,'PY1 TFR ADA'!$F:$AU,MATCH("b-2.2",'PY1 TFR ADA'!$F$5:$AU$5,0),FALSE),0)</f>
        <v>0</v>
      </c>
      <c r="J95" s="527"/>
      <c r="K95" s="609">
        <f>IFERROR(VLOOKUP($B92,'PY1 TFR ADA'!$F:$AU,MATCH("b-3.2",'PY1 TFR ADA'!$F$5:$AU$5,0),FALSE),0)</f>
        <v>0</v>
      </c>
      <c r="L95" s="527"/>
      <c r="M95" s="609">
        <f>IFERROR(VLOOKUP($B92,'PY1 TFR ADA'!$F:$AU,MATCH("b-4.2",'PY1 TFR ADA'!$F$5:$AU$5,0),FALSE),0)</f>
        <v>0</v>
      </c>
      <c r="N95" s="527"/>
      <c r="O95" s="609">
        <f>IFERROR(VLOOKUP($B92,'PY1 TFR ADA'!$F:$AU,MATCH("b-5.2",'PY1 TFR ADA'!$F$5:$AU$5,0),FALSE),0)</f>
        <v>0</v>
      </c>
      <c r="P95" s="527"/>
      <c r="Q95" s="609">
        <f>IFERROR(VLOOKUP($B92,'PY1 TFR ADA'!$F:$AU,MATCH("b-6.2",'PY1 TFR ADA'!$F$5:$AU$5,0),FALSE),0)</f>
        <v>0</v>
      </c>
      <c r="R95" s="551"/>
      <c r="S95" s="601">
        <f t="shared" si="98"/>
        <v>0</v>
      </c>
      <c r="T95" s="551"/>
      <c r="U95" s="536">
        <f t="shared" ref="U95" si="100">ROUND(IF($G101="LCFF Rate",(G95*$C95),(G95*$E95))+IF($I101="LCFF Rate",(I95*$C95),(I95*$E95))+IF($K101="LCFF Rate",(K95*$C95),(K95*$E95))+IF($M101="LCFF Rate",(M95*$C95),(M95*$E95))+IF($O101="LCFF Rate",(O95*$C95),(O95*$E95))+IF($Q101="LCFF Rate",(Q95*$C95),(Q95*$E95)),0)</f>
        <v>0</v>
      </c>
      <c r="V95" s="524"/>
      <c r="X95" s="4"/>
    </row>
    <row r="96" spans="1:24" s="8" customFormat="1" ht="14.4">
      <c r="A96" s="521"/>
      <c r="B96" s="510" t="s">
        <v>3</v>
      </c>
      <c r="C96" s="525">
        <f>IFERROR(VLOOKUP($B92,'PY1 TFR ADA'!$F:$AU,MATCH("A-1.3",'PY1 TFR ADA'!$F$5:$AU$5,0),FALSE),0)</f>
        <v>0</v>
      </c>
      <c r="D96" s="167"/>
      <c r="E96" s="525">
        <f>IFERROR(VALUE(VLOOKUP($B92,'PY1 TFR ADA'!$F:$AU,MATCH("A-2.3",'PY1 TFR ADA'!$F$5:$AU$5,0),FALSE)),0)</f>
        <v>0</v>
      </c>
      <c r="F96" s="167"/>
      <c r="G96" s="609">
        <f>IFERROR(VLOOKUP($B92,'PY1 TFR ADA'!$F:$AU,MATCH("b-1.3",'PY1 TFR ADA'!$F$5:$AU$5,0),FALSE),0)</f>
        <v>0</v>
      </c>
      <c r="H96" s="527"/>
      <c r="I96" s="609">
        <f>IFERROR(VLOOKUP($B92,'PY1 TFR ADA'!$F:$AU,MATCH("b-2.3",'PY1 TFR ADA'!$F$5:$AU$5,0),FALSE),0)</f>
        <v>0</v>
      </c>
      <c r="J96" s="527"/>
      <c r="K96" s="609">
        <f>IFERROR(VLOOKUP($B92,'PY1 TFR ADA'!$F:$AU,MATCH("b-3.3",'PY1 TFR ADA'!$F$5:$AU$5,0),FALSE),0)</f>
        <v>0</v>
      </c>
      <c r="L96" s="527"/>
      <c r="M96" s="609">
        <f>IFERROR(VLOOKUP($B92,'PY1 TFR ADA'!$F:$AU,MATCH("b-4.3",'PY1 TFR ADA'!$F$5:$AU$5,0),FALSE),0)</f>
        <v>0</v>
      </c>
      <c r="N96" s="527"/>
      <c r="O96" s="609">
        <f>IFERROR(VLOOKUP($B92,'PY1 TFR ADA'!$F:$AU,MATCH("b-5.3",'PY1 TFR ADA'!$F$5:$AU$5,0),FALSE),0)</f>
        <v>0</v>
      </c>
      <c r="P96" s="527"/>
      <c r="Q96" s="609">
        <f>IFERROR(VLOOKUP($B92,'PY1 TFR ADA'!$F:$AU,MATCH("b-6.3",'PY1 TFR ADA'!$F$5:$AU$5,0),FALSE),0)</f>
        <v>0</v>
      </c>
      <c r="R96" s="551"/>
      <c r="S96" s="601">
        <f t="shared" si="98"/>
        <v>0</v>
      </c>
      <c r="T96" s="551"/>
      <c r="U96" s="536">
        <f t="shared" ref="U96" si="101">ROUND(IF($G101="LCFF Rate",(G96*$C96),(G96*$E96))+IF($I101="LCFF Rate",(I96*$C96),(I96*$E96))+IF($K101="LCFF Rate",(K96*$C96),(K96*$E96))+IF($M101="LCFF Rate",(M96*$C96),(M96*$E96))+IF($O101="LCFF Rate",(O96*$C96),(O96*$E96))+IF($Q101="LCFF Rate",(Q96*$C96),(Q96*$E96)),0)</f>
        <v>0</v>
      </c>
      <c r="V96" s="524"/>
      <c r="X96" s="4"/>
    </row>
    <row r="97" spans="1:24" s="8" customFormat="1" ht="14.4">
      <c r="A97" s="526"/>
      <c r="B97" s="510" t="s">
        <v>4</v>
      </c>
      <c r="C97" s="525">
        <f>IFERROR(VLOOKUP($B92,'PY1 TFR ADA'!$F:$AU,MATCH("A-1.4",'PY1 TFR ADA'!$F$5:$AU$5,0),FALSE),0)</f>
        <v>0</v>
      </c>
      <c r="D97" s="523"/>
      <c r="E97" s="525">
        <f>IFERROR(VALUE(VLOOKUP($B92,'PY1 TFR ADA'!$F:$AU,MATCH("A-2.4",'PY1 TFR ADA'!$F$5:$AU$5,0),FALSE)),0)</f>
        <v>0</v>
      </c>
      <c r="F97" s="523"/>
      <c r="G97" s="609">
        <f>IFERROR(VLOOKUP($B92,'PY1 TFR ADA'!$F:$AU,MATCH("b-1.4",'PY1 TFR ADA'!$F$5:$AU$5,0),FALSE),0)</f>
        <v>0</v>
      </c>
      <c r="H97" s="527"/>
      <c r="I97" s="609">
        <f>IFERROR(VLOOKUP($B92,'PY1 TFR ADA'!$F:$AU,MATCH("b-2.4",'PY1 TFR ADA'!$F$5:$AU$5,0),FALSE),0)</f>
        <v>0</v>
      </c>
      <c r="J97" s="527"/>
      <c r="K97" s="609">
        <f>IFERROR(VLOOKUP($B92,'PY1 TFR ADA'!$F:$AU,MATCH("b-3.4",'PY1 TFR ADA'!$F$5:$AU$5,0),FALSE),0)</f>
        <v>0</v>
      </c>
      <c r="L97" s="527"/>
      <c r="M97" s="609">
        <f>IFERROR(VLOOKUP($B92,'PY1 TFR ADA'!$F:$AU,MATCH("b-4.4",'PY1 TFR ADA'!$F$5:$AU$5,0),FALSE),0)</f>
        <v>0</v>
      </c>
      <c r="N97" s="527"/>
      <c r="O97" s="609">
        <f>IFERROR(VLOOKUP($B92,'PY1 TFR ADA'!$F:$AU,MATCH("b-5.4",'PY1 TFR ADA'!$F$5:$AU$5,0),FALSE),0)</f>
        <v>0</v>
      </c>
      <c r="P97" s="527"/>
      <c r="Q97" s="609">
        <f>IFERROR(VLOOKUP($B92,'PY1 TFR ADA'!$F:$AU,MATCH("b-6.4",'PY1 TFR ADA'!$F$5:$AU$5,0),FALSE),0)</f>
        <v>0</v>
      </c>
      <c r="R97" s="551"/>
      <c r="S97" s="601">
        <f t="shared" si="98"/>
        <v>0</v>
      </c>
      <c r="T97" s="551"/>
      <c r="U97" s="536">
        <f t="shared" ref="U97" si="102">ROUND(IF($G101="LCFF Rate",(G97*$C97),(G97*$E97))+IF($I101="LCFF Rate",(I97*$C97),(I97*$E97))+IF($K101="LCFF Rate",(K97*$C97),(K97*$E97))+IF($M101="LCFF Rate",(M97*$C97),(M97*$E97))+IF($O101="LCFF Rate",(O97*$C97),(O97*$E97))+IF($Q101="LCFF Rate",(Q97*$C97),(Q97*$E97)),0)</f>
        <v>0</v>
      </c>
      <c r="V97" s="522"/>
      <c r="X97" s="496"/>
    </row>
    <row r="98" spans="1:24" s="8" customFormat="1" ht="8.25" customHeight="1">
      <c r="A98" s="521"/>
      <c r="B98" s="167"/>
      <c r="C98" s="165"/>
      <c r="D98" s="523"/>
      <c r="E98" s="165"/>
      <c r="F98" s="523"/>
      <c r="G98" s="520"/>
      <c r="H98" s="523"/>
      <c r="I98" s="520"/>
      <c r="J98" s="523"/>
      <c r="K98" s="520"/>
      <c r="L98" s="523"/>
      <c r="M98" s="520"/>
      <c r="N98" s="523"/>
      <c r="O98" s="520"/>
      <c r="P98" s="523"/>
      <c r="Q98" s="520"/>
      <c r="R98" s="167"/>
      <c r="S98" s="520"/>
      <c r="T98" s="167"/>
      <c r="U98" s="602"/>
      <c r="V98" s="522"/>
      <c r="X98" s="4"/>
    </row>
    <row r="99" spans="1:24" s="8" customFormat="1" ht="14.4">
      <c r="A99" s="521"/>
      <c r="B99" s="167"/>
      <c r="C99" s="165"/>
      <c r="D99" s="523"/>
      <c r="E99" s="513" t="s">
        <v>1317</v>
      </c>
      <c r="F99" s="523"/>
      <c r="G99" s="601">
        <f t="shared" ref="G99" si="103">SUM(G94:G97)</f>
        <v>0</v>
      </c>
      <c r="H99" s="527"/>
      <c r="I99" s="601">
        <f t="shared" ref="I99" si="104">SUM(I94:I97)</f>
        <v>0</v>
      </c>
      <c r="J99" s="527"/>
      <c r="K99" s="601">
        <f t="shared" ref="K99" si="105">SUM(K94:K97)</f>
        <v>0</v>
      </c>
      <c r="L99" s="527"/>
      <c r="M99" s="601">
        <f t="shared" ref="M99" si="106">SUM(M94:M97)</f>
        <v>0</v>
      </c>
      <c r="N99" s="527"/>
      <c r="O99" s="601">
        <f t="shared" ref="O99" si="107">SUM(O94:O97)</f>
        <v>0</v>
      </c>
      <c r="P99" s="527"/>
      <c r="Q99" s="601">
        <f t="shared" ref="Q99" si="108">SUM(Q94:Q97)</f>
        <v>0</v>
      </c>
      <c r="R99" s="527"/>
      <c r="S99" s="601">
        <f t="shared" ref="S99" si="109">SUM(S94:S97)</f>
        <v>0</v>
      </c>
      <c r="T99" s="527"/>
      <c r="U99" s="536">
        <f t="shared" ref="U99" si="110">SUM(U94:U97)</f>
        <v>0</v>
      </c>
      <c r="V99" s="522"/>
      <c r="X99" s="4"/>
    </row>
    <row r="100" spans="1:24" s="8" customFormat="1" ht="8.25" customHeight="1">
      <c r="A100" s="521"/>
      <c r="B100" s="167"/>
      <c r="C100" s="165"/>
      <c r="D100" s="523"/>
      <c r="E100" s="165"/>
      <c r="F100" s="523"/>
      <c r="G100" s="520"/>
      <c r="H100" s="523"/>
      <c r="I100" s="520"/>
      <c r="J100" s="523"/>
      <c r="K100" s="520"/>
      <c r="L100" s="523"/>
      <c r="M100" s="520"/>
      <c r="N100" s="523"/>
      <c r="O100" s="520"/>
      <c r="P100" s="523"/>
      <c r="Q100" s="520"/>
      <c r="R100" s="167"/>
      <c r="S100" s="520"/>
      <c r="T100" s="167"/>
      <c r="U100" s="528"/>
      <c r="V100" s="522"/>
      <c r="X100" s="4"/>
    </row>
    <row r="101" spans="1:24" s="8" customFormat="1" ht="16.5" customHeight="1">
      <c r="A101" s="521"/>
      <c r="B101" s="167"/>
      <c r="C101" s="165"/>
      <c r="E101" s="513" t="s">
        <v>1304</v>
      </c>
      <c r="F101" s="523"/>
      <c r="G101" s="977">
        <f>_xlfn.IFNA(IF(VLOOKUP($B92,'PY1 TFR ADA'!$F:$AU,MATCH("B-1.5",'PY1 TFR ADA'!$F$5:$AU$5,0),FALSE)=TRUE,IF(VLOOKUP($B92,'PY1 TFR ADA'!$F:$AU,MATCH("C-1",'PY1 TFR ADA'!$F$5:$AU$5,0),FALSE)=TRUE,"Alternative Rate","LCFF Rate"),"LCFF Rate"),0)</f>
        <v>0</v>
      </c>
      <c r="H101" s="523"/>
      <c r="I101" s="977">
        <f>_xlfn.IFNA(IF(VLOOKUP($B92,'PY1 TFR ADA'!$F:$AU,MATCH("B-2.5",'PY1 TFR ADA'!$F$5:$AU$5,0),FALSE)=TRUE,IF(VLOOKUP($B92,'PY1 TFR ADA'!$F:$AU,MATCH("C-1",'PY1 TFR ADA'!$F$5:$AU$5,0),FALSE)=TRUE,"Alternative Rate","LCFF Rate"),"LCFF Rate"),0)</f>
        <v>0</v>
      </c>
      <c r="J101" s="523"/>
      <c r="K101" s="977">
        <f>_xlfn.IFNA(IF(VLOOKUP($B92,'PY1 TFR ADA'!$F:$AU,MATCH("B-3.5",'PY1 TFR ADA'!$F$5:$AU$5,0),FALSE)=TRUE,IF(VLOOKUP($B92,'PY1 TFR ADA'!$F:$AU,MATCH("C-1",'PY1 TFR ADA'!$F$5:$AU$5,0),FALSE)=TRUE,"Alternative Rate","LCFF Rate"),"LCFF Rate"),0)</f>
        <v>0</v>
      </c>
      <c r="L101" s="523"/>
      <c r="M101" s="977">
        <f>_xlfn.IFNA(IF(VLOOKUP($B92,'PY1 TFR ADA'!$F:$AU,MATCH("B-4.5",'PY1 TFR ADA'!$F$5:$AU$5,0),FALSE)=TRUE,IF(VLOOKUP($B92,'PY1 TFR ADA'!$F:$AU,MATCH("C-1",'PY1 TFR ADA'!$F$5:$AU$5,0),FALSE)=TRUE,"Alternative Rate","LCFF Rate"),"LCFF Rate"),0)</f>
        <v>0</v>
      </c>
      <c r="N101" s="523"/>
      <c r="O101" s="977">
        <f>_xlfn.IFNA(IF(VLOOKUP($B92,'PY1 TFR ADA'!$F:$AU,MATCH("B-5.5",'PY1 TFR ADA'!$F$5:$AU$5,0),FALSE)=TRUE,IF(VLOOKUP($B92,'PY1 TFR ADA'!$F:$AU,MATCH("C-1",'PY1 TFR ADA'!$F$5:$AU$5,0),FALSE)=TRUE,"Alternative Rate","LCFF Rate"),"LCFF Rate"),0)</f>
        <v>0</v>
      </c>
      <c r="P101" s="523"/>
      <c r="Q101" s="977">
        <f>_xlfn.IFNA(IF(VLOOKUP($B92,'PY1 TFR ADA'!$F:$AU,MATCH("B-6.5",'PY1 TFR ADA'!$F$5:$AU$5,0),FALSE)=TRUE,IF(VLOOKUP($B92,'PY1 TFR ADA'!$F:$AU,MATCH("C-1",'PY1 TFR ADA'!$F$5:$AU$5,0),FALSE)=TRUE,"Alternative Rate","LCFF Rate"),"LCFF Rate"),0)</f>
        <v>0</v>
      </c>
      <c r="R101" s="167"/>
      <c r="S101" s="520"/>
      <c r="T101" s="167"/>
      <c r="U101" s="528"/>
      <c r="V101" s="522"/>
      <c r="X101" s="283"/>
    </row>
    <row r="102" spans="1:24" s="8" customFormat="1" ht="8.25" customHeight="1">
      <c r="A102" s="521"/>
      <c r="B102" s="167"/>
      <c r="C102" s="165"/>
      <c r="D102" s="523"/>
      <c r="E102" s="165"/>
      <c r="F102" s="523"/>
      <c r="G102" s="520"/>
      <c r="H102" s="523"/>
      <c r="I102" s="520"/>
      <c r="J102" s="523"/>
      <c r="K102" s="520"/>
      <c r="L102" s="523"/>
      <c r="M102" s="520"/>
      <c r="N102" s="523"/>
      <c r="O102" s="520"/>
      <c r="P102" s="523"/>
      <c r="Q102" s="520"/>
      <c r="R102" s="167"/>
      <c r="S102" s="520"/>
      <c r="T102" s="167"/>
      <c r="U102" s="528"/>
      <c r="V102" s="522"/>
      <c r="X102" s="4"/>
    </row>
    <row r="103" spans="1:24" s="8" customFormat="1" ht="16.8">
      <c r="A103" s="521"/>
      <c r="B103" s="2"/>
      <c r="F103" s="523"/>
      <c r="G103" s="535">
        <f t="shared" ref="G103" si="111">IF(G101="LCFF Rate",(G94*C94+G95*C95+G96*C96+G97*C97),(G99*E97))</f>
        <v>0</v>
      </c>
      <c r="H103" s="537"/>
      <c r="I103" s="535">
        <f t="shared" ref="I103" si="112">IF(I101="LCFF Rate",(I94*C94+I95*C95+I96*C96+I97*C97),(I99*E97))</f>
        <v>0</v>
      </c>
      <c r="J103" s="537"/>
      <c r="K103" s="535">
        <f t="shared" ref="K103" si="113">IF(K101="LCFF Rate",(K94*C94+K95*C95+K96*C96+K97*C97),(K99*E97))</f>
        <v>0</v>
      </c>
      <c r="L103" s="537"/>
      <c r="M103" s="535">
        <f t="shared" ref="M103" si="114">IF(M101="LCFF Rate",(M94*C94+M95*C95+M96*C96+M97*C97),(M99*E97))</f>
        <v>0</v>
      </c>
      <c r="N103" s="537"/>
      <c r="O103" s="535">
        <f t="shared" ref="O103" si="115">IF(O101="LCFF Rate",(O94*C94+O95*C95+O96*C96+O97*C97),(O99*E97))</f>
        <v>0</v>
      </c>
      <c r="P103" s="537"/>
      <c r="Q103" s="535">
        <f t="shared" ref="Q103" si="116">IF(Q101="LCFF Rate",(Q94*C94+Q95*C95+Q96*C96+Q97*C97),(Q99*E97))</f>
        <v>0</v>
      </c>
      <c r="R103" s="167"/>
      <c r="S103" s="538">
        <f t="shared" ref="S103" si="117">SUM(G103:Q103)</f>
        <v>0</v>
      </c>
      <c r="T103" s="167"/>
      <c r="U103" s="528"/>
      <c r="V103" s="522"/>
      <c r="X103" s="979"/>
    </row>
    <row r="104" spans="1:24" s="8" customFormat="1" ht="9" customHeight="1" thickBot="1">
      <c r="A104" s="529"/>
      <c r="B104" s="530"/>
      <c r="C104" s="531"/>
      <c r="D104" s="532"/>
      <c r="E104" s="533"/>
      <c r="F104" s="532"/>
      <c r="G104" s="530"/>
      <c r="H104" s="532"/>
      <c r="I104" s="530"/>
      <c r="J104" s="532"/>
      <c r="K104" s="530"/>
      <c r="L104" s="532"/>
      <c r="M104" s="530"/>
      <c r="N104" s="532"/>
      <c r="O104" s="530"/>
      <c r="P104" s="532"/>
      <c r="Q104" s="530"/>
      <c r="R104" s="532"/>
      <c r="S104" s="530"/>
      <c r="T104" s="532"/>
      <c r="U104" s="532"/>
      <c r="V104" s="534"/>
      <c r="X104" s="4"/>
    </row>
    <row r="105" spans="1:24" s="82" customFormat="1" ht="18" customHeight="1" thickBot="1">
      <c r="A105" s="890">
        <f>+A92+1</f>
        <v>8</v>
      </c>
      <c r="B105" s="891" t="str">
        <f>'Data Entry'!$B$3&amp;"-"&amp;C105</f>
        <v>-</v>
      </c>
      <c r="C105" s="891" t="str">
        <f>IFERROR(VLOOKUP('Data Entry'!$B$3&amp;"-"&amp;A105,'PY1 TFR ADA'!$D:$AT,2,FALSE),"")</f>
        <v/>
      </c>
      <c r="D105" s="892" t="str">
        <f>IFERROR(VLOOKUP('Data Entry'!$B$3&amp;"-"&amp;A105,'PY1 TFR ADA'!$D:$AT,4,FALSE),"")</f>
        <v/>
      </c>
      <c r="E105" s="893"/>
      <c r="F105" s="893"/>
      <c r="G105" s="893"/>
      <c r="H105" s="893"/>
      <c r="I105" s="893"/>
      <c r="J105" s="893"/>
      <c r="K105" s="893"/>
      <c r="L105" s="893"/>
      <c r="M105" s="893"/>
      <c r="N105" s="893"/>
      <c r="O105" s="893"/>
      <c r="P105" s="893"/>
      <c r="Q105" s="893"/>
      <c r="R105" s="893"/>
      <c r="S105" s="893"/>
      <c r="T105" s="893"/>
      <c r="U105" s="893"/>
      <c r="V105" s="894"/>
      <c r="X105" s="83"/>
    </row>
    <row r="106" spans="1:24" ht="75" customHeight="1">
      <c r="A106" s="521"/>
      <c r="C106" s="540" t="s">
        <v>1315</v>
      </c>
      <c r="D106" s="512"/>
      <c r="E106" s="540" t="s">
        <v>1316</v>
      </c>
      <c r="F106" s="512"/>
      <c r="G106" s="540" t="s">
        <v>1309</v>
      </c>
      <c r="H106" s="512"/>
      <c r="I106" s="540" t="s">
        <v>1310</v>
      </c>
      <c r="J106" s="512"/>
      <c r="K106" s="540" t="s">
        <v>1311</v>
      </c>
      <c r="L106" s="512"/>
      <c r="M106" s="540" t="s">
        <v>1312</v>
      </c>
      <c r="N106" s="512"/>
      <c r="O106" s="540" t="s">
        <v>1313</v>
      </c>
      <c r="P106" s="512"/>
      <c r="Q106" s="540" t="s">
        <v>1314</v>
      </c>
      <c r="R106" s="167"/>
      <c r="S106" s="540" t="s">
        <v>1308</v>
      </c>
      <c r="T106" s="167"/>
      <c r="U106" s="512" t="s">
        <v>1307</v>
      </c>
      <c r="V106" s="524"/>
      <c r="X106" s="283"/>
    </row>
    <row r="107" spans="1:24" s="8" customFormat="1" ht="14.4">
      <c r="A107" s="521"/>
      <c r="B107" s="510" t="s">
        <v>94</v>
      </c>
      <c r="C107" s="525">
        <f>IFERROR(VLOOKUP($B105,'PY1 TFR ADA'!$F:$AU,MATCH("A-1.1",'PY1 TFR ADA'!$F$5:$AU$5,0),FALSE),0)</f>
        <v>0</v>
      </c>
      <c r="D107" s="167"/>
      <c r="E107" s="525">
        <f>IFERROR(VALUE(VLOOKUP($B105,'PY1 TFR ADA'!$F:$AU,MATCH("A-2.1",'PY1 TFR ADA'!$F$5:$AU$5,0),FALSE)),0)</f>
        <v>0</v>
      </c>
      <c r="F107" s="167"/>
      <c r="G107" s="609">
        <f>IFERROR(VLOOKUP($B105,'PY1 TFR ADA'!$F:$AU,MATCH("b-1.1",'PY1 TFR ADA'!$F$5:$AU$5,0),FALSE),0)</f>
        <v>0</v>
      </c>
      <c r="H107" s="527"/>
      <c r="I107" s="609">
        <f>IFERROR(VLOOKUP($B105,'PY1 TFR ADA'!$F:$AU,MATCH("b-2.1",'PY1 TFR ADA'!$F$5:$AU$5,0),FALSE),0)</f>
        <v>0</v>
      </c>
      <c r="J107" s="527"/>
      <c r="K107" s="609">
        <f>IFERROR(VLOOKUP($B105,'PY1 TFR ADA'!$F:$AU,MATCH("b-3.1",'PY1 TFR ADA'!$F$5:$AU$5,0),FALSE),0)</f>
        <v>0</v>
      </c>
      <c r="L107" s="527"/>
      <c r="M107" s="609">
        <f>IFERROR(VLOOKUP($B105,'PY1 TFR ADA'!$F:$AU,MATCH("b-4.1",'PY1 TFR ADA'!$F$5:$AU$5,0),FALSE),0)</f>
        <v>0</v>
      </c>
      <c r="N107" s="527"/>
      <c r="O107" s="609">
        <f>IFERROR(VLOOKUP($B105,'PY1 TFR ADA'!$F:$AU,MATCH("b-5.1",'PY1 TFR ADA'!$F$5:$AU$5,0),FALSE),0)</f>
        <v>0</v>
      </c>
      <c r="P107" s="527"/>
      <c r="Q107" s="609">
        <f>IFERROR(VLOOKUP($B105,'PY1 TFR ADA'!$F:$AU,MATCH("b-6.1",'PY1 TFR ADA'!$F$5:$AU$5,0),FALSE),0)</f>
        <v>0</v>
      </c>
      <c r="R107" s="551"/>
      <c r="S107" s="601">
        <f t="shared" ref="S107:S110" si="118">SUM(G107:Q107)</f>
        <v>0</v>
      </c>
      <c r="T107" s="551"/>
      <c r="U107" s="536">
        <f t="shared" ref="U107" si="119">ROUND(IF($G114="LCFF Rate",(G107*$C107),(G107*$E107))+IF($I114="LCFF Rate",(I107*$C107),(I107*$E107))+IF($K114="LCFF Rate",(K107*$C107),(K107*$E107))+IF($M114="LCFF Rate",(M107*$C107),(M107*$E107))+IF($O114="LCFF Rate",(O107*$C107),(O107*$E107))+IF($Q114="LCFF Rate",(Q107*$C107),(Q107*$E107)),0)</f>
        <v>0</v>
      </c>
      <c r="V107" s="524"/>
      <c r="X107" s="496"/>
    </row>
    <row r="108" spans="1:24" s="8" customFormat="1" ht="14.4">
      <c r="A108" s="521"/>
      <c r="B108" s="510" t="s">
        <v>2</v>
      </c>
      <c r="C108" s="525">
        <f>IFERROR(VLOOKUP($B105,'PY1 TFR ADA'!$F:$AU,MATCH("A-1.2",'PY1 TFR ADA'!$F$5:$AU$5,0),FALSE),0)</f>
        <v>0</v>
      </c>
      <c r="D108" s="167"/>
      <c r="E108" s="525">
        <f>IFERROR(VALUE(VLOOKUP($B105,'PY1 TFR ADA'!$F:$AU,MATCH("A-2.2",'PY1 TFR ADA'!$F$5:$AU$5,0),FALSE)),0)</f>
        <v>0</v>
      </c>
      <c r="F108" s="167"/>
      <c r="G108" s="609">
        <f>IFERROR(VLOOKUP($B105,'PY1 TFR ADA'!$F:$AU,MATCH("b-1.2",'PY1 TFR ADA'!$F$5:$AU$5,0),FALSE),0)</f>
        <v>0</v>
      </c>
      <c r="H108" s="527"/>
      <c r="I108" s="609">
        <f>IFERROR(VLOOKUP($B105,'PY1 TFR ADA'!$F:$AU,MATCH("b-2.2",'PY1 TFR ADA'!$F$5:$AU$5,0),FALSE),0)</f>
        <v>0</v>
      </c>
      <c r="J108" s="527"/>
      <c r="K108" s="609">
        <f>IFERROR(VLOOKUP($B105,'PY1 TFR ADA'!$F:$AU,MATCH("b-3.2",'PY1 TFR ADA'!$F$5:$AU$5,0),FALSE),0)</f>
        <v>0</v>
      </c>
      <c r="L108" s="527"/>
      <c r="M108" s="609">
        <f>IFERROR(VLOOKUP($B105,'PY1 TFR ADA'!$F:$AU,MATCH("b-4.2",'PY1 TFR ADA'!$F$5:$AU$5,0),FALSE),0)</f>
        <v>0</v>
      </c>
      <c r="N108" s="527"/>
      <c r="O108" s="609">
        <f>IFERROR(VLOOKUP($B105,'PY1 TFR ADA'!$F:$AU,MATCH("b-5.2",'PY1 TFR ADA'!$F$5:$AU$5,0),FALSE),0)</f>
        <v>0</v>
      </c>
      <c r="P108" s="527"/>
      <c r="Q108" s="609">
        <f>IFERROR(VLOOKUP($B105,'PY1 TFR ADA'!$F:$AU,MATCH("b-6.2",'PY1 TFR ADA'!$F$5:$AU$5,0),FALSE),0)</f>
        <v>0</v>
      </c>
      <c r="R108" s="551"/>
      <c r="S108" s="601">
        <f t="shared" si="118"/>
        <v>0</v>
      </c>
      <c r="T108" s="551"/>
      <c r="U108" s="536">
        <f t="shared" ref="U108" si="120">ROUND(IF($G114="LCFF Rate",(G108*$C108),(G108*$E108))+IF($I114="LCFF Rate",(I108*$C108),(I108*$E108))+IF($K114="LCFF Rate",(K108*$C108),(K108*$E108))+IF($M114="LCFF Rate",(M108*$C108),(M108*$E108))+IF($O114="LCFF Rate",(O108*$C108),(O108*$E108))+IF($Q114="LCFF Rate",(Q108*$C108),(Q108*$E108)),0)</f>
        <v>0</v>
      </c>
      <c r="V108" s="524"/>
      <c r="X108" s="4"/>
    </row>
    <row r="109" spans="1:24" s="8" customFormat="1" ht="14.4">
      <c r="A109" s="521"/>
      <c r="B109" s="510" t="s">
        <v>3</v>
      </c>
      <c r="C109" s="525">
        <f>IFERROR(VLOOKUP($B105,'PY1 TFR ADA'!$F:$AU,MATCH("A-1.3",'PY1 TFR ADA'!$F$5:$AU$5,0),FALSE),0)</f>
        <v>0</v>
      </c>
      <c r="D109" s="167"/>
      <c r="E109" s="525">
        <f>IFERROR(VALUE(VLOOKUP($B105,'PY1 TFR ADA'!$F:$AU,MATCH("A-2.3",'PY1 TFR ADA'!$F$5:$AU$5,0),FALSE)),0)</f>
        <v>0</v>
      </c>
      <c r="F109" s="167"/>
      <c r="G109" s="609">
        <f>IFERROR(VLOOKUP($B105,'PY1 TFR ADA'!$F:$AU,MATCH("b-1.3",'PY1 TFR ADA'!$F$5:$AU$5,0),FALSE),0)</f>
        <v>0</v>
      </c>
      <c r="H109" s="527"/>
      <c r="I109" s="609">
        <f>IFERROR(VLOOKUP($B105,'PY1 TFR ADA'!$F:$AU,MATCH("b-2.3",'PY1 TFR ADA'!$F$5:$AU$5,0),FALSE),0)</f>
        <v>0</v>
      </c>
      <c r="J109" s="527"/>
      <c r="K109" s="609">
        <f>IFERROR(VLOOKUP($B105,'PY1 TFR ADA'!$F:$AU,MATCH("b-3.3",'PY1 TFR ADA'!$F$5:$AU$5,0),FALSE),0)</f>
        <v>0</v>
      </c>
      <c r="L109" s="527"/>
      <c r="M109" s="609">
        <f>IFERROR(VLOOKUP($B105,'PY1 TFR ADA'!$F:$AU,MATCH("b-4.3",'PY1 TFR ADA'!$F$5:$AU$5,0),FALSE),0)</f>
        <v>0</v>
      </c>
      <c r="N109" s="527"/>
      <c r="O109" s="609">
        <f>IFERROR(VLOOKUP($B105,'PY1 TFR ADA'!$F:$AU,MATCH("b-5.3",'PY1 TFR ADA'!$F$5:$AU$5,0),FALSE),0)</f>
        <v>0</v>
      </c>
      <c r="P109" s="527"/>
      <c r="Q109" s="609">
        <f>IFERROR(VLOOKUP($B105,'PY1 TFR ADA'!$F:$AU,MATCH("b-6.3",'PY1 TFR ADA'!$F$5:$AU$5,0),FALSE),0)</f>
        <v>0</v>
      </c>
      <c r="R109" s="551"/>
      <c r="S109" s="601">
        <f t="shared" si="118"/>
        <v>0</v>
      </c>
      <c r="T109" s="551"/>
      <c r="U109" s="536">
        <f t="shared" ref="U109" si="121">ROUND(IF($G114="LCFF Rate",(G109*$C109),(G109*$E109))+IF($I114="LCFF Rate",(I109*$C109),(I109*$E109))+IF($K114="LCFF Rate",(K109*$C109),(K109*$E109))+IF($M114="LCFF Rate",(M109*$C109),(M109*$E109))+IF($O114="LCFF Rate",(O109*$C109),(O109*$E109))+IF($Q114="LCFF Rate",(Q109*$C109),(Q109*$E109)),0)</f>
        <v>0</v>
      </c>
      <c r="V109" s="524"/>
      <c r="X109" s="4"/>
    </row>
    <row r="110" spans="1:24" s="8" customFormat="1" ht="14.4">
      <c r="A110" s="526"/>
      <c r="B110" s="510" t="s">
        <v>4</v>
      </c>
      <c r="C110" s="525">
        <f>IFERROR(VLOOKUP($B105,'PY1 TFR ADA'!$F:$AU,MATCH("A-1.4",'PY1 TFR ADA'!$F$5:$AU$5,0),FALSE),0)</f>
        <v>0</v>
      </c>
      <c r="D110" s="523"/>
      <c r="E110" s="525">
        <f>IFERROR(VALUE(VLOOKUP($B105,'PY1 TFR ADA'!$F:$AU,MATCH("A-2.4",'PY1 TFR ADA'!$F$5:$AU$5,0),FALSE)),0)</f>
        <v>0</v>
      </c>
      <c r="F110" s="523"/>
      <c r="G110" s="609">
        <f>IFERROR(VLOOKUP($B105,'PY1 TFR ADA'!$F:$AU,MATCH("b-1.4",'PY1 TFR ADA'!$F$5:$AU$5,0),FALSE),0)</f>
        <v>0</v>
      </c>
      <c r="H110" s="527"/>
      <c r="I110" s="609">
        <f>IFERROR(VLOOKUP($B105,'PY1 TFR ADA'!$F:$AU,MATCH("b-2.4",'PY1 TFR ADA'!$F$5:$AU$5,0),FALSE),0)</f>
        <v>0</v>
      </c>
      <c r="J110" s="527"/>
      <c r="K110" s="609">
        <f>IFERROR(VLOOKUP($B105,'PY1 TFR ADA'!$F:$AU,MATCH("b-3.4",'PY1 TFR ADA'!$F$5:$AU$5,0),FALSE),0)</f>
        <v>0</v>
      </c>
      <c r="L110" s="527"/>
      <c r="M110" s="609">
        <f>IFERROR(VLOOKUP($B105,'PY1 TFR ADA'!$F:$AU,MATCH("b-4.4",'PY1 TFR ADA'!$F$5:$AU$5,0),FALSE),0)</f>
        <v>0</v>
      </c>
      <c r="N110" s="527"/>
      <c r="O110" s="609">
        <f>IFERROR(VLOOKUP($B105,'PY1 TFR ADA'!$F:$AU,MATCH("b-5.4",'PY1 TFR ADA'!$F$5:$AU$5,0),FALSE),0)</f>
        <v>0</v>
      </c>
      <c r="P110" s="527"/>
      <c r="Q110" s="609">
        <f>IFERROR(VLOOKUP($B105,'PY1 TFR ADA'!$F:$AU,MATCH("b-6.4",'PY1 TFR ADA'!$F$5:$AU$5,0),FALSE),0)</f>
        <v>0</v>
      </c>
      <c r="R110" s="551"/>
      <c r="S110" s="601">
        <f t="shared" si="118"/>
        <v>0</v>
      </c>
      <c r="T110" s="551"/>
      <c r="U110" s="536">
        <f t="shared" ref="U110" si="122">ROUND(IF($G114="LCFF Rate",(G110*$C110),(G110*$E110))+IF($I114="LCFF Rate",(I110*$C110),(I110*$E110))+IF($K114="LCFF Rate",(K110*$C110),(K110*$E110))+IF($M114="LCFF Rate",(M110*$C110),(M110*$E110))+IF($O114="LCFF Rate",(O110*$C110),(O110*$E110))+IF($Q114="LCFF Rate",(Q110*$C110),(Q110*$E110)),0)</f>
        <v>0</v>
      </c>
      <c r="V110" s="522"/>
      <c r="X110" s="496"/>
    </row>
    <row r="111" spans="1:24" s="8" customFormat="1" ht="8.25" customHeight="1">
      <c r="A111" s="521"/>
      <c r="B111" s="167"/>
      <c r="C111" s="165"/>
      <c r="D111" s="523"/>
      <c r="E111" s="165"/>
      <c r="F111" s="523"/>
      <c r="G111" s="520"/>
      <c r="H111" s="523"/>
      <c r="I111" s="520"/>
      <c r="J111" s="523"/>
      <c r="K111" s="520"/>
      <c r="L111" s="523"/>
      <c r="M111" s="520"/>
      <c r="N111" s="523"/>
      <c r="O111" s="520"/>
      <c r="P111" s="523"/>
      <c r="Q111" s="520"/>
      <c r="R111" s="167"/>
      <c r="S111" s="520"/>
      <c r="T111" s="167"/>
      <c r="U111" s="602"/>
      <c r="V111" s="522"/>
      <c r="X111" s="4"/>
    </row>
    <row r="112" spans="1:24" s="8" customFormat="1" ht="14.4">
      <c r="A112" s="521"/>
      <c r="B112" s="167"/>
      <c r="C112" s="165"/>
      <c r="D112" s="523"/>
      <c r="E112" s="513" t="s">
        <v>1317</v>
      </c>
      <c r="F112" s="523"/>
      <c r="G112" s="601">
        <f t="shared" ref="G112" si="123">SUM(G107:G110)</f>
        <v>0</v>
      </c>
      <c r="H112" s="527"/>
      <c r="I112" s="601">
        <f t="shared" ref="I112" si="124">SUM(I107:I110)</f>
        <v>0</v>
      </c>
      <c r="J112" s="527"/>
      <c r="K112" s="601">
        <f t="shared" ref="K112" si="125">SUM(K107:K110)</f>
        <v>0</v>
      </c>
      <c r="L112" s="527"/>
      <c r="M112" s="601">
        <f t="shared" ref="M112" si="126">SUM(M107:M110)</f>
        <v>0</v>
      </c>
      <c r="N112" s="527"/>
      <c r="O112" s="601">
        <f t="shared" ref="O112" si="127">SUM(O107:O110)</f>
        <v>0</v>
      </c>
      <c r="P112" s="527"/>
      <c r="Q112" s="601">
        <f t="shared" ref="Q112" si="128">SUM(Q107:Q110)</f>
        <v>0</v>
      </c>
      <c r="R112" s="527"/>
      <c r="S112" s="601">
        <f t="shared" ref="S112" si="129">SUM(S107:S110)</f>
        <v>0</v>
      </c>
      <c r="T112" s="527"/>
      <c r="U112" s="536">
        <f t="shared" ref="U112" si="130">SUM(U107:U110)</f>
        <v>0</v>
      </c>
      <c r="V112" s="522"/>
      <c r="X112" s="4"/>
    </row>
    <row r="113" spans="1:24" s="8" customFormat="1" ht="8.25" customHeight="1">
      <c r="A113" s="521"/>
      <c r="B113" s="167"/>
      <c r="C113" s="165"/>
      <c r="D113" s="523"/>
      <c r="E113" s="165"/>
      <c r="F113" s="523"/>
      <c r="G113" s="520"/>
      <c r="H113" s="523"/>
      <c r="I113" s="520"/>
      <c r="J113" s="523"/>
      <c r="K113" s="520"/>
      <c r="L113" s="523"/>
      <c r="M113" s="520"/>
      <c r="N113" s="523"/>
      <c r="O113" s="520"/>
      <c r="P113" s="523"/>
      <c r="Q113" s="520"/>
      <c r="R113" s="167"/>
      <c r="S113" s="520"/>
      <c r="T113" s="167"/>
      <c r="U113" s="528"/>
      <c r="V113" s="522"/>
      <c r="X113" s="4"/>
    </row>
    <row r="114" spans="1:24" s="8" customFormat="1" ht="16.5" customHeight="1">
      <c r="A114" s="521"/>
      <c r="B114" s="167"/>
      <c r="C114" s="165"/>
      <c r="E114" s="513" t="s">
        <v>1304</v>
      </c>
      <c r="F114" s="523"/>
      <c r="G114" s="977">
        <f>_xlfn.IFNA(IF(VLOOKUP($B105,'PY1 TFR ADA'!$F:$AU,MATCH("B-1.5",'PY1 TFR ADA'!$F$5:$AU$5,0),FALSE)=TRUE,IF(VLOOKUP($B105,'PY1 TFR ADA'!$F:$AU,MATCH("C-1",'PY1 TFR ADA'!$F$5:$AU$5,0),FALSE)=TRUE,"Alternative Rate","LCFF Rate"),"LCFF Rate"),0)</f>
        <v>0</v>
      </c>
      <c r="H114" s="523"/>
      <c r="I114" s="977">
        <f>_xlfn.IFNA(IF(VLOOKUP($B105,'PY1 TFR ADA'!$F:$AU,MATCH("B-2.5",'PY1 TFR ADA'!$F$5:$AU$5,0),FALSE)=TRUE,IF(VLOOKUP($B105,'PY1 TFR ADA'!$F:$AU,MATCH("C-1",'PY1 TFR ADA'!$F$5:$AU$5,0),FALSE)=TRUE,"Alternative Rate","LCFF Rate"),"LCFF Rate"),0)</f>
        <v>0</v>
      </c>
      <c r="J114" s="523"/>
      <c r="K114" s="977">
        <f>_xlfn.IFNA(IF(VLOOKUP($B105,'PY1 TFR ADA'!$F:$AU,MATCH("B-3.5",'PY1 TFR ADA'!$F$5:$AU$5,0),FALSE)=TRUE,IF(VLOOKUP($B105,'PY1 TFR ADA'!$F:$AU,MATCH("C-1",'PY1 TFR ADA'!$F$5:$AU$5,0),FALSE)=TRUE,"Alternative Rate","LCFF Rate"),"LCFF Rate"),0)</f>
        <v>0</v>
      </c>
      <c r="L114" s="523"/>
      <c r="M114" s="977">
        <f>_xlfn.IFNA(IF(VLOOKUP($B105,'PY1 TFR ADA'!$F:$AU,MATCH("B-4.5",'PY1 TFR ADA'!$F$5:$AU$5,0),FALSE)=TRUE,IF(VLOOKUP($B105,'PY1 TFR ADA'!$F:$AU,MATCH("C-1",'PY1 TFR ADA'!$F$5:$AU$5,0),FALSE)=TRUE,"Alternative Rate","LCFF Rate"),"LCFF Rate"),0)</f>
        <v>0</v>
      </c>
      <c r="N114" s="523"/>
      <c r="O114" s="977">
        <f>_xlfn.IFNA(IF(VLOOKUP($B105,'PY1 TFR ADA'!$F:$AU,MATCH("B-5.5",'PY1 TFR ADA'!$F$5:$AU$5,0),FALSE)=TRUE,IF(VLOOKUP($B105,'PY1 TFR ADA'!$F:$AU,MATCH("C-1",'PY1 TFR ADA'!$F$5:$AU$5,0),FALSE)=TRUE,"Alternative Rate","LCFF Rate"),"LCFF Rate"),0)</f>
        <v>0</v>
      </c>
      <c r="P114" s="523"/>
      <c r="Q114" s="977">
        <f>_xlfn.IFNA(IF(VLOOKUP($B105,'PY1 TFR ADA'!$F:$AU,MATCH("B-6.5",'PY1 TFR ADA'!$F$5:$AU$5,0),FALSE)=TRUE,IF(VLOOKUP($B105,'PY1 TFR ADA'!$F:$AU,MATCH("C-1",'PY1 TFR ADA'!$F$5:$AU$5,0),FALSE)=TRUE,"Alternative Rate","LCFF Rate"),"LCFF Rate"),0)</f>
        <v>0</v>
      </c>
      <c r="R114" s="167"/>
      <c r="S114" s="520"/>
      <c r="T114" s="167"/>
      <c r="U114" s="528"/>
      <c r="V114" s="522"/>
      <c r="X114" s="283"/>
    </row>
    <row r="115" spans="1:24" s="8" customFormat="1" ht="8.25" customHeight="1">
      <c r="A115" s="521"/>
      <c r="B115" s="167"/>
      <c r="C115" s="165"/>
      <c r="D115" s="523"/>
      <c r="E115" s="165"/>
      <c r="F115" s="523"/>
      <c r="G115" s="520"/>
      <c r="H115" s="523"/>
      <c r="I115" s="520"/>
      <c r="J115" s="523"/>
      <c r="K115" s="520"/>
      <c r="L115" s="523"/>
      <c r="M115" s="520"/>
      <c r="N115" s="523"/>
      <c r="O115" s="520"/>
      <c r="P115" s="523"/>
      <c r="Q115" s="520"/>
      <c r="R115" s="167"/>
      <c r="S115" s="520"/>
      <c r="T115" s="167"/>
      <c r="U115" s="528"/>
      <c r="V115" s="522"/>
      <c r="X115" s="4"/>
    </row>
    <row r="116" spans="1:24" s="8" customFormat="1" ht="16.8">
      <c r="A116" s="521"/>
      <c r="B116" s="2"/>
      <c r="F116" s="523"/>
      <c r="G116" s="535">
        <f t="shared" ref="G116" si="131">IF(G114="LCFF Rate",(G107*C107+G108*C108+G109*C109+G110*C110),(G112*E110))</f>
        <v>0</v>
      </c>
      <c r="H116" s="537"/>
      <c r="I116" s="535">
        <f t="shared" ref="I116" si="132">IF(I114="LCFF Rate",(I107*C107+I108*C108+I109*C109+I110*C110),(I112*E110))</f>
        <v>0</v>
      </c>
      <c r="J116" s="537"/>
      <c r="K116" s="535">
        <f t="shared" ref="K116" si="133">IF(K114="LCFF Rate",(K107*C107+K108*C108+K109*C109+K110*C110),(K112*E110))</f>
        <v>0</v>
      </c>
      <c r="L116" s="537"/>
      <c r="M116" s="535">
        <f t="shared" ref="M116" si="134">IF(M114="LCFF Rate",(M107*C107+M108*C108+M109*C109+M110*C110),(M112*E110))</f>
        <v>0</v>
      </c>
      <c r="N116" s="537"/>
      <c r="O116" s="535">
        <f t="shared" ref="O116" si="135">IF(O114="LCFF Rate",(O107*C107+O108*C108+O109*C109+O110*C110),(O112*E110))</f>
        <v>0</v>
      </c>
      <c r="P116" s="537"/>
      <c r="Q116" s="535">
        <f t="shared" ref="Q116" si="136">IF(Q114="LCFF Rate",(Q107*C107+Q108*C108+Q109*C109+Q110*C110),(Q112*E110))</f>
        <v>0</v>
      </c>
      <c r="R116" s="167"/>
      <c r="S116" s="538">
        <f t="shared" ref="S116" si="137">SUM(G116:Q116)</f>
        <v>0</v>
      </c>
      <c r="T116" s="167"/>
      <c r="U116" s="528"/>
      <c r="V116" s="522"/>
      <c r="X116" s="979"/>
    </row>
    <row r="117" spans="1:24" s="8" customFormat="1" ht="9" customHeight="1" thickBot="1">
      <c r="A117" s="529"/>
      <c r="B117" s="530"/>
      <c r="C117" s="531"/>
      <c r="D117" s="532"/>
      <c r="E117" s="533"/>
      <c r="F117" s="532"/>
      <c r="G117" s="530"/>
      <c r="H117" s="532"/>
      <c r="I117" s="530"/>
      <c r="J117" s="532"/>
      <c r="K117" s="530"/>
      <c r="L117" s="532"/>
      <c r="M117" s="530"/>
      <c r="N117" s="532"/>
      <c r="O117" s="530"/>
      <c r="P117" s="532"/>
      <c r="Q117" s="530"/>
      <c r="R117" s="532"/>
      <c r="S117" s="530"/>
      <c r="T117" s="532"/>
      <c r="U117" s="532"/>
      <c r="V117" s="534"/>
      <c r="X117" s="4"/>
    </row>
    <row r="118" spans="1:24" s="82" customFormat="1" ht="18" customHeight="1" thickBot="1">
      <c r="A118" s="890">
        <f>+A105+1</f>
        <v>9</v>
      </c>
      <c r="B118" s="891" t="str">
        <f>'Data Entry'!$B$3&amp;"-"&amp;C118</f>
        <v>-</v>
      </c>
      <c r="C118" s="891" t="str">
        <f>IFERROR(VLOOKUP('Data Entry'!$B$3&amp;"-"&amp;A118,'PY1 TFR ADA'!$D:$AT,2,FALSE),"")</f>
        <v/>
      </c>
      <c r="D118" s="892" t="str">
        <f>IFERROR(VLOOKUP('Data Entry'!$B$3&amp;"-"&amp;A118,'PY1 TFR ADA'!$D:$AT,4,FALSE),"")</f>
        <v/>
      </c>
      <c r="E118" s="893"/>
      <c r="F118" s="893"/>
      <c r="G118" s="893"/>
      <c r="H118" s="893"/>
      <c r="I118" s="893"/>
      <c r="J118" s="893"/>
      <c r="K118" s="893"/>
      <c r="L118" s="893"/>
      <c r="M118" s="893"/>
      <c r="N118" s="893"/>
      <c r="O118" s="893"/>
      <c r="P118" s="893"/>
      <c r="Q118" s="893"/>
      <c r="R118" s="893"/>
      <c r="S118" s="893"/>
      <c r="T118" s="893"/>
      <c r="U118" s="893"/>
      <c r="V118" s="894"/>
      <c r="X118" s="83"/>
    </row>
    <row r="119" spans="1:24" ht="75" customHeight="1">
      <c r="A119" s="521"/>
      <c r="C119" s="540" t="s">
        <v>1315</v>
      </c>
      <c r="D119" s="512"/>
      <c r="E119" s="540" t="s">
        <v>1316</v>
      </c>
      <c r="F119" s="512"/>
      <c r="G119" s="540" t="s">
        <v>1309</v>
      </c>
      <c r="H119" s="512"/>
      <c r="I119" s="540" t="s">
        <v>1310</v>
      </c>
      <c r="J119" s="512"/>
      <c r="K119" s="540" t="s">
        <v>1311</v>
      </c>
      <c r="L119" s="512"/>
      <c r="M119" s="540" t="s">
        <v>1312</v>
      </c>
      <c r="N119" s="512"/>
      <c r="O119" s="540" t="s">
        <v>1313</v>
      </c>
      <c r="P119" s="512"/>
      <c r="Q119" s="540" t="s">
        <v>1314</v>
      </c>
      <c r="R119" s="167"/>
      <c r="S119" s="540" t="s">
        <v>1308</v>
      </c>
      <c r="T119" s="167"/>
      <c r="U119" s="512" t="s">
        <v>1307</v>
      </c>
      <c r="V119" s="524"/>
      <c r="X119" s="283"/>
    </row>
    <row r="120" spans="1:24" s="8" customFormat="1" ht="14.4">
      <c r="A120" s="521"/>
      <c r="B120" s="510" t="s">
        <v>94</v>
      </c>
      <c r="C120" s="525">
        <f>IFERROR(VLOOKUP($B118,'PY1 TFR ADA'!$F:$AU,MATCH("A-1.1",'PY1 TFR ADA'!$F$5:$AU$5,0),FALSE),0)</f>
        <v>0</v>
      </c>
      <c r="D120" s="167"/>
      <c r="E120" s="525">
        <f>IFERROR(VALUE(VLOOKUP($B118,'PY1 TFR ADA'!$F:$AU,MATCH("A-2.1",'PY1 TFR ADA'!$F$5:$AU$5,0),FALSE)),0)</f>
        <v>0</v>
      </c>
      <c r="F120" s="167"/>
      <c r="G120" s="609">
        <f>IFERROR(VLOOKUP($B118,'PY1 TFR ADA'!$F:$AU,MATCH("b-1.1",'PY1 TFR ADA'!$F$5:$AU$5,0),FALSE),0)</f>
        <v>0</v>
      </c>
      <c r="H120" s="527"/>
      <c r="I120" s="609">
        <f>IFERROR(VLOOKUP($B118,'PY1 TFR ADA'!$F:$AU,MATCH("b-2.1",'PY1 TFR ADA'!$F$5:$AU$5,0),FALSE),0)</f>
        <v>0</v>
      </c>
      <c r="J120" s="527"/>
      <c r="K120" s="609">
        <f>IFERROR(VLOOKUP($B118,'PY1 TFR ADA'!$F:$AU,MATCH("b-3.1",'PY1 TFR ADA'!$F$5:$AU$5,0),FALSE),0)</f>
        <v>0</v>
      </c>
      <c r="L120" s="527"/>
      <c r="M120" s="609">
        <f>IFERROR(VLOOKUP($B118,'PY1 TFR ADA'!$F:$AU,MATCH("b-4.1",'PY1 TFR ADA'!$F$5:$AU$5,0),FALSE),0)</f>
        <v>0</v>
      </c>
      <c r="N120" s="527"/>
      <c r="O120" s="609">
        <f>IFERROR(VLOOKUP($B118,'PY1 TFR ADA'!$F:$AU,MATCH("b-5.1",'PY1 TFR ADA'!$F$5:$AU$5,0),FALSE),0)</f>
        <v>0</v>
      </c>
      <c r="P120" s="527"/>
      <c r="Q120" s="609">
        <f>IFERROR(VLOOKUP($B118,'PY1 TFR ADA'!$F:$AU,MATCH("b-6.1",'PY1 TFR ADA'!$F$5:$AU$5,0),FALSE),0)</f>
        <v>0</v>
      </c>
      <c r="R120" s="551"/>
      <c r="S120" s="601">
        <f t="shared" ref="S120:S123" si="138">SUM(G120:Q120)</f>
        <v>0</v>
      </c>
      <c r="T120" s="551"/>
      <c r="U120" s="536">
        <f t="shared" ref="U120" si="139">ROUND(IF($G127="LCFF Rate",(G120*$C120),(G120*$E120))+IF($I127="LCFF Rate",(I120*$C120),(I120*$E120))+IF($K127="LCFF Rate",(K120*$C120),(K120*$E120))+IF($M127="LCFF Rate",(M120*$C120),(M120*$E120))+IF($O127="LCFF Rate",(O120*$C120),(O120*$E120))+IF($Q127="LCFF Rate",(Q120*$C120),(Q120*$E120)),0)</f>
        <v>0</v>
      </c>
      <c r="V120" s="524"/>
      <c r="X120" s="496"/>
    </row>
    <row r="121" spans="1:24" s="8" customFormat="1" ht="14.4">
      <c r="A121" s="521"/>
      <c r="B121" s="510" t="s">
        <v>2</v>
      </c>
      <c r="C121" s="525">
        <f>IFERROR(VLOOKUP($B118,'PY1 TFR ADA'!$F:$AU,MATCH("A-1.2",'PY1 TFR ADA'!$F$5:$AU$5,0),FALSE),0)</f>
        <v>0</v>
      </c>
      <c r="D121" s="167"/>
      <c r="E121" s="525">
        <f>IFERROR(VALUE(VLOOKUP($B118,'PY1 TFR ADA'!$F:$AU,MATCH("A-2.2",'PY1 TFR ADA'!$F$5:$AU$5,0),FALSE)),0)</f>
        <v>0</v>
      </c>
      <c r="F121" s="167"/>
      <c r="G121" s="609">
        <f>IFERROR(VLOOKUP($B118,'PY1 TFR ADA'!$F:$AU,MATCH("b-1.2",'PY1 TFR ADA'!$F$5:$AU$5,0),FALSE),0)</f>
        <v>0</v>
      </c>
      <c r="H121" s="527"/>
      <c r="I121" s="609">
        <f>IFERROR(VLOOKUP($B118,'PY1 TFR ADA'!$F:$AU,MATCH("b-2.2",'PY1 TFR ADA'!$F$5:$AU$5,0),FALSE),0)</f>
        <v>0</v>
      </c>
      <c r="J121" s="527"/>
      <c r="K121" s="609">
        <f>IFERROR(VLOOKUP($B118,'PY1 TFR ADA'!$F:$AU,MATCH("b-3.2",'PY1 TFR ADA'!$F$5:$AU$5,0),FALSE),0)</f>
        <v>0</v>
      </c>
      <c r="L121" s="527"/>
      <c r="M121" s="609">
        <f>IFERROR(VLOOKUP($B118,'PY1 TFR ADA'!$F:$AU,MATCH("b-4.2",'PY1 TFR ADA'!$F$5:$AU$5,0),FALSE),0)</f>
        <v>0</v>
      </c>
      <c r="N121" s="527"/>
      <c r="O121" s="609">
        <f>IFERROR(VLOOKUP($B118,'PY1 TFR ADA'!$F:$AU,MATCH("b-5.2",'PY1 TFR ADA'!$F$5:$AU$5,0),FALSE),0)</f>
        <v>0</v>
      </c>
      <c r="P121" s="527"/>
      <c r="Q121" s="609">
        <f>IFERROR(VLOOKUP($B118,'PY1 TFR ADA'!$F:$AU,MATCH("b-6.2",'PY1 TFR ADA'!$F$5:$AU$5,0),FALSE),0)</f>
        <v>0</v>
      </c>
      <c r="R121" s="551"/>
      <c r="S121" s="601">
        <f t="shared" si="138"/>
        <v>0</v>
      </c>
      <c r="T121" s="551"/>
      <c r="U121" s="536">
        <f t="shared" ref="U121" si="140">ROUND(IF($G127="LCFF Rate",(G121*$C121),(G121*$E121))+IF($I127="LCFF Rate",(I121*$C121),(I121*$E121))+IF($K127="LCFF Rate",(K121*$C121),(K121*$E121))+IF($M127="LCFF Rate",(M121*$C121),(M121*$E121))+IF($O127="LCFF Rate",(O121*$C121),(O121*$E121))+IF($Q127="LCFF Rate",(Q121*$C121),(Q121*$E121)),0)</f>
        <v>0</v>
      </c>
      <c r="V121" s="524"/>
      <c r="X121" s="4"/>
    </row>
    <row r="122" spans="1:24" s="8" customFormat="1" ht="14.4">
      <c r="A122" s="521"/>
      <c r="B122" s="510" t="s">
        <v>3</v>
      </c>
      <c r="C122" s="525">
        <f>IFERROR(VLOOKUP($B118,'PY1 TFR ADA'!$F:$AU,MATCH("A-1.3",'PY1 TFR ADA'!$F$5:$AU$5,0),FALSE),0)</f>
        <v>0</v>
      </c>
      <c r="D122" s="167"/>
      <c r="E122" s="525">
        <f>IFERROR(VALUE(VLOOKUP($B118,'PY1 TFR ADA'!$F:$AU,MATCH("A-2.3",'PY1 TFR ADA'!$F$5:$AU$5,0),FALSE)),0)</f>
        <v>0</v>
      </c>
      <c r="F122" s="167"/>
      <c r="G122" s="609">
        <f>IFERROR(VLOOKUP($B118,'PY1 TFR ADA'!$F:$AU,MATCH("b-1.3",'PY1 TFR ADA'!$F$5:$AU$5,0),FALSE),0)</f>
        <v>0</v>
      </c>
      <c r="H122" s="527"/>
      <c r="I122" s="609">
        <f>IFERROR(VLOOKUP($B118,'PY1 TFR ADA'!$F:$AU,MATCH("b-2.3",'PY1 TFR ADA'!$F$5:$AU$5,0),FALSE),0)</f>
        <v>0</v>
      </c>
      <c r="J122" s="527"/>
      <c r="K122" s="609">
        <f>IFERROR(VLOOKUP($B118,'PY1 TFR ADA'!$F:$AU,MATCH("b-3.3",'PY1 TFR ADA'!$F$5:$AU$5,0),FALSE),0)</f>
        <v>0</v>
      </c>
      <c r="L122" s="527"/>
      <c r="M122" s="609">
        <f>IFERROR(VLOOKUP($B118,'PY1 TFR ADA'!$F:$AU,MATCH("b-4.3",'PY1 TFR ADA'!$F$5:$AU$5,0),FALSE),0)</f>
        <v>0</v>
      </c>
      <c r="N122" s="527"/>
      <c r="O122" s="609">
        <f>IFERROR(VLOOKUP($B118,'PY1 TFR ADA'!$F:$AU,MATCH("b-5.3",'PY1 TFR ADA'!$F$5:$AU$5,0),FALSE),0)</f>
        <v>0</v>
      </c>
      <c r="P122" s="527"/>
      <c r="Q122" s="609">
        <f>IFERROR(VLOOKUP($B118,'PY1 TFR ADA'!$F:$AU,MATCH("b-6.3",'PY1 TFR ADA'!$F$5:$AU$5,0),FALSE),0)</f>
        <v>0</v>
      </c>
      <c r="R122" s="551"/>
      <c r="S122" s="601">
        <f t="shared" si="138"/>
        <v>0</v>
      </c>
      <c r="T122" s="551"/>
      <c r="U122" s="536">
        <f t="shared" ref="U122" si="141">ROUND(IF($G127="LCFF Rate",(G122*$C122),(G122*$E122))+IF($I127="LCFF Rate",(I122*$C122),(I122*$E122))+IF($K127="LCFF Rate",(K122*$C122),(K122*$E122))+IF($M127="LCFF Rate",(M122*$C122),(M122*$E122))+IF($O127="LCFF Rate",(O122*$C122),(O122*$E122))+IF($Q127="LCFF Rate",(Q122*$C122),(Q122*$E122)),0)</f>
        <v>0</v>
      </c>
      <c r="V122" s="524"/>
      <c r="X122" s="4"/>
    </row>
    <row r="123" spans="1:24" s="8" customFormat="1" ht="14.4">
      <c r="A123" s="526"/>
      <c r="B123" s="510" t="s">
        <v>4</v>
      </c>
      <c r="C123" s="525">
        <f>IFERROR(VLOOKUP($B118,'PY1 TFR ADA'!$F:$AU,MATCH("A-1.4",'PY1 TFR ADA'!$F$5:$AU$5,0),FALSE),0)</f>
        <v>0</v>
      </c>
      <c r="D123" s="523"/>
      <c r="E123" s="525">
        <f>IFERROR(VALUE(VLOOKUP($B118,'PY1 TFR ADA'!$F:$AU,MATCH("A-2.4",'PY1 TFR ADA'!$F$5:$AU$5,0),FALSE)),0)</f>
        <v>0</v>
      </c>
      <c r="F123" s="523"/>
      <c r="G123" s="609">
        <f>IFERROR(VLOOKUP($B118,'PY1 TFR ADA'!$F:$AU,MATCH("b-1.4",'PY1 TFR ADA'!$F$5:$AU$5,0),FALSE),0)</f>
        <v>0</v>
      </c>
      <c r="H123" s="527"/>
      <c r="I123" s="609">
        <f>IFERROR(VLOOKUP($B118,'PY1 TFR ADA'!$F:$AU,MATCH("b-2.4",'PY1 TFR ADA'!$F$5:$AU$5,0),FALSE),0)</f>
        <v>0</v>
      </c>
      <c r="J123" s="527"/>
      <c r="K123" s="609">
        <f>IFERROR(VLOOKUP($B118,'PY1 TFR ADA'!$F:$AU,MATCH("b-3.4",'PY1 TFR ADA'!$F$5:$AU$5,0),FALSE),0)</f>
        <v>0</v>
      </c>
      <c r="L123" s="527"/>
      <c r="M123" s="609">
        <f>IFERROR(VLOOKUP($B118,'PY1 TFR ADA'!$F:$AU,MATCH("b-4.4",'PY1 TFR ADA'!$F$5:$AU$5,0),FALSE),0)</f>
        <v>0</v>
      </c>
      <c r="N123" s="527"/>
      <c r="O123" s="609">
        <f>IFERROR(VLOOKUP($B118,'PY1 TFR ADA'!$F:$AU,MATCH("b-5.4",'PY1 TFR ADA'!$F$5:$AU$5,0),FALSE),0)</f>
        <v>0</v>
      </c>
      <c r="P123" s="527"/>
      <c r="Q123" s="609">
        <f>IFERROR(VLOOKUP($B118,'PY1 TFR ADA'!$F:$AU,MATCH("b-6.4",'PY1 TFR ADA'!$F$5:$AU$5,0),FALSE),0)</f>
        <v>0</v>
      </c>
      <c r="R123" s="551"/>
      <c r="S123" s="601">
        <f t="shared" si="138"/>
        <v>0</v>
      </c>
      <c r="T123" s="551"/>
      <c r="U123" s="536">
        <f t="shared" ref="U123" si="142">ROUND(IF($G127="LCFF Rate",(G123*$C123),(G123*$E123))+IF($I127="LCFF Rate",(I123*$C123),(I123*$E123))+IF($K127="LCFF Rate",(K123*$C123),(K123*$E123))+IF($M127="LCFF Rate",(M123*$C123),(M123*$E123))+IF($O127="LCFF Rate",(O123*$C123),(O123*$E123))+IF($Q127="LCFF Rate",(Q123*$C123),(Q123*$E123)),0)</f>
        <v>0</v>
      </c>
      <c r="V123" s="522"/>
      <c r="X123" s="496"/>
    </row>
    <row r="124" spans="1:24" s="8" customFormat="1" ht="8.25" customHeight="1">
      <c r="A124" s="521"/>
      <c r="B124" s="167"/>
      <c r="C124" s="165"/>
      <c r="D124" s="523"/>
      <c r="E124" s="165"/>
      <c r="F124" s="523"/>
      <c r="G124" s="520"/>
      <c r="H124" s="523"/>
      <c r="I124" s="520"/>
      <c r="J124" s="523"/>
      <c r="K124" s="520"/>
      <c r="L124" s="523"/>
      <c r="M124" s="520"/>
      <c r="N124" s="523"/>
      <c r="O124" s="520"/>
      <c r="P124" s="523"/>
      <c r="Q124" s="520"/>
      <c r="R124" s="167"/>
      <c r="S124" s="520"/>
      <c r="T124" s="167"/>
      <c r="U124" s="602"/>
      <c r="V124" s="522"/>
      <c r="X124" s="4"/>
    </row>
    <row r="125" spans="1:24" s="8" customFormat="1" ht="14.4">
      <c r="A125" s="521"/>
      <c r="B125" s="167"/>
      <c r="C125" s="165"/>
      <c r="D125" s="523"/>
      <c r="E125" s="513" t="s">
        <v>1317</v>
      </c>
      <c r="F125" s="523"/>
      <c r="G125" s="601">
        <f t="shared" ref="G125" si="143">SUM(G120:G123)</f>
        <v>0</v>
      </c>
      <c r="H125" s="527"/>
      <c r="I125" s="601">
        <f t="shared" ref="I125" si="144">SUM(I120:I123)</f>
        <v>0</v>
      </c>
      <c r="J125" s="527"/>
      <c r="K125" s="601">
        <f t="shared" ref="K125" si="145">SUM(K120:K123)</f>
        <v>0</v>
      </c>
      <c r="L125" s="527"/>
      <c r="M125" s="601">
        <f t="shared" ref="M125" si="146">SUM(M120:M123)</f>
        <v>0</v>
      </c>
      <c r="N125" s="527"/>
      <c r="O125" s="601">
        <f t="shared" ref="O125" si="147">SUM(O120:O123)</f>
        <v>0</v>
      </c>
      <c r="P125" s="527"/>
      <c r="Q125" s="601">
        <f t="shared" ref="Q125" si="148">SUM(Q120:Q123)</f>
        <v>0</v>
      </c>
      <c r="R125" s="527"/>
      <c r="S125" s="601">
        <f t="shared" ref="S125" si="149">SUM(S120:S123)</f>
        <v>0</v>
      </c>
      <c r="T125" s="527"/>
      <c r="U125" s="536">
        <f t="shared" ref="U125" si="150">SUM(U120:U123)</f>
        <v>0</v>
      </c>
      <c r="V125" s="522"/>
      <c r="X125" s="4"/>
    </row>
    <row r="126" spans="1:24" s="8" customFormat="1" ht="8.25" customHeight="1">
      <c r="A126" s="521"/>
      <c r="B126" s="167"/>
      <c r="C126" s="165"/>
      <c r="D126" s="523"/>
      <c r="E126" s="165"/>
      <c r="F126" s="523"/>
      <c r="G126" s="520"/>
      <c r="H126" s="523"/>
      <c r="I126" s="520"/>
      <c r="J126" s="523"/>
      <c r="K126" s="520"/>
      <c r="L126" s="523"/>
      <c r="M126" s="520"/>
      <c r="N126" s="523"/>
      <c r="O126" s="520"/>
      <c r="P126" s="523"/>
      <c r="Q126" s="520"/>
      <c r="R126" s="167"/>
      <c r="S126" s="520"/>
      <c r="T126" s="167"/>
      <c r="U126" s="528"/>
      <c r="V126" s="522"/>
      <c r="X126" s="4"/>
    </row>
    <row r="127" spans="1:24" s="8" customFormat="1" ht="16.5" customHeight="1">
      <c r="A127" s="521"/>
      <c r="B127" s="167"/>
      <c r="C127" s="165"/>
      <c r="E127" s="513" t="s">
        <v>1304</v>
      </c>
      <c r="F127" s="523"/>
      <c r="G127" s="977">
        <f>_xlfn.IFNA(IF(VLOOKUP($B118,'PY1 TFR ADA'!$F:$AU,MATCH("B-1.5",'PY1 TFR ADA'!$F$5:$AU$5,0),FALSE)=TRUE,IF(VLOOKUP($B118,'PY1 TFR ADA'!$F:$AU,MATCH("C-1",'PY1 TFR ADA'!$F$5:$AU$5,0),FALSE)=TRUE,"Alternative Rate","LCFF Rate"),"LCFF Rate"),0)</f>
        <v>0</v>
      </c>
      <c r="H127" s="523"/>
      <c r="I127" s="977">
        <f>_xlfn.IFNA(IF(VLOOKUP($B118,'PY1 TFR ADA'!$F:$AU,MATCH("B-2.5",'PY1 TFR ADA'!$F$5:$AU$5,0),FALSE)=TRUE,IF(VLOOKUP($B118,'PY1 TFR ADA'!$F:$AU,MATCH("C-1",'PY1 TFR ADA'!$F$5:$AU$5,0),FALSE)=TRUE,"Alternative Rate","LCFF Rate"),"LCFF Rate"),0)</f>
        <v>0</v>
      </c>
      <c r="J127" s="523"/>
      <c r="K127" s="977">
        <f>_xlfn.IFNA(IF(VLOOKUP($B118,'PY1 TFR ADA'!$F:$AU,MATCH("B-3.5",'PY1 TFR ADA'!$F$5:$AU$5,0),FALSE)=TRUE,IF(VLOOKUP($B118,'PY1 TFR ADA'!$F:$AU,MATCH("C-1",'PY1 TFR ADA'!$F$5:$AU$5,0),FALSE)=TRUE,"Alternative Rate","LCFF Rate"),"LCFF Rate"),0)</f>
        <v>0</v>
      </c>
      <c r="L127" s="523"/>
      <c r="M127" s="977">
        <f>_xlfn.IFNA(IF(VLOOKUP($B118,'PY1 TFR ADA'!$F:$AU,MATCH("B-4.5",'PY1 TFR ADA'!$F$5:$AU$5,0),FALSE)=TRUE,IF(VLOOKUP($B118,'PY1 TFR ADA'!$F:$AU,MATCH("C-1",'PY1 TFR ADA'!$F$5:$AU$5,0),FALSE)=TRUE,"Alternative Rate","LCFF Rate"),"LCFF Rate"),0)</f>
        <v>0</v>
      </c>
      <c r="N127" s="523"/>
      <c r="O127" s="977">
        <f>_xlfn.IFNA(IF(VLOOKUP($B118,'PY1 TFR ADA'!$F:$AU,MATCH("B-5.5",'PY1 TFR ADA'!$F$5:$AU$5,0),FALSE)=TRUE,IF(VLOOKUP($B118,'PY1 TFR ADA'!$F:$AU,MATCH("C-1",'PY1 TFR ADA'!$F$5:$AU$5,0),FALSE)=TRUE,"Alternative Rate","LCFF Rate"),"LCFF Rate"),0)</f>
        <v>0</v>
      </c>
      <c r="P127" s="523"/>
      <c r="Q127" s="977">
        <f>_xlfn.IFNA(IF(VLOOKUP($B118,'PY1 TFR ADA'!$F:$AU,MATCH("B-6.5",'PY1 TFR ADA'!$F$5:$AU$5,0),FALSE)=TRUE,IF(VLOOKUP($B118,'PY1 TFR ADA'!$F:$AU,MATCH("C-1",'PY1 TFR ADA'!$F$5:$AU$5,0),FALSE)=TRUE,"Alternative Rate","LCFF Rate"),"LCFF Rate"),0)</f>
        <v>0</v>
      </c>
      <c r="R127" s="167"/>
      <c r="S127" s="520"/>
      <c r="T127" s="167"/>
      <c r="U127" s="528"/>
      <c r="V127" s="522"/>
      <c r="X127" s="283"/>
    </row>
    <row r="128" spans="1:24" s="8" customFormat="1" ht="8.25" customHeight="1">
      <c r="A128" s="521"/>
      <c r="B128" s="167"/>
      <c r="C128" s="165"/>
      <c r="D128" s="523"/>
      <c r="E128" s="165"/>
      <c r="F128" s="523"/>
      <c r="G128" s="520"/>
      <c r="H128" s="523"/>
      <c r="I128" s="520"/>
      <c r="J128" s="523"/>
      <c r="K128" s="520"/>
      <c r="L128" s="523"/>
      <c r="M128" s="520"/>
      <c r="N128" s="523"/>
      <c r="O128" s="520"/>
      <c r="P128" s="523"/>
      <c r="Q128" s="520"/>
      <c r="R128" s="167"/>
      <c r="S128" s="520"/>
      <c r="T128" s="167"/>
      <c r="U128" s="528"/>
      <c r="V128" s="522"/>
      <c r="X128" s="4"/>
    </row>
    <row r="129" spans="1:24" s="8" customFormat="1" ht="16.8">
      <c r="A129" s="521"/>
      <c r="B129" s="2"/>
      <c r="F129" s="523"/>
      <c r="G129" s="535">
        <f t="shared" ref="G129" si="151">IF(G127="LCFF Rate",(G120*C120+G121*C121+G122*C122+G123*C123),(G125*E123))</f>
        <v>0</v>
      </c>
      <c r="H129" s="537"/>
      <c r="I129" s="535">
        <f t="shared" ref="I129" si="152">IF(I127="LCFF Rate",(I120*C120+I121*C121+I122*C122+I123*C123),(I125*E123))</f>
        <v>0</v>
      </c>
      <c r="J129" s="537"/>
      <c r="K129" s="535">
        <f t="shared" ref="K129" si="153">IF(K127="LCFF Rate",(K120*C120+K121*C121+K122*C122+K123*C123),(K125*E123))</f>
        <v>0</v>
      </c>
      <c r="L129" s="537"/>
      <c r="M129" s="535">
        <f t="shared" ref="M129" si="154">IF(M127="LCFF Rate",(M120*C120+M121*C121+M122*C122+M123*C123),(M125*E123))</f>
        <v>0</v>
      </c>
      <c r="N129" s="537"/>
      <c r="O129" s="535">
        <f t="shared" ref="O129" si="155">IF(O127="LCFF Rate",(O120*C120+O121*C121+O122*C122+O123*C123),(O125*E123))</f>
        <v>0</v>
      </c>
      <c r="P129" s="537"/>
      <c r="Q129" s="535">
        <f t="shared" ref="Q129" si="156">IF(Q127="LCFF Rate",(Q120*C120+Q121*C121+Q122*C122+Q123*C123),(Q125*E123))</f>
        <v>0</v>
      </c>
      <c r="R129" s="167"/>
      <c r="S129" s="538">
        <f t="shared" ref="S129" si="157">SUM(G129:Q129)</f>
        <v>0</v>
      </c>
      <c r="T129" s="167"/>
      <c r="U129" s="528"/>
      <c r="V129" s="522"/>
      <c r="X129" s="979"/>
    </row>
    <row r="130" spans="1:24" s="8" customFormat="1" ht="9" customHeight="1" thickBot="1">
      <c r="A130" s="529"/>
      <c r="B130" s="530"/>
      <c r="C130" s="531"/>
      <c r="D130" s="532"/>
      <c r="E130" s="533"/>
      <c r="F130" s="532"/>
      <c r="G130" s="530"/>
      <c r="H130" s="532"/>
      <c r="I130" s="530"/>
      <c r="J130" s="532"/>
      <c r="K130" s="530"/>
      <c r="L130" s="532"/>
      <c r="M130" s="530"/>
      <c r="N130" s="532"/>
      <c r="O130" s="530"/>
      <c r="P130" s="532"/>
      <c r="Q130" s="530"/>
      <c r="R130" s="532"/>
      <c r="S130" s="530"/>
      <c r="T130" s="532"/>
      <c r="U130" s="532"/>
      <c r="V130" s="534"/>
      <c r="X130" s="4"/>
    </row>
    <row r="131" spans="1:24" s="82" customFormat="1" ht="18" customHeight="1" thickBot="1">
      <c r="A131" s="890">
        <f>+A118+1</f>
        <v>10</v>
      </c>
      <c r="B131" s="891" t="str">
        <f>'Data Entry'!$B$3&amp;"-"&amp;C131</f>
        <v>-</v>
      </c>
      <c r="C131" s="891" t="str">
        <f>IFERROR(VLOOKUP('Data Entry'!$B$3&amp;"-"&amp;A131,'PY1 TFR ADA'!$D:$AT,2,FALSE),"")</f>
        <v/>
      </c>
      <c r="D131" s="892" t="str">
        <f>IFERROR(VLOOKUP('Data Entry'!$B$3&amp;"-"&amp;A131,'PY1 TFR ADA'!$D:$AT,4,FALSE),"")</f>
        <v/>
      </c>
      <c r="E131" s="893"/>
      <c r="F131" s="893"/>
      <c r="G131" s="893"/>
      <c r="H131" s="893"/>
      <c r="I131" s="893"/>
      <c r="J131" s="893"/>
      <c r="K131" s="893"/>
      <c r="L131" s="893"/>
      <c r="M131" s="893"/>
      <c r="N131" s="893"/>
      <c r="O131" s="893"/>
      <c r="P131" s="893"/>
      <c r="Q131" s="893"/>
      <c r="R131" s="893"/>
      <c r="S131" s="893"/>
      <c r="T131" s="893"/>
      <c r="U131" s="893"/>
      <c r="V131" s="894"/>
      <c r="X131" s="83"/>
    </row>
    <row r="132" spans="1:24" ht="75" customHeight="1">
      <c r="A132" s="521"/>
      <c r="C132" s="540" t="s">
        <v>1315</v>
      </c>
      <c r="D132" s="512"/>
      <c r="E132" s="540" t="s">
        <v>1316</v>
      </c>
      <c r="F132" s="512"/>
      <c r="G132" s="540" t="s">
        <v>1309</v>
      </c>
      <c r="H132" s="512"/>
      <c r="I132" s="540" t="s">
        <v>1310</v>
      </c>
      <c r="J132" s="512"/>
      <c r="K132" s="540" t="s">
        <v>1311</v>
      </c>
      <c r="L132" s="512"/>
      <c r="M132" s="540" t="s">
        <v>1312</v>
      </c>
      <c r="N132" s="512"/>
      <c r="O132" s="540" t="s">
        <v>1313</v>
      </c>
      <c r="P132" s="512"/>
      <c r="Q132" s="540" t="s">
        <v>1314</v>
      </c>
      <c r="R132" s="167"/>
      <c r="S132" s="540" t="s">
        <v>1308</v>
      </c>
      <c r="T132" s="167"/>
      <c r="U132" s="512" t="s">
        <v>1307</v>
      </c>
      <c r="V132" s="524"/>
      <c r="X132" s="283"/>
    </row>
    <row r="133" spans="1:24" s="8" customFormat="1" ht="14.4">
      <c r="A133" s="521"/>
      <c r="B133" s="510" t="s">
        <v>94</v>
      </c>
      <c r="C133" s="525">
        <f>IFERROR(VLOOKUP($B131,'PY1 TFR ADA'!$F:$AU,MATCH("A-1.1",'PY1 TFR ADA'!$F$5:$AU$5,0),FALSE),0)</f>
        <v>0</v>
      </c>
      <c r="D133" s="167"/>
      <c r="E133" s="525">
        <f>IFERROR(VALUE(VLOOKUP($B131,'PY1 TFR ADA'!$F:$AU,MATCH("A-2.1",'PY1 TFR ADA'!$F$5:$AU$5,0),FALSE)),0)</f>
        <v>0</v>
      </c>
      <c r="F133" s="167"/>
      <c r="G133" s="609">
        <f>IFERROR(VLOOKUP($B131,'PY1 TFR ADA'!$F:$AU,MATCH("b-1.1",'PY1 TFR ADA'!$F$5:$AU$5,0),FALSE),0)</f>
        <v>0</v>
      </c>
      <c r="H133" s="527"/>
      <c r="I133" s="609">
        <f>IFERROR(VLOOKUP($B131,'PY1 TFR ADA'!$F:$AU,MATCH("b-2.1",'PY1 TFR ADA'!$F$5:$AU$5,0),FALSE),0)</f>
        <v>0</v>
      </c>
      <c r="J133" s="527"/>
      <c r="K133" s="609">
        <f>IFERROR(VLOOKUP($B131,'PY1 TFR ADA'!$F:$AU,MATCH("b-3.1",'PY1 TFR ADA'!$F$5:$AU$5,0),FALSE),0)</f>
        <v>0</v>
      </c>
      <c r="L133" s="527"/>
      <c r="M133" s="609">
        <f>IFERROR(VLOOKUP($B131,'PY1 TFR ADA'!$F:$AU,MATCH("b-4.1",'PY1 TFR ADA'!$F$5:$AU$5,0),FALSE),0)</f>
        <v>0</v>
      </c>
      <c r="N133" s="527"/>
      <c r="O133" s="609">
        <f>IFERROR(VLOOKUP($B131,'PY1 TFR ADA'!$F:$AU,MATCH("b-5.1",'PY1 TFR ADA'!$F$5:$AU$5,0),FALSE),0)</f>
        <v>0</v>
      </c>
      <c r="P133" s="527"/>
      <c r="Q133" s="609">
        <f>IFERROR(VLOOKUP($B131,'PY1 TFR ADA'!$F:$AU,MATCH("b-6.1",'PY1 TFR ADA'!$F$5:$AU$5,0),FALSE),0)</f>
        <v>0</v>
      </c>
      <c r="R133" s="551"/>
      <c r="S133" s="601">
        <f t="shared" ref="S133:S136" si="158">SUM(G133:Q133)</f>
        <v>0</v>
      </c>
      <c r="T133" s="551"/>
      <c r="U133" s="536">
        <f t="shared" ref="U133" si="159">ROUND(IF($G140="LCFF Rate",(G133*$C133),(G133*$E133))+IF($I140="LCFF Rate",(I133*$C133),(I133*$E133))+IF($K140="LCFF Rate",(K133*$C133),(K133*$E133))+IF($M140="LCFF Rate",(M133*$C133),(M133*$E133))+IF($O140="LCFF Rate",(O133*$C133),(O133*$E133))+IF($Q140="LCFF Rate",(Q133*$C133),(Q133*$E133)),0)</f>
        <v>0</v>
      </c>
      <c r="V133" s="524"/>
      <c r="X133" s="496"/>
    </row>
    <row r="134" spans="1:24" s="8" customFormat="1" ht="14.4">
      <c r="A134" s="521"/>
      <c r="B134" s="510" t="s">
        <v>2</v>
      </c>
      <c r="C134" s="525">
        <f>IFERROR(VLOOKUP($B131,'PY1 TFR ADA'!$F:$AU,MATCH("A-1.2",'PY1 TFR ADA'!$F$5:$AU$5,0),FALSE),0)</f>
        <v>0</v>
      </c>
      <c r="D134" s="167"/>
      <c r="E134" s="525">
        <f>IFERROR(VALUE(VLOOKUP($B131,'PY1 TFR ADA'!$F:$AU,MATCH("A-2.2",'PY1 TFR ADA'!$F$5:$AU$5,0),FALSE)),0)</f>
        <v>0</v>
      </c>
      <c r="F134" s="167"/>
      <c r="G134" s="609">
        <f>IFERROR(VLOOKUP($B131,'PY1 TFR ADA'!$F:$AU,MATCH("b-1.2",'PY1 TFR ADA'!$F$5:$AU$5,0),FALSE),0)</f>
        <v>0</v>
      </c>
      <c r="H134" s="527"/>
      <c r="I134" s="609">
        <f>IFERROR(VLOOKUP($B131,'PY1 TFR ADA'!$F:$AU,MATCH("b-2.2",'PY1 TFR ADA'!$F$5:$AU$5,0),FALSE),0)</f>
        <v>0</v>
      </c>
      <c r="J134" s="527"/>
      <c r="K134" s="609">
        <f>IFERROR(VLOOKUP($B131,'PY1 TFR ADA'!$F:$AU,MATCH("b-3.2",'PY1 TFR ADA'!$F$5:$AU$5,0),FALSE),0)</f>
        <v>0</v>
      </c>
      <c r="L134" s="527"/>
      <c r="M134" s="609">
        <f>IFERROR(VLOOKUP($B131,'PY1 TFR ADA'!$F:$AU,MATCH("b-4.2",'PY1 TFR ADA'!$F$5:$AU$5,0),FALSE),0)</f>
        <v>0</v>
      </c>
      <c r="N134" s="527"/>
      <c r="O134" s="609">
        <f>IFERROR(VLOOKUP($B131,'PY1 TFR ADA'!$F:$AU,MATCH("b-5.2",'PY1 TFR ADA'!$F$5:$AU$5,0),FALSE),0)</f>
        <v>0</v>
      </c>
      <c r="P134" s="527"/>
      <c r="Q134" s="609">
        <f>IFERROR(VLOOKUP($B131,'PY1 TFR ADA'!$F:$AU,MATCH("b-6.2",'PY1 TFR ADA'!$F$5:$AU$5,0),FALSE),0)</f>
        <v>0</v>
      </c>
      <c r="R134" s="551"/>
      <c r="S134" s="601">
        <f t="shared" si="158"/>
        <v>0</v>
      </c>
      <c r="T134" s="551"/>
      <c r="U134" s="536">
        <f t="shared" ref="U134" si="160">ROUND(IF($G140="LCFF Rate",(G134*$C134),(G134*$E134))+IF($I140="LCFF Rate",(I134*$C134),(I134*$E134))+IF($K140="LCFF Rate",(K134*$C134),(K134*$E134))+IF($M140="LCFF Rate",(M134*$C134),(M134*$E134))+IF($O140="LCFF Rate",(O134*$C134),(O134*$E134))+IF($Q140="LCFF Rate",(Q134*$C134),(Q134*$E134)),0)</f>
        <v>0</v>
      </c>
      <c r="V134" s="524"/>
      <c r="X134" s="4"/>
    </row>
    <row r="135" spans="1:24" s="8" customFormat="1" ht="14.4">
      <c r="A135" s="521"/>
      <c r="B135" s="510" t="s">
        <v>3</v>
      </c>
      <c r="C135" s="525">
        <f>IFERROR(VLOOKUP($B131,'PY1 TFR ADA'!$F:$AU,MATCH("A-1.3",'PY1 TFR ADA'!$F$5:$AU$5,0),FALSE),0)</f>
        <v>0</v>
      </c>
      <c r="D135" s="167"/>
      <c r="E135" s="525">
        <f>IFERROR(VALUE(VLOOKUP($B131,'PY1 TFR ADA'!$F:$AU,MATCH("A-2.3",'PY1 TFR ADA'!$F$5:$AU$5,0),FALSE)),0)</f>
        <v>0</v>
      </c>
      <c r="F135" s="167"/>
      <c r="G135" s="609">
        <f>IFERROR(VLOOKUP($B131,'PY1 TFR ADA'!$F:$AU,MATCH("b-1.3",'PY1 TFR ADA'!$F$5:$AU$5,0),FALSE),0)</f>
        <v>0</v>
      </c>
      <c r="H135" s="527"/>
      <c r="I135" s="609">
        <f>IFERROR(VLOOKUP($B131,'PY1 TFR ADA'!$F:$AU,MATCH("b-2.3",'PY1 TFR ADA'!$F$5:$AU$5,0),FALSE),0)</f>
        <v>0</v>
      </c>
      <c r="J135" s="527"/>
      <c r="K135" s="609">
        <f>IFERROR(VLOOKUP($B131,'PY1 TFR ADA'!$F:$AU,MATCH("b-3.3",'PY1 TFR ADA'!$F$5:$AU$5,0),FALSE),0)</f>
        <v>0</v>
      </c>
      <c r="L135" s="527"/>
      <c r="M135" s="609">
        <f>IFERROR(VLOOKUP($B131,'PY1 TFR ADA'!$F:$AU,MATCH("b-4.3",'PY1 TFR ADA'!$F$5:$AU$5,0),FALSE),0)</f>
        <v>0</v>
      </c>
      <c r="N135" s="527"/>
      <c r="O135" s="609">
        <f>IFERROR(VLOOKUP($B131,'PY1 TFR ADA'!$F:$AU,MATCH("b-5.3",'PY1 TFR ADA'!$F$5:$AU$5,0),FALSE),0)</f>
        <v>0</v>
      </c>
      <c r="P135" s="527"/>
      <c r="Q135" s="609">
        <f>IFERROR(VLOOKUP($B131,'PY1 TFR ADA'!$F:$AU,MATCH("b-6.3",'PY1 TFR ADA'!$F$5:$AU$5,0),FALSE),0)</f>
        <v>0</v>
      </c>
      <c r="R135" s="551"/>
      <c r="S135" s="601">
        <f t="shared" si="158"/>
        <v>0</v>
      </c>
      <c r="T135" s="551"/>
      <c r="U135" s="536">
        <f t="shared" ref="U135" si="161">ROUND(IF($G140="LCFF Rate",(G135*$C135),(G135*$E135))+IF($I140="LCFF Rate",(I135*$C135),(I135*$E135))+IF($K140="LCFF Rate",(K135*$C135),(K135*$E135))+IF($M140="LCFF Rate",(M135*$C135),(M135*$E135))+IF($O140="LCFF Rate",(O135*$C135),(O135*$E135))+IF($Q140="LCFF Rate",(Q135*$C135),(Q135*$E135)),0)</f>
        <v>0</v>
      </c>
      <c r="V135" s="524"/>
      <c r="X135" s="4"/>
    </row>
    <row r="136" spans="1:24" s="8" customFormat="1" ht="14.4">
      <c r="A136" s="526"/>
      <c r="B136" s="510" t="s">
        <v>4</v>
      </c>
      <c r="C136" s="525">
        <f>IFERROR(VLOOKUP($B131,'PY1 TFR ADA'!$F:$AU,MATCH("A-1.4",'PY1 TFR ADA'!$F$5:$AU$5,0),FALSE),0)</f>
        <v>0</v>
      </c>
      <c r="D136" s="523"/>
      <c r="E136" s="525">
        <f>IFERROR(VALUE(VLOOKUP($B131,'PY1 TFR ADA'!$F:$AU,MATCH("A-2.4",'PY1 TFR ADA'!$F$5:$AU$5,0),FALSE)),0)</f>
        <v>0</v>
      </c>
      <c r="F136" s="523"/>
      <c r="G136" s="609">
        <f>IFERROR(VLOOKUP($B131,'PY1 TFR ADA'!$F:$AU,MATCH("b-1.4",'PY1 TFR ADA'!$F$5:$AU$5,0),FALSE),0)</f>
        <v>0</v>
      </c>
      <c r="H136" s="527"/>
      <c r="I136" s="609">
        <f>IFERROR(VLOOKUP($B131,'PY1 TFR ADA'!$F:$AU,MATCH("b-2.4",'PY1 TFR ADA'!$F$5:$AU$5,0),FALSE),0)</f>
        <v>0</v>
      </c>
      <c r="J136" s="527"/>
      <c r="K136" s="609">
        <f>IFERROR(VLOOKUP($B131,'PY1 TFR ADA'!$F:$AU,MATCH("b-3.4",'PY1 TFR ADA'!$F$5:$AU$5,0),FALSE),0)</f>
        <v>0</v>
      </c>
      <c r="L136" s="527"/>
      <c r="M136" s="609">
        <f>IFERROR(VLOOKUP($B131,'PY1 TFR ADA'!$F:$AU,MATCH("b-4.4",'PY1 TFR ADA'!$F$5:$AU$5,0),FALSE),0)</f>
        <v>0</v>
      </c>
      <c r="N136" s="527"/>
      <c r="O136" s="609">
        <f>IFERROR(VLOOKUP($B131,'PY1 TFR ADA'!$F:$AU,MATCH("b-5.4",'PY1 TFR ADA'!$F$5:$AU$5,0),FALSE),0)</f>
        <v>0</v>
      </c>
      <c r="P136" s="527"/>
      <c r="Q136" s="609">
        <f>IFERROR(VLOOKUP($B131,'PY1 TFR ADA'!$F:$AU,MATCH("b-6.4",'PY1 TFR ADA'!$F$5:$AU$5,0),FALSE),0)</f>
        <v>0</v>
      </c>
      <c r="R136" s="551"/>
      <c r="S136" s="601">
        <f t="shared" si="158"/>
        <v>0</v>
      </c>
      <c r="T136" s="551"/>
      <c r="U136" s="536">
        <f t="shared" ref="U136" si="162">ROUND(IF($G140="LCFF Rate",(G136*$C136),(G136*$E136))+IF($I140="LCFF Rate",(I136*$C136),(I136*$E136))+IF($K140="LCFF Rate",(K136*$C136),(K136*$E136))+IF($M140="LCFF Rate",(M136*$C136),(M136*$E136))+IF($O140="LCFF Rate",(O136*$C136),(O136*$E136))+IF($Q140="LCFF Rate",(Q136*$C136),(Q136*$E136)),0)</f>
        <v>0</v>
      </c>
      <c r="V136" s="522"/>
      <c r="X136" s="496"/>
    </row>
    <row r="137" spans="1:24" s="8" customFormat="1" ht="8.25" customHeight="1">
      <c r="A137" s="521"/>
      <c r="B137" s="167"/>
      <c r="C137" s="165"/>
      <c r="D137" s="523"/>
      <c r="E137" s="165"/>
      <c r="F137" s="523"/>
      <c r="G137" s="520"/>
      <c r="H137" s="523"/>
      <c r="I137" s="520"/>
      <c r="J137" s="523"/>
      <c r="K137" s="520"/>
      <c r="L137" s="523"/>
      <c r="M137" s="520"/>
      <c r="N137" s="523"/>
      <c r="O137" s="520"/>
      <c r="P137" s="523"/>
      <c r="Q137" s="520"/>
      <c r="R137" s="167"/>
      <c r="S137" s="520"/>
      <c r="T137" s="167"/>
      <c r="U137" s="602"/>
      <c r="V137" s="522"/>
      <c r="X137" s="4"/>
    </row>
    <row r="138" spans="1:24" s="8" customFormat="1" ht="14.4">
      <c r="A138" s="521"/>
      <c r="B138" s="167"/>
      <c r="C138" s="165"/>
      <c r="D138" s="523"/>
      <c r="E138" s="513" t="s">
        <v>1317</v>
      </c>
      <c r="F138" s="523"/>
      <c r="G138" s="601">
        <f t="shared" ref="G138" si="163">SUM(G133:G136)</f>
        <v>0</v>
      </c>
      <c r="H138" s="527"/>
      <c r="I138" s="601">
        <f t="shared" ref="I138" si="164">SUM(I133:I136)</f>
        <v>0</v>
      </c>
      <c r="J138" s="527"/>
      <c r="K138" s="601">
        <f t="shared" ref="K138" si="165">SUM(K133:K136)</f>
        <v>0</v>
      </c>
      <c r="L138" s="527"/>
      <c r="M138" s="601">
        <f t="shared" ref="M138" si="166">SUM(M133:M136)</f>
        <v>0</v>
      </c>
      <c r="N138" s="527"/>
      <c r="O138" s="601">
        <f t="shared" ref="O138" si="167">SUM(O133:O136)</f>
        <v>0</v>
      </c>
      <c r="P138" s="527"/>
      <c r="Q138" s="601">
        <f t="shared" ref="Q138" si="168">SUM(Q133:Q136)</f>
        <v>0</v>
      </c>
      <c r="R138" s="527"/>
      <c r="S138" s="601">
        <f t="shared" ref="S138" si="169">SUM(S133:S136)</f>
        <v>0</v>
      </c>
      <c r="T138" s="527"/>
      <c r="U138" s="536">
        <f t="shared" ref="U138" si="170">SUM(U133:U136)</f>
        <v>0</v>
      </c>
      <c r="V138" s="522"/>
      <c r="X138" s="4"/>
    </row>
    <row r="139" spans="1:24" s="8" customFormat="1" ht="8.25" customHeight="1">
      <c r="A139" s="521"/>
      <c r="B139" s="167"/>
      <c r="C139" s="165"/>
      <c r="D139" s="523"/>
      <c r="E139" s="165"/>
      <c r="F139" s="523"/>
      <c r="G139" s="520"/>
      <c r="H139" s="523"/>
      <c r="I139" s="520"/>
      <c r="J139" s="523"/>
      <c r="K139" s="520"/>
      <c r="L139" s="523"/>
      <c r="M139" s="520"/>
      <c r="N139" s="523"/>
      <c r="O139" s="520"/>
      <c r="P139" s="523"/>
      <c r="Q139" s="520"/>
      <c r="R139" s="167"/>
      <c r="S139" s="520"/>
      <c r="T139" s="167"/>
      <c r="U139" s="528"/>
      <c r="V139" s="522"/>
      <c r="X139" s="4"/>
    </row>
    <row r="140" spans="1:24" s="8" customFormat="1" ht="16.5" customHeight="1">
      <c r="A140" s="521"/>
      <c r="B140" s="167"/>
      <c r="C140" s="165"/>
      <c r="E140" s="513" t="s">
        <v>1304</v>
      </c>
      <c r="F140" s="523"/>
      <c r="G140" s="977">
        <f>_xlfn.IFNA(IF(VLOOKUP($B131,'PY1 TFR ADA'!$F:$AU,MATCH("B-1.5",'PY1 TFR ADA'!$F$5:$AU$5,0),FALSE)=TRUE,IF(VLOOKUP($B131,'PY1 TFR ADA'!$F:$AU,MATCH("C-1",'PY1 TFR ADA'!$F$5:$AU$5,0),FALSE)=TRUE,"Alternative Rate","LCFF Rate"),"LCFF Rate"),0)</f>
        <v>0</v>
      </c>
      <c r="H140" s="523"/>
      <c r="I140" s="977">
        <f>_xlfn.IFNA(IF(VLOOKUP($B131,'PY1 TFR ADA'!$F:$AU,MATCH("B-2.5",'PY1 TFR ADA'!$F$5:$AU$5,0),FALSE)=TRUE,IF(VLOOKUP($B131,'PY1 TFR ADA'!$F:$AU,MATCH("C-1",'PY1 TFR ADA'!$F$5:$AU$5,0),FALSE)=TRUE,"Alternative Rate","LCFF Rate"),"LCFF Rate"),0)</f>
        <v>0</v>
      </c>
      <c r="J140" s="523"/>
      <c r="K140" s="977">
        <f>_xlfn.IFNA(IF(VLOOKUP($B131,'PY1 TFR ADA'!$F:$AU,MATCH("B-3.5",'PY1 TFR ADA'!$F$5:$AU$5,0),FALSE)=TRUE,IF(VLOOKUP($B131,'PY1 TFR ADA'!$F:$AU,MATCH("C-1",'PY1 TFR ADA'!$F$5:$AU$5,0),FALSE)=TRUE,"Alternative Rate","LCFF Rate"),"LCFF Rate"),0)</f>
        <v>0</v>
      </c>
      <c r="L140" s="523"/>
      <c r="M140" s="977">
        <f>_xlfn.IFNA(IF(VLOOKUP($B131,'PY1 TFR ADA'!$F:$AU,MATCH("B-4.5",'PY1 TFR ADA'!$F$5:$AU$5,0),FALSE)=TRUE,IF(VLOOKUP($B131,'PY1 TFR ADA'!$F:$AU,MATCH("C-1",'PY1 TFR ADA'!$F$5:$AU$5,0),FALSE)=TRUE,"Alternative Rate","LCFF Rate"),"LCFF Rate"),0)</f>
        <v>0</v>
      </c>
      <c r="N140" s="523"/>
      <c r="O140" s="977">
        <f>_xlfn.IFNA(IF(VLOOKUP($B131,'PY1 TFR ADA'!$F:$AU,MATCH("B-5.5",'PY1 TFR ADA'!$F$5:$AU$5,0),FALSE)=TRUE,IF(VLOOKUP($B131,'PY1 TFR ADA'!$F:$AU,MATCH("C-1",'PY1 TFR ADA'!$F$5:$AU$5,0),FALSE)=TRUE,"Alternative Rate","LCFF Rate"),"LCFF Rate"),0)</f>
        <v>0</v>
      </c>
      <c r="P140" s="523"/>
      <c r="Q140" s="977">
        <f>_xlfn.IFNA(IF(VLOOKUP($B131,'PY1 TFR ADA'!$F:$AU,MATCH("B-6.5",'PY1 TFR ADA'!$F$5:$AU$5,0),FALSE)=TRUE,IF(VLOOKUP($B131,'PY1 TFR ADA'!$F:$AU,MATCH("C-1",'PY1 TFR ADA'!$F$5:$AU$5,0),FALSE)=TRUE,"Alternative Rate","LCFF Rate"),"LCFF Rate"),0)</f>
        <v>0</v>
      </c>
      <c r="R140" s="167"/>
      <c r="S140" s="520"/>
      <c r="T140" s="167"/>
      <c r="U140" s="528"/>
      <c r="V140" s="522"/>
      <c r="X140" s="283"/>
    </row>
    <row r="141" spans="1:24" s="8" customFormat="1" ht="8.25" customHeight="1">
      <c r="A141" s="521"/>
      <c r="B141" s="167"/>
      <c r="C141" s="165"/>
      <c r="D141" s="523"/>
      <c r="E141" s="165"/>
      <c r="F141" s="523"/>
      <c r="G141" s="520"/>
      <c r="H141" s="523"/>
      <c r="I141" s="520"/>
      <c r="J141" s="523"/>
      <c r="K141" s="520"/>
      <c r="L141" s="523"/>
      <c r="M141" s="520"/>
      <c r="N141" s="523"/>
      <c r="O141" s="520"/>
      <c r="P141" s="523"/>
      <c r="Q141" s="520"/>
      <c r="R141" s="167"/>
      <c r="S141" s="520"/>
      <c r="T141" s="167"/>
      <c r="U141" s="528"/>
      <c r="V141" s="522"/>
      <c r="X141" s="4"/>
    </row>
    <row r="142" spans="1:24" s="8" customFormat="1" ht="16.8">
      <c r="A142" s="521"/>
      <c r="B142" s="2"/>
      <c r="F142" s="523"/>
      <c r="G142" s="535">
        <f t="shared" ref="G142" si="171">IF(G140="LCFF Rate",(G133*C133+G134*C134+G135*C135+G136*C136),(G138*E136))</f>
        <v>0</v>
      </c>
      <c r="H142" s="537"/>
      <c r="I142" s="535">
        <f t="shared" ref="I142" si="172">IF(I140="LCFF Rate",(I133*C133+I134*C134+I135*C135+I136*C136),(I138*E136))</f>
        <v>0</v>
      </c>
      <c r="J142" s="537"/>
      <c r="K142" s="535">
        <f t="shared" ref="K142" si="173">IF(K140="LCFF Rate",(K133*C133+K134*C134+K135*C135+K136*C136),(K138*E136))</f>
        <v>0</v>
      </c>
      <c r="L142" s="537"/>
      <c r="M142" s="535">
        <f t="shared" ref="M142" si="174">IF(M140="LCFF Rate",(M133*C133+M134*C134+M135*C135+M136*C136),(M138*E136))</f>
        <v>0</v>
      </c>
      <c r="N142" s="537"/>
      <c r="O142" s="535">
        <f t="shared" ref="O142" si="175">IF(O140="LCFF Rate",(O133*C133+O134*C134+O135*C135+O136*C136),(O138*E136))</f>
        <v>0</v>
      </c>
      <c r="P142" s="537"/>
      <c r="Q142" s="535">
        <f t="shared" ref="Q142" si="176">IF(Q140="LCFF Rate",(Q133*C133+Q134*C134+Q135*C135+Q136*C136),(Q138*E136))</f>
        <v>0</v>
      </c>
      <c r="R142" s="167"/>
      <c r="S142" s="538">
        <f t="shared" ref="S142" si="177">SUM(G142:Q142)</f>
        <v>0</v>
      </c>
      <c r="T142" s="167"/>
      <c r="U142" s="528"/>
      <c r="V142" s="522"/>
      <c r="X142" s="979"/>
    </row>
    <row r="143" spans="1:24" s="8" customFormat="1" ht="9" customHeight="1" thickBot="1">
      <c r="A143" s="529"/>
      <c r="B143" s="530"/>
      <c r="C143" s="531"/>
      <c r="D143" s="532"/>
      <c r="E143" s="533"/>
      <c r="F143" s="532"/>
      <c r="G143" s="530"/>
      <c r="H143" s="532"/>
      <c r="I143" s="530"/>
      <c r="J143" s="532"/>
      <c r="K143" s="530"/>
      <c r="L143" s="532"/>
      <c r="M143" s="530"/>
      <c r="N143" s="532"/>
      <c r="O143" s="530"/>
      <c r="P143" s="532"/>
      <c r="Q143" s="530"/>
      <c r="R143" s="532"/>
      <c r="S143" s="530"/>
      <c r="T143" s="532"/>
      <c r="U143" s="532"/>
      <c r="V143" s="534"/>
      <c r="X143" s="4"/>
    </row>
    <row r="144" spans="1:24" s="82" customFormat="1" ht="18" customHeight="1" thickBot="1">
      <c r="A144" s="890">
        <f>+A131+1</f>
        <v>11</v>
      </c>
      <c r="B144" s="891" t="str">
        <f>'Data Entry'!$B$3&amp;"-"&amp;C144</f>
        <v>-</v>
      </c>
      <c r="C144" s="891" t="str">
        <f>IFERROR(VLOOKUP('Data Entry'!$B$3&amp;"-"&amp;A144,'PY1 TFR ADA'!$D:$AT,2,FALSE),"")</f>
        <v/>
      </c>
      <c r="D144" s="892" t="str">
        <f>IFERROR(VLOOKUP('Data Entry'!$B$3&amp;"-"&amp;A144,'PY1 TFR ADA'!$D:$AT,4,FALSE),"")</f>
        <v/>
      </c>
      <c r="E144" s="893"/>
      <c r="F144" s="893"/>
      <c r="G144" s="893"/>
      <c r="H144" s="893"/>
      <c r="I144" s="893"/>
      <c r="J144" s="893"/>
      <c r="K144" s="893"/>
      <c r="L144" s="893"/>
      <c r="M144" s="893"/>
      <c r="N144" s="893"/>
      <c r="O144" s="893"/>
      <c r="P144" s="893"/>
      <c r="Q144" s="893"/>
      <c r="R144" s="893"/>
      <c r="S144" s="893"/>
      <c r="T144" s="893"/>
      <c r="U144" s="893"/>
      <c r="V144" s="894"/>
      <c r="X144" s="83"/>
    </row>
    <row r="145" spans="1:24" ht="75" customHeight="1">
      <c r="A145" s="521"/>
      <c r="C145" s="540" t="s">
        <v>1315</v>
      </c>
      <c r="D145" s="512"/>
      <c r="E145" s="540" t="s">
        <v>1316</v>
      </c>
      <c r="F145" s="512"/>
      <c r="G145" s="540" t="s">
        <v>1309</v>
      </c>
      <c r="H145" s="512"/>
      <c r="I145" s="540" t="s">
        <v>1310</v>
      </c>
      <c r="J145" s="512"/>
      <c r="K145" s="540" t="s">
        <v>1311</v>
      </c>
      <c r="L145" s="512"/>
      <c r="M145" s="540" t="s">
        <v>1312</v>
      </c>
      <c r="N145" s="512"/>
      <c r="O145" s="540" t="s">
        <v>1313</v>
      </c>
      <c r="P145" s="512"/>
      <c r="Q145" s="540" t="s">
        <v>1314</v>
      </c>
      <c r="R145" s="167"/>
      <c r="S145" s="540" t="s">
        <v>1308</v>
      </c>
      <c r="T145" s="167"/>
      <c r="U145" s="512" t="s">
        <v>1307</v>
      </c>
      <c r="V145" s="524"/>
      <c r="X145" s="283"/>
    </row>
    <row r="146" spans="1:24" s="8" customFormat="1" ht="14.4">
      <c r="A146" s="521"/>
      <c r="B146" s="510" t="s">
        <v>94</v>
      </c>
      <c r="C146" s="525">
        <f>IFERROR(VLOOKUP($B144,'PY1 TFR ADA'!$F:$AU,MATCH("A-1.1",'PY1 TFR ADA'!$F$5:$AU$5,0),FALSE),0)</f>
        <v>0</v>
      </c>
      <c r="D146" s="167"/>
      <c r="E146" s="525">
        <f>IFERROR(VALUE(VLOOKUP($B144,'PY1 TFR ADA'!$F:$AU,MATCH("A-2.1",'PY1 TFR ADA'!$F$5:$AU$5,0),FALSE)),0)</f>
        <v>0</v>
      </c>
      <c r="F146" s="167"/>
      <c r="G146" s="609">
        <f>IFERROR(VLOOKUP($B144,'PY1 TFR ADA'!$F:$AU,MATCH("b-1.1",'PY1 TFR ADA'!$F$5:$AU$5,0),FALSE),0)</f>
        <v>0</v>
      </c>
      <c r="H146" s="527"/>
      <c r="I146" s="609">
        <f>IFERROR(VLOOKUP($B144,'PY1 TFR ADA'!$F:$AU,MATCH("b-2.1",'PY1 TFR ADA'!$F$5:$AU$5,0),FALSE),0)</f>
        <v>0</v>
      </c>
      <c r="J146" s="527"/>
      <c r="K146" s="609">
        <f>IFERROR(VLOOKUP($B144,'PY1 TFR ADA'!$F:$AU,MATCH("b-3.1",'PY1 TFR ADA'!$F$5:$AU$5,0),FALSE),0)</f>
        <v>0</v>
      </c>
      <c r="L146" s="527"/>
      <c r="M146" s="609">
        <f>IFERROR(VLOOKUP($B144,'PY1 TFR ADA'!$F:$AU,MATCH("b-4.1",'PY1 TFR ADA'!$F$5:$AU$5,0),FALSE),0)</f>
        <v>0</v>
      </c>
      <c r="N146" s="527"/>
      <c r="O146" s="609">
        <f>IFERROR(VLOOKUP($B144,'PY1 TFR ADA'!$F:$AU,MATCH("b-5.1",'PY1 TFR ADA'!$F$5:$AU$5,0),FALSE),0)</f>
        <v>0</v>
      </c>
      <c r="P146" s="527"/>
      <c r="Q146" s="609">
        <f>IFERROR(VLOOKUP($B144,'PY1 TFR ADA'!$F:$AU,MATCH("b-6.1",'PY1 TFR ADA'!$F$5:$AU$5,0),FALSE),0)</f>
        <v>0</v>
      </c>
      <c r="R146" s="551"/>
      <c r="S146" s="601">
        <f t="shared" ref="S146:S149" si="178">SUM(G146:Q146)</f>
        <v>0</v>
      </c>
      <c r="T146" s="551"/>
      <c r="U146" s="536">
        <f t="shared" ref="U146" si="179">ROUND(IF($G153="LCFF Rate",(G146*$C146),(G146*$E146))+IF($I153="LCFF Rate",(I146*$C146),(I146*$E146))+IF($K153="LCFF Rate",(K146*$C146),(K146*$E146))+IF($M153="LCFF Rate",(M146*$C146),(M146*$E146))+IF($O153="LCFF Rate",(O146*$C146),(O146*$E146))+IF($Q153="LCFF Rate",(Q146*$C146),(Q146*$E146)),0)</f>
        <v>0</v>
      </c>
      <c r="V146" s="524"/>
      <c r="X146" s="496"/>
    </row>
    <row r="147" spans="1:24" s="8" customFormat="1" ht="14.4">
      <c r="A147" s="521"/>
      <c r="B147" s="510" t="s">
        <v>2</v>
      </c>
      <c r="C147" s="525">
        <f>IFERROR(VLOOKUP($B144,'PY1 TFR ADA'!$F:$AU,MATCH("A-1.2",'PY1 TFR ADA'!$F$5:$AU$5,0),FALSE),0)</f>
        <v>0</v>
      </c>
      <c r="D147" s="167"/>
      <c r="E147" s="525">
        <f>IFERROR(VALUE(VLOOKUP($B144,'PY1 TFR ADA'!$F:$AU,MATCH("A-2.2",'PY1 TFR ADA'!$F$5:$AU$5,0),FALSE)),0)</f>
        <v>0</v>
      </c>
      <c r="F147" s="167"/>
      <c r="G147" s="609">
        <f>IFERROR(VLOOKUP($B144,'PY1 TFR ADA'!$F:$AU,MATCH("b-1.2",'PY1 TFR ADA'!$F$5:$AU$5,0),FALSE),0)</f>
        <v>0</v>
      </c>
      <c r="H147" s="527"/>
      <c r="I147" s="609">
        <f>IFERROR(VLOOKUP($B144,'PY1 TFR ADA'!$F:$AU,MATCH("b-2.2",'PY1 TFR ADA'!$F$5:$AU$5,0),FALSE),0)</f>
        <v>0</v>
      </c>
      <c r="J147" s="527"/>
      <c r="K147" s="609">
        <f>IFERROR(VLOOKUP($B144,'PY1 TFR ADA'!$F:$AU,MATCH("b-3.2",'PY1 TFR ADA'!$F$5:$AU$5,0),FALSE),0)</f>
        <v>0</v>
      </c>
      <c r="L147" s="527"/>
      <c r="M147" s="609">
        <f>IFERROR(VLOOKUP($B144,'PY1 TFR ADA'!$F:$AU,MATCH("b-4.2",'PY1 TFR ADA'!$F$5:$AU$5,0),FALSE),0)</f>
        <v>0</v>
      </c>
      <c r="N147" s="527"/>
      <c r="O147" s="609">
        <f>IFERROR(VLOOKUP($B144,'PY1 TFR ADA'!$F:$AU,MATCH("b-5.2",'PY1 TFR ADA'!$F$5:$AU$5,0),FALSE),0)</f>
        <v>0</v>
      </c>
      <c r="P147" s="527"/>
      <c r="Q147" s="609">
        <f>IFERROR(VLOOKUP($B144,'PY1 TFR ADA'!$F:$AU,MATCH("b-6.2",'PY1 TFR ADA'!$F$5:$AU$5,0),FALSE),0)</f>
        <v>0</v>
      </c>
      <c r="R147" s="551"/>
      <c r="S147" s="601">
        <f t="shared" si="178"/>
        <v>0</v>
      </c>
      <c r="T147" s="551"/>
      <c r="U147" s="536">
        <f t="shared" ref="U147" si="180">ROUND(IF($G153="LCFF Rate",(G147*$C147),(G147*$E147))+IF($I153="LCFF Rate",(I147*$C147),(I147*$E147))+IF($K153="LCFF Rate",(K147*$C147),(K147*$E147))+IF($M153="LCFF Rate",(M147*$C147),(M147*$E147))+IF($O153="LCFF Rate",(O147*$C147),(O147*$E147))+IF($Q153="LCFF Rate",(Q147*$C147),(Q147*$E147)),0)</f>
        <v>0</v>
      </c>
      <c r="V147" s="524"/>
      <c r="X147" s="4"/>
    </row>
    <row r="148" spans="1:24" s="8" customFormat="1" ht="14.4">
      <c r="A148" s="521"/>
      <c r="B148" s="510" t="s">
        <v>3</v>
      </c>
      <c r="C148" s="525">
        <f>IFERROR(VLOOKUP($B144,'PY1 TFR ADA'!$F:$AU,MATCH("A-1.3",'PY1 TFR ADA'!$F$5:$AU$5,0),FALSE),0)</f>
        <v>0</v>
      </c>
      <c r="D148" s="167"/>
      <c r="E148" s="525">
        <f>IFERROR(VALUE(VLOOKUP($B144,'PY1 TFR ADA'!$F:$AU,MATCH("A-2.3",'PY1 TFR ADA'!$F$5:$AU$5,0),FALSE)),0)</f>
        <v>0</v>
      </c>
      <c r="F148" s="167"/>
      <c r="G148" s="609">
        <f>IFERROR(VLOOKUP($B144,'PY1 TFR ADA'!$F:$AU,MATCH("b-1.3",'PY1 TFR ADA'!$F$5:$AU$5,0),FALSE),0)</f>
        <v>0</v>
      </c>
      <c r="H148" s="527"/>
      <c r="I148" s="609">
        <f>IFERROR(VLOOKUP($B144,'PY1 TFR ADA'!$F:$AU,MATCH("b-2.3",'PY1 TFR ADA'!$F$5:$AU$5,0),FALSE),0)</f>
        <v>0</v>
      </c>
      <c r="J148" s="527"/>
      <c r="K148" s="609">
        <f>IFERROR(VLOOKUP($B144,'PY1 TFR ADA'!$F:$AU,MATCH("b-3.3",'PY1 TFR ADA'!$F$5:$AU$5,0),FALSE),0)</f>
        <v>0</v>
      </c>
      <c r="L148" s="527"/>
      <c r="M148" s="609">
        <f>IFERROR(VLOOKUP($B144,'PY1 TFR ADA'!$F:$AU,MATCH("b-4.3",'PY1 TFR ADA'!$F$5:$AU$5,0),FALSE),0)</f>
        <v>0</v>
      </c>
      <c r="N148" s="527"/>
      <c r="O148" s="609">
        <f>IFERROR(VLOOKUP($B144,'PY1 TFR ADA'!$F:$AU,MATCH("b-5.3",'PY1 TFR ADA'!$F$5:$AU$5,0),FALSE),0)</f>
        <v>0</v>
      </c>
      <c r="P148" s="527"/>
      <c r="Q148" s="609">
        <f>IFERROR(VLOOKUP($B144,'PY1 TFR ADA'!$F:$AU,MATCH("b-6.3",'PY1 TFR ADA'!$F$5:$AU$5,0),FALSE),0)</f>
        <v>0</v>
      </c>
      <c r="R148" s="551"/>
      <c r="S148" s="601">
        <f t="shared" si="178"/>
        <v>0</v>
      </c>
      <c r="T148" s="551"/>
      <c r="U148" s="536">
        <f t="shared" ref="U148" si="181">ROUND(IF($G153="LCFF Rate",(G148*$C148),(G148*$E148))+IF($I153="LCFF Rate",(I148*$C148),(I148*$E148))+IF($K153="LCFF Rate",(K148*$C148),(K148*$E148))+IF($M153="LCFF Rate",(M148*$C148),(M148*$E148))+IF($O153="LCFF Rate",(O148*$C148),(O148*$E148))+IF($Q153="LCFF Rate",(Q148*$C148),(Q148*$E148)),0)</f>
        <v>0</v>
      </c>
      <c r="V148" s="524"/>
      <c r="X148" s="4"/>
    </row>
    <row r="149" spans="1:24" s="8" customFormat="1" ht="14.4">
      <c r="A149" s="526"/>
      <c r="B149" s="510" t="s">
        <v>4</v>
      </c>
      <c r="C149" s="525">
        <f>IFERROR(VLOOKUP($B144,'PY1 TFR ADA'!$F:$AU,MATCH("A-1.4",'PY1 TFR ADA'!$F$5:$AU$5,0),FALSE),0)</f>
        <v>0</v>
      </c>
      <c r="D149" s="523"/>
      <c r="E149" s="525">
        <f>IFERROR(VALUE(VLOOKUP($B144,'PY1 TFR ADA'!$F:$AU,MATCH("A-2.4",'PY1 TFR ADA'!$F$5:$AU$5,0),FALSE)),0)</f>
        <v>0</v>
      </c>
      <c r="F149" s="523"/>
      <c r="G149" s="609">
        <f>IFERROR(VLOOKUP($B144,'PY1 TFR ADA'!$F:$AU,MATCH("b-1.4",'PY1 TFR ADA'!$F$5:$AU$5,0),FALSE),0)</f>
        <v>0</v>
      </c>
      <c r="H149" s="527"/>
      <c r="I149" s="609">
        <f>IFERROR(VLOOKUP($B144,'PY1 TFR ADA'!$F:$AU,MATCH("b-2.4",'PY1 TFR ADA'!$F$5:$AU$5,0),FALSE),0)</f>
        <v>0</v>
      </c>
      <c r="J149" s="527"/>
      <c r="K149" s="609">
        <f>IFERROR(VLOOKUP($B144,'PY1 TFR ADA'!$F:$AU,MATCH("b-3.4",'PY1 TFR ADA'!$F$5:$AU$5,0),FALSE),0)</f>
        <v>0</v>
      </c>
      <c r="L149" s="527"/>
      <c r="M149" s="609">
        <f>IFERROR(VLOOKUP($B144,'PY1 TFR ADA'!$F:$AU,MATCH("b-4.4",'PY1 TFR ADA'!$F$5:$AU$5,0),FALSE),0)</f>
        <v>0</v>
      </c>
      <c r="N149" s="527"/>
      <c r="O149" s="609">
        <f>IFERROR(VLOOKUP($B144,'PY1 TFR ADA'!$F:$AU,MATCH("b-5.4",'PY1 TFR ADA'!$F$5:$AU$5,0),FALSE),0)</f>
        <v>0</v>
      </c>
      <c r="P149" s="527"/>
      <c r="Q149" s="609">
        <f>IFERROR(VLOOKUP($B144,'PY1 TFR ADA'!$F:$AU,MATCH("b-6.4",'PY1 TFR ADA'!$F$5:$AU$5,0),FALSE),0)</f>
        <v>0</v>
      </c>
      <c r="R149" s="551"/>
      <c r="S149" s="601">
        <f t="shared" si="178"/>
        <v>0</v>
      </c>
      <c r="T149" s="551"/>
      <c r="U149" s="536">
        <f t="shared" ref="U149" si="182">ROUND(IF($G153="LCFF Rate",(G149*$C149),(G149*$E149))+IF($I153="LCFF Rate",(I149*$C149),(I149*$E149))+IF($K153="LCFF Rate",(K149*$C149),(K149*$E149))+IF($M153="LCFF Rate",(M149*$C149),(M149*$E149))+IF($O153="LCFF Rate",(O149*$C149),(O149*$E149))+IF($Q153="LCFF Rate",(Q149*$C149),(Q149*$E149)),0)</f>
        <v>0</v>
      </c>
      <c r="V149" s="522"/>
      <c r="X149" s="496"/>
    </row>
    <row r="150" spans="1:24" s="8" customFormat="1" ht="8.25" customHeight="1">
      <c r="A150" s="521"/>
      <c r="B150" s="167"/>
      <c r="C150" s="165"/>
      <c r="D150" s="523"/>
      <c r="E150" s="165"/>
      <c r="F150" s="523"/>
      <c r="G150" s="520"/>
      <c r="H150" s="523"/>
      <c r="I150" s="520"/>
      <c r="J150" s="523"/>
      <c r="K150" s="520"/>
      <c r="L150" s="523"/>
      <c r="M150" s="520"/>
      <c r="N150" s="523"/>
      <c r="O150" s="520"/>
      <c r="P150" s="523"/>
      <c r="Q150" s="520"/>
      <c r="R150" s="167"/>
      <c r="S150" s="520"/>
      <c r="T150" s="167"/>
      <c r="U150" s="602"/>
      <c r="V150" s="522"/>
      <c r="X150" s="4"/>
    </row>
    <row r="151" spans="1:24" s="8" customFormat="1" ht="14.4">
      <c r="A151" s="521"/>
      <c r="B151" s="167"/>
      <c r="C151" s="165"/>
      <c r="D151" s="523"/>
      <c r="E151" s="513" t="s">
        <v>1317</v>
      </c>
      <c r="F151" s="523"/>
      <c r="G151" s="601">
        <f t="shared" ref="G151" si="183">SUM(G146:G149)</f>
        <v>0</v>
      </c>
      <c r="H151" s="527"/>
      <c r="I151" s="601">
        <f t="shared" ref="I151" si="184">SUM(I146:I149)</f>
        <v>0</v>
      </c>
      <c r="J151" s="527"/>
      <c r="K151" s="601">
        <f t="shared" ref="K151" si="185">SUM(K146:K149)</f>
        <v>0</v>
      </c>
      <c r="L151" s="527"/>
      <c r="M151" s="601">
        <f t="shared" ref="M151" si="186">SUM(M146:M149)</f>
        <v>0</v>
      </c>
      <c r="N151" s="527"/>
      <c r="O151" s="601">
        <f t="shared" ref="O151" si="187">SUM(O146:O149)</f>
        <v>0</v>
      </c>
      <c r="P151" s="527"/>
      <c r="Q151" s="601">
        <f t="shared" ref="Q151" si="188">SUM(Q146:Q149)</f>
        <v>0</v>
      </c>
      <c r="R151" s="527"/>
      <c r="S151" s="601">
        <f t="shared" ref="S151" si="189">SUM(S146:S149)</f>
        <v>0</v>
      </c>
      <c r="T151" s="527"/>
      <c r="U151" s="536">
        <f t="shared" ref="U151" si="190">SUM(U146:U149)</f>
        <v>0</v>
      </c>
      <c r="V151" s="522"/>
      <c r="X151" s="4"/>
    </row>
    <row r="152" spans="1:24" s="8" customFormat="1" ht="8.25" customHeight="1">
      <c r="A152" s="521"/>
      <c r="B152" s="167"/>
      <c r="C152" s="165"/>
      <c r="D152" s="523"/>
      <c r="E152" s="165"/>
      <c r="F152" s="523"/>
      <c r="G152" s="520"/>
      <c r="H152" s="523"/>
      <c r="I152" s="520"/>
      <c r="J152" s="523"/>
      <c r="K152" s="520"/>
      <c r="L152" s="523"/>
      <c r="M152" s="520"/>
      <c r="N152" s="523"/>
      <c r="O152" s="520"/>
      <c r="P152" s="523"/>
      <c r="Q152" s="520"/>
      <c r="R152" s="167"/>
      <c r="S152" s="520"/>
      <c r="T152" s="167"/>
      <c r="U152" s="528"/>
      <c r="V152" s="522"/>
      <c r="X152" s="4"/>
    </row>
    <row r="153" spans="1:24" s="8" customFormat="1" ht="16.5" customHeight="1">
      <c r="A153" s="521"/>
      <c r="B153" s="167"/>
      <c r="C153" s="165"/>
      <c r="E153" s="513" t="s">
        <v>1304</v>
      </c>
      <c r="F153" s="523"/>
      <c r="G153" s="977">
        <f>_xlfn.IFNA(IF(VLOOKUP($B144,'PY1 TFR ADA'!$F:$AU,MATCH("B-1.5",'PY1 TFR ADA'!$F$5:$AU$5,0),FALSE)=TRUE,IF(VLOOKUP($B144,'PY1 TFR ADA'!$F:$AU,MATCH("C-1",'PY1 TFR ADA'!$F$5:$AU$5,0),FALSE)=TRUE,"Alternative Rate","LCFF Rate"),"LCFF Rate"),0)</f>
        <v>0</v>
      </c>
      <c r="H153" s="523"/>
      <c r="I153" s="977">
        <f>_xlfn.IFNA(IF(VLOOKUP($B144,'PY1 TFR ADA'!$F:$AU,MATCH("B-2.5",'PY1 TFR ADA'!$F$5:$AU$5,0),FALSE)=TRUE,IF(VLOOKUP($B144,'PY1 TFR ADA'!$F:$AU,MATCH("C-1",'PY1 TFR ADA'!$F$5:$AU$5,0),FALSE)=TRUE,"Alternative Rate","LCFF Rate"),"LCFF Rate"),0)</f>
        <v>0</v>
      </c>
      <c r="J153" s="523"/>
      <c r="K153" s="977">
        <f>_xlfn.IFNA(IF(VLOOKUP($B144,'PY1 TFR ADA'!$F:$AU,MATCH("B-3.5",'PY1 TFR ADA'!$F$5:$AU$5,0),FALSE)=TRUE,IF(VLOOKUP($B144,'PY1 TFR ADA'!$F:$AU,MATCH("C-1",'PY1 TFR ADA'!$F$5:$AU$5,0),FALSE)=TRUE,"Alternative Rate","LCFF Rate"),"LCFF Rate"),0)</f>
        <v>0</v>
      </c>
      <c r="L153" s="523"/>
      <c r="M153" s="977">
        <f>_xlfn.IFNA(IF(VLOOKUP($B144,'PY1 TFR ADA'!$F:$AU,MATCH("B-4.5",'PY1 TFR ADA'!$F$5:$AU$5,0),FALSE)=TRUE,IF(VLOOKUP($B144,'PY1 TFR ADA'!$F:$AU,MATCH("C-1",'PY1 TFR ADA'!$F$5:$AU$5,0),FALSE)=TRUE,"Alternative Rate","LCFF Rate"),"LCFF Rate"),0)</f>
        <v>0</v>
      </c>
      <c r="N153" s="523"/>
      <c r="O153" s="977">
        <f>_xlfn.IFNA(IF(VLOOKUP($B144,'PY1 TFR ADA'!$F:$AU,MATCH("B-5.5",'PY1 TFR ADA'!$F$5:$AU$5,0),FALSE)=TRUE,IF(VLOOKUP($B144,'PY1 TFR ADA'!$F:$AU,MATCH("C-1",'PY1 TFR ADA'!$F$5:$AU$5,0),FALSE)=TRUE,"Alternative Rate","LCFF Rate"),"LCFF Rate"),0)</f>
        <v>0</v>
      </c>
      <c r="P153" s="523"/>
      <c r="Q153" s="977">
        <f>_xlfn.IFNA(IF(VLOOKUP($B144,'PY1 TFR ADA'!$F:$AU,MATCH("B-6.5",'PY1 TFR ADA'!$F$5:$AU$5,0),FALSE)=TRUE,IF(VLOOKUP($B144,'PY1 TFR ADA'!$F:$AU,MATCH("C-1",'PY1 TFR ADA'!$F$5:$AU$5,0),FALSE)=TRUE,"Alternative Rate","LCFF Rate"),"LCFF Rate"),0)</f>
        <v>0</v>
      </c>
      <c r="R153" s="167"/>
      <c r="S153" s="520"/>
      <c r="T153" s="167"/>
      <c r="U153" s="528"/>
      <c r="V153" s="522"/>
      <c r="X153" s="283"/>
    </row>
    <row r="154" spans="1:24" s="8" customFormat="1" ht="8.25" customHeight="1">
      <c r="A154" s="521"/>
      <c r="B154" s="167"/>
      <c r="C154" s="165"/>
      <c r="D154" s="523"/>
      <c r="E154" s="165"/>
      <c r="F154" s="523"/>
      <c r="G154" s="520"/>
      <c r="H154" s="523"/>
      <c r="I154" s="520"/>
      <c r="J154" s="523"/>
      <c r="K154" s="520"/>
      <c r="L154" s="523"/>
      <c r="M154" s="520"/>
      <c r="N154" s="523"/>
      <c r="O154" s="520"/>
      <c r="P154" s="523"/>
      <c r="Q154" s="520"/>
      <c r="R154" s="167"/>
      <c r="S154" s="520"/>
      <c r="T154" s="167"/>
      <c r="U154" s="528"/>
      <c r="V154" s="522"/>
      <c r="X154" s="4"/>
    </row>
    <row r="155" spans="1:24" s="8" customFormat="1" ht="16.8">
      <c r="A155" s="521"/>
      <c r="B155" s="2"/>
      <c r="F155" s="523"/>
      <c r="G155" s="535">
        <f t="shared" ref="G155" si="191">IF(G153="LCFF Rate",(G146*C146+G147*C147+G148*C148+G149*C149),(G151*E149))</f>
        <v>0</v>
      </c>
      <c r="H155" s="537"/>
      <c r="I155" s="535">
        <f t="shared" ref="I155" si="192">IF(I153="LCFF Rate",(I146*C146+I147*C147+I148*C148+I149*C149),(I151*E149))</f>
        <v>0</v>
      </c>
      <c r="J155" s="537"/>
      <c r="K155" s="535">
        <f t="shared" ref="K155" si="193">IF(K153="LCFF Rate",(K146*C146+K147*C147+K148*C148+K149*C149),(K151*E149))</f>
        <v>0</v>
      </c>
      <c r="L155" s="537"/>
      <c r="M155" s="535">
        <f t="shared" ref="M155" si="194">IF(M153="LCFF Rate",(M146*C146+M147*C147+M148*C148+M149*C149),(M151*E149))</f>
        <v>0</v>
      </c>
      <c r="N155" s="537"/>
      <c r="O155" s="535">
        <f t="shared" ref="O155" si="195">IF(O153="LCFF Rate",(O146*C146+O147*C147+O148*C148+O149*C149),(O151*E149))</f>
        <v>0</v>
      </c>
      <c r="P155" s="537"/>
      <c r="Q155" s="535">
        <f t="shared" ref="Q155" si="196">IF(Q153="LCFF Rate",(Q146*C146+Q147*C147+Q148*C148+Q149*C149),(Q151*E149))</f>
        <v>0</v>
      </c>
      <c r="R155" s="167"/>
      <c r="S155" s="538">
        <f t="shared" ref="S155" si="197">SUM(G155:Q155)</f>
        <v>0</v>
      </c>
      <c r="T155" s="167"/>
      <c r="U155" s="528"/>
      <c r="V155" s="522"/>
      <c r="X155" s="979"/>
    </row>
    <row r="156" spans="1:24" s="8" customFormat="1" ht="8.25" customHeight="1" thickBot="1">
      <c r="A156" s="529"/>
      <c r="B156" s="530"/>
      <c r="C156" s="531"/>
      <c r="D156" s="532"/>
      <c r="E156" s="533"/>
      <c r="F156" s="532"/>
      <c r="G156" s="530"/>
      <c r="H156" s="532"/>
      <c r="I156" s="530"/>
      <c r="J156" s="532"/>
      <c r="K156" s="530"/>
      <c r="L156" s="532"/>
      <c r="M156" s="530"/>
      <c r="N156" s="532"/>
      <c r="O156" s="530"/>
      <c r="P156" s="532"/>
      <c r="Q156" s="530"/>
      <c r="R156" s="532"/>
      <c r="S156" s="530"/>
      <c r="T156" s="532"/>
      <c r="U156" s="532"/>
      <c r="V156" s="534"/>
      <c r="X156" s="4"/>
    </row>
    <row r="157" spans="1:24" s="82" customFormat="1" ht="18" customHeight="1" thickBot="1">
      <c r="A157" s="890">
        <f>+A144+1</f>
        <v>12</v>
      </c>
      <c r="B157" s="891" t="str">
        <f>'Data Entry'!$B$3&amp;"-"&amp;C157</f>
        <v>-</v>
      </c>
      <c r="C157" s="891" t="str">
        <f>IFERROR(VLOOKUP('Data Entry'!$B$3&amp;"-"&amp;A157,'PY1 TFR ADA'!$D:$AT,2,FALSE),"")</f>
        <v/>
      </c>
      <c r="D157" s="892" t="str">
        <f>IFERROR(VLOOKUP('Data Entry'!$B$3&amp;"-"&amp;A157,'PY1 TFR ADA'!$D:$AT,4,FALSE),"")</f>
        <v/>
      </c>
      <c r="E157" s="893"/>
      <c r="F157" s="893"/>
      <c r="G157" s="893"/>
      <c r="H157" s="893"/>
      <c r="I157" s="893"/>
      <c r="J157" s="893"/>
      <c r="K157" s="893"/>
      <c r="L157" s="893"/>
      <c r="M157" s="893"/>
      <c r="N157" s="893"/>
      <c r="O157" s="893"/>
      <c r="P157" s="893"/>
      <c r="Q157" s="893"/>
      <c r="R157" s="893"/>
      <c r="S157" s="893"/>
      <c r="T157" s="893"/>
      <c r="U157" s="893"/>
      <c r="V157" s="894"/>
      <c r="X157" s="83"/>
    </row>
    <row r="158" spans="1:24" ht="75" customHeight="1">
      <c r="A158" s="521"/>
      <c r="C158" s="540" t="s">
        <v>1315</v>
      </c>
      <c r="D158" s="512"/>
      <c r="E158" s="540" t="s">
        <v>1316</v>
      </c>
      <c r="F158" s="512"/>
      <c r="G158" s="540" t="s">
        <v>1309</v>
      </c>
      <c r="H158" s="512"/>
      <c r="I158" s="540" t="s">
        <v>1310</v>
      </c>
      <c r="J158" s="512"/>
      <c r="K158" s="540" t="s">
        <v>1311</v>
      </c>
      <c r="L158" s="512"/>
      <c r="M158" s="540" t="s">
        <v>1312</v>
      </c>
      <c r="N158" s="512"/>
      <c r="O158" s="540" t="s">
        <v>1313</v>
      </c>
      <c r="P158" s="512"/>
      <c r="Q158" s="540" t="s">
        <v>1314</v>
      </c>
      <c r="R158" s="167"/>
      <c r="S158" s="540" t="s">
        <v>1308</v>
      </c>
      <c r="T158" s="167"/>
      <c r="U158" s="512" t="s">
        <v>1307</v>
      </c>
      <c r="V158" s="524"/>
      <c r="X158" s="283"/>
    </row>
    <row r="159" spans="1:24" s="8" customFormat="1" ht="14.4">
      <c r="A159" s="521"/>
      <c r="B159" s="510" t="s">
        <v>94</v>
      </c>
      <c r="C159" s="525">
        <f>IFERROR(VLOOKUP($B157,'PY1 TFR ADA'!$F:$AU,MATCH("A-1.1",'PY1 TFR ADA'!$F$5:$AU$5,0),FALSE),0)</f>
        <v>0</v>
      </c>
      <c r="D159" s="167"/>
      <c r="E159" s="525">
        <f>IFERROR(VALUE(VLOOKUP($B157,'PY1 TFR ADA'!$F:$AU,MATCH("A-2.1",'PY1 TFR ADA'!$F$5:$AU$5,0),FALSE)),0)</f>
        <v>0</v>
      </c>
      <c r="F159" s="167"/>
      <c r="G159" s="609">
        <f>IFERROR(VLOOKUP($B157,'PY1 TFR ADA'!$F:$AU,MATCH("b-1.1",'PY1 TFR ADA'!$F$5:$AU$5,0),FALSE),0)</f>
        <v>0</v>
      </c>
      <c r="H159" s="527"/>
      <c r="I159" s="609">
        <f>IFERROR(VLOOKUP($B157,'PY1 TFR ADA'!$F:$AU,MATCH("b-2.1",'PY1 TFR ADA'!$F$5:$AU$5,0),FALSE),0)</f>
        <v>0</v>
      </c>
      <c r="J159" s="527"/>
      <c r="K159" s="609">
        <f>IFERROR(VLOOKUP($B157,'PY1 TFR ADA'!$F:$AU,MATCH("b-3.1",'PY1 TFR ADA'!$F$5:$AU$5,0),FALSE),0)</f>
        <v>0</v>
      </c>
      <c r="L159" s="527"/>
      <c r="M159" s="609">
        <f>IFERROR(VLOOKUP($B157,'PY1 TFR ADA'!$F:$AU,MATCH("b-4.1",'PY1 TFR ADA'!$F$5:$AU$5,0),FALSE),0)</f>
        <v>0</v>
      </c>
      <c r="N159" s="527"/>
      <c r="O159" s="609">
        <f>IFERROR(VLOOKUP($B157,'PY1 TFR ADA'!$F:$AU,MATCH("b-5.1",'PY1 TFR ADA'!$F$5:$AU$5,0),FALSE),0)</f>
        <v>0</v>
      </c>
      <c r="P159" s="527"/>
      <c r="Q159" s="609">
        <f>IFERROR(VLOOKUP($B157,'PY1 TFR ADA'!$F:$AU,MATCH("b-6.1",'PY1 TFR ADA'!$F$5:$AU$5,0),FALSE),0)</f>
        <v>0</v>
      </c>
      <c r="R159" s="551"/>
      <c r="S159" s="601">
        <f t="shared" ref="S159:S162" si="198">SUM(G159:Q159)</f>
        <v>0</v>
      </c>
      <c r="T159" s="551"/>
      <c r="U159" s="536">
        <f t="shared" ref="U159" si="199">ROUND(IF($G166="LCFF Rate",(G159*$C159),(G159*$E159))+IF($I166="LCFF Rate",(I159*$C159),(I159*$E159))+IF($K166="LCFF Rate",(K159*$C159),(K159*$E159))+IF($M166="LCFF Rate",(M159*$C159),(M159*$E159))+IF($O166="LCFF Rate",(O159*$C159),(O159*$E159))+IF($Q166="LCFF Rate",(Q159*$C159),(Q159*$E159)),0)</f>
        <v>0</v>
      </c>
      <c r="V159" s="524"/>
      <c r="X159" s="496"/>
    </row>
    <row r="160" spans="1:24" s="8" customFormat="1" ht="14.4">
      <c r="A160" s="521"/>
      <c r="B160" s="510" t="s">
        <v>2</v>
      </c>
      <c r="C160" s="525">
        <f>IFERROR(VLOOKUP($B157,'PY1 TFR ADA'!$F:$AU,MATCH("A-1.2",'PY1 TFR ADA'!$F$5:$AU$5,0),FALSE),0)</f>
        <v>0</v>
      </c>
      <c r="D160" s="167"/>
      <c r="E160" s="525">
        <f>IFERROR(VALUE(VLOOKUP($B157,'PY1 TFR ADA'!$F:$AU,MATCH("A-2.2",'PY1 TFR ADA'!$F$5:$AU$5,0),FALSE)),0)</f>
        <v>0</v>
      </c>
      <c r="F160" s="167"/>
      <c r="G160" s="609">
        <f>IFERROR(VLOOKUP($B157,'PY1 TFR ADA'!$F:$AU,MATCH("b-1.2",'PY1 TFR ADA'!$F$5:$AU$5,0),FALSE),0)</f>
        <v>0</v>
      </c>
      <c r="H160" s="527"/>
      <c r="I160" s="609">
        <f>IFERROR(VLOOKUP($B157,'PY1 TFR ADA'!$F:$AU,MATCH("b-2.2",'PY1 TFR ADA'!$F$5:$AU$5,0),FALSE),0)</f>
        <v>0</v>
      </c>
      <c r="J160" s="527"/>
      <c r="K160" s="609">
        <f>IFERROR(VLOOKUP($B157,'PY1 TFR ADA'!$F:$AU,MATCH("b-3.2",'PY1 TFR ADA'!$F$5:$AU$5,0),FALSE),0)</f>
        <v>0</v>
      </c>
      <c r="L160" s="527"/>
      <c r="M160" s="609">
        <f>IFERROR(VLOOKUP($B157,'PY1 TFR ADA'!$F:$AU,MATCH("b-4.2",'PY1 TFR ADA'!$F$5:$AU$5,0),FALSE),0)</f>
        <v>0</v>
      </c>
      <c r="N160" s="527"/>
      <c r="O160" s="609">
        <f>IFERROR(VLOOKUP($B157,'PY1 TFR ADA'!$F:$AU,MATCH("b-5.2",'PY1 TFR ADA'!$F$5:$AU$5,0),FALSE),0)</f>
        <v>0</v>
      </c>
      <c r="P160" s="527"/>
      <c r="Q160" s="609">
        <f>IFERROR(VLOOKUP($B157,'PY1 TFR ADA'!$F:$AU,MATCH("b-6.2",'PY1 TFR ADA'!$F$5:$AU$5,0),FALSE),0)</f>
        <v>0</v>
      </c>
      <c r="R160" s="551"/>
      <c r="S160" s="601">
        <f t="shared" si="198"/>
        <v>0</v>
      </c>
      <c r="T160" s="551"/>
      <c r="U160" s="536">
        <f t="shared" ref="U160" si="200">ROUND(IF($G166="LCFF Rate",(G160*$C160),(G160*$E160))+IF($I166="LCFF Rate",(I160*$C160),(I160*$E160))+IF($K166="LCFF Rate",(K160*$C160),(K160*$E160))+IF($M166="LCFF Rate",(M160*$C160),(M160*$E160))+IF($O166="LCFF Rate",(O160*$C160),(O160*$E160))+IF($Q166="LCFF Rate",(Q160*$C160),(Q160*$E160)),0)</f>
        <v>0</v>
      </c>
      <c r="V160" s="524"/>
      <c r="X160" s="4"/>
    </row>
    <row r="161" spans="1:24" s="8" customFormat="1" ht="14.4">
      <c r="A161" s="521"/>
      <c r="B161" s="510" t="s">
        <v>3</v>
      </c>
      <c r="C161" s="525">
        <f>IFERROR(VLOOKUP($B157,'PY1 TFR ADA'!$F:$AU,MATCH("A-1.3",'PY1 TFR ADA'!$F$5:$AU$5,0),FALSE),0)</f>
        <v>0</v>
      </c>
      <c r="D161" s="167"/>
      <c r="E161" s="525">
        <f>IFERROR(VALUE(VLOOKUP($B157,'PY1 TFR ADA'!$F:$AU,MATCH("A-2.3",'PY1 TFR ADA'!$F$5:$AU$5,0),FALSE)),0)</f>
        <v>0</v>
      </c>
      <c r="F161" s="167"/>
      <c r="G161" s="609">
        <f>IFERROR(VLOOKUP($B157,'PY1 TFR ADA'!$F:$AU,MATCH("b-1.3",'PY1 TFR ADA'!$F$5:$AU$5,0),FALSE),0)</f>
        <v>0</v>
      </c>
      <c r="H161" s="527"/>
      <c r="I161" s="609">
        <f>IFERROR(VLOOKUP($B157,'PY1 TFR ADA'!$F:$AU,MATCH("b-2.3",'PY1 TFR ADA'!$F$5:$AU$5,0),FALSE),0)</f>
        <v>0</v>
      </c>
      <c r="J161" s="527"/>
      <c r="K161" s="609">
        <f>IFERROR(VLOOKUP($B157,'PY1 TFR ADA'!$F:$AU,MATCH("b-3.3",'PY1 TFR ADA'!$F$5:$AU$5,0),FALSE),0)</f>
        <v>0</v>
      </c>
      <c r="L161" s="527"/>
      <c r="M161" s="609">
        <f>IFERROR(VLOOKUP($B157,'PY1 TFR ADA'!$F:$AU,MATCH("b-4.3",'PY1 TFR ADA'!$F$5:$AU$5,0),FALSE),0)</f>
        <v>0</v>
      </c>
      <c r="N161" s="527"/>
      <c r="O161" s="609">
        <f>IFERROR(VLOOKUP($B157,'PY1 TFR ADA'!$F:$AU,MATCH("b-5.3",'PY1 TFR ADA'!$F$5:$AU$5,0),FALSE),0)</f>
        <v>0</v>
      </c>
      <c r="P161" s="527"/>
      <c r="Q161" s="609">
        <f>IFERROR(VLOOKUP($B157,'PY1 TFR ADA'!$F:$AU,MATCH("b-6.3",'PY1 TFR ADA'!$F$5:$AU$5,0),FALSE),0)</f>
        <v>0</v>
      </c>
      <c r="R161" s="551"/>
      <c r="S161" s="601">
        <f t="shared" si="198"/>
        <v>0</v>
      </c>
      <c r="T161" s="551"/>
      <c r="U161" s="536">
        <f t="shared" ref="U161" si="201">ROUND(IF($G166="LCFF Rate",(G161*$C161),(G161*$E161))+IF($I166="LCFF Rate",(I161*$C161),(I161*$E161))+IF($K166="LCFF Rate",(K161*$C161),(K161*$E161))+IF($M166="LCFF Rate",(M161*$C161),(M161*$E161))+IF($O166="LCFF Rate",(O161*$C161),(O161*$E161))+IF($Q166="LCFF Rate",(Q161*$C161),(Q161*$E161)),0)</f>
        <v>0</v>
      </c>
      <c r="V161" s="524"/>
      <c r="X161" s="4"/>
    </row>
    <row r="162" spans="1:24" s="8" customFormat="1" ht="14.4">
      <c r="A162" s="526"/>
      <c r="B162" s="510" t="s">
        <v>4</v>
      </c>
      <c r="C162" s="525">
        <f>IFERROR(VLOOKUP($B157,'PY1 TFR ADA'!$F:$AU,MATCH("A-1.4",'PY1 TFR ADA'!$F$5:$AU$5,0),FALSE),0)</f>
        <v>0</v>
      </c>
      <c r="D162" s="523"/>
      <c r="E162" s="525">
        <f>IFERROR(VALUE(VLOOKUP($B157,'PY1 TFR ADA'!$F:$AU,MATCH("A-2.4",'PY1 TFR ADA'!$F$5:$AU$5,0),FALSE)),0)</f>
        <v>0</v>
      </c>
      <c r="F162" s="523"/>
      <c r="G162" s="609">
        <f>IFERROR(VLOOKUP($B157,'PY1 TFR ADA'!$F:$AU,MATCH("b-1.4",'PY1 TFR ADA'!$F$5:$AU$5,0),FALSE),0)</f>
        <v>0</v>
      </c>
      <c r="H162" s="527"/>
      <c r="I162" s="609">
        <f>IFERROR(VLOOKUP($B157,'PY1 TFR ADA'!$F:$AU,MATCH("b-2.4",'PY1 TFR ADA'!$F$5:$AU$5,0),FALSE),0)</f>
        <v>0</v>
      </c>
      <c r="J162" s="527"/>
      <c r="K162" s="609">
        <f>IFERROR(VLOOKUP($B157,'PY1 TFR ADA'!$F:$AU,MATCH("b-3.4",'PY1 TFR ADA'!$F$5:$AU$5,0),FALSE),0)</f>
        <v>0</v>
      </c>
      <c r="L162" s="527"/>
      <c r="M162" s="609">
        <f>IFERROR(VLOOKUP($B157,'PY1 TFR ADA'!$F:$AU,MATCH("b-4.4",'PY1 TFR ADA'!$F$5:$AU$5,0),FALSE),0)</f>
        <v>0</v>
      </c>
      <c r="N162" s="527"/>
      <c r="O162" s="609">
        <f>IFERROR(VLOOKUP($B157,'PY1 TFR ADA'!$F:$AU,MATCH("b-5.4",'PY1 TFR ADA'!$F$5:$AU$5,0),FALSE),0)</f>
        <v>0</v>
      </c>
      <c r="P162" s="527"/>
      <c r="Q162" s="609">
        <f>IFERROR(VLOOKUP($B157,'PY1 TFR ADA'!$F:$AU,MATCH("b-6.4",'PY1 TFR ADA'!$F$5:$AU$5,0),FALSE),0)</f>
        <v>0</v>
      </c>
      <c r="R162" s="551"/>
      <c r="S162" s="601">
        <f t="shared" si="198"/>
        <v>0</v>
      </c>
      <c r="T162" s="551"/>
      <c r="U162" s="536">
        <f t="shared" ref="U162" si="202">ROUND(IF($G166="LCFF Rate",(G162*$C162),(G162*$E162))+IF($I166="LCFF Rate",(I162*$C162),(I162*$E162))+IF($K166="LCFF Rate",(K162*$C162),(K162*$E162))+IF($M166="LCFF Rate",(M162*$C162),(M162*$E162))+IF($O166="LCFF Rate",(O162*$C162),(O162*$E162))+IF($Q166="LCFF Rate",(Q162*$C162),(Q162*$E162)),0)</f>
        <v>0</v>
      </c>
      <c r="V162" s="522"/>
      <c r="X162" s="496"/>
    </row>
    <row r="163" spans="1:24" s="8" customFormat="1" ht="8.25" customHeight="1">
      <c r="A163" s="521"/>
      <c r="B163" s="167"/>
      <c r="C163" s="165"/>
      <c r="D163" s="523"/>
      <c r="E163" s="165"/>
      <c r="F163" s="523"/>
      <c r="G163" s="520"/>
      <c r="H163" s="523"/>
      <c r="I163" s="520"/>
      <c r="J163" s="523"/>
      <c r="K163" s="520"/>
      <c r="L163" s="523"/>
      <c r="M163" s="520"/>
      <c r="N163" s="523"/>
      <c r="O163" s="520"/>
      <c r="P163" s="523"/>
      <c r="Q163" s="520"/>
      <c r="R163" s="167"/>
      <c r="S163" s="520"/>
      <c r="T163" s="167"/>
      <c r="U163" s="602"/>
      <c r="V163" s="522"/>
      <c r="X163" s="4"/>
    </row>
    <row r="164" spans="1:24" s="8" customFormat="1" ht="14.4">
      <c r="A164" s="521"/>
      <c r="B164" s="167"/>
      <c r="C164" s="165"/>
      <c r="D164" s="523"/>
      <c r="E164" s="513" t="s">
        <v>1317</v>
      </c>
      <c r="F164" s="523"/>
      <c r="G164" s="601">
        <f t="shared" ref="G164" si="203">SUM(G159:G162)</f>
        <v>0</v>
      </c>
      <c r="H164" s="527"/>
      <c r="I164" s="601">
        <f t="shared" ref="I164" si="204">SUM(I159:I162)</f>
        <v>0</v>
      </c>
      <c r="J164" s="527"/>
      <c r="K164" s="601">
        <f t="shared" ref="K164" si="205">SUM(K159:K162)</f>
        <v>0</v>
      </c>
      <c r="L164" s="527"/>
      <c r="M164" s="601">
        <f t="shared" ref="M164" si="206">SUM(M159:M162)</f>
        <v>0</v>
      </c>
      <c r="N164" s="527"/>
      <c r="O164" s="601">
        <f t="shared" ref="O164" si="207">SUM(O159:O162)</f>
        <v>0</v>
      </c>
      <c r="P164" s="527"/>
      <c r="Q164" s="601">
        <f t="shared" ref="Q164" si="208">SUM(Q159:Q162)</f>
        <v>0</v>
      </c>
      <c r="R164" s="527"/>
      <c r="S164" s="601">
        <f t="shared" ref="S164" si="209">SUM(S159:S162)</f>
        <v>0</v>
      </c>
      <c r="T164" s="527"/>
      <c r="U164" s="536">
        <f t="shared" ref="U164" si="210">SUM(U159:U162)</f>
        <v>0</v>
      </c>
      <c r="V164" s="522"/>
      <c r="X164" s="4"/>
    </row>
    <row r="165" spans="1:24" s="8" customFormat="1" ht="8.25" customHeight="1">
      <c r="A165" s="521"/>
      <c r="B165" s="167"/>
      <c r="C165" s="165"/>
      <c r="D165" s="523"/>
      <c r="E165" s="165"/>
      <c r="F165" s="523"/>
      <c r="G165" s="520"/>
      <c r="H165" s="523"/>
      <c r="I165" s="520"/>
      <c r="J165" s="523"/>
      <c r="K165" s="520"/>
      <c r="L165" s="523"/>
      <c r="M165" s="520"/>
      <c r="N165" s="523"/>
      <c r="O165" s="520"/>
      <c r="P165" s="523"/>
      <c r="Q165" s="520"/>
      <c r="R165" s="167"/>
      <c r="S165" s="520"/>
      <c r="T165" s="167"/>
      <c r="U165" s="528"/>
      <c r="V165" s="522"/>
      <c r="X165" s="4"/>
    </row>
    <row r="166" spans="1:24" s="8" customFormat="1" ht="16.5" customHeight="1">
      <c r="A166" s="521"/>
      <c r="B166" s="167"/>
      <c r="C166" s="165"/>
      <c r="E166" s="513" t="s">
        <v>1304</v>
      </c>
      <c r="F166" s="523"/>
      <c r="G166" s="977">
        <f>_xlfn.IFNA(IF(VLOOKUP($B157,'PY1 TFR ADA'!$F:$AU,MATCH("B-1.5",'PY1 TFR ADA'!$F$5:$AU$5,0),FALSE)=TRUE,IF(VLOOKUP($B157,'PY1 TFR ADA'!$F:$AU,MATCH("C-1",'PY1 TFR ADA'!$F$5:$AU$5,0),FALSE)=TRUE,"Alternative Rate","LCFF Rate"),"LCFF Rate"),0)</f>
        <v>0</v>
      </c>
      <c r="H166" s="523"/>
      <c r="I166" s="977">
        <f>_xlfn.IFNA(IF(VLOOKUP($B157,'PY1 TFR ADA'!$F:$AU,MATCH("B-2.5",'PY1 TFR ADA'!$F$5:$AU$5,0),FALSE)=TRUE,IF(VLOOKUP($B157,'PY1 TFR ADA'!$F:$AU,MATCH("C-1",'PY1 TFR ADA'!$F$5:$AU$5,0),FALSE)=TRUE,"Alternative Rate","LCFF Rate"),"LCFF Rate"),0)</f>
        <v>0</v>
      </c>
      <c r="J166" s="523"/>
      <c r="K166" s="977">
        <f>_xlfn.IFNA(IF(VLOOKUP($B157,'PY1 TFR ADA'!$F:$AU,MATCH("B-3.5",'PY1 TFR ADA'!$F$5:$AU$5,0),FALSE)=TRUE,IF(VLOOKUP($B157,'PY1 TFR ADA'!$F:$AU,MATCH("C-1",'PY1 TFR ADA'!$F$5:$AU$5,0),FALSE)=TRUE,"Alternative Rate","LCFF Rate"),"LCFF Rate"),0)</f>
        <v>0</v>
      </c>
      <c r="L166" s="523"/>
      <c r="M166" s="977">
        <f>_xlfn.IFNA(IF(VLOOKUP($B157,'PY1 TFR ADA'!$F:$AU,MATCH("B-4.5",'PY1 TFR ADA'!$F$5:$AU$5,0),FALSE)=TRUE,IF(VLOOKUP($B157,'PY1 TFR ADA'!$F:$AU,MATCH("C-1",'PY1 TFR ADA'!$F$5:$AU$5,0),FALSE)=TRUE,"Alternative Rate","LCFF Rate"),"LCFF Rate"),0)</f>
        <v>0</v>
      </c>
      <c r="N166" s="523"/>
      <c r="O166" s="977">
        <f>_xlfn.IFNA(IF(VLOOKUP($B157,'PY1 TFR ADA'!$F:$AU,MATCH("B-5.5",'PY1 TFR ADA'!$F$5:$AU$5,0),FALSE)=TRUE,IF(VLOOKUP($B157,'PY1 TFR ADA'!$F:$AU,MATCH("C-1",'PY1 TFR ADA'!$F$5:$AU$5,0),FALSE)=TRUE,"Alternative Rate","LCFF Rate"),"LCFF Rate"),0)</f>
        <v>0</v>
      </c>
      <c r="P166" s="523"/>
      <c r="Q166" s="977">
        <f>_xlfn.IFNA(IF(VLOOKUP($B157,'PY1 TFR ADA'!$F:$AU,MATCH("B-6.5",'PY1 TFR ADA'!$F$5:$AU$5,0),FALSE)=TRUE,IF(VLOOKUP($B157,'PY1 TFR ADA'!$F:$AU,MATCH("C-1",'PY1 TFR ADA'!$F$5:$AU$5,0),FALSE)=TRUE,"Alternative Rate","LCFF Rate"),"LCFF Rate"),0)</f>
        <v>0</v>
      </c>
      <c r="R166" s="167"/>
      <c r="S166" s="520"/>
      <c r="T166" s="167"/>
      <c r="U166" s="528"/>
      <c r="V166" s="522"/>
      <c r="X166" s="283"/>
    </row>
    <row r="167" spans="1:24" s="8" customFormat="1" ht="8.25" customHeight="1">
      <c r="A167" s="521"/>
      <c r="B167" s="167"/>
      <c r="C167" s="165"/>
      <c r="D167" s="523"/>
      <c r="E167" s="165"/>
      <c r="F167" s="523"/>
      <c r="G167" s="520"/>
      <c r="H167" s="523"/>
      <c r="I167" s="520"/>
      <c r="J167" s="523"/>
      <c r="K167" s="520"/>
      <c r="L167" s="523"/>
      <c r="M167" s="520"/>
      <c r="N167" s="523"/>
      <c r="O167" s="520"/>
      <c r="P167" s="523"/>
      <c r="Q167" s="520"/>
      <c r="R167" s="167"/>
      <c r="S167" s="520"/>
      <c r="T167" s="167"/>
      <c r="U167" s="528"/>
      <c r="V167" s="522"/>
      <c r="X167" s="4"/>
    </row>
    <row r="168" spans="1:24" s="8" customFormat="1" ht="16.8">
      <c r="A168" s="521"/>
      <c r="B168" s="2"/>
      <c r="F168" s="523"/>
      <c r="G168" s="535">
        <f t="shared" ref="G168" si="211">IF(G166="LCFF Rate",(G159*C159+G160*C160+G161*C161+G162*C162),(G164*E162))</f>
        <v>0</v>
      </c>
      <c r="H168" s="537"/>
      <c r="I168" s="535">
        <f t="shared" ref="I168" si="212">IF(I166="LCFF Rate",(I159*C159+I160*C160+I161*C161+I162*C162),(I164*E162))</f>
        <v>0</v>
      </c>
      <c r="J168" s="537"/>
      <c r="K168" s="535">
        <f t="shared" ref="K168" si="213">IF(K166="LCFF Rate",(K159*C159+K160*C160+K161*C161+K162*C162),(K164*E162))</f>
        <v>0</v>
      </c>
      <c r="L168" s="537"/>
      <c r="M168" s="535">
        <f t="shared" ref="M168" si="214">IF(M166="LCFF Rate",(M159*C159+M160*C160+M161*C161+M162*C162),(M164*E162))</f>
        <v>0</v>
      </c>
      <c r="N168" s="537"/>
      <c r="O168" s="535">
        <f t="shared" ref="O168" si="215">IF(O166="LCFF Rate",(O159*C159+O160*C160+O161*C161+O162*C162),(O164*E162))</f>
        <v>0</v>
      </c>
      <c r="P168" s="537"/>
      <c r="Q168" s="535">
        <f t="shared" ref="Q168" si="216">IF(Q166="LCFF Rate",(Q159*C159+Q160*C160+Q161*C161+Q162*C162),(Q164*E162))</f>
        <v>0</v>
      </c>
      <c r="R168" s="167"/>
      <c r="S168" s="538">
        <f t="shared" ref="S168" si="217">SUM(G168:Q168)</f>
        <v>0</v>
      </c>
      <c r="T168" s="167"/>
      <c r="U168" s="528"/>
      <c r="V168" s="522"/>
      <c r="X168" s="979"/>
    </row>
    <row r="169" spans="1:24" s="8" customFormat="1" ht="9" customHeight="1" thickBot="1">
      <c r="A169" s="529"/>
      <c r="B169" s="530"/>
      <c r="C169" s="531"/>
      <c r="D169" s="532"/>
      <c r="E169" s="533"/>
      <c r="F169" s="532"/>
      <c r="G169" s="530"/>
      <c r="H169" s="532"/>
      <c r="I169" s="530"/>
      <c r="J169" s="532"/>
      <c r="K169" s="530"/>
      <c r="L169" s="532"/>
      <c r="M169" s="530"/>
      <c r="N169" s="532"/>
      <c r="O169" s="530"/>
      <c r="P169" s="532"/>
      <c r="Q169" s="530"/>
      <c r="R169" s="532"/>
      <c r="S169" s="530"/>
      <c r="T169" s="532"/>
      <c r="U169" s="532"/>
      <c r="V169" s="534"/>
      <c r="X169" s="4"/>
    </row>
    <row r="170" spans="1:24" s="82" customFormat="1" ht="18" customHeight="1" thickBot="1">
      <c r="A170" s="890">
        <f>+A157+1</f>
        <v>13</v>
      </c>
      <c r="B170" s="891" t="str">
        <f>'Data Entry'!$B$3&amp;"-"&amp;C170</f>
        <v>-</v>
      </c>
      <c r="C170" s="891" t="str">
        <f>IFERROR(VLOOKUP('Data Entry'!$B$3&amp;"-"&amp;A170,'PY1 TFR ADA'!$D:$AT,2,FALSE),"")</f>
        <v/>
      </c>
      <c r="D170" s="892" t="str">
        <f>IFERROR(VLOOKUP('Data Entry'!$B$3&amp;"-"&amp;A170,'PY1 TFR ADA'!$D:$AT,4,FALSE),"")</f>
        <v/>
      </c>
      <c r="E170" s="893"/>
      <c r="F170" s="893"/>
      <c r="G170" s="893"/>
      <c r="H170" s="893"/>
      <c r="I170" s="893"/>
      <c r="J170" s="893"/>
      <c r="K170" s="893"/>
      <c r="L170" s="893"/>
      <c r="M170" s="893"/>
      <c r="N170" s="893"/>
      <c r="O170" s="893"/>
      <c r="P170" s="893"/>
      <c r="Q170" s="893"/>
      <c r="R170" s="893"/>
      <c r="S170" s="893"/>
      <c r="T170" s="893"/>
      <c r="U170" s="893"/>
      <c r="V170" s="894"/>
      <c r="X170" s="83"/>
    </row>
    <row r="171" spans="1:24" ht="75" customHeight="1">
      <c r="A171" s="521"/>
      <c r="C171" s="540" t="s">
        <v>1315</v>
      </c>
      <c r="D171" s="512"/>
      <c r="E171" s="540" t="s">
        <v>1316</v>
      </c>
      <c r="F171" s="512"/>
      <c r="G171" s="540" t="s">
        <v>1309</v>
      </c>
      <c r="H171" s="512"/>
      <c r="I171" s="540" t="s">
        <v>1310</v>
      </c>
      <c r="J171" s="512"/>
      <c r="K171" s="540" t="s">
        <v>1311</v>
      </c>
      <c r="L171" s="512"/>
      <c r="M171" s="540" t="s">
        <v>1312</v>
      </c>
      <c r="N171" s="512"/>
      <c r="O171" s="540" t="s">
        <v>1313</v>
      </c>
      <c r="P171" s="512"/>
      <c r="Q171" s="540" t="s">
        <v>1314</v>
      </c>
      <c r="R171" s="167"/>
      <c r="S171" s="540" t="s">
        <v>1308</v>
      </c>
      <c r="T171" s="167"/>
      <c r="U171" s="512" t="s">
        <v>1307</v>
      </c>
      <c r="V171" s="524"/>
      <c r="X171" s="283"/>
    </row>
    <row r="172" spans="1:24" s="8" customFormat="1" ht="14.4">
      <c r="A172" s="521"/>
      <c r="B172" s="510" t="s">
        <v>94</v>
      </c>
      <c r="C172" s="525">
        <f>IFERROR(VLOOKUP($B170,'PY1 TFR ADA'!$F:$AU,MATCH("A-1.1",'PY1 TFR ADA'!$F$5:$AU$5,0),FALSE),0)</f>
        <v>0</v>
      </c>
      <c r="D172" s="167"/>
      <c r="E172" s="525">
        <f>IFERROR(VALUE(VLOOKUP($B170,'PY1 TFR ADA'!$F:$AU,MATCH("A-2.1",'PY1 TFR ADA'!$F$5:$AU$5,0),FALSE)),0)</f>
        <v>0</v>
      </c>
      <c r="F172" s="167"/>
      <c r="G172" s="609">
        <f>IFERROR(VLOOKUP($B170,'PY1 TFR ADA'!$F:$AU,MATCH("b-1.1",'PY1 TFR ADA'!$F$5:$AU$5,0),FALSE),0)</f>
        <v>0</v>
      </c>
      <c r="H172" s="527"/>
      <c r="I172" s="609">
        <f>IFERROR(VLOOKUP($B170,'PY1 TFR ADA'!$F:$AU,MATCH("b-2.1",'PY1 TFR ADA'!$F$5:$AU$5,0),FALSE),0)</f>
        <v>0</v>
      </c>
      <c r="J172" s="527"/>
      <c r="K172" s="609">
        <f>IFERROR(VLOOKUP($B170,'PY1 TFR ADA'!$F:$AU,MATCH("b-3.1",'PY1 TFR ADA'!$F$5:$AU$5,0),FALSE),0)</f>
        <v>0</v>
      </c>
      <c r="L172" s="527"/>
      <c r="M172" s="609">
        <f>IFERROR(VLOOKUP($B170,'PY1 TFR ADA'!$F:$AU,MATCH("b-4.1",'PY1 TFR ADA'!$F$5:$AU$5,0),FALSE),0)</f>
        <v>0</v>
      </c>
      <c r="N172" s="527"/>
      <c r="O172" s="609">
        <f>IFERROR(VLOOKUP($B170,'PY1 TFR ADA'!$F:$AU,MATCH("b-5.1",'PY1 TFR ADA'!$F$5:$AU$5,0),FALSE),0)</f>
        <v>0</v>
      </c>
      <c r="P172" s="527"/>
      <c r="Q172" s="609">
        <f>IFERROR(VLOOKUP($B170,'PY1 TFR ADA'!$F:$AU,MATCH("b-6.1",'PY1 TFR ADA'!$F$5:$AU$5,0),FALSE),0)</f>
        <v>0</v>
      </c>
      <c r="R172" s="551"/>
      <c r="S172" s="601">
        <f t="shared" ref="S172:S175" si="218">SUM(G172:Q172)</f>
        <v>0</v>
      </c>
      <c r="T172" s="551"/>
      <c r="U172" s="536">
        <f t="shared" ref="U172" si="219">ROUND(IF($G179="LCFF Rate",(G172*$C172),(G172*$E172))+IF($I179="LCFF Rate",(I172*$C172),(I172*$E172))+IF($K179="LCFF Rate",(K172*$C172),(K172*$E172))+IF($M179="LCFF Rate",(M172*$C172),(M172*$E172))+IF($O179="LCFF Rate",(O172*$C172),(O172*$E172))+IF($Q179="LCFF Rate",(Q172*$C172),(Q172*$E172)),0)</f>
        <v>0</v>
      </c>
      <c r="V172" s="524"/>
      <c r="X172" s="496"/>
    </row>
    <row r="173" spans="1:24" s="8" customFormat="1" ht="14.4">
      <c r="A173" s="521"/>
      <c r="B173" s="510" t="s">
        <v>2</v>
      </c>
      <c r="C173" s="525">
        <f>IFERROR(VLOOKUP($B170,'PY1 TFR ADA'!$F:$AU,MATCH("A-1.2",'PY1 TFR ADA'!$F$5:$AU$5,0),FALSE),0)</f>
        <v>0</v>
      </c>
      <c r="D173" s="167"/>
      <c r="E173" s="525">
        <f>IFERROR(VALUE(VLOOKUP($B170,'PY1 TFR ADA'!$F:$AU,MATCH("A-2.2",'PY1 TFR ADA'!$F$5:$AU$5,0),FALSE)),0)</f>
        <v>0</v>
      </c>
      <c r="F173" s="167"/>
      <c r="G173" s="609">
        <f>IFERROR(VLOOKUP($B170,'PY1 TFR ADA'!$F:$AU,MATCH("b-1.2",'PY1 TFR ADA'!$F$5:$AU$5,0),FALSE),0)</f>
        <v>0</v>
      </c>
      <c r="H173" s="527"/>
      <c r="I173" s="609">
        <f>IFERROR(VLOOKUP($B170,'PY1 TFR ADA'!$F:$AU,MATCH("b-2.2",'PY1 TFR ADA'!$F$5:$AU$5,0),FALSE),0)</f>
        <v>0</v>
      </c>
      <c r="J173" s="527"/>
      <c r="K173" s="609">
        <f>IFERROR(VLOOKUP($B170,'PY1 TFR ADA'!$F:$AU,MATCH("b-3.2",'PY1 TFR ADA'!$F$5:$AU$5,0),FALSE),0)</f>
        <v>0</v>
      </c>
      <c r="L173" s="527"/>
      <c r="M173" s="609">
        <f>IFERROR(VLOOKUP($B170,'PY1 TFR ADA'!$F:$AU,MATCH("b-4.2",'PY1 TFR ADA'!$F$5:$AU$5,0),FALSE),0)</f>
        <v>0</v>
      </c>
      <c r="N173" s="527"/>
      <c r="O173" s="609">
        <f>IFERROR(VLOOKUP($B170,'PY1 TFR ADA'!$F:$AU,MATCH("b-5.2",'PY1 TFR ADA'!$F$5:$AU$5,0),FALSE),0)</f>
        <v>0</v>
      </c>
      <c r="P173" s="527"/>
      <c r="Q173" s="609">
        <f>IFERROR(VLOOKUP($B170,'PY1 TFR ADA'!$F:$AU,MATCH("b-6.2",'PY1 TFR ADA'!$F$5:$AU$5,0),FALSE),0)</f>
        <v>0</v>
      </c>
      <c r="R173" s="551"/>
      <c r="S173" s="601">
        <f t="shared" si="218"/>
        <v>0</v>
      </c>
      <c r="T173" s="551"/>
      <c r="U173" s="536">
        <f t="shared" ref="U173" si="220">ROUND(IF($G179="LCFF Rate",(G173*$C173),(G173*$E173))+IF($I179="LCFF Rate",(I173*$C173),(I173*$E173))+IF($K179="LCFF Rate",(K173*$C173),(K173*$E173))+IF($M179="LCFF Rate",(M173*$C173),(M173*$E173))+IF($O179="LCFF Rate",(O173*$C173),(O173*$E173))+IF($Q179="LCFF Rate",(Q173*$C173),(Q173*$E173)),0)</f>
        <v>0</v>
      </c>
      <c r="V173" s="524"/>
      <c r="X173" s="4"/>
    </row>
    <row r="174" spans="1:24" s="8" customFormat="1" ht="14.4">
      <c r="A174" s="521"/>
      <c r="B174" s="510" t="s">
        <v>3</v>
      </c>
      <c r="C174" s="525">
        <f>IFERROR(VLOOKUP($B170,'PY1 TFR ADA'!$F:$AU,MATCH("A-1.3",'PY1 TFR ADA'!$F$5:$AU$5,0),FALSE),0)</f>
        <v>0</v>
      </c>
      <c r="D174" s="167"/>
      <c r="E174" s="525">
        <f>IFERROR(VALUE(VLOOKUP($B170,'PY1 TFR ADA'!$F:$AU,MATCH("A-2.3",'PY1 TFR ADA'!$F$5:$AU$5,0),FALSE)),0)</f>
        <v>0</v>
      </c>
      <c r="F174" s="167"/>
      <c r="G174" s="609">
        <f>IFERROR(VLOOKUP($B170,'PY1 TFR ADA'!$F:$AU,MATCH("b-1.3",'PY1 TFR ADA'!$F$5:$AU$5,0),FALSE),0)</f>
        <v>0</v>
      </c>
      <c r="H174" s="527"/>
      <c r="I174" s="609">
        <f>IFERROR(VLOOKUP($B170,'PY1 TFR ADA'!$F:$AU,MATCH("b-2.3",'PY1 TFR ADA'!$F$5:$AU$5,0),FALSE),0)</f>
        <v>0</v>
      </c>
      <c r="J174" s="527"/>
      <c r="K174" s="609">
        <f>IFERROR(VLOOKUP($B170,'PY1 TFR ADA'!$F:$AU,MATCH("b-3.3",'PY1 TFR ADA'!$F$5:$AU$5,0),FALSE),0)</f>
        <v>0</v>
      </c>
      <c r="L174" s="527"/>
      <c r="M174" s="609">
        <f>IFERROR(VLOOKUP($B170,'PY1 TFR ADA'!$F:$AU,MATCH("b-4.3",'PY1 TFR ADA'!$F$5:$AU$5,0),FALSE),0)</f>
        <v>0</v>
      </c>
      <c r="N174" s="527"/>
      <c r="O174" s="609">
        <f>IFERROR(VLOOKUP($B170,'PY1 TFR ADA'!$F:$AU,MATCH("b-5.3",'PY1 TFR ADA'!$F$5:$AU$5,0),FALSE),0)</f>
        <v>0</v>
      </c>
      <c r="P174" s="527"/>
      <c r="Q174" s="609">
        <f>IFERROR(VLOOKUP($B170,'PY1 TFR ADA'!$F:$AU,MATCH("b-6.3",'PY1 TFR ADA'!$F$5:$AU$5,0),FALSE),0)</f>
        <v>0</v>
      </c>
      <c r="R174" s="551"/>
      <c r="S174" s="601">
        <f t="shared" si="218"/>
        <v>0</v>
      </c>
      <c r="T174" s="551"/>
      <c r="U174" s="536">
        <f t="shared" ref="U174" si="221">ROUND(IF($G179="LCFF Rate",(G174*$C174),(G174*$E174))+IF($I179="LCFF Rate",(I174*$C174),(I174*$E174))+IF($K179="LCFF Rate",(K174*$C174),(K174*$E174))+IF($M179="LCFF Rate",(M174*$C174),(M174*$E174))+IF($O179="LCFF Rate",(O174*$C174),(O174*$E174))+IF($Q179="LCFF Rate",(Q174*$C174),(Q174*$E174)),0)</f>
        <v>0</v>
      </c>
      <c r="V174" s="524"/>
      <c r="X174" s="4"/>
    </row>
    <row r="175" spans="1:24" s="8" customFormat="1" ht="14.4">
      <c r="A175" s="526"/>
      <c r="B175" s="510" t="s">
        <v>4</v>
      </c>
      <c r="C175" s="525">
        <f>IFERROR(VLOOKUP($B170,'PY1 TFR ADA'!$F:$AU,MATCH("A-1.4",'PY1 TFR ADA'!$F$5:$AU$5,0),FALSE),0)</f>
        <v>0</v>
      </c>
      <c r="D175" s="523"/>
      <c r="E175" s="525">
        <f>IFERROR(VALUE(VLOOKUP($B170,'PY1 TFR ADA'!$F:$AU,MATCH("A-2.4",'PY1 TFR ADA'!$F$5:$AU$5,0),FALSE)),0)</f>
        <v>0</v>
      </c>
      <c r="F175" s="523"/>
      <c r="G175" s="609">
        <f>IFERROR(VLOOKUP($B170,'PY1 TFR ADA'!$F:$AU,MATCH("b-1.4",'PY1 TFR ADA'!$F$5:$AU$5,0),FALSE),0)</f>
        <v>0</v>
      </c>
      <c r="H175" s="527"/>
      <c r="I175" s="609">
        <f>IFERROR(VLOOKUP($B170,'PY1 TFR ADA'!$F:$AU,MATCH("b-2.4",'PY1 TFR ADA'!$F$5:$AU$5,0),FALSE),0)</f>
        <v>0</v>
      </c>
      <c r="J175" s="527"/>
      <c r="K175" s="609">
        <f>IFERROR(VLOOKUP($B170,'PY1 TFR ADA'!$F:$AU,MATCH("b-3.4",'PY1 TFR ADA'!$F$5:$AU$5,0),FALSE),0)</f>
        <v>0</v>
      </c>
      <c r="L175" s="527"/>
      <c r="M175" s="609">
        <f>IFERROR(VLOOKUP($B170,'PY1 TFR ADA'!$F:$AU,MATCH("b-4.4",'PY1 TFR ADA'!$F$5:$AU$5,0),FALSE),0)</f>
        <v>0</v>
      </c>
      <c r="N175" s="527"/>
      <c r="O175" s="609">
        <f>IFERROR(VLOOKUP($B170,'PY1 TFR ADA'!$F:$AU,MATCH("b-5.4",'PY1 TFR ADA'!$F$5:$AU$5,0),FALSE),0)</f>
        <v>0</v>
      </c>
      <c r="P175" s="527"/>
      <c r="Q175" s="609">
        <f>IFERROR(VLOOKUP($B170,'PY1 TFR ADA'!$F:$AU,MATCH("b-6.4",'PY1 TFR ADA'!$F$5:$AU$5,0),FALSE),0)</f>
        <v>0</v>
      </c>
      <c r="R175" s="551"/>
      <c r="S175" s="601">
        <f t="shared" si="218"/>
        <v>0</v>
      </c>
      <c r="T175" s="551"/>
      <c r="U175" s="536">
        <f t="shared" ref="U175" si="222">ROUND(IF($G179="LCFF Rate",(G175*$C175),(G175*$E175))+IF($I179="LCFF Rate",(I175*$C175),(I175*$E175))+IF($K179="LCFF Rate",(K175*$C175),(K175*$E175))+IF($M179="LCFF Rate",(M175*$C175),(M175*$E175))+IF($O179="LCFF Rate",(O175*$C175),(O175*$E175))+IF($Q179="LCFF Rate",(Q175*$C175),(Q175*$E175)),0)</f>
        <v>0</v>
      </c>
      <c r="V175" s="522"/>
      <c r="X175" s="496"/>
    </row>
    <row r="176" spans="1:24" s="8" customFormat="1" ht="8.25" customHeight="1">
      <c r="A176" s="521"/>
      <c r="B176" s="167"/>
      <c r="C176" s="165"/>
      <c r="D176" s="523"/>
      <c r="E176" s="165"/>
      <c r="F176" s="523"/>
      <c r="G176" s="520"/>
      <c r="H176" s="523"/>
      <c r="I176" s="520"/>
      <c r="J176" s="523"/>
      <c r="K176" s="520"/>
      <c r="L176" s="523"/>
      <c r="M176" s="520"/>
      <c r="N176" s="523"/>
      <c r="O176" s="520"/>
      <c r="P176" s="523"/>
      <c r="Q176" s="520"/>
      <c r="R176" s="167"/>
      <c r="S176" s="520"/>
      <c r="T176" s="167"/>
      <c r="U176" s="602"/>
      <c r="V176" s="522"/>
      <c r="X176" s="4"/>
    </row>
    <row r="177" spans="1:24" s="8" customFormat="1" ht="14.4">
      <c r="A177" s="521"/>
      <c r="B177" s="167"/>
      <c r="C177" s="165"/>
      <c r="D177" s="523"/>
      <c r="E177" s="513" t="s">
        <v>1317</v>
      </c>
      <c r="F177" s="523"/>
      <c r="G177" s="601">
        <f t="shared" ref="G177" si="223">SUM(G172:G175)</f>
        <v>0</v>
      </c>
      <c r="H177" s="527"/>
      <c r="I177" s="601">
        <f t="shared" ref="I177" si="224">SUM(I172:I175)</f>
        <v>0</v>
      </c>
      <c r="J177" s="527"/>
      <c r="K177" s="601">
        <f t="shared" ref="K177" si="225">SUM(K172:K175)</f>
        <v>0</v>
      </c>
      <c r="L177" s="527"/>
      <c r="M177" s="601">
        <f t="shared" ref="M177" si="226">SUM(M172:M175)</f>
        <v>0</v>
      </c>
      <c r="N177" s="527"/>
      <c r="O177" s="601">
        <f t="shared" ref="O177" si="227">SUM(O172:O175)</f>
        <v>0</v>
      </c>
      <c r="P177" s="527"/>
      <c r="Q177" s="601">
        <f t="shared" ref="Q177" si="228">SUM(Q172:Q175)</f>
        <v>0</v>
      </c>
      <c r="R177" s="527"/>
      <c r="S177" s="601">
        <f t="shared" ref="S177" si="229">SUM(S172:S175)</f>
        <v>0</v>
      </c>
      <c r="T177" s="527"/>
      <c r="U177" s="536">
        <f t="shared" ref="U177" si="230">SUM(U172:U175)</f>
        <v>0</v>
      </c>
      <c r="V177" s="522"/>
      <c r="X177" s="4"/>
    </row>
    <row r="178" spans="1:24" s="8" customFormat="1" ht="8.25" customHeight="1">
      <c r="A178" s="521"/>
      <c r="B178" s="167"/>
      <c r="C178" s="165"/>
      <c r="D178" s="523"/>
      <c r="E178" s="165"/>
      <c r="F178" s="523"/>
      <c r="G178" s="520"/>
      <c r="H178" s="523"/>
      <c r="I178" s="520"/>
      <c r="J178" s="523"/>
      <c r="K178" s="520"/>
      <c r="L178" s="523"/>
      <c r="M178" s="520"/>
      <c r="N178" s="523"/>
      <c r="O178" s="520"/>
      <c r="P178" s="523"/>
      <c r="Q178" s="520"/>
      <c r="R178" s="167"/>
      <c r="S178" s="520"/>
      <c r="T178" s="167"/>
      <c r="U178" s="528"/>
      <c r="V178" s="522"/>
      <c r="X178" s="4"/>
    </row>
    <row r="179" spans="1:24" s="8" customFormat="1" ht="16.5" customHeight="1">
      <c r="A179" s="521"/>
      <c r="B179" s="167"/>
      <c r="C179" s="165"/>
      <c r="E179" s="513" t="s">
        <v>1304</v>
      </c>
      <c r="F179" s="523"/>
      <c r="G179" s="977">
        <f>_xlfn.IFNA(IF(VLOOKUP($B170,'PY1 TFR ADA'!$F:$AU,MATCH("B-1.5",'PY1 TFR ADA'!$F$5:$AU$5,0),FALSE)=TRUE,IF(VLOOKUP($B170,'PY1 TFR ADA'!$F:$AU,MATCH("C-1",'PY1 TFR ADA'!$F$5:$AU$5,0),FALSE)=TRUE,"Alternative Rate","LCFF Rate"),"LCFF Rate"),0)</f>
        <v>0</v>
      </c>
      <c r="H179" s="523"/>
      <c r="I179" s="977">
        <f>_xlfn.IFNA(IF(VLOOKUP($B170,'PY1 TFR ADA'!$F:$AU,MATCH("B-2.5",'PY1 TFR ADA'!$F$5:$AU$5,0),FALSE)=TRUE,IF(VLOOKUP($B170,'PY1 TFR ADA'!$F:$AU,MATCH("C-1",'PY1 TFR ADA'!$F$5:$AU$5,0),FALSE)=TRUE,"Alternative Rate","LCFF Rate"),"LCFF Rate"),0)</f>
        <v>0</v>
      </c>
      <c r="J179" s="523"/>
      <c r="K179" s="977">
        <f>_xlfn.IFNA(IF(VLOOKUP($B170,'PY1 TFR ADA'!$F:$AU,MATCH("B-3.5",'PY1 TFR ADA'!$F$5:$AU$5,0),FALSE)=TRUE,IF(VLOOKUP($B170,'PY1 TFR ADA'!$F:$AU,MATCH("C-1",'PY1 TFR ADA'!$F$5:$AU$5,0),FALSE)=TRUE,"Alternative Rate","LCFF Rate"),"LCFF Rate"),0)</f>
        <v>0</v>
      </c>
      <c r="L179" s="523"/>
      <c r="M179" s="977">
        <f>_xlfn.IFNA(IF(VLOOKUP($B170,'PY1 TFR ADA'!$F:$AU,MATCH("B-4.5",'PY1 TFR ADA'!$F$5:$AU$5,0),FALSE)=TRUE,IF(VLOOKUP($B170,'PY1 TFR ADA'!$F:$AU,MATCH("C-1",'PY1 TFR ADA'!$F$5:$AU$5,0),FALSE)=TRUE,"Alternative Rate","LCFF Rate"),"LCFF Rate"),0)</f>
        <v>0</v>
      </c>
      <c r="N179" s="523"/>
      <c r="O179" s="977">
        <f>_xlfn.IFNA(IF(VLOOKUP($B170,'PY1 TFR ADA'!$F:$AU,MATCH("B-5.5",'PY1 TFR ADA'!$F$5:$AU$5,0),FALSE)=TRUE,IF(VLOOKUP($B170,'PY1 TFR ADA'!$F:$AU,MATCH("C-1",'PY1 TFR ADA'!$F$5:$AU$5,0),FALSE)=TRUE,"Alternative Rate","LCFF Rate"),"LCFF Rate"),0)</f>
        <v>0</v>
      </c>
      <c r="P179" s="523"/>
      <c r="Q179" s="977">
        <f>_xlfn.IFNA(IF(VLOOKUP($B170,'PY1 TFR ADA'!$F:$AU,MATCH("B-6.5",'PY1 TFR ADA'!$F$5:$AU$5,0),FALSE)=TRUE,IF(VLOOKUP($B170,'PY1 TFR ADA'!$F:$AU,MATCH("C-1",'PY1 TFR ADA'!$F$5:$AU$5,0),FALSE)=TRUE,"Alternative Rate","LCFF Rate"),"LCFF Rate"),0)</f>
        <v>0</v>
      </c>
      <c r="R179" s="167"/>
      <c r="S179" s="520"/>
      <c r="T179" s="167"/>
      <c r="U179" s="528"/>
      <c r="V179" s="522"/>
      <c r="X179" s="283"/>
    </row>
    <row r="180" spans="1:24" s="8" customFormat="1" ht="8.25" customHeight="1">
      <c r="A180" s="521"/>
      <c r="B180" s="167"/>
      <c r="C180" s="165"/>
      <c r="D180" s="523"/>
      <c r="E180" s="165"/>
      <c r="F180" s="523"/>
      <c r="G180" s="520"/>
      <c r="H180" s="523"/>
      <c r="I180" s="520"/>
      <c r="J180" s="523"/>
      <c r="K180" s="520"/>
      <c r="L180" s="523"/>
      <c r="M180" s="520"/>
      <c r="N180" s="523"/>
      <c r="O180" s="520"/>
      <c r="P180" s="523"/>
      <c r="Q180" s="520"/>
      <c r="R180" s="167"/>
      <c r="S180" s="520"/>
      <c r="T180" s="167"/>
      <c r="U180" s="528"/>
      <c r="V180" s="522"/>
      <c r="X180" s="4"/>
    </row>
    <row r="181" spans="1:24" s="8" customFormat="1" ht="16.8">
      <c r="A181" s="521"/>
      <c r="B181" s="2"/>
      <c r="F181" s="523"/>
      <c r="G181" s="535">
        <f t="shared" ref="G181" si="231">IF(G179="LCFF Rate",(G172*C172+G173*C173+G174*C174+G175*C175),(G177*E175))</f>
        <v>0</v>
      </c>
      <c r="H181" s="537"/>
      <c r="I181" s="535">
        <f t="shared" ref="I181" si="232">IF(I179="LCFF Rate",(I172*C172+I173*C173+I174*C174+I175*C175),(I177*E175))</f>
        <v>0</v>
      </c>
      <c r="J181" s="537"/>
      <c r="K181" s="535">
        <f t="shared" ref="K181" si="233">IF(K179="LCFF Rate",(K172*C172+K173*C173+K174*C174+K175*C175),(K177*E175))</f>
        <v>0</v>
      </c>
      <c r="L181" s="537"/>
      <c r="M181" s="535">
        <f t="shared" ref="M181" si="234">IF(M179="LCFF Rate",(M172*C172+M173*C173+M174*C174+M175*C175),(M177*E175))</f>
        <v>0</v>
      </c>
      <c r="N181" s="537"/>
      <c r="O181" s="535">
        <f t="shared" ref="O181" si="235">IF(O179="LCFF Rate",(O172*C172+O173*C173+O174*C174+O175*C175),(O177*E175))</f>
        <v>0</v>
      </c>
      <c r="P181" s="537"/>
      <c r="Q181" s="535">
        <f t="shared" ref="Q181" si="236">IF(Q179="LCFF Rate",(Q172*C172+Q173*C173+Q174*C174+Q175*C175),(Q177*E175))</f>
        <v>0</v>
      </c>
      <c r="R181" s="167"/>
      <c r="S181" s="538">
        <f t="shared" ref="S181" si="237">SUM(G181:Q181)</f>
        <v>0</v>
      </c>
      <c r="T181" s="167"/>
      <c r="U181" s="528"/>
      <c r="V181" s="522"/>
      <c r="X181" s="979"/>
    </row>
    <row r="182" spans="1:24" s="8" customFormat="1" ht="9" customHeight="1" thickBot="1">
      <c r="A182" s="529"/>
      <c r="B182" s="530"/>
      <c r="C182" s="531"/>
      <c r="D182" s="532"/>
      <c r="E182" s="533"/>
      <c r="F182" s="532"/>
      <c r="G182" s="530"/>
      <c r="H182" s="532"/>
      <c r="I182" s="530"/>
      <c r="J182" s="532"/>
      <c r="K182" s="530"/>
      <c r="L182" s="532"/>
      <c r="M182" s="530"/>
      <c r="N182" s="532"/>
      <c r="O182" s="530"/>
      <c r="P182" s="532"/>
      <c r="Q182" s="530"/>
      <c r="R182" s="532"/>
      <c r="S182" s="530"/>
      <c r="T182" s="532"/>
      <c r="U182" s="532"/>
      <c r="V182" s="534"/>
      <c r="X182" s="4"/>
    </row>
    <row r="183" spans="1:24" s="82" customFormat="1" ht="18" customHeight="1" thickBot="1">
      <c r="A183" s="890">
        <f>+A170+1</f>
        <v>14</v>
      </c>
      <c r="B183" s="891" t="str">
        <f>'Data Entry'!$B$3&amp;"-"&amp;C183</f>
        <v>-</v>
      </c>
      <c r="C183" s="891" t="str">
        <f>IFERROR(VLOOKUP('Data Entry'!$B$3&amp;"-"&amp;A183,'PY1 TFR ADA'!$D:$AT,2,FALSE),"")</f>
        <v/>
      </c>
      <c r="D183" s="892" t="str">
        <f>IFERROR(VLOOKUP('Data Entry'!$B$3&amp;"-"&amp;A183,'PY1 TFR ADA'!$D:$AT,4,FALSE),"")</f>
        <v/>
      </c>
      <c r="E183" s="893"/>
      <c r="F183" s="893"/>
      <c r="G183" s="893"/>
      <c r="H183" s="893"/>
      <c r="I183" s="893"/>
      <c r="J183" s="893"/>
      <c r="K183" s="893"/>
      <c r="L183" s="893"/>
      <c r="M183" s="893"/>
      <c r="N183" s="893"/>
      <c r="O183" s="893"/>
      <c r="P183" s="893"/>
      <c r="Q183" s="893"/>
      <c r="R183" s="893"/>
      <c r="S183" s="893"/>
      <c r="T183" s="893"/>
      <c r="U183" s="893"/>
      <c r="V183" s="894"/>
      <c r="X183" s="83"/>
    </row>
    <row r="184" spans="1:24" ht="75" customHeight="1">
      <c r="A184" s="521"/>
      <c r="C184" s="540" t="s">
        <v>1315</v>
      </c>
      <c r="D184" s="512"/>
      <c r="E184" s="540" t="s">
        <v>1316</v>
      </c>
      <c r="F184" s="512"/>
      <c r="G184" s="540" t="s">
        <v>1309</v>
      </c>
      <c r="H184" s="512"/>
      <c r="I184" s="540" t="s">
        <v>1310</v>
      </c>
      <c r="J184" s="512"/>
      <c r="K184" s="540" t="s">
        <v>1311</v>
      </c>
      <c r="L184" s="512"/>
      <c r="M184" s="540" t="s">
        <v>1312</v>
      </c>
      <c r="N184" s="512"/>
      <c r="O184" s="540" t="s">
        <v>1313</v>
      </c>
      <c r="P184" s="512"/>
      <c r="Q184" s="540" t="s">
        <v>1314</v>
      </c>
      <c r="R184" s="167"/>
      <c r="S184" s="540" t="s">
        <v>1308</v>
      </c>
      <c r="T184" s="167"/>
      <c r="U184" s="512" t="s">
        <v>1307</v>
      </c>
      <c r="V184" s="524"/>
      <c r="X184" s="283"/>
    </row>
    <row r="185" spans="1:24" s="8" customFormat="1" ht="14.4">
      <c r="A185" s="521"/>
      <c r="B185" s="510" t="s">
        <v>94</v>
      </c>
      <c r="C185" s="525">
        <f>IFERROR(VLOOKUP($B183,'PY1 TFR ADA'!$F:$AU,MATCH("A-1.1",'PY1 TFR ADA'!$F$5:$AU$5,0),FALSE),0)</f>
        <v>0</v>
      </c>
      <c r="D185" s="167"/>
      <c r="E185" s="525">
        <f>IFERROR(VALUE(VLOOKUP($B183,'PY1 TFR ADA'!$F:$AU,MATCH("A-2.1",'PY1 TFR ADA'!$F$5:$AU$5,0),FALSE)),0)</f>
        <v>0</v>
      </c>
      <c r="F185" s="167"/>
      <c r="G185" s="609">
        <f>IFERROR(VLOOKUP($B183,'PY1 TFR ADA'!$F:$AU,MATCH("b-1.1",'PY1 TFR ADA'!$F$5:$AU$5,0),FALSE),0)</f>
        <v>0</v>
      </c>
      <c r="H185" s="527"/>
      <c r="I185" s="609">
        <f>IFERROR(VLOOKUP($B183,'PY1 TFR ADA'!$F:$AU,MATCH("b-2.1",'PY1 TFR ADA'!$F$5:$AU$5,0),FALSE),0)</f>
        <v>0</v>
      </c>
      <c r="J185" s="527"/>
      <c r="K185" s="609">
        <f>IFERROR(VLOOKUP($B183,'PY1 TFR ADA'!$F:$AU,MATCH("b-3.1",'PY1 TFR ADA'!$F$5:$AU$5,0),FALSE),0)</f>
        <v>0</v>
      </c>
      <c r="L185" s="527"/>
      <c r="M185" s="609">
        <f>IFERROR(VLOOKUP($B183,'PY1 TFR ADA'!$F:$AU,MATCH("b-4.1",'PY1 TFR ADA'!$F$5:$AU$5,0),FALSE),0)</f>
        <v>0</v>
      </c>
      <c r="N185" s="527"/>
      <c r="O185" s="609">
        <f>IFERROR(VLOOKUP($B183,'PY1 TFR ADA'!$F:$AU,MATCH("b-5.1",'PY1 TFR ADA'!$F$5:$AU$5,0),FALSE),0)</f>
        <v>0</v>
      </c>
      <c r="P185" s="527"/>
      <c r="Q185" s="609">
        <f>IFERROR(VLOOKUP($B183,'PY1 TFR ADA'!$F:$AU,MATCH("b-6.1",'PY1 TFR ADA'!$F$5:$AU$5,0),FALSE),0)</f>
        <v>0</v>
      </c>
      <c r="R185" s="551"/>
      <c r="S185" s="601">
        <f t="shared" ref="S185:S188" si="238">SUM(G185:Q185)</f>
        <v>0</v>
      </c>
      <c r="T185" s="551"/>
      <c r="U185" s="536">
        <f t="shared" ref="U185" si="239">ROUND(IF($G192="LCFF Rate",(G185*$C185),(G185*$E185))+IF($I192="LCFF Rate",(I185*$C185),(I185*$E185))+IF($K192="LCFF Rate",(K185*$C185),(K185*$E185))+IF($M192="LCFF Rate",(M185*$C185),(M185*$E185))+IF($O192="LCFF Rate",(O185*$C185),(O185*$E185))+IF($Q192="LCFF Rate",(Q185*$C185),(Q185*$E185)),0)</f>
        <v>0</v>
      </c>
      <c r="V185" s="524"/>
      <c r="X185" s="496"/>
    </row>
    <row r="186" spans="1:24" s="8" customFormat="1" ht="14.4">
      <c r="A186" s="521"/>
      <c r="B186" s="510" t="s">
        <v>2</v>
      </c>
      <c r="C186" s="525">
        <f>IFERROR(VLOOKUP($B183,'PY1 TFR ADA'!$F:$AU,MATCH("A-1.2",'PY1 TFR ADA'!$F$5:$AU$5,0),FALSE),0)</f>
        <v>0</v>
      </c>
      <c r="D186" s="167"/>
      <c r="E186" s="525">
        <f>IFERROR(VALUE(VLOOKUP($B183,'PY1 TFR ADA'!$F:$AU,MATCH("A-2.2",'PY1 TFR ADA'!$F$5:$AU$5,0),FALSE)),0)</f>
        <v>0</v>
      </c>
      <c r="F186" s="167"/>
      <c r="G186" s="609">
        <f>IFERROR(VLOOKUP($B183,'PY1 TFR ADA'!$F:$AU,MATCH("b-1.2",'PY1 TFR ADA'!$F$5:$AU$5,0),FALSE),0)</f>
        <v>0</v>
      </c>
      <c r="H186" s="527"/>
      <c r="I186" s="609">
        <f>IFERROR(VLOOKUP($B183,'PY1 TFR ADA'!$F:$AU,MATCH("b-2.2",'PY1 TFR ADA'!$F$5:$AU$5,0),FALSE),0)</f>
        <v>0</v>
      </c>
      <c r="J186" s="527"/>
      <c r="K186" s="609">
        <f>IFERROR(VLOOKUP($B183,'PY1 TFR ADA'!$F:$AU,MATCH("b-3.2",'PY1 TFR ADA'!$F$5:$AU$5,0),FALSE),0)</f>
        <v>0</v>
      </c>
      <c r="L186" s="527"/>
      <c r="M186" s="609">
        <f>IFERROR(VLOOKUP($B183,'PY1 TFR ADA'!$F:$AU,MATCH("b-4.2",'PY1 TFR ADA'!$F$5:$AU$5,0),FALSE),0)</f>
        <v>0</v>
      </c>
      <c r="N186" s="527"/>
      <c r="O186" s="609">
        <f>IFERROR(VLOOKUP($B183,'PY1 TFR ADA'!$F:$AU,MATCH("b-5.2",'PY1 TFR ADA'!$F$5:$AU$5,0),FALSE),0)</f>
        <v>0</v>
      </c>
      <c r="P186" s="527"/>
      <c r="Q186" s="609">
        <f>IFERROR(VLOOKUP($B183,'PY1 TFR ADA'!$F:$AU,MATCH("b-6.2",'PY1 TFR ADA'!$F$5:$AU$5,0),FALSE),0)</f>
        <v>0</v>
      </c>
      <c r="R186" s="551"/>
      <c r="S186" s="601">
        <f t="shared" si="238"/>
        <v>0</v>
      </c>
      <c r="T186" s="551"/>
      <c r="U186" s="536">
        <f t="shared" ref="U186" si="240">ROUND(IF($G192="LCFF Rate",(G186*$C186),(G186*$E186))+IF($I192="LCFF Rate",(I186*$C186),(I186*$E186))+IF($K192="LCFF Rate",(K186*$C186),(K186*$E186))+IF($M192="LCFF Rate",(M186*$C186),(M186*$E186))+IF($O192="LCFF Rate",(O186*$C186),(O186*$E186))+IF($Q192="LCFF Rate",(Q186*$C186),(Q186*$E186)),0)</f>
        <v>0</v>
      </c>
      <c r="V186" s="524"/>
      <c r="X186" s="4"/>
    </row>
    <row r="187" spans="1:24" s="8" customFormat="1" ht="14.4">
      <c r="A187" s="521"/>
      <c r="B187" s="510" t="s">
        <v>3</v>
      </c>
      <c r="C187" s="525">
        <f>IFERROR(VLOOKUP($B183,'PY1 TFR ADA'!$F:$AU,MATCH("A-1.3",'PY1 TFR ADA'!$F$5:$AU$5,0),FALSE),0)</f>
        <v>0</v>
      </c>
      <c r="D187" s="167"/>
      <c r="E187" s="525">
        <f>IFERROR(VALUE(VLOOKUP($B183,'PY1 TFR ADA'!$F:$AU,MATCH("A-2.3",'PY1 TFR ADA'!$F$5:$AU$5,0),FALSE)),0)</f>
        <v>0</v>
      </c>
      <c r="F187" s="167"/>
      <c r="G187" s="609">
        <f>IFERROR(VLOOKUP($B183,'PY1 TFR ADA'!$F:$AU,MATCH("b-1.3",'PY1 TFR ADA'!$F$5:$AU$5,0),FALSE),0)</f>
        <v>0</v>
      </c>
      <c r="H187" s="527"/>
      <c r="I187" s="609">
        <f>IFERROR(VLOOKUP($B183,'PY1 TFR ADA'!$F:$AU,MATCH("b-2.3",'PY1 TFR ADA'!$F$5:$AU$5,0),FALSE),0)</f>
        <v>0</v>
      </c>
      <c r="J187" s="527"/>
      <c r="K187" s="609">
        <f>IFERROR(VLOOKUP($B183,'PY1 TFR ADA'!$F:$AU,MATCH("b-3.3",'PY1 TFR ADA'!$F$5:$AU$5,0),FALSE),0)</f>
        <v>0</v>
      </c>
      <c r="L187" s="527"/>
      <c r="M187" s="609">
        <f>IFERROR(VLOOKUP($B183,'PY1 TFR ADA'!$F:$AU,MATCH("b-4.3",'PY1 TFR ADA'!$F$5:$AU$5,0),FALSE),0)</f>
        <v>0</v>
      </c>
      <c r="N187" s="527"/>
      <c r="O187" s="609">
        <f>IFERROR(VLOOKUP($B183,'PY1 TFR ADA'!$F:$AU,MATCH("b-5.3",'PY1 TFR ADA'!$F$5:$AU$5,0),FALSE),0)</f>
        <v>0</v>
      </c>
      <c r="P187" s="527"/>
      <c r="Q187" s="609">
        <f>IFERROR(VLOOKUP($B183,'PY1 TFR ADA'!$F:$AU,MATCH("b-6.3",'PY1 TFR ADA'!$F$5:$AU$5,0),FALSE),0)</f>
        <v>0</v>
      </c>
      <c r="R187" s="551"/>
      <c r="S187" s="601">
        <f t="shared" si="238"/>
        <v>0</v>
      </c>
      <c r="T187" s="551"/>
      <c r="U187" s="536">
        <f t="shared" ref="U187" si="241">ROUND(IF($G192="LCFF Rate",(G187*$C187),(G187*$E187))+IF($I192="LCFF Rate",(I187*$C187),(I187*$E187))+IF($K192="LCFF Rate",(K187*$C187),(K187*$E187))+IF($M192="LCFF Rate",(M187*$C187),(M187*$E187))+IF($O192="LCFF Rate",(O187*$C187),(O187*$E187))+IF($Q192="LCFF Rate",(Q187*$C187),(Q187*$E187)),0)</f>
        <v>0</v>
      </c>
      <c r="V187" s="524"/>
      <c r="X187" s="4"/>
    </row>
    <row r="188" spans="1:24" s="8" customFormat="1" ht="14.4">
      <c r="A188" s="526"/>
      <c r="B188" s="510" t="s">
        <v>4</v>
      </c>
      <c r="C188" s="525">
        <f>IFERROR(VLOOKUP($B183,'PY1 TFR ADA'!$F:$AU,MATCH("A-1.4",'PY1 TFR ADA'!$F$5:$AU$5,0),FALSE),0)</f>
        <v>0</v>
      </c>
      <c r="D188" s="523"/>
      <c r="E188" s="525">
        <f>IFERROR(VALUE(VLOOKUP($B183,'PY1 TFR ADA'!$F:$AU,MATCH("A-2.4",'PY1 TFR ADA'!$F$5:$AU$5,0),FALSE)),0)</f>
        <v>0</v>
      </c>
      <c r="F188" s="523"/>
      <c r="G188" s="609">
        <f>IFERROR(VLOOKUP($B183,'PY1 TFR ADA'!$F:$AU,MATCH("b-1.4",'PY1 TFR ADA'!$F$5:$AU$5,0),FALSE),0)</f>
        <v>0</v>
      </c>
      <c r="H188" s="527"/>
      <c r="I188" s="609">
        <f>IFERROR(VLOOKUP($B183,'PY1 TFR ADA'!$F:$AU,MATCH("b-2.4",'PY1 TFR ADA'!$F$5:$AU$5,0),FALSE),0)</f>
        <v>0</v>
      </c>
      <c r="J188" s="527"/>
      <c r="K188" s="609">
        <f>IFERROR(VLOOKUP($B183,'PY1 TFR ADA'!$F:$AU,MATCH("b-3.4",'PY1 TFR ADA'!$F$5:$AU$5,0),FALSE),0)</f>
        <v>0</v>
      </c>
      <c r="L188" s="527"/>
      <c r="M188" s="609">
        <f>IFERROR(VLOOKUP($B183,'PY1 TFR ADA'!$F:$AU,MATCH("b-4.4",'PY1 TFR ADA'!$F$5:$AU$5,0),FALSE),0)</f>
        <v>0</v>
      </c>
      <c r="N188" s="527"/>
      <c r="O188" s="609">
        <f>IFERROR(VLOOKUP($B183,'PY1 TFR ADA'!$F:$AU,MATCH("b-5.4",'PY1 TFR ADA'!$F$5:$AU$5,0),FALSE),0)</f>
        <v>0</v>
      </c>
      <c r="P188" s="527"/>
      <c r="Q188" s="609">
        <f>IFERROR(VLOOKUP($B183,'PY1 TFR ADA'!$F:$AU,MATCH("b-6.4",'PY1 TFR ADA'!$F$5:$AU$5,0),FALSE),0)</f>
        <v>0</v>
      </c>
      <c r="R188" s="551"/>
      <c r="S188" s="601">
        <f t="shared" si="238"/>
        <v>0</v>
      </c>
      <c r="T188" s="551"/>
      <c r="U188" s="536">
        <f t="shared" ref="U188" si="242">ROUND(IF($G192="LCFF Rate",(G188*$C188),(G188*$E188))+IF($I192="LCFF Rate",(I188*$C188),(I188*$E188))+IF($K192="LCFF Rate",(K188*$C188),(K188*$E188))+IF($M192="LCFF Rate",(M188*$C188),(M188*$E188))+IF($O192="LCFF Rate",(O188*$C188),(O188*$E188))+IF($Q192="LCFF Rate",(Q188*$C188),(Q188*$E188)),0)</f>
        <v>0</v>
      </c>
      <c r="V188" s="522"/>
      <c r="X188" s="496"/>
    </row>
    <row r="189" spans="1:24" s="8" customFormat="1" ht="8.25" customHeight="1">
      <c r="A189" s="521"/>
      <c r="B189" s="167"/>
      <c r="C189" s="165"/>
      <c r="D189" s="523"/>
      <c r="E189" s="165"/>
      <c r="F189" s="523"/>
      <c r="G189" s="520"/>
      <c r="H189" s="523"/>
      <c r="I189" s="520"/>
      <c r="J189" s="523"/>
      <c r="K189" s="520"/>
      <c r="L189" s="523"/>
      <c r="M189" s="520"/>
      <c r="N189" s="523"/>
      <c r="O189" s="520"/>
      <c r="P189" s="523"/>
      <c r="Q189" s="520"/>
      <c r="R189" s="167"/>
      <c r="S189" s="520"/>
      <c r="T189" s="167"/>
      <c r="U189" s="602"/>
      <c r="V189" s="522"/>
      <c r="X189" s="4"/>
    </row>
    <row r="190" spans="1:24" s="8" customFormat="1" ht="14.4">
      <c r="A190" s="521"/>
      <c r="B190" s="167"/>
      <c r="C190" s="165"/>
      <c r="D190" s="523"/>
      <c r="E190" s="513" t="s">
        <v>1317</v>
      </c>
      <c r="F190" s="523"/>
      <c r="G190" s="601">
        <f t="shared" ref="G190" si="243">SUM(G185:G188)</f>
        <v>0</v>
      </c>
      <c r="H190" s="527"/>
      <c r="I190" s="601">
        <f t="shared" ref="I190" si="244">SUM(I185:I188)</f>
        <v>0</v>
      </c>
      <c r="J190" s="527"/>
      <c r="K190" s="601">
        <f t="shared" ref="K190" si="245">SUM(K185:K188)</f>
        <v>0</v>
      </c>
      <c r="L190" s="527"/>
      <c r="M190" s="601">
        <f t="shared" ref="M190" si="246">SUM(M185:M188)</f>
        <v>0</v>
      </c>
      <c r="N190" s="527"/>
      <c r="O190" s="601">
        <f t="shared" ref="O190" si="247">SUM(O185:O188)</f>
        <v>0</v>
      </c>
      <c r="P190" s="527"/>
      <c r="Q190" s="601">
        <f t="shared" ref="Q190" si="248">SUM(Q185:Q188)</f>
        <v>0</v>
      </c>
      <c r="R190" s="527"/>
      <c r="S190" s="601">
        <f t="shared" ref="S190" si="249">SUM(S185:S188)</f>
        <v>0</v>
      </c>
      <c r="T190" s="527"/>
      <c r="U190" s="536">
        <f t="shared" ref="U190" si="250">SUM(U185:U188)</f>
        <v>0</v>
      </c>
      <c r="V190" s="522"/>
      <c r="X190" s="4"/>
    </row>
    <row r="191" spans="1:24" s="8" customFormat="1" ht="8.25" customHeight="1">
      <c r="A191" s="521"/>
      <c r="B191" s="167"/>
      <c r="C191" s="165"/>
      <c r="D191" s="523"/>
      <c r="E191" s="165"/>
      <c r="F191" s="523"/>
      <c r="G191" s="520"/>
      <c r="H191" s="523"/>
      <c r="I191" s="520"/>
      <c r="J191" s="523"/>
      <c r="K191" s="520"/>
      <c r="L191" s="523"/>
      <c r="M191" s="520"/>
      <c r="N191" s="523"/>
      <c r="O191" s="520"/>
      <c r="P191" s="523"/>
      <c r="Q191" s="520"/>
      <c r="R191" s="167"/>
      <c r="S191" s="520"/>
      <c r="T191" s="167"/>
      <c r="U191" s="528"/>
      <c r="V191" s="522"/>
      <c r="X191" s="4"/>
    </row>
    <row r="192" spans="1:24" s="8" customFormat="1" ht="16.5" customHeight="1">
      <c r="A192" s="521"/>
      <c r="B192" s="167"/>
      <c r="C192" s="165"/>
      <c r="E192" s="513" t="s">
        <v>1304</v>
      </c>
      <c r="F192" s="523"/>
      <c r="G192" s="977">
        <f>_xlfn.IFNA(IF(VLOOKUP($B183,'PY1 TFR ADA'!$F:$AU,MATCH("B-1.5",'PY1 TFR ADA'!$F$5:$AU$5,0),FALSE)=TRUE,IF(VLOOKUP($B183,'PY1 TFR ADA'!$F:$AU,MATCH("C-1",'PY1 TFR ADA'!$F$5:$AU$5,0),FALSE)=TRUE,"Alternative Rate","LCFF Rate"),"LCFF Rate"),0)</f>
        <v>0</v>
      </c>
      <c r="H192" s="523"/>
      <c r="I192" s="977">
        <f>_xlfn.IFNA(IF(VLOOKUP($B183,'PY1 TFR ADA'!$F:$AU,MATCH("B-2.5",'PY1 TFR ADA'!$F$5:$AU$5,0),FALSE)=TRUE,IF(VLOOKUP($B183,'PY1 TFR ADA'!$F:$AU,MATCH("C-1",'PY1 TFR ADA'!$F$5:$AU$5,0),FALSE)=TRUE,"Alternative Rate","LCFF Rate"),"LCFF Rate"),0)</f>
        <v>0</v>
      </c>
      <c r="J192" s="523"/>
      <c r="K192" s="977">
        <f>_xlfn.IFNA(IF(VLOOKUP($B183,'PY1 TFR ADA'!$F:$AU,MATCH("B-3.5",'PY1 TFR ADA'!$F$5:$AU$5,0),FALSE)=TRUE,IF(VLOOKUP($B183,'PY1 TFR ADA'!$F:$AU,MATCH("C-1",'PY1 TFR ADA'!$F$5:$AU$5,0),FALSE)=TRUE,"Alternative Rate","LCFF Rate"),"LCFF Rate"),0)</f>
        <v>0</v>
      </c>
      <c r="L192" s="523"/>
      <c r="M192" s="977">
        <f>_xlfn.IFNA(IF(VLOOKUP($B183,'PY1 TFR ADA'!$F:$AU,MATCH("B-4.5",'PY1 TFR ADA'!$F$5:$AU$5,0),FALSE)=TRUE,IF(VLOOKUP($B183,'PY1 TFR ADA'!$F:$AU,MATCH("C-1",'PY1 TFR ADA'!$F$5:$AU$5,0),FALSE)=TRUE,"Alternative Rate","LCFF Rate"),"LCFF Rate"),0)</f>
        <v>0</v>
      </c>
      <c r="N192" s="523"/>
      <c r="O192" s="977">
        <f>_xlfn.IFNA(IF(VLOOKUP($B183,'PY1 TFR ADA'!$F:$AU,MATCH("B-5.5",'PY1 TFR ADA'!$F$5:$AU$5,0),FALSE)=TRUE,IF(VLOOKUP($B183,'PY1 TFR ADA'!$F:$AU,MATCH("C-1",'PY1 TFR ADA'!$F$5:$AU$5,0),FALSE)=TRUE,"Alternative Rate","LCFF Rate"),"LCFF Rate"),0)</f>
        <v>0</v>
      </c>
      <c r="P192" s="523"/>
      <c r="Q192" s="977">
        <f>_xlfn.IFNA(IF(VLOOKUP($B183,'PY1 TFR ADA'!$F:$AU,MATCH("B-6.5",'PY1 TFR ADA'!$F$5:$AU$5,0),FALSE)=TRUE,IF(VLOOKUP($B183,'PY1 TFR ADA'!$F:$AU,MATCH("C-1",'PY1 TFR ADA'!$F$5:$AU$5,0),FALSE)=TRUE,"Alternative Rate","LCFF Rate"),"LCFF Rate"),0)</f>
        <v>0</v>
      </c>
      <c r="R192" s="167"/>
      <c r="S192" s="520"/>
      <c r="T192" s="167"/>
      <c r="U192" s="528"/>
      <c r="V192" s="522"/>
      <c r="X192" s="283"/>
    </row>
    <row r="193" spans="1:24" s="8" customFormat="1" ht="8.25" customHeight="1">
      <c r="A193" s="521"/>
      <c r="B193" s="167"/>
      <c r="C193" s="165"/>
      <c r="D193" s="523"/>
      <c r="E193" s="165"/>
      <c r="F193" s="523"/>
      <c r="G193" s="520"/>
      <c r="H193" s="523"/>
      <c r="I193" s="520"/>
      <c r="J193" s="523"/>
      <c r="K193" s="520"/>
      <c r="L193" s="523"/>
      <c r="M193" s="520"/>
      <c r="N193" s="523"/>
      <c r="O193" s="520"/>
      <c r="P193" s="523"/>
      <c r="Q193" s="520"/>
      <c r="R193" s="167"/>
      <c r="S193" s="520"/>
      <c r="T193" s="167"/>
      <c r="U193" s="528"/>
      <c r="V193" s="522"/>
      <c r="X193" s="4"/>
    </row>
    <row r="194" spans="1:24" s="8" customFormat="1" ht="16.8">
      <c r="A194" s="521"/>
      <c r="B194" s="2"/>
      <c r="F194" s="523"/>
      <c r="G194" s="535">
        <f t="shared" ref="G194" si="251">IF(G192="LCFF Rate",(G185*C185+G186*C186+G187*C187+G188*C188),(G190*E188))</f>
        <v>0</v>
      </c>
      <c r="H194" s="537"/>
      <c r="I194" s="535">
        <f t="shared" ref="I194" si="252">IF(I192="LCFF Rate",(I185*C185+I186*C186+I187*C187+I188*C188),(I190*E188))</f>
        <v>0</v>
      </c>
      <c r="J194" s="537"/>
      <c r="K194" s="535">
        <f t="shared" ref="K194" si="253">IF(K192="LCFF Rate",(K185*C185+K186*C186+K187*C187+K188*C188),(K190*E188))</f>
        <v>0</v>
      </c>
      <c r="L194" s="537"/>
      <c r="M194" s="535">
        <f t="shared" ref="M194" si="254">IF(M192="LCFF Rate",(M185*C185+M186*C186+M187*C187+M188*C188),(M190*E188))</f>
        <v>0</v>
      </c>
      <c r="N194" s="537"/>
      <c r="O194" s="535">
        <f t="shared" ref="O194" si="255">IF(O192="LCFF Rate",(O185*C185+O186*C186+O187*C187+O188*C188),(O190*E188))</f>
        <v>0</v>
      </c>
      <c r="P194" s="537"/>
      <c r="Q194" s="535">
        <f t="shared" ref="Q194" si="256">IF(Q192="LCFF Rate",(Q185*C185+Q186*C186+Q187*C187+Q188*C188),(Q190*E188))</f>
        <v>0</v>
      </c>
      <c r="R194" s="167"/>
      <c r="S194" s="538">
        <f t="shared" ref="S194" si="257">SUM(G194:Q194)</f>
        <v>0</v>
      </c>
      <c r="T194" s="167"/>
      <c r="U194" s="528"/>
      <c r="V194" s="522"/>
      <c r="X194" s="979"/>
    </row>
    <row r="195" spans="1:24" s="8" customFormat="1" ht="9" customHeight="1" thickBot="1">
      <c r="A195" s="529"/>
      <c r="B195" s="530"/>
      <c r="C195" s="531"/>
      <c r="D195" s="532"/>
      <c r="E195" s="533"/>
      <c r="F195" s="532"/>
      <c r="G195" s="530"/>
      <c r="H195" s="532"/>
      <c r="I195" s="530"/>
      <c r="J195" s="532"/>
      <c r="K195" s="530"/>
      <c r="L195" s="532"/>
      <c r="M195" s="530"/>
      <c r="N195" s="532"/>
      <c r="O195" s="530"/>
      <c r="P195" s="532"/>
      <c r="Q195" s="530"/>
      <c r="R195" s="532"/>
      <c r="S195" s="530"/>
      <c r="T195" s="532"/>
      <c r="U195" s="532"/>
      <c r="V195" s="534"/>
      <c r="X195" s="4"/>
    </row>
    <row r="196" spans="1:24" s="82" customFormat="1" ht="18" customHeight="1" thickBot="1">
      <c r="A196" s="890">
        <f>+A183+1</f>
        <v>15</v>
      </c>
      <c r="B196" s="891" t="str">
        <f>'Data Entry'!$B$3&amp;"-"&amp;C196</f>
        <v>-</v>
      </c>
      <c r="C196" s="891" t="str">
        <f>IFERROR(VLOOKUP('Data Entry'!$B$3&amp;"-"&amp;A196,'PY1 TFR ADA'!$D:$AT,2,FALSE),"")</f>
        <v/>
      </c>
      <c r="D196" s="892" t="str">
        <f>IFERROR(VLOOKUP('Data Entry'!$B$3&amp;"-"&amp;A196,'PY1 TFR ADA'!$D:$AT,4,FALSE),"")</f>
        <v/>
      </c>
      <c r="E196" s="893"/>
      <c r="F196" s="893"/>
      <c r="G196" s="893"/>
      <c r="H196" s="893"/>
      <c r="I196" s="893"/>
      <c r="J196" s="893"/>
      <c r="K196" s="893"/>
      <c r="L196" s="893"/>
      <c r="M196" s="893"/>
      <c r="N196" s="893"/>
      <c r="O196" s="893"/>
      <c r="P196" s="893"/>
      <c r="Q196" s="893"/>
      <c r="R196" s="893"/>
      <c r="S196" s="893"/>
      <c r="T196" s="893"/>
      <c r="U196" s="893"/>
      <c r="V196" s="894"/>
      <c r="X196" s="83"/>
    </row>
    <row r="197" spans="1:24" ht="75" customHeight="1">
      <c r="A197" s="521"/>
      <c r="C197" s="540" t="s">
        <v>1315</v>
      </c>
      <c r="D197" s="512"/>
      <c r="E197" s="540" t="s">
        <v>1316</v>
      </c>
      <c r="F197" s="512"/>
      <c r="G197" s="540" t="s">
        <v>1309</v>
      </c>
      <c r="H197" s="512"/>
      <c r="I197" s="540" t="s">
        <v>1310</v>
      </c>
      <c r="J197" s="512"/>
      <c r="K197" s="540" t="s">
        <v>1311</v>
      </c>
      <c r="L197" s="512"/>
      <c r="M197" s="540" t="s">
        <v>1312</v>
      </c>
      <c r="N197" s="512"/>
      <c r="O197" s="540" t="s">
        <v>1313</v>
      </c>
      <c r="P197" s="512"/>
      <c r="Q197" s="540" t="s">
        <v>1314</v>
      </c>
      <c r="R197" s="167"/>
      <c r="S197" s="540" t="s">
        <v>1308</v>
      </c>
      <c r="T197" s="167"/>
      <c r="U197" s="512" t="s">
        <v>1307</v>
      </c>
      <c r="V197" s="524"/>
      <c r="X197" s="283"/>
    </row>
    <row r="198" spans="1:24" s="8" customFormat="1" ht="14.4">
      <c r="A198" s="521"/>
      <c r="B198" s="510" t="s">
        <v>94</v>
      </c>
      <c r="C198" s="525">
        <f>IFERROR(VLOOKUP($B196,'PY1 TFR ADA'!$F:$AU,MATCH("A-1.1",'PY1 TFR ADA'!$F$5:$AU$5,0),FALSE),0)</f>
        <v>0</v>
      </c>
      <c r="D198" s="167"/>
      <c r="E198" s="525">
        <f>IFERROR(VALUE(VLOOKUP($B196,'PY1 TFR ADA'!$F:$AU,MATCH("A-2.1",'PY1 TFR ADA'!$F$5:$AU$5,0),FALSE)),0)</f>
        <v>0</v>
      </c>
      <c r="F198" s="167"/>
      <c r="G198" s="609">
        <f>IFERROR(VLOOKUP($B196,'PY1 TFR ADA'!$F:$AU,MATCH("b-1.1",'PY1 TFR ADA'!$F$5:$AU$5,0),FALSE),0)</f>
        <v>0</v>
      </c>
      <c r="H198" s="527"/>
      <c r="I198" s="609">
        <f>IFERROR(VLOOKUP($B196,'PY1 TFR ADA'!$F:$AU,MATCH("b-2.1",'PY1 TFR ADA'!$F$5:$AU$5,0),FALSE),0)</f>
        <v>0</v>
      </c>
      <c r="J198" s="527"/>
      <c r="K198" s="609">
        <f>IFERROR(VLOOKUP($B196,'PY1 TFR ADA'!$F:$AU,MATCH("b-3.1",'PY1 TFR ADA'!$F$5:$AU$5,0),FALSE),0)</f>
        <v>0</v>
      </c>
      <c r="L198" s="527"/>
      <c r="M198" s="609">
        <f>IFERROR(VLOOKUP($B196,'PY1 TFR ADA'!$F:$AU,MATCH("b-4.1",'PY1 TFR ADA'!$F$5:$AU$5,0),FALSE),0)</f>
        <v>0</v>
      </c>
      <c r="N198" s="527"/>
      <c r="O198" s="609">
        <f>IFERROR(VLOOKUP($B196,'PY1 TFR ADA'!$F:$AU,MATCH("b-5.1",'PY1 TFR ADA'!$F$5:$AU$5,0),FALSE),0)</f>
        <v>0</v>
      </c>
      <c r="P198" s="527"/>
      <c r="Q198" s="609">
        <f>IFERROR(VLOOKUP($B196,'PY1 TFR ADA'!$F:$AU,MATCH("b-6.1",'PY1 TFR ADA'!$F$5:$AU$5,0),FALSE),0)</f>
        <v>0</v>
      </c>
      <c r="R198" s="551"/>
      <c r="S198" s="601">
        <f t="shared" ref="S198:S201" si="258">SUM(G198:Q198)</f>
        <v>0</v>
      </c>
      <c r="T198" s="551"/>
      <c r="U198" s="536">
        <f t="shared" ref="U198" si="259">ROUND(IF($G205="LCFF Rate",(G198*$C198),(G198*$E198))+IF($I205="LCFF Rate",(I198*$C198),(I198*$E198))+IF($K205="LCFF Rate",(K198*$C198),(K198*$E198))+IF($M205="LCFF Rate",(M198*$C198),(M198*$E198))+IF($O205="LCFF Rate",(O198*$C198),(O198*$E198))+IF($Q205="LCFF Rate",(Q198*$C198),(Q198*$E198)),0)</f>
        <v>0</v>
      </c>
      <c r="V198" s="524"/>
      <c r="X198" s="496"/>
    </row>
    <row r="199" spans="1:24" s="8" customFormat="1" ht="14.4">
      <c r="A199" s="521"/>
      <c r="B199" s="510" t="s">
        <v>2</v>
      </c>
      <c r="C199" s="525">
        <f>IFERROR(VLOOKUP($B196,'PY1 TFR ADA'!$F:$AU,MATCH("A-1.2",'PY1 TFR ADA'!$F$5:$AU$5,0),FALSE),0)</f>
        <v>0</v>
      </c>
      <c r="D199" s="167"/>
      <c r="E199" s="525">
        <f>IFERROR(VALUE(VLOOKUP($B196,'PY1 TFR ADA'!$F:$AU,MATCH("A-2.2",'PY1 TFR ADA'!$F$5:$AU$5,0),FALSE)),0)</f>
        <v>0</v>
      </c>
      <c r="F199" s="167"/>
      <c r="G199" s="609">
        <f>IFERROR(VLOOKUP($B196,'PY1 TFR ADA'!$F:$AU,MATCH("b-1.2",'PY1 TFR ADA'!$F$5:$AU$5,0),FALSE),0)</f>
        <v>0</v>
      </c>
      <c r="H199" s="527"/>
      <c r="I199" s="609">
        <f>IFERROR(VLOOKUP($B196,'PY1 TFR ADA'!$F:$AU,MATCH("b-2.2",'PY1 TFR ADA'!$F$5:$AU$5,0),FALSE),0)</f>
        <v>0</v>
      </c>
      <c r="J199" s="527"/>
      <c r="K199" s="609">
        <f>IFERROR(VLOOKUP($B196,'PY1 TFR ADA'!$F:$AU,MATCH("b-3.2",'PY1 TFR ADA'!$F$5:$AU$5,0),FALSE),0)</f>
        <v>0</v>
      </c>
      <c r="L199" s="527"/>
      <c r="M199" s="609">
        <f>IFERROR(VLOOKUP($B196,'PY1 TFR ADA'!$F:$AU,MATCH("b-4.2",'PY1 TFR ADA'!$F$5:$AU$5,0),FALSE),0)</f>
        <v>0</v>
      </c>
      <c r="N199" s="527"/>
      <c r="O199" s="609">
        <f>IFERROR(VLOOKUP($B196,'PY1 TFR ADA'!$F:$AU,MATCH("b-5.2",'PY1 TFR ADA'!$F$5:$AU$5,0),FALSE),0)</f>
        <v>0</v>
      </c>
      <c r="P199" s="527"/>
      <c r="Q199" s="609">
        <f>IFERROR(VLOOKUP($B196,'PY1 TFR ADA'!$F:$AU,MATCH("b-6.2",'PY1 TFR ADA'!$F$5:$AU$5,0),FALSE),0)</f>
        <v>0</v>
      </c>
      <c r="R199" s="551"/>
      <c r="S199" s="601">
        <f t="shared" si="258"/>
        <v>0</v>
      </c>
      <c r="T199" s="551"/>
      <c r="U199" s="536">
        <f t="shared" ref="U199" si="260">ROUND(IF($G205="LCFF Rate",(G199*$C199),(G199*$E199))+IF($I205="LCFF Rate",(I199*$C199),(I199*$E199))+IF($K205="LCFF Rate",(K199*$C199),(K199*$E199))+IF($M205="LCFF Rate",(M199*$C199),(M199*$E199))+IF($O205="LCFF Rate",(O199*$C199),(O199*$E199))+IF($Q205="LCFF Rate",(Q199*$C199),(Q199*$E199)),0)</f>
        <v>0</v>
      </c>
      <c r="V199" s="524"/>
      <c r="X199" s="4"/>
    </row>
    <row r="200" spans="1:24" s="8" customFormat="1" ht="14.4">
      <c r="A200" s="521"/>
      <c r="B200" s="510" t="s">
        <v>3</v>
      </c>
      <c r="C200" s="525">
        <f>IFERROR(VLOOKUP($B196,'PY1 TFR ADA'!$F:$AU,MATCH("A-1.3",'PY1 TFR ADA'!$F$5:$AU$5,0),FALSE),0)</f>
        <v>0</v>
      </c>
      <c r="D200" s="167"/>
      <c r="E200" s="525">
        <f>IFERROR(VALUE(VLOOKUP($B196,'PY1 TFR ADA'!$F:$AU,MATCH("A-2.3",'PY1 TFR ADA'!$F$5:$AU$5,0),FALSE)),0)</f>
        <v>0</v>
      </c>
      <c r="F200" s="167"/>
      <c r="G200" s="609">
        <f>IFERROR(VLOOKUP($B196,'PY1 TFR ADA'!$F:$AU,MATCH("b-1.3",'PY1 TFR ADA'!$F$5:$AU$5,0),FALSE),0)</f>
        <v>0</v>
      </c>
      <c r="H200" s="527"/>
      <c r="I200" s="609">
        <f>IFERROR(VLOOKUP($B196,'PY1 TFR ADA'!$F:$AU,MATCH("b-2.3",'PY1 TFR ADA'!$F$5:$AU$5,0),FALSE),0)</f>
        <v>0</v>
      </c>
      <c r="J200" s="527"/>
      <c r="K200" s="609">
        <f>IFERROR(VLOOKUP($B196,'PY1 TFR ADA'!$F:$AU,MATCH("b-3.3",'PY1 TFR ADA'!$F$5:$AU$5,0),FALSE),0)</f>
        <v>0</v>
      </c>
      <c r="L200" s="527"/>
      <c r="M200" s="609">
        <f>IFERROR(VLOOKUP($B196,'PY1 TFR ADA'!$F:$AU,MATCH("b-4.3",'PY1 TFR ADA'!$F$5:$AU$5,0),FALSE),0)</f>
        <v>0</v>
      </c>
      <c r="N200" s="527"/>
      <c r="O200" s="609">
        <f>IFERROR(VLOOKUP($B196,'PY1 TFR ADA'!$F:$AU,MATCH("b-5.3",'PY1 TFR ADA'!$F$5:$AU$5,0),FALSE),0)</f>
        <v>0</v>
      </c>
      <c r="P200" s="527"/>
      <c r="Q200" s="609">
        <f>IFERROR(VLOOKUP($B196,'PY1 TFR ADA'!$F:$AU,MATCH("b-6.3",'PY1 TFR ADA'!$F$5:$AU$5,0),FALSE),0)</f>
        <v>0</v>
      </c>
      <c r="R200" s="551"/>
      <c r="S200" s="601">
        <f t="shared" si="258"/>
        <v>0</v>
      </c>
      <c r="T200" s="551"/>
      <c r="U200" s="536">
        <f t="shared" ref="U200" si="261">ROUND(IF($G205="LCFF Rate",(G200*$C200),(G200*$E200))+IF($I205="LCFF Rate",(I200*$C200),(I200*$E200))+IF($K205="LCFF Rate",(K200*$C200),(K200*$E200))+IF($M205="LCFF Rate",(M200*$C200),(M200*$E200))+IF($O205="LCFF Rate",(O200*$C200),(O200*$E200))+IF($Q205="LCFF Rate",(Q200*$C200),(Q200*$E200)),0)</f>
        <v>0</v>
      </c>
      <c r="V200" s="524"/>
      <c r="X200" s="4"/>
    </row>
    <row r="201" spans="1:24" s="8" customFormat="1" ht="14.4">
      <c r="A201" s="526"/>
      <c r="B201" s="510" t="s">
        <v>4</v>
      </c>
      <c r="C201" s="525">
        <f>IFERROR(VLOOKUP($B196,'PY1 TFR ADA'!$F:$AU,MATCH("A-1.4",'PY1 TFR ADA'!$F$5:$AU$5,0),FALSE),0)</f>
        <v>0</v>
      </c>
      <c r="D201" s="523"/>
      <c r="E201" s="525">
        <f>IFERROR(VALUE(VLOOKUP($B196,'PY1 TFR ADA'!$F:$AU,MATCH("A-2.4",'PY1 TFR ADA'!$F$5:$AU$5,0),FALSE)),0)</f>
        <v>0</v>
      </c>
      <c r="F201" s="523"/>
      <c r="G201" s="609">
        <f>IFERROR(VLOOKUP($B196,'PY1 TFR ADA'!$F:$AU,MATCH("b-1.4",'PY1 TFR ADA'!$F$5:$AU$5,0),FALSE),0)</f>
        <v>0</v>
      </c>
      <c r="H201" s="527"/>
      <c r="I201" s="609">
        <f>IFERROR(VLOOKUP($B196,'PY1 TFR ADA'!$F:$AU,MATCH("b-2.4",'PY1 TFR ADA'!$F$5:$AU$5,0),FALSE),0)</f>
        <v>0</v>
      </c>
      <c r="J201" s="527"/>
      <c r="K201" s="609">
        <f>IFERROR(VLOOKUP($B196,'PY1 TFR ADA'!$F:$AU,MATCH("b-3.4",'PY1 TFR ADA'!$F$5:$AU$5,0),FALSE),0)</f>
        <v>0</v>
      </c>
      <c r="L201" s="527"/>
      <c r="M201" s="609">
        <f>IFERROR(VLOOKUP($B196,'PY1 TFR ADA'!$F:$AU,MATCH("b-4.4",'PY1 TFR ADA'!$F$5:$AU$5,0),FALSE),0)</f>
        <v>0</v>
      </c>
      <c r="N201" s="527"/>
      <c r="O201" s="609">
        <f>IFERROR(VLOOKUP($B196,'PY1 TFR ADA'!$F:$AU,MATCH("b-5.4",'PY1 TFR ADA'!$F$5:$AU$5,0),FALSE),0)</f>
        <v>0</v>
      </c>
      <c r="P201" s="527"/>
      <c r="Q201" s="609">
        <f>IFERROR(VLOOKUP($B196,'PY1 TFR ADA'!$F:$AU,MATCH("b-6.4",'PY1 TFR ADA'!$F$5:$AU$5,0),FALSE),0)</f>
        <v>0</v>
      </c>
      <c r="R201" s="551"/>
      <c r="S201" s="601">
        <f t="shared" si="258"/>
        <v>0</v>
      </c>
      <c r="T201" s="551"/>
      <c r="U201" s="536">
        <f t="shared" ref="U201" si="262">ROUND(IF($G205="LCFF Rate",(G201*$C201),(G201*$E201))+IF($I205="LCFF Rate",(I201*$C201),(I201*$E201))+IF($K205="LCFF Rate",(K201*$C201),(K201*$E201))+IF($M205="LCFF Rate",(M201*$C201),(M201*$E201))+IF($O205="LCFF Rate",(O201*$C201),(O201*$E201))+IF($Q205="LCFF Rate",(Q201*$C201),(Q201*$E201)),0)</f>
        <v>0</v>
      </c>
      <c r="V201" s="522"/>
      <c r="X201" s="496"/>
    </row>
    <row r="202" spans="1:24" s="8" customFormat="1" ht="8.25" customHeight="1">
      <c r="A202" s="521"/>
      <c r="B202" s="167"/>
      <c r="C202" s="165"/>
      <c r="D202" s="523"/>
      <c r="E202" s="165"/>
      <c r="F202" s="523"/>
      <c r="G202" s="520"/>
      <c r="H202" s="523"/>
      <c r="I202" s="520"/>
      <c r="J202" s="523"/>
      <c r="K202" s="520"/>
      <c r="L202" s="523"/>
      <c r="M202" s="520"/>
      <c r="N202" s="523"/>
      <c r="O202" s="520"/>
      <c r="P202" s="523"/>
      <c r="Q202" s="520"/>
      <c r="R202" s="167"/>
      <c r="S202" s="520"/>
      <c r="T202" s="167"/>
      <c r="U202" s="602"/>
      <c r="V202" s="522"/>
      <c r="X202" s="4"/>
    </row>
    <row r="203" spans="1:24" s="8" customFormat="1" ht="14.4">
      <c r="A203" s="521"/>
      <c r="B203" s="167"/>
      <c r="C203" s="165"/>
      <c r="D203" s="523"/>
      <c r="E203" s="513" t="s">
        <v>1317</v>
      </c>
      <c r="F203" s="523"/>
      <c r="G203" s="601">
        <f t="shared" ref="G203" si="263">SUM(G198:G201)</f>
        <v>0</v>
      </c>
      <c r="H203" s="527"/>
      <c r="I203" s="601">
        <f t="shared" ref="I203" si="264">SUM(I198:I201)</f>
        <v>0</v>
      </c>
      <c r="J203" s="527"/>
      <c r="K203" s="601">
        <f t="shared" ref="K203" si="265">SUM(K198:K201)</f>
        <v>0</v>
      </c>
      <c r="L203" s="527"/>
      <c r="M203" s="601">
        <f t="shared" ref="M203" si="266">SUM(M198:M201)</f>
        <v>0</v>
      </c>
      <c r="N203" s="527"/>
      <c r="O203" s="601">
        <f t="shared" ref="O203" si="267">SUM(O198:O201)</f>
        <v>0</v>
      </c>
      <c r="P203" s="527"/>
      <c r="Q203" s="601">
        <f t="shared" ref="Q203" si="268">SUM(Q198:Q201)</f>
        <v>0</v>
      </c>
      <c r="R203" s="527"/>
      <c r="S203" s="601">
        <f t="shared" ref="S203" si="269">SUM(S198:S201)</f>
        <v>0</v>
      </c>
      <c r="T203" s="527"/>
      <c r="U203" s="536">
        <f t="shared" ref="U203" si="270">SUM(U198:U201)</f>
        <v>0</v>
      </c>
      <c r="V203" s="522"/>
      <c r="X203" s="4"/>
    </row>
    <row r="204" spans="1:24" s="8" customFormat="1" ht="8.25" customHeight="1">
      <c r="A204" s="521"/>
      <c r="B204" s="167"/>
      <c r="C204" s="165"/>
      <c r="D204" s="523"/>
      <c r="E204" s="165"/>
      <c r="F204" s="523"/>
      <c r="G204" s="520"/>
      <c r="H204" s="523"/>
      <c r="I204" s="520"/>
      <c r="J204" s="523"/>
      <c r="K204" s="520"/>
      <c r="L204" s="523"/>
      <c r="M204" s="520"/>
      <c r="N204" s="523"/>
      <c r="O204" s="520"/>
      <c r="P204" s="523"/>
      <c r="Q204" s="520"/>
      <c r="R204" s="167"/>
      <c r="S204" s="520"/>
      <c r="T204" s="167"/>
      <c r="U204" s="528"/>
      <c r="V204" s="522"/>
      <c r="X204" s="4"/>
    </row>
    <row r="205" spans="1:24" s="8" customFormat="1" ht="16.5" customHeight="1">
      <c r="A205" s="521"/>
      <c r="B205" s="167"/>
      <c r="C205" s="165"/>
      <c r="E205" s="513" t="s">
        <v>1304</v>
      </c>
      <c r="F205" s="523"/>
      <c r="G205" s="977">
        <f>_xlfn.IFNA(IF(VLOOKUP($B196,'PY1 TFR ADA'!$F:$AU,MATCH("B-1.5",'PY1 TFR ADA'!$F$5:$AU$5,0),FALSE)=TRUE,IF(VLOOKUP($B196,'PY1 TFR ADA'!$F:$AU,MATCH("C-1",'PY1 TFR ADA'!$F$5:$AU$5,0),FALSE)=TRUE,"Alternative Rate","LCFF Rate"),"LCFF Rate"),0)</f>
        <v>0</v>
      </c>
      <c r="H205" s="523"/>
      <c r="I205" s="977">
        <f>_xlfn.IFNA(IF(VLOOKUP($B196,'PY1 TFR ADA'!$F:$AU,MATCH("B-2.5",'PY1 TFR ADA'!$F$5:$AU$5,0),FALSE)=TRUE,IF(VLOOKUP($B196,'PY1 TFR ADA'!$F:$AU,MATCH("C-1",'PY1 TFR ADA'!$F$5:$AU$5,0),FALSE)=TRUE,"Alternative Rate","LCFF Rate"),"LCFF Rate"),0)</f>
        <v>0</v>
      </c>
      <c r="J205" s="523"/>
      <c r="K205" s="977">
        <f>_xlfn.IFNA(IF(VLOOKUP($B196,'PY1 TFR ADA'!$F:$AU,MATCH("B-3.5",'PY1 TFR ADA'!$F$5:$AU$5,0),FALSE)=TRUE,IF(VLOOKUP($B196,'PY1 TFR ADA'!$F:$AU,MATCH("C-1",'PY1 TFR ADA'!$F$5:$AU$5,0),FALSE)=TRUE,"Alternative Rate","LCFF Rate"),"LCFF Rate"),0)</f>
        <v>0</v>
      </c>
      <c r="L205" s="523"/>
      <c r="M205" s="977">
        <f>_xlfn.IFNA(IF(VLOOKUP($B196,'PY1 TFR ADA'!$F:$AU,MATCH("B-4.5",'PY1 TFR ADA'!$F$5:$AU$5,0),FALSE)=TRUE,IF(VLOOKUP($B196,'PY1 TFR ADA'!$F:$AU,MATCH("C-1",'PY1 TFR ADA'!$F$5:$AU$5,0),FALSE)=TRUE,"Alternative Rate","LCFF Rate"),"LCFF Rate"),0)</f>
        <v>0</v>
      </c>
      <c r="N205" s="523"/>
      <c r="O205" s="977">
        <f>_xlfn.IFNA(IF(VLOOKUP($B196,'PY1 TFR ADA'!$F:$AU,MATCH("B-5.5",'PY1 TFR ADA'!$F$5:$AU$5,0),FALSE)=TRUE,IF(VLOOKUP($B196,'PY1 TFR ADA'!$F:$AU,MATCH("C-1",'PY1 TFR ADA'!$F$5:$AU$5,0),FALSE)=TRUE,"Alternative Rate","LCFF Rate"),"LCFF Rate"),0)</f>
        <v>0</v>
      </c>
      <c r="P205" s="523"/>
      <c r="Q205" s="977">
        <f>_xlfn.IFNA(IF(VLOOKUP($B196,'PY1 TFR ADA'!$F:$AU,MATCH("B-6.5",'PY1 TFR ADA'!$F$5:$AU$5,0),FALSE)=TRUE,IF(VLOOKUP($B196,'PY1 TFR ADA'!$F:$AU,MATCH("C-1",'PY1 TFR ADA'!$F$5:$AU$5,0),FALSE)=TRUE,"Alternative Rate","LCFF Rate"),"LCFF Rate"),0)</f>
        <v>0</v>
      </c>
      <c r="R205" s="167"/>
      <c r="S205" s="520"/>
      <c r="T205" s="167"/>
      <c r="U205" s="528"/>
      <c r="V205" s="522"/>
      <c r="X205" s="283"/>
    </row>
    <row r="206" spans="1:24" s="8" customFormat="1" ht="8.25" customHeight="1">
      <c r="A206" s="521"/>
      <c r="B206" s="167"/>
      <c r="C206" s="165"/>
      <c r="D206" s="523"/>
      <c r="E206" s="165"/>
      <c r="F206" s="523"/>
      <c r="G206" s="520"/>
      <c r="H206" s="523"/>
      <c r="I206" s="520"/>
      <c r="J206" s="523"/>
      <c r="K206" s="520"/>
      <c r="L206" s="523"/>
      <c r="M206" s="520"/>
      <c r="N206" s="523"/>
      <c r="O206" s="520"/>
      <c r="P206" s="523"/>
      <c r="Q206" s="520"/>
      <c r="R206" s="167"/>
      <c r="S206" s="520"/>
      <c r="T206" s="167"/>
      <c r="U206" s="528"/>
      <c r="V206" s="522"/>
      <c r="X206" s="4"/>
    </row>
    <row r="207" spans="1:24" s="8" customFormat="1" ht="16.8">
      <c r="A207" s="521"/>
      <c r="B207" s="2"/>
      <c r="F207" s="523"/>
      <c r="G207" s="535">
        <f t="shared" ref="G207" si="271">IF(G205="LCFF Rate",(G198*C198+G199*C199+G200*C200+G201*C201),(G203*E201))</f>
        <v>0</v>
      </c>
      <c r="H207" s="537"/>
      <c r="I207" s="535">
        <f t="shared" ref="I207" si="272">IF(I205="LCFF Rate",(I198*C198+I199*C199+I200*C200+I201*C201),(I203*E201))</f>
        <v>0</v>
      </c>
      <c r="J207" s="537"/>
      <c r="K207" s="535">
        <f t="shared" ref="K207" si="273">IF(K205="LCFF Rate",(K198*C198+K199*C199+K200*C200+K201*C201),(K203*E201))</f>
        <v>0</v>
      </c>
      <c r="L207" s="537"/>
      <c r="M207" s="535">
        <f t="shared" ref="M207" si="274">IF(M205="LCFF Rate",(M198*C198+M199*C199+M200*C200+M201*C201),(M203*E201))</f>
        <v>0</v>
      </c>
      <c r="N207" s="537"/>
      <c r="O207" s="535">
        <f t="shared" ref="O207" si="275">IF(O205="LCFF Rate",(O198*C198+O199*C199+O200*C200+O201*C201),(O203*E201))</f>
        <v>0</v>
      </c>
      <c r="P207" s="537"/>
      <c r="Q207" s="535">
        <f t="shared" ref="Q207" si="276">IF(Q205="LCFF Rate",(Q198*C198+Q199*C199+Q200*C200+Q201*C201),(Q203*E201))</f>
        <v>0</v>
      </c>
      <c r="R207" s="167"/>
      <c r="S207" s="538">
        <f t="shared" ref="S207" si="277">SUM(G207:Q207)</f>
        <v>0</v>
      </c>
      <c r="T207" s="167"/>
      <c r="U207" s="528"/>
      <c r="V207" s="522"/>
      <c r="X207" s="979"/>
    </row>
    <row r="208" spans="1:24" s="8" customFormat="1" ht="9" customHeight="1" thickBot="1">
      <c r="A208" s="529"/>
      <c r="B208" s="530"/>
      <c r="C208" s="531"/>
      <c r="D208" s="532"/>
      <c r="E208" s="533"/>
      <c r="F208" s="532"/>
      <c r="G208" s="530"/>
      <c r="H208" s="532"/>
      <c r="I208" s="530"/>
      <c r="J208" s="532"/>
      <c r="K208" s="530"/>
      <c r="L208" s="532"/>
      <c r="M208" s="530"/>
      <c r="N208" s="532"/>
      <c r="O208" s="530"/>
      <c r="P208" s="532"/>
      <c r="Q208" s="530"/>
      <c r="R208" s="532"/>
      <c r="S208" s="530"/>
      <c r="T208" s="532"/>
      <c r="U208" s="532"/>
      <c r="V208" s="534"/>
      <c r="X208" s="4"/>
    </row>
    <row r="209" spans="1:24" s="82" customFormat="1" ht="18" customHeight="1" thickBot="1">
      <c r="A209" s="890">
        <f>+A196+1</f>
        <v>16</v>
      </c>
      <c r="B209" s="891" t="str">
        <f>'Data Entry'!$B$3&amp;"-"&amp;C209</f>
        <v>-</v>
      </c>
      <c r="C209" s="891" t="str">
        <f>IFERROR(VLOOKUP('Data Entry'!$B$3&amp;"-"&amp;A209,'PY1 TFR ADA'!$D:$AT,2,FALSE),"")</f>
        <v/>
      </c>
      <c r="D209" s="892" t="str">
        <f>IFERROR(VLOOKUP('Data Entry'!$B$3&amp;"-"&amp;A209,'PY1 TFR ADA'!$D:$AT,4,FALSE),"")</f>
        <v/>
      </c>
      <c r="E209" s="893"/>
      <c r="F209" s="893"/>
      <c r="G209" s="893"/>
      <c r="H209" s="893"/>
      <c r="I209" s="893"/>
      <c r="J209" s="893"/>
      <c r="K209" s="893"/>
      <c r="L209" s="893"/>
      <c r="M209" s="893"/>
      <c r="N209" s="893"/>
      <c r="O209" s="893"/>
      <c r="P209" s="893"/>
      <c r="Q209" s="893"/>
      <c r="R209" s="893"/>
      <c r="S209" s="893"/>
      <c r="T209" s="893"/>
      <c r="U209" s="893"/>
      <c r="V209" s="894"/>
      <c r="X209" s="83"/>
    </row>
    <row r="210" spans="1:24" ht="75" customHeight="1">
      <c r="A210" s="521"/>
      <c r="C210" s="540" t="s">
        <v>1315</v>
      </c>
      <c r="D210" s="512"/>
      <c r="E210" s="540" t="s">
        <v>1316</v>
      </c>
      <c r="F210" s="512"/>
      <c r="G210" s="540" t="s">
        <v>1309</v>
      </c>
      <c r="H210" s="512"/>
      <c r="I210" s="540" t="s">
        <v>1310</v>
      </c>
      <c r="J210" s="512"/>
      <c r="K210" s="540" t="s">
        <v>1311</v>
      </c>
      <c r="L210" s="512"/>
      <c r="M210" s="540" t="s">
        <v>1312</v>
      </c>
      <c r="N210" s="512"/>
      <c r="O210" s="540" t="s">
        <v>1313</v>
      </c>
      <c r="P210" s="512"/>
      <c r="Q210" s="540" t="s">
        <v>1314</v>
      </c>
      <c r="R210" s="167"/>
      <c r="S210" s="540" t="s">
        <v>1308</v>
      </c>
      <c r="T210" s="167"/>
      <c r="U210" s="512" t="s">
        <v>1307</v>
      </c>
      <c r="V210" s="524"/>
      <c r="X210" s="283"/>
    </row>
    <row r="211" spans="1:24" s="8" customFormat="1" ht="14.4">
      <c r="A211" s="521"/>
      <c r="B211" s="510" t="s">
        <v>94</v>
      </c>
      <c r="C211" s="525">
        <f>IFERROR(VLOOKUP($B209,'PY1 TFR ADA'!$F:$AU,MATCH("A-1.1",'PY1 TFR ADA'!$F$5:$AU$5,0),FALSE),0)</f>
        <v>0</v>
      </c>
      <c r="D211" s="167"/>
      <c r="E211" s="525">
        <f>IFERROR(VALUE(VLOOKUP($B209,'PY1 TFR ADA'!$F:$AU,MATCH("A-2.1",'PY1 TFR ADA'!$F$5:$AU$5,0),FALSE)),0)</f>
        <v>0</v>
      </c>
      <c r="F211" s="167"/>
      <c r="G211" s="609">
        <f>IFERROR(VLOOKUP($B209,'PY1 TFR ADA'!$F:$AU,MATCH("b-1.1",'PY1 TFR ADA'!$F$5:$AU$5,0),FALSE),0)</f>
        <v>0</v>
      </c>
      <c r="H211" s="527"/>
      <c r="I211" s="609">
        <f>IFERROR(VLOOKUP($B209,'PY1 TFR ADA'!$F:$AU,MATCH("b-2.1",'PY1 TFR ADA'!$F$5:$AU$5,0),FALSE),0)</f>
        <v>0</v>
      </c>
      <c r="J211" s="527"/>
      <c r="K211" s="609">
        <f>IFERROR(VLOOKUP($B209,'PY1 TFR ADA'!$F:$AU,MATCH("b-3.1",'PY1 TFR ADA'!$F$5:$AU$5,0),FALSE),0)</f>
        <v>0</v>
      </c>
      <c r="L211" s="527"/>
      <c r="M211" s="609">
        <f>IFERROR(VLOOKUP($B209,'PY1 TFR ADA'!$F:$AU,MATCH("b-4.1",'PY1 TFR ADA'!$F$5:$AU$5,0),FALSE),0)</f>
        <v>0</v>
      </c>
      <c r="N211" s="527"/>
      <c r="O211" s="609">
        <f>IFERROR(VLOOKUP($B209,'PY1 TFR ADA'!$F:$AU,MATCH("b-5.1",'PY1 TFR ADA'!$F$5:$AU$5,0),FALSE),0)</f>
        <v>0</v>
      </c>
      <c r="P211" s="527"/>
      <c r="Q211" s="609">
        <f>IFERROR(VLOOKUP($B209,'PY1 TFR ADA'!$F:$AU,MATCH("b-6.1",'PY1 TFR ADA'!$F$5:$AU$5,0),FALSE),0)</f>
        <v>0</v>
      </c>
      <c r="R211" s="551"/>
      <c r="S211" s="601">
        <f t="shared" ref="S211:S214" si="278">SUM(G211:Q211)</f>
        <v>0</v>
      </c>
      <c r="T211" s="551"/>
      <c r="U211" s="536">
        <f t="shared" ref="U211" si="279">ROUND(IF($G218="LCFF Rate",(G211*$C211),(G211*$E211))+IF($I218="LCFF Rate",(I211*$C211),(I211*$E211))+IF($K218="LCFF Rate",(K211*$C211),(K211*$E211))+IF($M218="LCFF Rate",(M211*$C211),(M211*$E211))+IF($O218="LCFF Rate",(O211*$C211),(O211*$E211))+IF($Q218="LCFF Rate",(Q211*$C211),(Q211*$E211)),0)</f>
        <v>0</v>
      </c>
      <c r="V211" s="524"/>
      <c r="X211" s="496"/>
    </row>
    <row r="212" spans="1:24" s="8" customFormat="1" ht="14.4">
      <c r="A212" s="521"/>
      <c r="B212" s="510" t="s">
        <v>2</v>
      </c>
      <c r="C212" s="525">
        <f>IFERROR(VLOOKUP($B209,'PY1 TFR ADA'!$F:$AU,MATCH("A-1.2",'PY1 TFR ADA'!$F$5:$AU$5,0),FALSE),0)</f>
        <v>0</v>
      </c>
      <c r="D212" s="167"/>
      <c r="E212" s="525">
        <f>IFERROR(VALUE(VLOOKUP($B209,'PY1 TFR ADA'!$F:$AU,MATCH("A-2.2",'PY1 TFR ADA'!$F$5:$AU$5,0),FALSE)),0)</f>
        <v>0</v>
      </c>
      <c r="F212" s="167"/>
      <c r="G212" s="609">
        <f>IFERROR(VLOOKUP($B209,'PY1 TFR ADA'!$F:$AU,MATCH("b-1.2",'PY1 TFR ADA'!$F$5:$AU$5,0),FALSE),0)</f>
        <v>0</v>
      </c>
      <c r="H212" s="527"/>
      <c r="I212" s="609">
        <f>IFERROR(VLOOKUP($B209,'PY1 TFR ADA'!$F:$AU,MATCH("b-2.2",'PY1 TFR ADA'!$F$5:$AU$5,0),FALSE),0)</f>
        <v>0</v>
      </c>
      <c r="J212" s="527"/>
      <c r="K212" s="609">
        <f>IFERROR(VLOOKUP($B209,'PY1 TFR ADA'!$F:$AU,MATCH("b-3.2",'PY1 TFR ADA'!$F$5:$AU$5,0),FALSE),0)</f>
        <v>0</v>
      </c>
      <c r="L212" s="527"/>
      <c r="M212" s="609">
        <f>IFERROR(VLOOKUP($B209,'PY1 TFR ADA'!$F:$AU,MATCH("b-4.2",'PY1 TFR ADA'!$F$5:$AU$5,0),FALSE),0)</f>
        <v>0</v>
      </c>
      <c r="N212" s="527"/>
      <c r="O212" s="609">
        <f>IFERROR(VLOOKUP($B209,'PY1 TFR ADA'!$F:$AU,MATCH("b-5.2",'PY1 TFR ADA'!$F$5:$AU$5,0),FALSE),0)</f>
        <v>0</v>
      </c>
      <c r="P212" s="527"/>
      <c r="Q212" s="609">
        <f>IFERROR(VLOOKUP($B209,'PY1 TFR ADA'!$F:$AU,MATCH("b-6.2",'PY1 TFR ADA'!$F$5:$AU$5,0),FALSE),0)</f>
        <v>0</v>
      </c>
      <c r="R212" s="551"/>
      <c r="S212" s="601">
        <f t="shared" si="278"/>
        <v>0</v>
      </c>
      <c r="T212" s="551"/>
      <c r="U212" s="536">
        <f t="shared" ref="U212" si="280">ROUND(IF($G218="LCFF Rate",(G212*$C212),(G212*$E212))+IF($I218="LCFF Rate",(I212*$C212),(I212*$E212))+IF($K218="LCFF Rate",(K212*$C212),(K212*$E212))+IF($M218="LCFF Rate",(M212*$C212),(M212*$E212))+IF($O218="LCFF Rate",(O212*$C212),(O212*$E212))+IF($Q218="LCFF Rate",(Q212*$C212),(Q212*$E212)),0)</f>
        <v>0</v>
      </c>
      <c r="V212" s="524"/>
      <c r="X212" s="4"/>
    </row>
    <row r="213" spans="1:24" s="8" customFormat="1" ht="14.4">
      <c r="A213" s="521"/>
      <c r="B213" s="510" t="s">
        <v>3</v>
      </c>
      <c r="C213" s="525">
        <f>IFERROR(VLOOKUP($B209,'PY1 TFR ADA'!$F:$AU,MATCH("A-1.3",'PY1 TFR ADA'!$F$5:$AU$5,0),FALSE),0)</f>
        <v>0</v>
      </c>
      <c r="D213" s="167"/>
      <c r="E213" s="525">
        <f>IFERROR(VALUE(VLOOKUP($B209,'PY1 TFR ADA'!$F:$AU,MATCH("A-2.3",'PY1 TFR ADA'!$F$5:$AU$5,0),FALSE)),0)</f>
        <v>0</v>
      </c>
      <c r="F213" s="167"/>
      <c r="G213" s="609">
        <f>IFERROR(VLOOKUP($B209,'PY1 TFR ADA'!$F:$AU,MATCH("b-1.3",'PY1 TFR ADA'!$F$5:$AU$5,0),FALSE),0)</f>
        <v>0</v>
      </c>
      <c r="H213" s="527"/>
      <c r="I213" s="609">
        <f>IFERROR(VLOOKUP($B209,'PY1 TFR ADA'!$F:$AU,MATCH("b-2.3",'PY1 TFR ADA'!$F$5:$AU$5,0),FALSE),0)</f>
        <v>0</v>
      </c>
      <c r="J213" s="527"/>
      <c r="K213" s="609">
        <f>IFERROR(VLOOKUP($B209,'PY1 TFR ADA'!$F:$AU,MATCH("b-3.3",'PY1 TFR ADA'!$F$5:$AU$5,0),FALSE),0)</f>
        <v>0</v>
      </c>
      <c r="L213" s="527"/>
      <c r="M213" s="609">
        <f>IFERROR(VLOOKUP($B209,'PY1 TFR ADA'!$F:$AU,MATCH("b-4.3",'PY1 TFR ADA'!$F$5:$AU$5,0),FALSE),0)</f>
        <v>0</v>
      </c>
      <c r="N213" s="527"/>
      <c r="O213" s="609">
        <f>IFERROR(VLOOKUP($B209,'PY1 TFR ADA'!$F:$AU,MATCH("b-5.3",'PY1 TFR ADA'!$F$5:$AU$5,0),FALSE),0)</f>
        <v>0</v>
      </c>
      <c r="P213" s="527"/>
      <c r="Q213" s="609">
        <f>IFERROR(VLOOKUP($B209,'PY1 TFR ADA'!$F:$AU,MATCH("b-6.3",'PY1 TFR ADA'!$F$5:$AU$5,0),FALSE),0)</f>
        <v>0</v>
      </c>
      <c r="R213" s="551"/>
      <c r="S213" s="601">
        <f t="shared" si="278"/>
        <v>0</v>
      </c>
      <c r="T213" s="551"/>
      <c r="U213" s="536">
        <f t="shared" ref="U213" si="281">ROUND(IF($G218="LCFF Rate",(G213*$C213),(G213*$E213))+IF($I218="LCFF Rate",(I213*$C213),(I213*$E213))+IF($K218="LCFF Rate",(K213*$C213),(K213*$E213))+IF($M218="LCFF Rate",(M213*$C213),(M213*$E213))+IF($O218="LCFF Rate",(O213*$C213),(O213*$E213))+IF($Q218="LCFF Rate",(Q213*$C213),(Q213*$E213)),0)</f>
        <v>0</v>
      </c>
      <c r="V213" s="524"/>
      <c r="X213" s="4"/>
    </row>
    <row r="214" spans="1:24" s="8" customFormat="1" ht="14.4">
      <c r="A214" s="526"/>
      <c r="B214" s="510" t="s">
        <v>4</v>
      </c>
      <c r="C214" s="525">
        <f>IFERROR(VLOOKUP($B209,'PY1 TFR ADA'!$F:$AU,MATCH("A-1.4",'PY1 TFR ADA'!$F$5:$AU$5,0),FALSE),0)</f>
        <v>0</v>
      </c>
      <c r="D214" s="523"/>
      <c r="E214" s="525">
        <f>IFERROR(VALUE(VLOOKUP($B209,'PY1 TFR ADA'!$F:$AU,MATCH("A-2.4",'PY1 TFR ADA'!$F$5:$AU$5,0),FALSE)),0)</f>
        <v>0</v>
      </c>
      <c r="F214" s="523"/>
      <c r="G214" s="609">
        <f>IFERROR(VLOOKUP($B209,'PY1 TFR ADA'!$F:$AU,MATCH("b-1.4",'PY1 TFR ADA'!$F$5:$AU$5,0),FALSE),0)</f>
        <v>0</v>
      </c>
      <c r="H214" s="527"/>
      <c r="I214" s="609">
        <f>IFERROR(VLOOKUP($B209,'PY1 TFR ADA'!$F:$AU,MATCH("b-2.4",'PY1 TFR ADA'!$F$5:$AU$5,0),FALSE),0)</f>
        <v>0</v>
      </c>
      <c r="J214" s="527"/>
      <c r="K214" s="609">
        <f>IFERROR(VLOOKUP($B209,'PY1 TFR ADA'!$F:$AU,MATCH("b-3.4",'PY1 TFR ADA'!$F$5:$AU$5,0),FALSE),0)</f>
        <v>0</v>
      </c>
      <c r="L214" s="527"/>
      <c r="M214" s="609">
        <f>IFERROR(VLOOKUP($B209,'PY1 TFR ADA'!$F:$AU,MATCH("b-4.4",'PY1 TFR ADA'!$F$5:$AU$5,0),FALSE),0)</f>
        <v>0</v>
      </c>
      <c r="N214" s="527"/>
      <c r="O214" s="609">
        <f>IFERROR(VLOOKUP($B209,'PY1 TFR ADA'!$F:$AU,MATCH("b-5.4",'PY1 TFR ADA'!$F$5:$AU$5,0),FALSE),0)</f>
        <v>0</v>
      </c>
      <c r="P214" s="527"/>
      <c r="Q214" s="609">
        <f>IFERROR(VLOOKUP($B209,'PY1 TFR ADA'!$F:$AU,MATCH("b-6.4",'PY1 TFR ADA'!$F$5:$AU$5,0),FALSE),0)</f>
        <v>0</v>
      </c>
      <c r="R214" s="551"/>
      <c r="S214" s="601">
        <f t="shared" si="278"/>
        <v>0</v>
      </c>
      <c r="T214" s="551"/>
      <c r="U214" s="536">
        <f t="shared" ref="U214" si="282">ROUND(IF($G218="LCFF Rate",(G214*$C214),(G214*$E214))+IF($I218="LCFF Rate",(I214*$C214),(I214*$E214))+IF($K218="LCFF Rate",(K214*$C214),(K214*$E214))+IF($M218="LCFF Rate",(M214*$C214),(M214*$E214))+IF($O218="LCFF Rate",(O214*$C214),(O214*$E214))+IF($Q218="LCFF Rate",(Q214*$C214),(Q214*$E214)),0)</f>
        <v>0</v>
      </c>
      <c r="V214" s="522"/>
      <c r="X214" s="496"/>
    </row>
    <row r="215" spans="1:24" s="8" customFormat="1" ht="8.25" customHeight="1">
      <c r="A215" s="521"/>
      <c r="B215" s="167"/>
      <c r="C215" s="165"/>
      <c r="D215" s="523"/>
      <c r="E215" s="165"/>
      <c r="F215" s="523"/>
      <c r="G215" s="520"/>
      <c r="H215" s="523"/>
      <c r="I215" s="520"/>
      <c r="J215" s="523"/>
      <c r="K215" s="520"/>
      <c r="L215" s="523"/>
      <c r="M215" s="520"/>
      <c r="N215" s="523"/>
      <c r="O215" s="520"/>
      <c r="P215" s="523"/>
      <c r="Q215" s="520"/>
      <c r="R215" s="167"/>
      <c r="S215" s="520"/>
      <c r="T215" s="167"/>
      <c r="U215" s="602"/>
      <c r="V215" s="522"/>
      <c r="X215" s="4"/>
    </row>
    <row r="216" spans="1:24" s="8" customFormat="1" ht="14.4">
      <c r="A216" s="521"/>
      <c r="B216" s="167"/>
      <c r="C216" s="165"/>
      <c r="D216" s="523"/>
      <c r="E216" s="513" t="s">
        <v>1317</v>
      </c>
      <c r="F216" s="523"/>
      <c r="G216" s="601">
        <f t="shared" ref="G216" si="283">SUM(G211:G214)</f>
        <v>0</v>
      </c>
      <c r="H216" s="527"/>
      <c r="I216" s="601">
        <f t="shared" ref="I216" si="284">SUM(I211:I214)</f>
        <v>0</v>
      </c>
      <c r="J216" s="527"/>
      <c r="K216" s="601">
        <f t="shared" ref="K216" si="285">SUM(K211:K214)</f>
        <v>0</v>
      </c>
      <c r="L216" s="527"/>
      <c r="M216" s="601">
        <f t="shared" ref="M216" si="286">SUM(M211:M214)</f>
        <v>0</v>
      </c>
      <c r="N216" s="527"/>
      <c r="O216" s="601">
        <f t="shared" ref="O216" si="287">SUM(O211:O214)</f>
        <v>0</v>
      </c>
      <c r="P216" s="527"/>
      <c r="Q216" s="601">
        <f t="shared" ref="Q216" si="288">SUM(Q211:Q214)</f>
        <v>0</v>
      </c>
      <c r="R216" s="527"/>
      <c r="S216" s="601">
        <f t="shared" ref="S216" si="289">SUM(S211:S214)</f>
        <v>0</v>
      </c>
      <c r="T216" s="527"/>
      <c r="U216" s="536">
        <f t="shared" ref="U216" si="290">SUM(U211:U214)</f>
        <v>0</v>
      </c>
      <c r="V216" s="522"/>
      <c r="X216" s="4"/>
    </row>
    <row r="217" spans="1:24" s="8" customFormat="1" ht="8.25" customHeight="1">
      <c r="A217" s="521"/>
      <c r="B217" s="167"/>
      <c r="C217" s="165"/>
      <c r="D217" s="523"/>
      <c r="E217" s="165"/>
      <c r="F217" s="523"/>
      <c r="G217" s="520"/>
      <c r="H217" s="523"/>
      <c r="I217" s="520"/>
      <c r="J217" s="523"/>
      <c r="K217" s="520"/>
      <c r="L217" s="523"/>
      <c r="M217" s="520"/>
      <c r="N217" s="523"/>
      <c r="O217" s="520"/>
      <c r="P217" s="523"/>
      <c r="Q217" s="520"/>
      <c r="R217" s="167"/>
      <c r="S217" s="520"/>
      <c r="T217" s="167"/>
      <c r="U217" s="528"/>
      <c r="V217" s="522"/>
      <c r="X217" s="4"/>
    </row>
    <row r="218" spans="1:24" s="8" customFormat="1" ht="16.5" customHeight="1">
      <c r="A218" s="521"/>
      <c r="B218" s="167"/>
      <c r="C218" s="165"/>
      <c r="E218" s="513" t="s">
        <v>1304</v>
      </c>
      <c r="F218" s="523"/>
      <c r="G218" s="977">
        <f>_xlfn.IFNA(IF(VLOOKUP($B209,'PY1 TFR ADA'!$F:$AU,MATCH("B-1.5",'PY1 TFR ADA'!$F$5:$AU$5,0),FALSE)=TRUE,IF(VLOOKUP($B209,'PY1 TFR ADA'!$F:$AU,MATCH("C-1",'PY1 TFR ADA'!$F$5:$AU$5,0),FALSE)=TRUE,"Alternative Rate","LCFF Rate"),"LCFF Rate"),0)</f>
        <v>0</v>
      </c>
      <c r="H218" s="523"/>
      <c r="I218" s="977">
        <f>_xlfn.IFNA(IF(VLOOKUP($B209,'PY1 TFR ADA'!$F:$AU,MATCH("B-2.5",'PY1 TFR ADA'!$F$5:$AU$5,0),FALSE)=TRUE,IF(VLOOKUP($B209,'PY1 TFR ADA'!$F:$AU,MATCH("C-1",'PY1 TFR ADA'!$F$5:$AU$5,0),FALSE)=TRUE,"Alternative Rate","LCFF Rate"),"LCFF Rate"),0)</f>
        <v>0</v>
      </c>
      <c r="J218" s="523"/>
      <c r="K218" s="977">
        <f>_xlfn.IFNA(IF(VLOOKUP($B209,'PY1 TFR ADA'!$F:$AU,MATCH("B-3.5",'PY1 TFR ADA'!$F$5:$AU$5,0),FALSE)=TRUE,IF(VLOOKUP($B209,'PY1 TFR ADA'!$F:$AU,MATCH("C-1",'PY1 TFR ADA'!$F$5:$AU$5,0),FALSE)=TRUE,"Alternative Rate","LCFF Rate"),"LCFF Rate"),0)</f>
        <v>0</v>
      </c>
      <c r="L218" s="523"/>
      <c r="M218" s="977">
        <f>_xlfn.IFNA(IF(VLOOKUP($B209,'PY1 TFR ADA'!$F:$AU,MATCH("B-4.5",'PY1 TFR ADA'!$F$5:$AU$5,0),FALSE)=TRUE,IF(VLOOKUP($B209,'PY1 TFR ADA'!$F:$AU,MATCH("C-1",'PY1 TFR ADA'!$F$5:$AU$5,0),FALSE)=TRUE,"Alternative Rate","LCFF Rate"),"LCFF Rate"),0)</f>
        <v>0</v>
      </c>
      <c r="N218" s="523"/>
      <c r="O218" s="977">
        <f>_xlfn.IFNA(IF(VLOOKUP($B209,'PY1 TFR ADA'!$F:$AU,MATCH("B-5.5",'PY1 TFR ADA'!$F$5:$AU$5,0),FALSE)=TRUE,IF(VLOOKUP($B209,'PY1 TFR ADA'!$F:$AU,MATCH("C-1",'PY1 TFR ADA'!$F$5:$AU$5,0),FALSE)=TRUE,"Alternative Rate","LCFF Rate"),"LCFF Rate"),0)</f>
        <v>0</v>
      </c>
      <c r="P218" s="523"/>
      <c r="Q218" s="977">
        <f>_xlfn.IFNA(IF(VLOOKUP($B209,'PY1 TFR ADA'!$F:$AU,MATCH("B-6.5",'PY1 TFR ADA'!$F$5:$AU$5,0),FALSE)=TRUE,IF(VLOOKUP($B209,'PY1 TFR ADA'!$F:$AU,MATCH("C-1",'PY1 TFR ADA'!$F$5:$AU$5,0),FALSE)=TRUE,"Alternative Rate","LCFF Rate"),"LCFF Rate"),0)</f>
        <v>0</v>
      </c>
      <c r="R218" s="167"/>
      <c r="S218" s="520"/>
      <c r="T218" s="167"/>
      <c r="U218" s="528"/>
      <c r="V218" s="522"/>
      <c r="X218" s="283"/>
    </row>
    <row r="219" spans="1:24" s="8" customFormat="1" ht="8.25" customHeight="1">
      <c r="A219" s="521"/>
      <c r="B219" s="167"/>
      <c r="C219" s="165"/>
      <c r="D219" s="523"/>
      <c r="E219" s="165"/>
      <c r="F219" s="523"/>
      <c r="G219" s="520"/>
      <c r="H219" s="523"/>
      <c r="I219" s="520"/>
      <c r="J219" s="523"/>
      <c r="K219" s="520"/>
      <c r="L219" s="523"/>
      <c r="M219" s="520"/>
      <c r="N219" s="523"/>
      <c r="O219" s="520"/>
      <c r="P219" s="523"/>
      <c r="Q219" s="520"/>
      <c r="R219" s="167"/>
      <c r="S219" s="520"/>
      <c r="T219" s="167"/>
      <c r="U219" s="528"/>
      <c r="V219" s="522"/>
      <c r="X219" s="4"/>
    </row>
    <row r="220" spans="1:24" s="8" customFormat="1" ht="16.8">
      <c r="A220" s="521"/>
      <c r="B220" s="2"/>
      <c r="F220" s="523"/>
      <c r="G220" s="535">
        <f t="shared" ref="G220" si="291">IF(G218="LCFF Rate",(G211*C211+G212*C212+G213*C213+G214*C214),(G216*E214))</f>
        <v>0</v>
      </c>
      <c r="H220" s="537"/>
      <c r="I220" s="535">
        <f t="shared" ref="I220" si="292">IF(I218="LCFF Rate",(I211*C211+I212*C212+I213*C213+I214*C214),(I216*E214))</f>
        <v>0</v>
      </c>
      <c r="J220" s="537"/>
      <c r="K220" s="535">
        <f t="shared" ref="K220" si="293">IF(K218="LCFF Rate",(K211*C211+K212*C212+K213*C213+K214*C214),(K216*E214))</f>
        <v>0</v>
      </c>
      <c r="L220" s="537"/>
      <c r="M220" s="535">
        <f t="shared" ref="M220" si="294">IF(M218="LCFF Rate",(M211*C211+M212*C212+M213*C213+M214*C214),(M216*E214))</f>
        <v>0</v>
      </c>
      <c r="N220" s="537"/>
      <c r="O220" s="535">
        <f t="shared" ref="O220" si="295">IF(O218="LCFF Rate",(O211*C211+O212*C212+O213*C213+O214*C214),(O216*E214))</f>
        <v>0</v>
      </c>
      <c r="P220" s="537"/>
      <c r="Q220" s="535">
        <f t="shared" ref="Q220" si="296">IF(Q218="LCFF Rate",(Q211*C211+Q212*C212+Q213*C213+Q214*C214),(Q216*E214))</f>
        <v>0</v>
      </c>
      <c r="R220" s="167"/>
      <c r="S220" s="538">
        <f t="shared" ref="S220" si="297">SUM(G220:Q220)</f>
        <v>0</v>
      </c>
      <c r="T220" s="167"/>
      <c r="U220" s="528"/>
      <c r="V220" s="522"/>
      <c r="X220" s="979"/>
    </row>
    <row r="221" spans="1:24" s="8" customFormat="1" ht="9" customHeight="1" thickBot="1">
      <c r="A221" s="529"/>
      <c r="B221" s="530"/>
      <c r="C221" s="531"/>
      <c r="D221" s="532"/>
      <c r="E221" s="533"/>
      <c r="F221" s="532"/>
      <c r="G221" s="530"/>
      <c r="H221" s="532"/>
      <c r="I221" s="530"/>
      <c r="J221" s="532"/>
      <c r="K221" s="530"/>
      <c r="L221" s="532"/>
      <c r="M221" s="530"/>
      <c r="N221" s="532"/>
      <c r="O221" s="530"/>
      <c r="P221" s="532"/>
      <c r="Q221" s="530"/>
      <c r="R221" s="532"/>
      <c r="S221" s="530"/>
      <c r="T221" s="532"/>
      <c r="U221" s="532"/>
      <c r="V221" s="534"/>
      <c r="X221" s="4"/>
    </row>
    <row r="222" spans="1:24" s="82" customFormat="1" ht="18" customHeight="1" thickBot="1">
      <c r="A222" s="890">
        <f>+A209+1</f>
        <v>17</v>
      </c>
      <c r="B222" s="891" t="str">
        <f>'Data Entry'!$B$3&amp;"-"&amp;C222</f>
        <v>-</v>
      </c>
      <c r="C222" s="891" t="str">
        <f>IFERROR(VLOOKUP('Data Entry'!$B$3&amp;"-"&amp;A222,'PY1 TFR ADA'!$D:$AT,2,FALSE),"")</f>
        <v/>
      </c>
      <c r="D222" s="892" t="str">
        <f>IFERROR(VLOOKUP('Data Entry'!$B$3&amp;"-"&amp;A222,'PY1 TFR ADA'!$D:$AT,4,FALSE),"")</f>
        <v/>
      </c>
      <c r="E222" s="893"/>
      <c r="F222" s="893"/>
      <c r="G222" s="893"/>
      <c r="H222" s="893"/>
      <c r="I222" s="893"/>
      <c r="J222" s="893"/>
      <c r="K222" s="893"/>
      <c r="L222" s="893"/>
      <c r="M222" s="893"/>
      <c r="N222" s="893"/>
      <c r="O222" s="893"/>
      <c r="P222" s="893"/>
      <c r="Q222" s="893"/>
      <c r="R222" s="893"/>
      <c r="S222" s="893"/>
      <c r="T222" s="893"/>
      <c r="U222" s="893"/>
      <c r="V222" s="894"/>
      <c r="X222" s="83"/>
    </row>
    <row r="223" spans="1:24" ht="75" customHeight="1">
      <c r="A223" s="521"/>
      <c r="C223" s="540" t="s">
        <v>1315</v>
      </c>
      <c r="D223" s="512"/>
      <c r="E223" s="540" t="s">
        <v>1316</v>
      </c>
      <c r="F223" s="512"/>
      <c r="G223" s="540" t="s">
        <v>1309</v>
      </c>
      <c r="H223" s="512"/>
      <c r="I223" s="540" t="s">
        <v>1310</v>
      </c>
      <c r="J223" s="512"/>
      <c r="K223" s="540" t="s">
        <v>1311</v>
      </c>
      <c r="L223" s="512"/>
      <c r="M223" s="540" t="s">
        <v>1312</v>
      </c>
      <c r="N223" s="512"/>
      <c r="O223" s="540" t="s">
        <v>1313</v>
      </c>
      <c r="P223" s="512"/>
      <c r="Q223" s="540" t="s">
        <v>1314</v>
      </c>
      <c r="R223" s="167"/>
      <c r="S223" s="540" t="s">
        <v>1308</v>
      </c>
      <c r="T223" s="167"/>
      <c r="U223" s="512" t="s">
        <v>1307</v>
      </c>
      <c r="V223" s="524"/>
      <c r="X223" s="283"/>
    </row>
    <row r="224" spans="1:24" s="8" customFormat="1" ht="14.4">
      <c r="A224" s="521"/>
      <c r="B224" s="510" t="s">
        <v>94</v>
      </c>
      <c r="C224" s="525">
        <f>IFERROR(VLOOKUP($B222,'PY1 TFR ADA'!$F:$AU,MATCH("A-1.1",'PY1 TFR ADA'!$F$5:$AU$5,0),FALSE),0)</f>
        <v>0</v>
      </c>
      <c r="D224" s="167"/>
      <c r="E224" s="525">
        <f>IFERROR(VALUE(VLOOKUP($B222,'PY1 TFR ADA'!$F:$AU,MATCH("A-2.1",'PY1 TFR ADA'!$F$5:$AU$5,0),FALSE)),0)</f>
        <v>0</v>
      </c>
      <c r="F224" s="167"/>
      <c r="G224" s="609">
        <f>IFERROR(VLOOKUP($B222,'PY1 TFR ADA'!$F:$AU,MATCH("b-1.1",'PY1 TFR ADA'!$F$5:$AU$5,0),FALSE),0)</f>
        <v>0</v>
      </c>
      <c r="H224" s="527"/>
      <c r="I224" s="609">
        <f>IFERROR(VLOOKUP($B222,'PY1 TFR ADA'!$F:$AU,MATCH("b-2.1",'PY1 TFR ADA'!$F$5:$AU$5,0),FALSE),0)</f>
        <v>0</v>
      </c>
      <c r="J224" s="527"/>
      <c r="K224" s="609">
        <f>IFERROR(VLOOKUP($B222,'PY1 TFR ADA'!$F:$AU,MATCH("b-3.1",'PY1 TFR ADA'!$F$5:$AU$5,0),FALSE),0)</f>
        <v>0</v>
      </c>
      <c r="L224" s="527"/>
      <c r="M224" s="609">
        <f>IFERROR(VLOOKUP($B222,'PY1 TFR ADA'!$F:$AU,MATCH("b-4.1",'PY1 TFR ADA'!$F$5:$AU$5,0),FALSE),0)</f>
        <v>0</v>
      </c>
      <c r="N224" s="527"/>
      <c r="O224" s="609">
        <f>IFERROR(VLOOKUP($B222,'PY1 TFR ADA'!$F:$AU,MATCH("b-5.1",'PY1 TFR ADA'!$F$5:$AU$5,0),FALSE),0)</f>
        <v>0</v>
      </c>
      <c r="P224" s="527"/>
      <c r="Q224" s="609">
        <f>IFERROR(VLOOKUP($B222,'PY1 TFR ADA'!$F:$AU,MATCH("b-6.1",'PY1 TFR ADA'!$F$5:$AU$5,0),FALSE),0)</f>
        <v>0</v>
      </c>
      <c r="R224" s="551"/>
      <c r="S224" s="601">
        <f t="shared" ref="S224:S227" si="298">SUM(G224:Q224)</f>
        <v>0</v>
      </c>
      <c r="T224" s="551"/>
      <c r="U224" s="536">
        <f t="shared" ref="U224" si="299">ROUND(IF($G231="LCFF Rate",(G224*$C224),(G224*$E224))+IF($I231="LCFF Rate",(I224*$C224),(I224*$E224))+IF($K231="LCFF Rate",(K224*$C224),(K224*$E224))+IF($M231="LCFF Rate",(M224*$C224),(M224*$E224))+IF($O231="LCFF Rate",(O224*$C224),(O224*$E224))+IF($Q231="LCFF Rate",(Q224*$C224),(Q224*$E224)),0)</f>
        <v>0</v>
      </c>
      <c r="V224" s="524"/>
      <c r="X224" s="496"/>
    </row>
    <row r="225" spans="1:24" s="8" customFormat="1" ht="14.4">
      <c r="A225" s="521"/>
      <c r="B225" s="510" t="s">
        <v>2</v>
      </c>
      <c r="C225" s="525">
        <f>IFERROR(VLOOKUP($B222,'PY1 TFR ADA'!$F:$AU,MATCH("A-1.2",'PY1 TFR ADA'!$F$5:$AU$5,0),FALSE),0)</f>
        <v>0</v>
      </c>
      <c r="D225" s="167"/>
      <c r="E225" s="525">
        <f>IFERROR(VALUE(VLOOKUP($B222,'PY1 TFR ADA'!$F:$AU,MATCH("A-2.2",'PY1 TFR ADA'!$F$5:$AU$5,0),FALSE)),0)</f>
        <v>0</v>
      </c>
      <c r="F225" s="167"/>
      <c r="G225" s="609">
        <f>IFERROR(VLOOKUP($B222,'PY1 TFR ADA'!$F:$AU,MATCH("b-1.2",'PY1 TFR ADA'!$F$5:$AU$5,0),FALSE),0)</f>
        <v>0</v>
      </c>
      <c r="H225" s="527"/>
      <c r="I225" s="609">
        <f>IFERROR(VLOOKUP($B222,'PY1 TFR ADA'!$F:$AU,MATCH("b-2.2",'PY1 TFR ADA'!$F$5:$AU$5,0),FALSE),0)</f>
        <v>0</v>
      </c>
      <c r="J225" s="527"/>
      <c r="K225" s="609">
        <f>IFERROR(VLOOKUP($B222,'PY1 TFR ADA'!$F:$AU,MATCH("b-3.2",'PY1 TFR ADA'!$F$5:$AU$5,0),FALSE),0)</f>
        <v>0</v>
      </c>
      <c r="L225" s="527"/>
      <c r="M225" s="609">
        <f>IFERROR(VLOOKUP($B222,'PY1 TFR ADA'!$F:$AU,MATCH("b-4.2",'PY1 TFR ADA'!$F$5:$AU$5,0),FALSE),0)</f>
        <v>0</v>
      </c>
      <c r="N225" s="527"/>
      <c r="O225" s="609">
        <f>IFERROR(VLOOKUP($B222,'PY1 TFR ADA'!$F:$AU,MATCH("b-5.2",'PY1 TFR ADA'!$F$5:$AU$5,0),FALSE),0)</f>
        <v>0</v>
      </c>
      <c r="P225" s="527"/>
      <c r="Q225" s="609">
        <f>IFERROR(VLOOKUP($B222,'PY1 TFR ADA'!$F:$AU,MATCH("b-6.2",'PY1 TFR ADA'!$F$5:$AU$5,0),FALSE),0)</f>
        <v>0</v>
      </c>
      <c r="R225" s="551"/>
      <c r="S225" s="601">
        <f t="shared" si="298"/>
        <v>0</v>
      </c>
      <c r="T225" s="551"/>
      <c r="U225" s="536">
        <f t="shared" ref="U225" si="300">ROUND(IF($G231="LCFF Rate",(G225*$C225),(G225*$E225))+IF($I231="LCFF Rate",(I225*$C225),(I225*$E225))+IF($K231="LCFF Rate",(K225*$C225),(K225*$E225))+IF($M231="LCFF Rate",(M225*$C225),(M225*$E225))+IF($O231="LCFF Rate",(O225*$C225),(O225*$E225))+IF($Q231="LCFF Rate",(Q225*$C225),(Q225*$E225)),0)</f>
        <v>0</v>
      </c>
      <c r="V225" s="524"/>
      <c r="X225" s="4"/>
    </row>
    <row r="226" spans="1:24" s="8" customFormat="1" ht="14.4">
      <c r="A226" s="521"/>
      <c r="B226" s="510" t="s">
        <v>3</v>
      </c>
      <c r="C226" s="525">
        <f>IFERROR(VLOOKUP($B222,'PY1 TFR ADA'!$F:$AU,MATCH("A-1.3",'PY1 TFR ADA'!$F$5:$AU$5,0),FALSE),0)</f>
        <v>0</v>
      </c>
      <c r="D226" s="167"/>
      <c r="E226" s="525">
        <f>IFERROR(VALUE(VLOOKUP($B222,'PY1 TFR ADA'!$F:$AU,MATCH("A-2.3",'PY1 TFR ADA'!$F$5:$AU$5,0),FALSE)),0)</f>
        <v>0</v>
      </c>
      <c r="F226" s="167"/>
      <c r="G226" s="609">
        <f>IFERROR(VLOOKUP($B222,'PY1 TFR ADA'!$F:$AU,MATCH("b-1.3",'PY1 TFR ADA'!$F$5:$AU$5,0),FALSE),0)</f>
        <v>0</v>
      </c>
      <c r="H226" s="527"/>
      <c r="I226" s="609">
        <f>IFERROR(VLOOKUP($B222,'PY1 TFR ADA'!$F:$AU,MATCH("b-2.3",'PY1 TFR ADA'!$F$5:$AU$5,0),FALSE),0)</f>
        <v>0</v>
      </c>
      <c r="J226" s="527"/>
      <c r="K226" s="609">
        <f>IFERROR(VLOOKUP($B222,'PY1 TFR ADA'!$F:$AU,MATCH("b-3.3",'PY1 TFR ADA'!$F$5:$AU$5,0),FALSE),0)</f>
        <v>0</v>
      </c>
      <c r="L226" s="527"/>
      <c r="M226" s="609">
        <f>IFERROR(VLOOKUP($B222,'PY1 TFR ADA'!$F:$AU,MATCH("b-4.3",'PY1 TFR ADA'!$F$5:$AU$5,0),FALSE),0)</f>
        <v>0</v>
      </c>
      <c r="N226" s="527"/>
      <c r="O226" s="609">
        <f>IFERROR(VLOOKUP($B222,'PY1 TFR ADA'!$F:$AU,MATCH("b-5.3",'PY1 TFR ADA'!$F$5:$AU$5,0),FALSE),0)</f>
        <v>0</v>
      </c>
      <c r="P226" s="527"/>
      <c r="Q226" s="609">
        <f>IFERROR(VLOOKUP($B222,'PY1 TFR ADA'!$F:$AU,MATCH("b-6.3",'PY1 TFR ADA'!$F$5:$AU$5,0),FALSE),0)</f>
        <v>0</v>
      </c>
      <c r="R226" s="551"/>
      <c r="S226" s="601">
        <f t="shared" si="298"/>
        <v>0</v>
      </c>
      <c r="T226" s="551"/>
      <c r="U226" s="536">
        <f t="shared" ref="U226" si="301">ROUND(IF($G231="LCFF Rate",(G226*$C226),(G226*$E226))+IF($I231="LCFF Rate",(I226*$C226),(I226*$E226))+IF($K231="LCFF Rate",(K226*$C226),(K226*$E226))+IF($M231="LCFF Rate",(M226*$C226),(M226*$E226))+IF($O231="LCFF Rate",(O226*$C226),(O226*$E226))+IF($Q231="LCFF Rate",(Q226*$C226),(Q226*$E226)),0)</f>
        <v>0</v>
      </c>
      <c r="V226" s="524"/>
      <c r="X226" s="4"/>
    </row>
    <row r="227" spans="1:24" s="8" customFormat="1" ht="14.4">
      <c r="A227" s="526"/>
      <c r="B227" s="510" t="s">
        <v>4</v>
      </c>
      <c r="C227" s="525">
        <f>IFERROR(VLOOKUP($B222,'PY1 TFR ADA'!$F:$AU,MATCH("A-1.4",'PY1 TFR ADA'!$F$5:$AU$5,0),FALSE),0)</f>
        <v>0</v>
      </c>
      <c r="D227" s="523"/>
      <c r="E227" s="525">
        <f>IFERROR(VALUE(VLOOKUP($B222,'PY1 TFR ADA'!$F:$AU,MATCH("A-2.4",'PY1 TFR ADA'!$F$5:$AU$5,0),FALSE)),0)</f>
        <v>0</v>
      </c>
      <c r="F227" s="523"/>
      <c r="G227" s="609">
        <f>IFERROR(VLOOKUP($B222,'PY1 TFR ADA'!$F:$AU,MATCH("b-1.4",'PY1 TFR ADA'!$F$5:$AU$5,0),FALSE),0)</f>
        <v>0</v>
      </c>
      <c r="H227" s="527"/>
      <c r="I227" s="609">
        <f>IFERROR(VLOOKUP($B222,'PY1 TFR ADA'!$F:$AU,MATCH("b-2.4",'PY1 TFR ADA'!$F$5:$AU$5,0),FALSE),0)</f>
        <v>0</v>
      </c>
      <c r="J227" s="527"/>
      <c r="K227" s="609">
        <f>IFERROR(VLOOKUP($B222,'PY1 TFR ADA'!$F:$AU,MATCH("b-3.4",'PY1 TFR ADA'!$F$5:$AU$5,0),FALSE),0)</f>
        <v>0</v>
      </c>
      <c r="L227" s="527"/>
      <c r="M227" s="609">
        <f>IFERROR(VLOOKUP($B222,'PY1 TFR ADA'!$F:$AU,MATCH("b-4.4",'PY1 TFR ADA'!$F$5:$AU$5,0),FALSE),0)</f>
        <v>0</v>
      </c>
      <c r="N227" s="527"/>
      <c r="O227" s="609">
        <f>IFERROR(VLOOKUP($B222,'PY1 TFR ADA'!$F:$AU,MATCH("b-5.4",'PY1 TFR ADA'!$F$5:$AU$5,0),FALSE),0)</f>
        <v>0</v>
      </c>
      <c r="P227" s="527"/>
      <c r="Q227" s="609">
        <f>IFERROR(VLOOKUP($B222,'PY1 TFR ADA'!$F:$AU,MATCH("b-6.4",'PY1 TFR ADA'!$F$5:$AU$5,0),FALSE),0)</f>
        <v>0</v>
      </c>
      <c r="R227" s="551"/>
      <c r="S227" s="601">
        <f t="shared" si="298"/>
        <v>0</v>
      </c>
      <c r="T227" s="551"/>
      <c r="U227" s="536">
        <f t="shared" ref="U227" si="302">ROUND(IF($G231="LCFF Rate",(G227*$C227),(G227*$E227))+IF($I231="LCFF Rate",(I227*$C227),(I227*$E227))+IF($K231="LCFF Rate",(K227*$C227),(K227*$E227))+IF($M231="LCFF Rate",(M227*$C227),(M227*$E227))+IF($O231="LCFF Rate",(O227*$C227),(O227*$E227))+IF($Q231="LCFF Rate",(Q227*$C227),(Q227*$E227)),0)</f>
        <v>0</v>
      </c>
      <c r="V227" s="522"/>
      <c r="X227" s="496"/>
    </row>
    <row r="228" spans="1:24" s="8" customFormat="1" ht="8.25" customHeight="1">
      <c r="A228" s="521"/>
      <c r="B228" s="167"/>
      <c r="C228" s="165"/>
      <c r="D228" s="523"/>
      <c r="E228" s="165"/>
      <c r="F228" s="523"/>
      <c r="G228" s="520"/>
      <c r="H228" s="523"/>
      <c r="I228" s="520"/>
      <c r="J228" s="523"/>
      <c r="K228" s="520"/>
      <c r="L228" s="523"/>
      <c r="M228" s="520"/>
      <c r="N228" s="523"/>
      <c r="O228" s="520"/>
      <c r="P228" s="523"/>
      <c r="Q228" s="520"/>
      <c r="R228" s="167"/>
      <c r="S228" s="520"/>
      <c r="T228" s="167"/>
      <c r="U228" s="602"/>
      <c r="V228" s="522"/>
      <c r="X228" s="4"/>
    </row>
    <row r="229" spans="1:24" s="8" customFormat="1" ht="14.4">
      <c r="A229" s="521"/>
      <c r="B229" s="167"/>
      <c r="C229" s="165"/>
      <c r="D229" s="523"/>
      <c r="E229" s="513" t="s">
        <v>1317</v>
      </c>
      <c r="F229" s="523"/>
      <c r="G229" s="601">
        <f t="shared" ref="G229" si="303">SUM(G224:G227)</f>
        <v>0</v>
      </c>
      <c r="H229" s="527"/>
      <c r="I229" s="601">
        <f t="shared" ref="I229" si="304">SUM(I224:I227)</f>
        <v>0</v>
      </c>
      <c r="J229" s="527"/>
      <c r="K229" s="601">
        <f t="shared" ref="K229" si="305">SUM(K224:K227)</f>
        <v>0</v>
      </c>
      <c r="L229" s="527"/>
      <c r="M229" s="601">
        <f t="shared" ref="M229" si="306">SUM(M224:M227)</f>
        <v>0</v>
      </c>
      <c r="N229" s="527"/>
      <c r="O229" s="601">
        <f t="shared" ref="O229" si="307">SUM(O224:O227)</f>
        <v>0</v>
      </c>
      <c r="P229" s="527"/>
      <c r="Q229" s="601">
        <f t="shared" ref="Q229" si="308">SUM(Q224:Q227)</f>
        <v>0</v>
      </c>
      <c r="R229" s="527"/>
      <c r="S229" s="601">
        <f t="shared" ref="S229" si="309">SUM(S224:S227)</f>
        <v>0</v>
      </c>
      <c r="T229" s="527"/>
      <c r="U229" s="536">
        <f t="shared" ref="U229" si="310">SUM(U224:U227)</f>
        <v>0</v>
      </c>
      <c r="V229" s="522"/>
      <c r="X229" s="4"/>
    </row>
    <row r="230" spans="1:24" s="8" customFormat="1" ht="8.25" customHeight="1">
      <c r="A230" s="521"/>
      <c r="B230" s="167"/>
      <c r="C230" s="165"/>
      <c r="D230" s="523"/>
      <c r="E230" s="165"/>
      <c r="F230" s="523"/>
      <c r="G230" s="520"/>
      <c r="H230" s="523"/>
      <c r="I230" s="520"/>
      <c r="J230" s="523"/>
      <c r="K230" s="520"/>
      <c r="L230" s="523"/>
      <c r="M230" s="520"/>
      <c r="N230" s="523"/>
      <c r="O230" s="520"/>
      <c r="P230" s="523"/>
      <c r="Q230" s="520"/>
      <c r="R230" s="167"/>
      <c r="S230" s="520"/>
      <c r="T230" s="167"/>
      <c r="U230" s="528"/>
      <c r="V230" s="522"/>
      <c r="X230" s="4"/>
    </row>
    <row r="231" spans="1:24" s="8" customFormat="1" ht="16.5" customHeight="1">
      <c r="A231" s="521"/>
      <c r="B231" s="167"/>
      <c r="C231" s="165"/>
      <c r="E231" s="513" t="s">
        <v>1304</v>
      </c>
      <c r="F231" s="523"/>
      <c r="G231" s="977">
        <f>_xlfn.IFNA(IF(VLOOKUP($B222,'PY1 TFR ADA'!$F:$AU,MATCH("B-1.5",'PY1 TFR ADA'!$F$5:$AU$5,0),FALSE)=TRUE,IF(VLOOKUP($B222,'PY1 TFR ADA'!$F:$AU,MATCH("C-1",'PY1 TFR ADA'!$F$5:$AU$5,0),FALSE)=TRUE,"Alternative Rate","LCFF Rate"),"LCFF Rate"),0)</f>
        <v>0</v>
      </c>
      <c r="H231" s="523"/>
      <c r="I231" s="977">
        <f>_xlfn.IFNA(IF(VLOOKUP($B222,'PY1 TFR ADA'!$F:$AU,MATCH("B-2.5",'PY1 TFR ADA'!$F$5:$AU$5,0),FALSE)=TRUE,IF(VLOOKUP($B222,'PY1 TFR ADA'!$F:$AU,MATCH("C-1",'PY1 TFR ADA'!$F$5:$AU$5,0),FALSE)=TRUE,"Alternative Rate","LCFF Rate"),"LCFF Rate"),0)</f>
        <v>0</v>
      </c>
      <c r="J231" s="523"/>
      <c r="K231" s="977">
        <f>_xlfn.IFNA(IF(VLOOKUP($B222,'PY1 TFR ADA'!$F:$AU,MATCH("B-3.5",'PY1 TFR ADA'!$F$5:$AU$5,0),FALSE)=TRUE,IF(VLOOKUP($B222,'PY1 TFR ADA'!$F:$AU,MATCH("C-1",'PY1 TFR ADA'!$F$5:$AU$5,0),FALSE)=TRUE,"Alternative Rate","LCFF Rate"),"LCFF Rate"),0)</f>
        <v>0</v>
      </c>
      <c r="L231" s="523"/>
      <c r="M231" s="977">
        <f>_xlfn.IFNA(IF(VLOOKUP($B222,'PY1 TFR ADA'!$F:$AU,MATCH("B-4.5",'PY1 TFR ADA'!$F$5:$AU$5,0),FALSE)=TRUE,IF(VLOOKUP($B222,'PY1 TFR ADA'!$F:$AU,MATCH("C-1",'PY1 TFR ADA'!$F$5:$AU$5,0),FALSE)=TRUE,"Alternative Rate","LCFF Rate"),"LCFF Rate"),0)</f>
        <v>0</v>
      </c>
      <c r="N231" s="523"/>
      <c r="O231" s="977">
        <f>_xlfn.IFNA(IF(VLOOKUP($B222,'PY1 TFR ADA'!$F:$AU,MATCH("B-5.5",'PY1 TFR ADA'!$F$5:$AU$5,0),FALSE)=TRUE,IF(VLOOKUP($B222,'PY1 TFR ADA'!$F:$AU,MATCH("C-1",'PY1 TFR ADA'!$F$5:$AU$5,0),FALSE)=TRUE,"Alternative Rate","LCFF Rate"),"LCFF Rate"),0)</f>
        <v>0</v>
      </c>
      <c r="P231" s="523"/>
      <c r="Q231" s="977">
        <f>_xlfn.IFNA(IF(VLOOKUP($B222,'PY1 TFR ADA'!$F:$AU,MATCH("B-6.5",'PY1 TFR ADA'!$F$5:$AU$5,0),FALSE)=TRUE,IF(VLOOKUP($B222,'PY1 TFR ADA'!$F:$AU,MATCH("C-1",'PY1 TFR ADA'!$F$5:$AU$5,0),FALSE)=TRUE,"Alternative Rate","LCFF Rate"),"LCFF Rate"),0)</f>
        <v>0</v>
      </c>
      <c r="R231" s="167"/>
      <c r="S231" s="520"/>
      <c r="T231" s="167"/>
      <c r="U231" s="528"/>
      <c r="V231" s="522"/>
      <c r="X231" s="283"/>
    </row>
    <row r="232" spans="1:24" s="8" customFormat="1" ht="8.25" customHeight="1">
      <c r="A232" s="521"/>
      <c r="B232" s="167"/>
      <c r="C232" s="165"/>
      <c r="D232" s="523"/>
      <c r="E232" s="165"/>
      <c r="F232" s="523"/>
      <c r="G232" s="520"/>
      <c r="H232" s="523"/>
      <c r="I232" s="520"/>
      <c r="J232" s="523"/>
      <c r="K232" s="520"/>
      <c r="L232" s="523"/>
      <c r="M232" s="520"/>
      <c r="N232" s="523"/>
      <c r="O232" s="520"/>
      <c r="P232" s="523"/>
      <c r="Q232" s="520"/>
      <c r="R232" s="167"/>
      <c r="S232" s="520"/>
      <c r="T232" s="167"/>
      <c r="U232" s="528"/>
      <c r="V232" s="522"/>
      <c r="X232" s="4"/>
    </row>
    <row r="233" spans="1:24" s="8" customFormat="1" ht="16.8">
      <c r="A233" s="521"/>
      <c r="B233" s="2"/>
      <c r="F233" s="523"/>
      <c r="G233" s="535">
        <f t="shared" ref="G233" si="311">IF(G231="LCFF Rate",(G224*C224+G225*C225+G226*C226+G227*C227),(G229*E227))</f>
        <v>0</v>
      </c>
      <c r="H233" s="537"/>
      <c r="I233" s="535">
        <f t="shared" ref="I233" si="312">IF(I231="LCFF Rate",(I224*C224+I225*C225+I226*C226+I227*C227),(I229*E227))</f>
        <v>0</v>
      </c>
      <c r="J233" s="537"/>
      <c r="K233" s="535">
        <f t="shared" ref="K233" si="313">IF(K231="LCFF Rate",(K224*C224+K225*C225+K226*C226+K227*C227),(K229*E227))</f>
        <v>0</v>
      </c>
      <c r="L233" s="537"/>
      <c r="M233" s="535">
        <f t="shared" ref="M233" si="314">IF(M231="LCFF Rate",(M224*C224+M225*C225+M226*C226+M227*C227),(M229*E227))</f>
        <v>0</v>
      </c>
      <c r="N233" s="537"/>
      <c r="O233" s="535">
        <f t="shared" ref="O233" si="315">IF(O231="LCFF Rate",(O224*C224+O225*C225+O226*C226+O227*C227),(O229*E227))</f>
        <v>0</v>
      </c>
      <c r="P233" s="537"/>
      <c r="Q233" s="535">
        <f t="shared" ref="Q233" si="316">IF(Q231="LCFF Rate",(Q224*C224+Q225*C225+Q226*C226+Q227*C227),(Q229*E227))</f>
        <v>0</v>
      </c>
      <c r="R233" s="167"/>
      <c r="S233" s="538">
        <f t="shared" ref="S233" si="317">SUM(G233:Q233)</f>
        <v>0</v>
      </c>
      <c r="T233" s="167"/>
      <c r="U233" s="528"/>
      <c r="V233" s="522"/>
      <c r="X233" s="979"/>
    </row>
    <row r="234" spans="1:24" s="8" customFormat="1" ht="9" customHeight="1" thickBot="1">
      <c r="A234" s="529"/>
      <c r="B234" s="530"/>
      <c r="C234" s="531"/>
      <c r="D234" s="532"/>
      <c r="E234" s="533"/>
      <c r="F234" s="532"/>
      <c r="G234" s="530"/>
      <c r="H234" s="532"/>
      <c r="I234" s="530"/>
      <c r="J234" s="532"/>
      <c r="K234" s="530"/>
      <c r="L234" s="532"/>
      <c r="M234" s="530"/>
      <c r="N234" s="532"/>
      <c r="O234" s="530"/>
      <c r="P234" s="532"/>
      <c r="Q234" s="530"/>
      <c r="R234" s="532"/>
      <c r="S234" s="530"/>
      <c r="T234" s="532"/>
      <c r="U234" s="532"/>
      <c r="V234" s="534"/>
      <c r="X234" s="4"/>
    </row>
    <row r="235" spans="1:24" s="82" customFormat="1" ht="18" customHeight="1" thickBot="1">
      <c r="A235" s="890">
        <f>+A222+1</f>
        <v>18</v>
      </c>
      <c r="B235" s="891" t="str">
        <f>'Data Entry'!$B$3&amp;"-"&amp;C235</f>
        <v>-</v>
      </c>
      <c r="C235" s="891" t="str">
        <f>IFERROR(VLOOKUP('Data Entry'!$B$3&amp;"-"&amp;A235,'PY1 TFR ADA'!$D:$AT,2,FALSE),"")</f>
        <v/>
      </c>
      <c r="D235" s="892" t="str">
        <f>IFERROR(VLOOKUP('Data Entry'!$B$3&amp;"-"&amp;A235,'PY1 TFR ADA'!$D:$AT,4,FALSE),"")</f>
        <v/>
      </c>
      <c r="E235" s="893"/>
      <c r="F235" s="893"/>
      <c r="G235" s="893"/>
      <c r="H235" s="893"/>
      <c r="I235" s="893"/>
      <c r="J235" s="893"/>
      <c r="K235" s="893"/>
      <c r="L235" s="893"/>
      <c r="M235" s="893"/>
      <c r="N235" s="893"/>
      <c r="O235" s="893"/>
      <c r="P235" s="893"/>
      <c r="Q235" s="893"/>
      <c r="R235" s="893"/>
      <c r="S235" s="893"/>
      <c r="T235" s="893"/>
      <c r="U235" s="893"/>
      <c r="V235" s="894"/>
      <c r="X235" s="83"/>
    </row>
    <row r="236" spans="1:24" ht="75" customHeight="1">
      <c r="A236" s="521"/>
      <c r="C236" s="540" t="s">
        <v>1315</v>
      </c>
      <c r="D236" s="512"/>
      <c r="E236" s="540" t="s">
        <v>1316</v>
      </c>
      <c r="F236" s="512"/>
      <c r="G236" s="540" t="s">
        <v>1309</v>
      </c>
      <c r="H236" s="512"/>
      <c r="I236" s="540" t="s">
        <v>1310</v>
      </c>
      <c r="J236" s="512"/>
      <c r="K236" s="540" t="s">
        <v>1311</v>
      </c>
      <c r="L236" s="512"/>
      <c r="M236" s="540" t="s">
        <v>1312</v>
      </c>
      <c r="N236" s="512"/>
      <c r="O236" s="540" t="s">
        <v>1313</v>
      </c>
      <c r="P236" s="512"/>
      <c r="Q236" s="540" t="s">
        <v>1314</v>
      </c>
      <c r="R236" s="167"/>
      <c r="S236" s="540" t="s">
        <v>1308</v>
      </c>
      <c r="T236" s="167"/>
      <c r="U236" s="512" t="s">
        <v>1307</v>
      </c>
      <c r="V236" s="524"/>
      <c r="X236" s="283"/>
    </row>
    <row r="237" spans="1:24" s="8" customFormat="1" ht="14.4">
      <c r="A237" s="521"/>
      <c r="B237" s="510" t="s">
        <v>94</v>
      </c>
      <c r="C237" s="525">
        <f>IFERROR(VLOOKUP($B235,'PY1 TFR ADA'!$F:$AU,MATCH("A-1.1",'PY1 TFR ADA'!$F$5:$AU$5,0),FALSE),0)</f>
        <v>0</v>
      </c>
      <c r="D237" s="167"/>
      <c r="E237" s="525">
        <f>IFERROR(VALUE(VLOOKUP($B235,'PY1 TFR ADA'!$F:$AU,MATCH("A-2.1",'PY1 TFR ADA'!$F$5:$AU$5,0),FALSE)),0)</f>
        <v>0</v>
      </c>
      <c r="F237" s="167"/>
      <c r="G237" s="609">
        <f>IFERROR(VLOOKUP($B235,'PY1 TFR ADA'!$F:$AU,MATCH("b-1.1",'PY1 TFR ADA'!$F$5:$AU$5,0),FALSE),0)</f>
        <v>0</v>
      </c>
      <c r="H237" s="527"/>
      <c r="I237" s="609">
        <f>IFERROR(VLOOKUP($B235,'PY1 TFR ADA'!$F:$AU,MATCH("b-2.1",'PY1 TFR ADA'!$F$5:$AU$5,0),FALSE),0)</f>
        <v>0</v>
      </c>
      <c r="J237" s="527"/>
      <c r="K237" s="609">
        <f>IFERROR(VLOOKUP($B235,'PY1 TFR ADA'!$F:$AU,MATCH("b-3.1",'PY1 TFR ADA'!$F$5:$AU$5,0),FALSE),0)</f>
        <v>0</v>
      </c>
      <c r="L237" s="527"/>
      <c r="M237" s="609">
        <f>IFERROR(VLOOKUP($B235,'PY1 TFR ADA'!$F:$AU,MATCH("b-4.1",'PY1 TFR ADA'!$F$5:$AU$5,0),FALSE),0)</f>
        <v>0</v>
      </c>
      <c r="N237" s="527"/>
      <c r="O237" s="609">
        <f>IFERROR(VLOOKUP($B235,'PY1 TFR ADA'!$F:$AU,MATCH("b-5.1",'PY1 TFR ADA'!$F$5:$AU$5,0),FALSE),0)</f>
        <v>0</v>
      </c>
      <c r="P237" s="527"/>
      <c r="Q237" s="609">
        <f>IFERROR(VLOOKUP($B235,'PY1 TFR ADA'!$F:$AU,MATCH("b-6.1",'PY1 TFR ADA'!$F$5:$AU$5,0),FALSE),0)</f>
        <v>0</v>
      </c>
      <c r="R237" s="551"/>
      <c r="S237" s="601">
        <f t="shared" ref="S237:S240" si="318">SUM(G237:Q237)</f>
        <v>0</v>
      </c>
      <c r="T237" s="551"/>
      <c r="U237" s="536">
        <f t="shared" ref="U237" si="319">ROUND(IF($G244="LCFF Rate",(G237*$C237),(G237*$E237))+IF($I244="LCFF Rate",(I237*$C237),(I237*$E237))+IF($K244="LCFF Rate",(K237*$C237),(K237*$E237))+IF($M244="LCFF Rate",(M237*$C237),(M237*$E237))+IF($O244="LCFF Rate",(O237*$C237),(O237*$E237))+IF($Q244="LCFF Rate",(Q237*$C237),(Q237*$E237)),0)</f>
        <v>0</v>
      </c>
      <c r="V237" s="524"/>
      <c r="X237" s="496"/>
    </row>
    <row r="238" spans="1:24" s="8" customFormat="1" ht="14.4">
      <c r="A238" s="521"/>
      <c r="B238" s="510" t="s">
        <v>2</v>
      </c>
      <c r="C238" s="525">
        <f>IFERROR(VLOOKUP($B235,'PY1 TFR ADA'!$F:$AU,MATCH("A-1.2",'PY1 TFR ADA'!$F$5:$AU$5,0),FALSE),0)</f>
        <v>0</v>
      </c>
      <c r="D238" s="167"/>
      <c r="E238" s="525">
        <f>IFERROR(VALUE(VLOOKUP($B235,'PY1 TFR ADA'!$F:$AU,MATCH("A-2.2",'PY1 TFR ADA'!$F$5:$AU$5,0),FALSE)),0)</f>
        <v>0</v>
      </c>
      <c r="F238" s="167"/>
      <c r="G238" s="609">
        <f>IFERROR(VLOOKUP($B235,'PY1 TFR ADA'!$F:$AU,MATCH("b-1.2",'PY1 TFR ADA'!$F$5:$AU$5,0),FALSE),0)</f>
        <v>0</v>
      </c>
      <c r="H238" s="527"/>
      <c r="I238" s="609">
        <f>IFERROR(VLOOKUP($B235,'PY1 TFR ADA'!$F:$AU,MATCH("b-2.2",'PY1 TFR ADA'!$F$5:$AU$5,0),FALSE),0)</f>
        <v>0</v>
      </c>
      <c r="J238" s="527"/>
      <c r="K238" s="609">
        <f>IFERROR(VLOOKUP($B235,'PY1 TFR ADA'!$F:$AU,MATCH("b-3.2",'PY1 TFR ADA'!$F$5:$AU$5,0),FALSE),0)</f>
        <v>0</v>
      </c>
      <c r="L238" s="527"/>
      <c r="M238" s="609">
        <f>IFERROR(VLOOKUP($B235,'PY1 TFR ADA'!$F:$AU,MATCH("b-4.2",'PY1 TFR ADA'!$F$5:$AU$5,0),FALSE),0)</f>
        <v>0</v>
      </c>
      <c r="N238" s="527"/>
      <c r="O238" s="609">
        <f>IFERROR(VLOOKUP($B235,'PY1 TFR ADA'!$F:$AU,MATCH("b-5.2",'PY1 TFR ADA'!$F$5:$AU$5,0),FALSE),0)</f>
        <v>0</v>
      </c>
      <c r="P238" s="527"/>
      <c r="Q238" s="609">
        <f>IFERROR(VLOOKUP($B235,'PY1 TFR ADA'!$F:$AU,MATCH("b-6.2",'PY1 TFR ADA'!$F$5:$AU$5,0),FALSE),0)</f>
        <v>0</v>
      </c>
      <c r="R238" s="551"/>
      <c r="S238" s="601">
        <f t="shared" si="318"/>
        <v>0</v>
      </c>
      <c r="T238" s="551"/>
      <c r="U238" s="536">
        <f t="shared" ref="U238" si="320">ROUND(IF($G244="LCFF Rate",(G238*$C238),(G238*$E238))+IF($I244="LCFF Rate",(I238*$C238),(I238*$E238))+IF($K244="LCFF Rate",(K238*$C238),(K238*$E238))+IF($M244="LCFF Rate",(M238*$C238),(M238*$E238))+IF($O244="LCFF Rate",(O238*$C238),(O238*$E238))+IF($Q244="LCFF Rate",(Q238*$C238),(Q238*$E238)),0)</f>
        <v>0</v>
      </c>
      <c r="V238" s="524"/>
      <c r="X238" s="4"/>
    </row>
    <row r="239" spans="1:24" s="8" customFormat="1" ht="14.4">
      <c r="A239" s="521"/>
      <c r="B239" s="510" t="s">
        <v>3</v>
      </c>
      <c r="C239" s="525">
        <f>IFERROR(VLOOKUP($B235,'PY1 TFR ADA'!$F:$AU,MATCH("A-1.3",'PY1 TFR ADA'!$F$5:$AU$5,0),FALSE),0)</f>
        <v>0</v>
      </c>
      <c r="D239" s="167"/>
      <c r="E239" s="525">
        <f>IFERROR(VALUE(VLOOKUP($B235,'PY1 TFR ADA'!$F:$AU,MATCH("A-2.3",'PY1 TFR ADA'!$F$5:$AU$5,0),FALSE)),0)</f>
        <v>0</v>
      </c>
      <c r="F239" s="167"/>
      <c r="G239" s="609">
        <f>IFERROR(VLOOKUP($B235,'PY1 TFR ADA'!$F:$AU,MATCH("b-1.3",'PY1 TFR ADA'!$F$5:$AU$5,0),FALSE),0)</f>
        <v>0</v>
      </c>
      <c r="H239" s="527"/>
      <c r="I239" s="609">
        <f>IFERROR(VLOOKUP($B235,'PY1 TFR ADA'!$F:$AU,MATCH("b-2.3",'PY1 TFR ADA'!$F$5:$AU$5,0),FALSE),0)</f>
        <v>0</v>
      </c>
      <c r="J239" s="527"/>
      <c r="K239" s="609">
        <f>IFERROR(VLOOKUP($B235,'PY1 TFR ADA'!$F:$AU,MATCH("b-3.3",'PY1 TFR ADA'!$F$5:$AU$5,0),FALSE),0)</f>
        <v>0</v>
      </c>
      <c r="L239" s="527"/>
      <c r="M239" s="609">
        <f>IFERROR(VLOOKUP($B235,'PY1 TFR ADA'!$F:$AU,MATCH("b-4.3",'PY1 TFR ADA'!$F$5:$AU$5,0),FALSE),0)</f>
        <v>0</v>
      </c>
      <c r="N239" s="527"/>
      <c r="O239" s="609">
        <f>IFERROR(VLOOKUP($B235,'PY1 TFR ADA'!$F:$AU,MATCH("b-5.3",'PY1 TFR ADA'!$F$5:$AU$5,0),FALSE),0)</f>
        <v>0</v>
      </c>
      <c r="P239" s="527"/>
      <c r="Q239" s="609">
        <f>IFERROR(VLOOKUP($B235,'PY1 TFR ADA'!$F:$AU,MATCH("b-6.3",'PY1 TFR ADA'!$F$5:$AU$5,0),FALSE),0)</f>
        <v>0</v>
      </c>
      <c r="R239" s="551"/>
      <c r="S239" s="601">
        <f t="shared" si="318"/>
        <v>0</v>
      </c>
      <c r="T239" s="551"/>
      <c r="U239" s="536">
        <f t="shared" ref="U239" si="321">ROUND(IF($G244="LCFF Rate",(G239*$C239),(G239*$E239))+IF($I244="LCFF Rate",(I239*$C239),(I239*$E239))+IF($K244="LCFF Rate",(K239*$C239),(K239*$E239))+IF($M244="LCFF Rate",(M239*$C239),(M239*$E239))+IF($O244="LCFF Rate",(O239*$C239),(O239*$E239))+IF($Q244="LCFF Rate",(Q239*$C239),(Q239*$E239)),0)</f>
        <v>0</v>
      </c>
      <c r="V239" s="524"/>
      <c r="X239" s="4"/>
    </row>
    <row r="240" spans="1:24" s="8" customFormat="1" ht="14.4">
      <c r="A240" s="526"/>
      <c r="B240" s="510" t="s">
        <v>4</v>
      </c>
      <c r="C240" s="525">
        <f>IFERROR(VLOOKUP($B235,'PY1 TFR ADA'!$F:$AU,MATCH("A-1.4",'PY1 TFR ADA'!$F$5:$AU$5,0),FALSE),0)</f>
        <v>0</v>
      </c>
      <c r="D240" s="523"/>
      <c r="E240" s="525">
        <f>IFERROR(VALUE(VLOOKUP($B235,'PY1 TFR ADA'!$F:$AU,MATCH("A-2.4",'PY1 TFR ADA'!$F$5:$AU$5,0),FALSE)),0)</f>
        <v>0</v>
      </c>
      <c r="F240" s="523"/>
      <c r="G240" s="609">
        <f>IFERROR(VLOOKUP($B235,'PY1 TFR ADA'!$F:$AU,MATCH("b-1.4",'PY1 TFR ADA'!$F$5:$AU$5,0),FALSE),0)</f>
        <v>0</v>
      </c>
      <c r="H240" s="527"/>
      <c r="I240" s="609">
        <f>IFERROR(VLOOKUP($B235,'PY1 TFR ADA'!$F:$AU,MATCH("b-2.4",'PY1 TFR ADA'!$F$5:$AU$5,0),FALSE),0)</f>
        <v>0</v>
      </c>
      <c r="J240" s="527"/>
      <c r="K240" s="609">
        <f>IFERROR(VLOOKUP($B235,'PY1 TFR ADA'!$F:$AU,MATCH("b-3.4",'PY1 TFR ADA'!$F$5:$AU$5,0),FALSE),0)</f>
        <v>0</v>
      </c>
      <c r="L240" s="527"/>
      <c r="M240" s="609">
        <f>IFERROR(VLOOKUP($B235,'PY1 TFR ADA'!$F:$AU,MATCH("b-4.4",'PY1 TFR ADA'!$F$5:$AU$5,0),FALSE),0)</f>
        <v>0</v>
      </c>
      <c r="N240" s="527"/>
      <c r="O240" s="609">
        <f>IFERROR(VLOOKUP($B235,'PY1 TFR ADA'!$F:$AU,MATCH("b-5.4",'PY1 TFR ADA'!$F$5:$AU$5,0),FALSE),0)</f>
        <v>0</v>
      </c>
      <c r="P240" s="527"/>
      <c r="Q240" s="609">
        <f>IFERROR(VLOOKUP($B235,'PY1 TFR ADA'!$F:$AU,MATCH("b-6.4",'PY1 TFR ADA'!$F$5:$AU$5,0),FALSE),0)</f>
        <v>0</v>
      </c>
      <c r="R240" s="551"/>
      <c r="S240" s="601">
        <f t="shared" si="318"/>
        <v>0</v>
      </c>
      <c r="T240" s="551"/>
      <c r="U240" s="536">
        <f t="shared" ref="U240" si="322">ROUND(IF($G244="LCFF Rate",(G240*$C240),(G240*$E240))+IF($I244="LCFF Rate",(I240*$C240),(I240*$E240))+IF($K244="LCFF Rate",(K240*$C240),(K240*$E240))+IF($M244="LCFF Rate",(M240*$C240),(M240*$E240))+IF($O244="LCFF Rate",(O240*$C240),(O240*$E240))+IF($Q244="LCFF Rate",(Q240*$C240),(Q240*$E240)),0)</f>
        <v>0</v>
      </c>
      <c r="V240" s="522"/>
      <c r="X240" s="496"/>
    </row>
    <row r="241" spans="1:24" s="8" customFormat="1" ht="8.25" customHeight="1">
      <c r="A241" s="521"/>
      <c r="B241" s="167"/>
      <c r="C241" s="165"/>
      <c r="D241" s="523"/>
      <c r="E241" s="165"/>
      <c r="F241" s="523"/>
      <c r="G241" s="520"/>
      <c r="H241" s="523"/>
      <c r="I241" s="520"/>
      <c r="J241" s="523"/>
      <c r="K241" s="520"/>
      <c r="L241" s="523"/>
      <c r="M241" s="520"/>
      <c r="N241" s="523"/>
      <c r="O241" s="520"/>
      <c r="P241" s="523"/>
      <c r="Q241" s="520"/>
      <c r="R241" s="167"/>
      <c r="S241" s="520"/>
      <c r="T241" s="167"/>
      <c r="U241" s="602"/>
      <c r="V241" s="522"/>
      <c r="X241" s="4"/>
    </row>
    <row r="242" spans="1:24" s="8" customFormat="1" ht="14.4">
      <c r="A242" s="521"/>
      <c r="B242" s="167"/>
      <c r="C242" s="165"/>
      <c r="D242" s="523"/>
      <c r="E242" s="513" t="s">
        <v>1317</v>
      </c>
      <c r="F242" s="523"/>
      <c r="G242" s="601">
        <f t="shared" ref="G242" si="323">SUM(G237:G240)</f>
        <v>0</v>
      </c>
      <c r="H242" s="527"/>
      <c r="I242" s="601">
        <f t="shared" ref="I242" si="324">SUM(I237:I240)</f>
        <v>0</v>
      </c>
      <c r="J242" s="527"/>
      <c r="K242" s="601">
        <f t="shared" ref="K242" si="325">SUM(K237:K240)</f>
        <v>0</v>
      </c>
      <c r="L242" s="527"/>
      <c r="M242" s="601">
        <f t="shared" ref="M242" si="326">SUM(M237:M240)</f>
        <v>0</v>
      </c>
      <c r="N242" s="527"/>
      <c r="O242" s="601">
        <f t="shared" ref="O242" si="327">SUM(O237:O240)</f>
        <v>0</v>
      </c>
      <c r="P242" s="527"/>
      <c r="Q242" s="601">
        <f t="shared" ref="Q242" si="328">SUM(Q237:Q240)</f>
        <v>0</v>
      </c>
      <c r="R242" s="527"/>
      <c r="S242" s="601">
        <f t="shared" ref="S242" si="329">SUM(S237:S240)</f>
        <v>0</v>
      </c>
      <c r="T242" s="527"/>
      <c r="U242" s="536">
        <f t="shared" ref="U242" si="330">SUM(U237:U240)</f>
        <v>0</v>
      </c>
      <c r="V242" s="522"/>
      <c r="X242" s="4"/>
    </row>
    <row r="243" spans="1:24" s="8" customFormat="1" ht="8.25" customHeight="1">
      <c r="A243" s="521"/>
      <c r="B243" s="167"/>
      <c r="C243" s="165"/>
      <c r="D243" s="523"/>
      <c r="E243" s="165"/>
      <c r="F243" s="523"/>
      <c r="G243" s="520"/>
      <c r="H243" s="523"/>
      <c r="I243" s="520"/>
      <c r="J243" s="523"/>
      <c r="K243" s="520"/>
      <c r="L243" s="523"/>
      <c r="M243" s="520"/>
      <c r="N243" s="523"/>
      <c r="O243" s="520"/>
      <c r="P243" s="523"/>
      <c r="Q243" s="520"/>
      <c r="R243" s="167"/>
      <c r="S243" s="520"/>
      <c r="T243" s="167"/>
      <c r="U243" s="528"/>
      <c r="V243" s="522"/>
      <c r="X243" s="4"/>
    </row>
    <row r="244" spans="1:24" s="8" customFormat="1" ht="16.5" customHeight="1">
      <c r="A244" s="521"/>
      <c r="B244" s="167"/>
      <c r="C244" s="165"/>
      <c r="E244" s="513" t="s">
        <v>1304</v>
      </c>
      <c r="F244" s="523"/>
      <c r="G244" s="977">
        <f>_xlfn.IFNA(IF(VLOOKUP($B235,'PY1 TFR ADA'!$F:$AU,MATCH("B-1.5",'PY1 TFR ADA'!$F$5:$AU$5,0),FALSE)=TRUE,IF(VLOOKUP($B235,'PY1 TFR ADA'!$F:$AU,MATCH("C-1",'PY1 TFR ADA'!$F$5:$AU$5,0),FALSE)=TRUE,"Alternative Rate","LCFF Rate"),"LCFF Rate"),0)</f>
        <v>0</v>
      </c>
      <c r="H244" s="523"/>
      <c r="I244" s="977">
        <f>_xlfn.IFNA(IF(VLOOKUP($B235,'PY1 TFR ADA'!$F:$AU,MATCH("B-2.5",'PY1 TFR ADA'!$F$5:$AU$5,0),FALSE)=TRUE,IF(VLOOKUP($B235,'PY1 TFR ADA'!$F:$AU,MATCH("C-1",'PY1 TFR ADA'!$F$5:$AU$5,0),FALSE)=TRUE,"Alternative Rate","LCFF Rate"),"LCFF Rate"),0)</f>
        <v>0</v>
      </c>
      <c r="J244" s="523"/>
      <c r="K244" s="977">
        <f>_xlfn.IFNA(IF(VLOOKUP($B235,'PY1 TFR ADA'!$F:$AU,MATCH("B-3.5",'PY1 TFR ADA'!$F$5:$AU$5,0),FALSE)=TRUE,IF(VLOOKUP($B235,'PY1 TFR ADA'!$F:$AU,MATCH("C-1",'PY1 TFR ADA'!$F$5:$AU$5,0),FALSE)=TRUE,"Alternative Rate","LCFF Rate"),"LCFF Rate"),0)</f>
        <v>0</v>
      </c>
      <c r="L244" s="523"/>
      <c r="M244" s="977">
        <f>_xlfn.IFNA(IF(VLOOKUP($B235,'PY1 TFR ADA'!$F:$AU,MATCH("B-4.5",'PY1 TFR ADA'!$F$5:$AU$5,0),FALSE)=TRUE,IF(VLOOKUP($B235,'PY1 TFR ADA'!$F:$AU,MATCH("C-1",'PY1 TFR ADA'!$F$5:$AU$5,0),FALSE)=TRUE,"Alternative Rate","LCFF Rate"),"LCFF Rate"),0)</f>
        <v>0</v>
      </c>
      <c r="N244" s="523"/>
      <c r="O244" s="977">
        <f>_xlfn.IFNA(IF(VLOOKUP($B235,'PY1 TFR ADA'!$F:$AU,MATCH("B-5.5",'PY1 TFR ADA'!$F$5:$AU$5,0),FALSE)=TRUE,IF(VLOOKUP($B235,'PY1 TFR ADA'!$F:$AU,MATCH("C-1",'PY1 TFR ADA'!$F$5:$AU$5,0),FALSE)=TRUE,"Alternative Rate","LCFF Rate"),"LCFF Rate"),0)</f>
        <v>0</v>
      </c>
      <c r="P244" s="523"/>
      <c r="Q244" s="977">
        <f>_xlfn.IFNA(IF(VLOOKUP($B235,'PY1 TFR ADA'!$F:$AU,MATCH("B-6.5",'PY1 TFR ADA'!$F$5:$AU$5,0),FALSE)=TRUE,IF(VLOOKUP($B235,'PY1 TFR ADA'!$F:$AU,MATCH("C-1",'PY1 TFR ADA'!$F$5:$AU$5,0),FALSE)=TRUE,"Alternative Rate","LCFF Rate"),"LCFF Rate"),0)</f>
        <v>0</v>
      </c>
      <c r="R244" s="167"/>
      <c r="S244" s="520"/>
      <c r="T244" s="167"/>
      <c r="U244" s="528"/>
      <c r="V244" s="522"/>
      <c r="X244" s="283"/>
    </row>
    <row r="245" spans="1:24" s="8" customFormat="1" ht="8.25" customHeight="1">
      <c r="A245" s="521"/>
      <c r="B245" s="167"/>
      <c r="C245" s="165"/>
      <c r="D245" s="523"/>
      <c r="E245" s="165"/>
      <c r="F245" s="523"/>
      <c r="G245" s="520"/>
      <c r="H245" s="523"/>
      <c r="I245" s="520"/>
      <c r="J245" s="523"/>
      <c r="K245" s="520"/>
      <c r="L245" s="523"/>
      <c r="M245" s="520"/>
      <c r="N245" s="523"/>
      <c r="O245" s="520"/>
      <c r="P245" s="523"/>
      <c r="Q245" s="520"/>
      <c r="R245" s="167"/>
      <c r="S245" s="520"/>
      <c r="T245" s="167"/>
      <c r="U245" s="528"/>
      <c r="V245" s="522"/>
      <c r="X245" s="4"/>
    </row>
    <row r="246" spans="1:24" s="8" customFormat="1" ht="16.8">
      <c r="A246" s="521"/>
      <c r="B246" s="2"/>
      <c r="F246" s="523"/>
      <c r="G246" s="535">
        <f t="shared" ref="G246" si="331">IF(G244="LCFF Rate",(G237*C237+G238*C238+G239*C239+G240*C240),(G242*E240))</f>
        <v>0</v>
      </c>
      <c r="H246" s="537"/>
      <c r="I246" s="535">
        <f t="shared" ref="I246" si="332">IF(I244="LCFF Rate",(I237*C237+I238*C238+I239*C239+I240*C240),(I242*E240))</f>
        <v>0</v>
      </c>
      <c r="J246" s="537"/>
      <c r="K246" s="535">
        <f t="shared" ref="K246" si="333">IF(K244="LCFF Rate",(K237*C237+K238*C238+K239*C239+K240*C240),(K242*E240))</f>
        <v>0</v>
      </c>
      <c r="L246" s="537"/>
      <c r="M246" s="535">
        <f t="shared" ref="M246" si="334">IF(M244="LCFF Rate",(M237*C237+M238*C238+M239*C239+M240*C240),(M242*E240))</f>
        <v>0</v>
      </c>
      <c r="N246" s="537"/>
      <c r="O246" s="535">
        <f t="shared" ref="O246" si="335">IF(O244="LCFF Rate",(O237*C237+O238*C238+O239*C239+O240*C240),(O242*E240))</f>
        <v>0</v>
      </c>
      <c r="P246" s="537"/>
      <c r="Q246" s="535">
        <f t="shared" ref="Q246" si="336">IF(Q244="LCFF Rate",(Q237*C237+Q238*C238+Q239*C239+Q240*C240),(Q242*E240))</f>
        <v>0</v>
      </c>
      <c r="R246" s="167"/>
      <c r="S246" s="538">
        <f t="shared" ref="S246" si="337">SUM(G246:Q246)</f>
        <v>0</v>
      </c>
      <c r="T246" s="167"/>
      <c r="U246" s="528"/>
      <c r="V246" s="522"/>
      <c r="X246" s="979"/>
    </row>
    <row r="247" spans="1:24" s="8" customFormat="1" ht="9" customHeight="1" thickBot="1">
      <c r="A247" s="529"/>
      <c r="B247" s="530"/>
      <c r="C247" s="531"/>
      <c r="D247" s="532"/>
      <c r="E247" s="533"/>
      <c r="F247" s="532"/>
      <c r="G247" s="530"/>
      <c r="H247" s="532"/>
      <c r="I247" s="530"/>
      <c r="J247" s="532"/>
      <c r="K247" s="530"/>
      <c r="L247" s="532"/>
      <c r="M247" s="530"/>
      <c r="N247" s="532"/>
      <c r="O247" s="530"/>
      <c r="P247" s="532"/>
      <c r="Q247" s="530"/>
      <c r="R247" s="532"/>
      <c r="S247" s="530"/>
      <c r="T247" s="532"/>
      <c r="U247" s="532"/>
      <c r="V247" s="534"/>
      <c r="X247" s="4"/>
    </row>
    <row r="248" spans="1:24" s="82" customFormat="1" ht="18" customHeight="1" thickBot="1">
      <c r="A248" s="890">
        <f>+A235+1</f>
        <v>19</v>
      </c>
      <c r="B248" s="891" t="str">
        <f>'Data Entry'!$B$3&amp;"-"&amp;C248</f>
        <v>-</v>
      </c>
      <c r="C248" s="891" t="str">
        <f>IFERROR(VLOOKUP('Data Entry'!$B$3&amp;"-"&amp;A248,'PY1 TFR ADA'!$D:$AT,2,FALSE),"")</f>
        <v/>
      </c>
      <c r="D248" s="892" t="str">
        <f>IFERROR(VLOOKUP('Data Entry'!$B$3&amp;"-"&amp;A248,'PY1 TFR ADA'!$D:$AT,4,FALSE),"")</f>
        <v/>
      </c>
      <c r="E248" s="893"/>
      <c r="F248" s="893"/>
      <c r="G248" s="893"/>
      <c r="H248" s="893"/>
      <c r="I248" s="893"/>
      <c r="J248" s="893"/>
      <c r="K248" s="893"/>
      <c r="L248" s="893"/>
      <c r="M248" s="893"/>
      <c r="N248" s="893"/>
      <c r="O248" s="893"/>
      <c r="P248" s="893"/>
      <c r="Q248" s="893"/>
      <c r="R248" s="893"/>
      <c r="S248" s="893"/>
      <c r="T248" s="893"/>
      <c r="U248" s="893"/>
      <c r="V248" s="894"/>
      <c r="X248" s="83"/>
    </row>
    <row r="249" spans="1:24" ht="75" customHeight="1">
      <c r="A249" s="521"/>
      <c r="C249" s="540" t="s">
        <v>1315</v>
      </c>
      <c r="D249" s="512"/>
      <c r="E249" s="540" t="s">
        <v>1316</v>
      </c>
      <c r="F249" s="512"/>
      <c r="G249" s="540" t="s">
        <v>1309</v>
      </c>
      <c r="H249" s="512"/>
      <c r="I249" s="540" t="s">
        <v>1310</v>
      </c>
      <c r="J249" s="512"/>
      <c r="K249" s="540" t="s">
        <v>1311</v>
      </c>
      <c r="L249" s="512"/>
      <c r="M249" s="540" t="s">
        <v>1312</v>
      </c>
      <c r="N249" s="512"/>
      <c r="O249" s="540" t="s">
        <v>1313</v>
      </c>
      <c r="P249" s="512"/>
      <c r="Q249" s="540" t="s">
        <v>1314</v>
      </c>
      <c r="R249" s="167"/>
      <c r="S249" s="540" t="s">
        <v>1308</v>
      </c>
      <c r="T249" s="167"/>
      <c r="U249" s="512" t="s">
        <v>1307</v>
      </c>
      <c r="V249" s="524"/>
      <c r="X249" s="283"/>
    </row>
    <row r="250" spans="1:24" s="8" customFormat="1" ht="14.4">
      <c r="A250" s="521"/>
      <c r="B250" s="510" t="s">
        <v>94</v>
      </c>
      <c r="C250" s="525">
        <f>IFERROR(VLOOKUP($B248,'PY1 TFR ADA'!$F:$AU,MATCH("A-1.1",'PY1 TFR ADA'!$F$5:$AU$5,0),FALSE),0)</f>
        <v>0</v>
      </c>
      <c r="D250" s="167"/>
      <c r="E250" s="525">
        <f>IFERROR(VALUE(VLOOKUP($B248,'PY1 TFR ADA'!$F:$AU,MATCH("A-2.1",'PY1 TFR ADA'!$F$5:$AU$5,0),FALSE)),0)</f>
        <v>0</v>
      </c>
      <c r="F250" s="167"/>
      <c r="G250" s="609">
        <f>IFERROR(VLOOKUP($B248,'PY1 TFR ADA'!$F:$AU,MATCH("b-1.1",'PY1 TFR ADA'!$F$5:$AU$5,0),FALSE),0)</f>
        <v>0</v>
      </c>
      <c r="H250" s="527"/>
      <c r="I250" s="609">
        <f>IFERROR(VLOOKUP($B248,'PY1 TFR ADA'!$F:$AU,MATCH("b-2.1",'PY1 TFR ADA'!$F$5:$AU$5,0),FALSE),0)</f>
        <v>0</v>
      </c>
      <c r="J250" s="527"/>
      <c r="K250" s="609">
        <f>IFERROR(VLOOKUP($B248,'PY1 TFR ADA'!$F:$AU,MATCH("b-3.1",'PY1 TFR ADA'!$F$5:$AU$5,0),FALSE),0)</f>
        <v>0</v>
      </c>
      <c r="L250" s="527"/>
      <c r="M250" s="609">
        <f>IFERROR(VLOOKUP($B248,'PY1 TFR ADA'!$F:$AU,MATCH("b-4.1",'PY1 TFR ADA'!$F$5:$AU$5,0),FALSE),0)</f>
        <v>0</v>
      </c>
      <c r="N250" s="527"/>
      <c r="O250" s="609">
        <f>IFERROR(VLOOKUP($B248,'PY1 TFR ADA'!$F:$AU,MATCH("b-5.1",'PY1 TFR ADA'!$F$5:$AU$5,0),FALSE),0)</f>
        <v>0</v>
      </c>
      <c r="P250" s="527"/>
      <c r="Q250" s="609">
        <f>IFERROR(VLOOKUP($B248,'PY1 TFR ADA'!$F:$AU,MATCH("b-6.1",'PY1 TFR ADA'!$F$5:$AU$5,0),FALSE),0)</f>
        <v>0</v>
      </c>
      <c r="R250" s="551"/>
      <c r="S250" s="601">
        <f t="shared" ref="S250:S253" si="338">SUM(G250:Q250)</f>
        <v>0</v>
      </c>
      <c r="T250" s="551"/>
      <c r="U250" s="536">
        <f t="shared" ref="U250" si="339">ROUND(IF($G257="LCFF Rate",(G250*$C250),(G250*$E250))+IF($I257="LCFF Rate",(I250*$C250),(I250*$E250))+IF($K257="LCFF Rate",(K250*$C250),(K250*$E250))+IF($M257="LCFF Rate",(M250*$C250),(M250*$E250))+IF($O257="LCFF Rate",(O250*$C250),(O250*$E250))+IF($Q257="LCFF Rate",(Q250*$C250),(Q250*$E250)),0)</f>
        <v>0</v>
      </c>
      <c r="V250" s="524"/>
      <c r="X250" s="496"/>
    </row>
    <row r="251" spans="1:24" s="8" customFormat="1" ht="14.4">
      <c r="A251" s="521"/>
      <c r="B251" s="510" t="s">
        <v>2</v>
      </c>
      <c r="C251" s="525">
        <f>IFERROR(VLOOKUP($B248,'PY1 TFR ADA'!$F:$AU,MATCH("A-1.2",'PY1 TFR ADA'!$F$5:$AU$5,0),FALSE),0)</f>
        <v>0</v>
      </c>
      <c r="D251" s="167"/>
      <c r="E251" s="525">
        <f>IFERROR(VALUE(VLOOKUP($B248,'PY1 TFR ADA'!$F:$AU,MATCH("A-2.2",'PY1 TFR ADA'!$F$5:$AU$5,0),FALSE)),0)</f>
        <v>0</v>
      </c>
      <c r="F251" s="167"/>
      <c r="G251" s="609">
        <f>IFERROR(VLOOKUP($B248,'PY1 TFR ADA'!$F:$AU,MATCH("b-1.2",'PY1 TFR ADA'!$F$5:$AU$5,0),FALSE),0)</f>
        <v>0</v>
      </c>
      <c r="H251" s="527"/>
      <c r="I251" s="609">
        <f>IFERROR(VLOOKUP($B248,'PY1 TFR ADA'!$F:$AU,MATCH("b-2.2",'PY1 TFR ADA'!$F$5:$AU$5,0),FALSE),0)</f>
        <v>0</v>
      </c>
      <c r="J251" s="527"/>
      <c r="K251" s="609">
        <f>IFERROR(VLOOKUP($B248,'PY1 TFR ADA'!$F:$AU,MATCH("b-3.2",'PY1 TFR ADA'!$F$5:$AU$5,0),FALSE),0)</f>
        <v>0</v>
      </c>
      <c r="L251" s="527"/>
      <c r="M251" s="609">
        <f>IFERROR(VLOOKUP($B248,'PY1 TFR ADA'!$F:$AU,MATCH("b-4.2",'PY1 TFR ADA'!$F$5:$AU$5,0),FALSE),0)</f>
        <v>0</v>
      </c>
      <c r="N251" s="527"/>
      <c r="O251" s="609">
        <f>IFERROR(VLOOKUP($B248,'PY1 TFR ADA'!$F:$AU,MATCH("b-5.2",'PY1 TFR ADA'!$F$5:$AU$5,0),FALSE),0)</f>
        <v>0</v>
      </c>
      <c r="P251" s="527"/>
      <c r="Q251" s="609">
        <f>IFERROR(VLOOKUP($B248,'PY1 TFR ADA'!$F:$AU,MATCH("b-6.2",'PY1 TFR ADA'!$F$5:$AU$5,0),FALSE),0)</f>
        <v>0</v>
      </c>
      <c r="R251" s="551"/>
      <c r="S251" s="601">
        <f t="shared" si="338"/>
        <v>0</v>
      </c>
      <c r="T251" s="551"/>
      <c r="U251" s="536">
        <f t="shared" ref="U251" si="340">ROUND(IF($G257="LCFF Rate",(G251*$C251),(G251*$E251))+IF($I257="LCFF Rate",(I251*$C251),(I251*$E251))+IF($K257="LCFF Rate",(K251*$C251),(K251*$E251))+IF($M257="LCFF Rate",(M251*$C251),(M251*$E251))+IF($O257="LCFF Rate",(O251*$C251),(O251*$E251))+IF($Q257="LCFF Rate",(Q251*$C251),(Q251*$E251)),0)</f>
        <v>0</v>
      </c>
      <c r="V251" s="524"/>
      <c r="X251" s="4"/>
    </row>
    <row r="252" spans="1:24" s="8" customFormat="1" ht="14.4">
      <c r="A252" s="521"/>
      <c r="B252" s="510" t="s">
        <v>3</v>
      </c>
      <c r="C252" s="525">
        <f>IFERROR(VLOOKUP($B248,'PY1 TFR ADA'!$F:$AU,MATCH("A-1.3",'PY1 TFR ADA'!$F$5:$AU$5,0),FALSE),0)</f>
        <v>0</v>
      </c>
      <c r="D252" s="167"/>
      <c r="E252" s="525">
        <f>IFERROR(VALUE(VLOOKUP($B248,'PY1 TFR ADA'!$F:$AU,MATCH("A-2.3",'PY1 TFR ADA'!$F$5:$AU$5,0),FALSE)),0)</f>
        <v>0</v>
      </c>
      <c r="F252" s="167"/>
      <c r="G252" s="609">
        <f>IFERROR(VLOOKUP($B248,'PY1 TFR ADA'!$F:$AU,MATCH("b-1.3",'PY1 TFR ADA'!$F$5:$AU$5,0),FALSE),0)</f>
        <v>0</v>
      </c>
      <c r="H252" s="527"/>
      <c r="I252" s="609">
        <f>IFERROR(VLOOKUP($B248,'PY1 TFR ADA'!$F:$AU,MATCH("b-2.3",'PY1 TFR ADA'!$F$5:$AU$5,0),FALSE),0)</f>
        <v>0</v>
      </c>
      <c r="J252" s="527"/>
      <c r="K252" s="609">
        <f>IFERROR(VLOOKUP($B248,'PY1 TFR ADA'!$F:$AU,MATCH("b-3.3",'PY1 TFR ADA'!$F$5:$AU$5,0),FALSE),0)</f>
        <v>0</v>
      </c>
      <c r="L252" s="527"/>
      <c r="M252" s="609">
        <f>IFERROR(VLOOKUP($B248,'PY1 TFR ADA'!$F:$AU,MATCH("b-4.3",'PY1 TFR ADA'!$F$5:$AU$5,0),FALSE),0)</f>
        <v>0</v>
      </c>
      <c r="N252" s="527"/>
      <c r="O252" s="609">
        <f>IFERROR(VLOOKUP($B248,'PY1 TFR ADA'!$F:$AU,MATCH("b-5.3",'PY1 TFR ADA'!$F$5:$AU$5,0),FALSE),0)</f>
        <v>0</v>
      </c>
      <c r="P252" s="527"/>
      <c r="Q252" s="609">
        <f>IFERROR(VLOOKUP($B248,'PY1 TFR ADA'!$F:$AU,MATCH("b-6.3",'PY1 TFR ADA'!$F$5:$AU$5,0),FALSE),0)</f>
        <v>0</v>
      </c>
      <c r="R252" s="551"/>
      <c r="S252" s="601">
        <f t="shared" si="338"/>
        <v>0</v>
      </c>
      <c r="T252" s="551"/>
      <c r="U252" s="536">
        <f t="shared" ref="U252" si="341">ROUND(IF($G257="LCFF Rate",(G252*$C252),(G252*$E252))+IF($I257="LCFF Rate",(I252*$C252),(I252*$E252))+IF($K257="LCFF Rate",(K252*$C252),(K252*$E252))+IF($M257="LCFF Rate",(M252*$C252),(M252*$E252))+IF($O257="LCFF Rate",(O252*$C252),(O252*$E252))+IF($Q257="LCFF Rate",(Q252*$C252),(Q252*$E252)),0)</f>
        <v>0</v>
      </c>
      <c r="V252" s="524"/>
      <c r="X252" s="4"/>
    </row>
    <row r="253" spans="1:24" s="8" customFormat="1" ht="14.4">
      <c r="A253" s="526"/>
      <c r="B253" s="510" t="s">
        <v>4</v>
      </c>
      <c r="C253" s="525">
        <f>IFERROR(VLOOKUP($B248,'PY1 TFR ADA'!$F:$AU,MATCH("A-1.4",'PY1 TFR ADA'!$F$5:$AU$5,0),FALSE),0)</f>
        <v>0</v>
      </c>
      <c r="D253" s="523"/>
      <c r="E253" s="525">
        <f>IFERROR(VALUE(VLOOKUP($B248,'PY1 TFR ADA'!$F:$AU,MATCH("A-2.4",'PY1 TFR ADA'!$F$5:$AU$5,0),FALSE)),0)</f>
        <v>0</v>
      </c>
      <c r="F253" s="523"/>
      <c r="G253" s="609">
        <f>IFERROR(VLOOKUP($B248,'PY1 TFR ADA'!$F:$AU,MATCH("b-1.4",'PY1 TFR ADA'!$F$5:$AU$5,0),FALSE),0)</f>
        <v>0</v>
      </c>
      <c r="H253" s="527"/>
      <c r="I253" s="609">
        <f>IFERROR(VLOOKUP($B248,'PY1 TFR ADA'!$F:$AU,MATCH("b-2.4",'PY1 TFR ADA'!$F$5:$AU$5,0),FALSE),0)</f>
        <v>0</v>
      </c>
      <c r="J253" s="527"/>
      <c r="K253" s="609">
        <f>IFERROR(VLOOKUP($B248,'PY1 TFR ADA'!$F:$AU,MATCH("b-3.4",'PY1 TFR ADA'!$F$5:$AU$5,0),FALSE),0)</f>
        <v>0</v>
      </c>
      <c r="L253" s="527"/>
      <c r="M253" s="609">
        <f>IFERROR(VLOOKUP($B248,'PY1 TFR ADA'!$F:$AU,MATCH("b-4.4",'PY1 TFR ADA'!$F$5:$AU$5,0),FALSE),0)</f>
        <v>0</v>
      </c>
      <c r="N253" s="527"/>
      <c r="O253" s="609">
        <f>IFERROR(VLOOKUP($B248,'PY1 TFR ADA'!$F:$AU,MATCH("b-5.4",'PY1 TFR ADA'!$F$5:$AU$5,0),FALSE),0)</f>
        <v>0</v>
      </c>
      <c r="P253" s="527"/>
      <c r="Q253" s="609">
        <f>IFERROR(VLOOKUP($B248,'PY1 TFR ADA'!$F:$AU,MATCH("b-6.4",'PY1 TFR ADA'!$F$5:$AU$5,0),FALSE),0)</f>
        <v>0</v>
      </c>
      <c r="R253" s="551"/>
      <c r="S253" s="601">
        <f t="shared" si="338"/>
        <v>0</v>
      </c>
      <c r="T253" s="551"/>
      <c r="U253" s="536">
        <f t="shared" ref="U253" si="342">ROUND(IF($G257="LCFF Rate",(G253*$C253),(G253*$E253))+IF($I257="LCFF Rate",(I253*$C253),(I253*$E253))+IF($K257="LCFF Rate",(K253*$C253),(K253*$E253))+IF($M257="LCFF Rate",(M253*$C253),(M253*$E253))+IF($O257="LCFF Rate",(O253*$C253),(O253*$E253))+IF($Q257="LCFF Rate",(Q253*$C253),(Q253*$E253)),0)</f>
        <v>0</v>
      </c>
      <c r="V253" s="522"/>
      <c r="X253" s="496"/>
    </row>
    <row r="254" spans="1:24" s="8" customFormat="1" ht="8.25" customHeight="1">
      <c r="A254" s="521"/>
      <c r="B254" s="167"/>
      <c r="C254" s="165"/>
      <c r="D254" s="523"/>
      <c r="E254" s="165"/>
      <c r="F254" s="523"/>
      <c r="G254" s="520"/>
      <c r="H254" s="523"/>
      <c r="I254" s="520"/>
      <c r="J254" s="523"/>
      <c r="K254" s="520"/>
      <c r="L254" s="523"/>
      <c r="M254" s="520"/>
      <c r="N254" s="523"/>
      <c r="O254" s="520"/>
      <c r="P254" s="523"/>
      <c r="Q254" s="520"/>
      <c r="R254" s="167"/>
      <c r="S254" s="520"/>
      <c r="T254" s="167"/>
      <c r="U254" s="602"/>
      <c r="V254" s="522"/>
      <c r="X254" s="4"/>
    </row>
    <row r="255" spans="1:24" s="8" customFormat="1" ht="14.4">
      <c r="A255" s="521"/>
      <c r="B255" s="167"/>
      <c r="C255" s="165"/>
      <c r="D255" s="523"/>
      <c r="E255" s="513" t="s">
        <v>1317</v>
      </c>
      <c r="F255" s="523"/>
      <c r="G255" s="601">
        <f t="shared" ref="G255" si="343">SUM(G250:G253)</f>
        <v>0</v>
      </c>
      <c r="H255" s="527"/>
      <c r="I255" s="601">
        <f t="shared" ref="I255" si="344">SUM(I250:I253)</f>
        <v>0</v>
      </c>
      <c r="J255" s="527"/>
      <c r="K255" s="601">
        <f t="shared" ref="K255" si="345">SUM(K250:K253)</f>
        <v>0</v>
      </c>
      <c r="L255" s="527"/>
      <c r="M255" s="601">
        <f t="shared" ref="M255" si="346">SUM(M250:M253)</f>
        <v>0</v>
      </c>
      <c r="N255" s="527"/>
      <c r="O255" s="601">
        <f t="shared" ref="O255" si="347">SUM(O250:O253)</f>
        <v>0</v>
      </c>
      <c r="P255" s="527"/>
      <c r="Q255" s="601">
        <f t="shared" ref="Q255" si="348">SUM(Q250:Q253)</f>
        <v>0</v>
      </c>
      <c r="R255" s="527"/>
      <c r="S255" s="601">
        <f t="shared" ref="S255" si="349">SUM(S250:S253)</f>
        <v>0</v>
      </c>
      <c r="T255" s="527"/>
      <c r="U255" s="536">
        <f t="shared" ref="U255" si="350">SUM(U250:U253)</f>
        <v>0</v>
      </c>
      <c r="V255" s="522"/>
      <c r="X255" s="4"/>
    </row>
    <row r="256" spans="1:24" s="8" customFormat="1" ht="8.25" customHeight="1">
      <c r="A256" s="521"/>
      <c r="B256" s="167"/>
      <c r="C256" s="165"/>
      <c r="D256" s="523"/>
      <c r="E256" s="165"/>
      <c r="F256" s="523"/>
      <c r="G256" s="520"/>
      <c r="H256" s="523"/>
      <c r="I256" s="520"/>
      <c r="J256" s="523"/>
      <c r="K256" s="520"/>
      <c r="L256" s="523"/>
      <c r="M256" s="520"/>
      <c r="N256" s="523"/>
      <c r="O256" s="520"/>
      <c r="P256" s="523"/>
      <c r="Q256" s="520"/>
      <c r="R256" s="167"/>
      <c r="S256" s="520"/>
      <c r="T256" s="167"/>
      <c r="U256" s="528"/>
      <c r="V256" s="522"/>
      <c r="X256" s="4"/>
    </row>
    <row r="257" spans="1:24" s="8" customFormat="1" ht="16.5" customHeight="1">
      <c r="A257" s="521"/>
      <c r="B257" s="167"/>
      <c r="C257" s="165"/>
      <c r="E257" s="513" t="s">
        <v>1304</v>
      </c>
      <c r="F257" s="523"/>
      <c r="G257" s="977">
        <f>_xlfn.IFNA(IF(VLOOKUP($B248,'PY1 TFR ADA'!$F:$AU,MATCH("B-1.5",'PY1 TFR ADA'!$F$5:$AU$5,0),FALSE)=TRUE,IF(VLOOKUP($B248,'PY1 TFR ADA'!$F:$AU,MATCH("C-1",'PY1 TFR ADA'!$F$5:$AU$5,0),FALSE)=TRUE,"Alternative Rate","LCFF Rate"),"LCFF Rate"),0)</f>
        <v>0</v>
      </c>
      <c r="H257" s="523"/>
      <c r="I257" s="977">
        <f>_xlfn.IFNA(IF(VLOOKUP($B248,'PY1 TFR ADA'!$F:$AU,MATCH("B-2.5",'PY1 TFR ADA'!$F$5:$AU$5,0),FALSE)=TRUE,IF(VLOOKUP($B248,'PY1 TFR ADA'!$F:$AU,MATCH("C-1",'PY1 TFR ADA'!$F$5:$AU$5,0),FALSE)=TRUE,"Alternative Rate","LCFF Rate"),"LCFF Rate"),0)</f>
        <v>0</v>
      </c>
      <c r="J257" s="523"/>
      <c r="K257" s="977">
        <f>_xlfn.IFNA(IF(VLOOKUP($B248,'PY1 TFR ADA'!$F:$AU,MATCH("B-3.5",'PY1 TFR ADA'!$F$5:$AU$5,0),FALSE)=TRUE,IF(VLOOKUP($B248,'PY1 TFR ADA'!$F:$AU,MATCH("C-1",'PY1 TFR ADA'!$F$5:$AU$5,0),FALSE)=TRUE,"Alternative Rate","LCFF Rate"),"LCFF Rate"),0)</f>
        <v>0</v>
      </c>
      <c r="L257" s="523"/>
      <c r="M257" s="977">
        <f>_xlfn.IFNA(IF(VLOOKUP($B248,'PY1 TFR ADA'!$F:$AU,MATCH("B-4.5",'PY1 TFR ADA'!$F$5:$AU$5,0),FALSE)=TRUE,IF(VLOOKUP($B248,'PY1 TFR ADA'!$F:$AU,MATCH("C-1",'PY1 TFR ADA'!$F$5:$AU$5,0),FALSE)=TRUE,"Alternative Rate","LCFF Rate"),"LCFF Rate"),0)</f>
        <v>0</v>
      </c>
      <c r="N257" s="523"/>
      <c r="O257" s="977">
        <f>_xlfn.IFNA(IF(VLOOKUP($B248,'PY1 TFR ADA'!$F:$AU,MATCH("B-5.5",'PY1 TFR ADA'!$F$5:$AU$5,0),FALSE)=TRUE,IF(VLOOKUP($B248,'PY1 TFR ADA'!$F:$AU,MATCH("C-1",'PY1 TFR ADA'!$F$5:$AU$5,0),FALSE)=TRUE,"Alternative Rate","LCFF Rate"),"LCFF Rate"),0)</f>
        <v>0</v>
      </c>
      <c r="P257" s="523"/>
      <c r="Q257" s="977">
        <f>_xlfn.IFNA(IF(VLOOKUP($B248,'PY1 TFR ADA'!$F:$AU,MATCH("B-6.5",'PY1 TFR ADA'!$F$5:$AU$5,0),FALSE)=TRUE,IF(VLOOKUP($B248,'PY1 TFR ADA'!$F:$AU,MATCH("C-1",'PY1 TFR ADA'!$F$5:$AU$5,0),FALSE)=TRUE,"Alternative Rate","LCFF Rate"),"LCFF Rate"),0)</f>
        <v>0</v>
      </c>
      <c r="R257" s="167"/>
      <c r="S257" s="520"/>
      <c r="T257" s="167"/>
      <c r="U257" s="528"/>
      <c r="V257" s="522"/>
      <c r="X257" s="283"/>
    </row>
    <row r="258" spans="1:24" s="8" customFormat="1" ht="8.25" customHeight="1">
      <c r="A258" s="521"/>
      <c r="B258" s="167"/>
      <c r="C258" s="165"/>
      <c r="D258" s="523"/>
      <c r="E258" s="165"/>
      <c r="F258" s="523"/>
      <c r="G258" s="520"/>
      <c r="H258" s="523"/>
      <c r="I258" s="520"/>
      <c r="J258" s="523"/>
      <c r="K258" s="520"/>
      <c r="L258" s="523"/>
      <c r="M258" s="520"/>
      <c r="N258" s="523"/>
      <c r="O258" s="520"/>
      <c r="P258" s="523"/>
      <c r="Q258" s="520"/>
      <c r="R258" s="167"/>
      <c r="S258" s="520"/>
      <c r="T258" s="167"/>
      <c r="U258" s="528"/>
      <c r="V258" s="522"/>
      <c r="X258" s="4"/>
    </row>
    <row r="259" spans="1:24" s="8" customFormat="1" ht="16.8">
      <c r="A259" s="521"/>
      <c r="B259" s="2"/>
      <c r="F259" s="523"/>
      <c r="G259" s="535">
        <f t="shared" ref="G259" si="351">IF(G257="LCFF Rate",(G250*C250+G251*C251+G252*C252+G253*C253),(G255*E253))</f>
        <v>0</v>
      </c>
      <c r="H259" s="537"/>
      <c r="I259" s="535">
        <f t="shared" ref="I259" si="352">IF(I257="LCFF Rate",(I250*C250+I251*C251+I252*C252+I253*C253),(I255*E253))</f>
        <v>0</v>
      </c>
      <c r="J259" s="537"/>
      <c r="K259" s="535">
        <f t="shared" ref="K259" si="353">IF(K257="LCFF Rate",(K250*C250+K251*C251+K252*C252+K253*C253),(K255*E253))</f>
        <v>0</v>
      </c>
      <c r="L259" s="537"/>
      <c r="M259" s="535">
        <f t="shared" ref="M259" si="354">IF(M257="LCFF Rate",(M250*C250+M251*C251+M252*C252+M253*C253),(M255*E253))</f>
        <v>0</v>
      </c>
      <c r="N259" s="537"/>
      <c r="O259" s="535">
        <f t="shared" ref="O259" si="355">IF(O257="LCFF Rate",(O250*C250+O251*C251+O252*C252+O253*C253),(O255*E253))</f>
        <v>0</v>
      </c>
      <c r="P259" s="537"/>
      <c r="Q259" s="535">
        <f t="shared" ref="Q259" si="356">IF(Q257="LCFF Rate",(Q250*C250+Q251*C251+Q252*C252+Q253*C253),(Q255*E253))</f>
        <v>0</v>
      </c>
      <c r="R259" s="167"/>
      <c r="S259" s="538">
        <f t="shared" ref="S259" si="357">SUM(G259:Q259)</f>
        <v>0</v>
      </c>
      <c r="T259" s="167"/>
      <c r="U259" s="528"/>
      <c r="V259" s="522"/>
      <c r="X259" s="979"/>
    </row>
    <row r="260" spans="1:24" s="8" customFormat="1" ht="9" customHeight="1" thickBot="1">
      <c r="A260" s="529"/>
      <c r="B260" s="530"/>
      <c r="C260" s="531"/>
      <c r="D260" s="532"/>
      <c r="E260" s="533"/>
      <c r="F260" s="532"/>
      <c r="G260" s="530"/>
      <c r="H260" s="532"/>
      <c r="I260" s="530"/>
      <c r="J260" s="532"/>
      <c r="K260" s="530"/>
      <c r="L260" s="532"/>
      <c r="M260" s="530"/>
      <c r="N260" s="532"/>
      <c r="O260" s="530"/>
      <c r="P260" s="532"/>
      <c r="Q260" s="530"/>
      <c r="R260" s="532"/>
      <c r="S260" s="530"/>
      <c r="T260" s="532"/>
      <c r="U260" s="532"/>
      <c r="V260" s="534"/>
      <c r="X260" s="4"/>
    </row>
    <row r="261" spans="1:24" s="82" customFormat="1" ht="18" customHeight="1" thickBot="1">
      <c r="A261" s="890">
        <f>+A248+1</f>
        <v>20</v>
      </c>
      <c r="B261" s="891" t="str">
        <f>'Data Entry'!$B$3&amp;"-"&amp;C261</f>
        <v>-</v>
      </c>
      <c r="C261" s="891" t="str">
        <f>IFERROR(VLOOKUP('Data Entry'!$B$3&amp;"-"&amp;A261,'PY1 TFR ADA'!$D:$AT,2,FALSE),"")</f>
        <v/>
      </c>
      <c r="D261" s="892" t="str">
        <f>IFERROR(VLOOKUP('Data Entry'!$B$3&amp;"-"&amp;A261,'PY1 TFR ADA'!$D:$AT,4,FALSE),"")</f>
        <v/>
      </c>
      <c r="E261" s="893"/>
      <c r="F261" s="893"/>
      <c r="G261" s="893"/>
      <c r="H261" s="893"/>
      <c r="I261" s="893"/>
      <c r="J261" s="893"/>
      <c r="K261" s="893"/>
      <c r="L261" s="893"/>
      <c r="M261" s="893"/>
      <c r="N261" s="893"/>
      <c r="O261" s="893"/>
      <c r="P261" s="893"/>
      <c r="Q261" s="893"/>
      <c r="R261" s="893"/>
      <c r="S261" s="893"/>
      <c r="T261" s="893"/>
      <c r="U261" s="893"/>
      <c r="V261" s="894"/>
      <c r="X261" s="83"/>
    </row>
    <row r="262" spans="1:24" ht="75" customHeight="1">
      <c r="A262" s="521"/>
      <c r="C262" s="540" t="s">
        <v>1315</v>
      </c>
      <c r="D262" s="512"/>
      <c r="E262" s="540" t="s">
        <v>1316</v>
      </c>
      <c r="F262" s="512"/>
      <c r="G262" s="540" t="s">
        <v>1309</v>
      </c>
      <c r="H262" s="512"/>
      <c r="I262" s="540" t="s">
        <v>1310</v>
      </c>
      <c r="J262" s="512"/>
      <c r="K262" s="540" t="s">
        <v>1311</v>
      </c>
      <c r="L262" s="512"/>
      <c r="M262" s="540" t="s">
        <v>1312</v>
      </c>
      <c r="N262" s="512"/>
      <c r="O262" s="540" t="s">
        <v>1313</v>
      </c>
      <c r="P262" s="512"/>
      <c r="Q262" s="540" t="s">
        <v>1314</v>
      </c>
      <c r="R262" s="167"/>
      <c r="S262" s="540" t="s">
        <v>1308</v>
      </c>
      <c r="T262" s="167"/>
      <c r="U262" s="512" t="s">
        <v>1307</v>
      </c>
      <c r="V262" s="524"/>
      <c r="X262" s="283"/>
    </row>
    <row r="263" spans="1:24" s="8" customFormat="1" ht="14.4">
      <c r="A263" s="521"/>
      <c r="B263" s="510" t="s">
        <v>94</v>
      </c>
      <c r="C263" s="525">
        <f>IFERROR(VLOOKUP($B261,'PY1 TFR ADA'!$F:$AU,MATCH("A-1.1",'PY1 TFR ADA'!$F$5:$AU$5,0),FALSE),0)</f>
        <v>0</v>
      </c>
      <c r="D263" s="167"/>
      <c r="E263" s="525">
        <f>IFERROR(VALUE(VLOOKUP($B261,'PY1 TFR ADA'!$F:$AU,MATCH("A-2.1",'PY1 TFR ADA'!$F$5:$AU$5,0),FALSE)),0)</f>
        <v>0</v>
      </c>
      <c r="F263" s="167"/>
      <c r="G263" s="609">
        <f>IFERROR(VLOOKUP($B261,'PY1 TFR ADA'!$F:$AU,MATCH("b-1.1",'PY1 TFR ADA'!$F$5:$AU$5,0),FALSE),0)</f>
        <v>0</v>
      </c>
      <c r="H263" s="527"/>
      <c r="I263" s="609">
        <f>IFERROR(VLOOKUP($B261,'PY1 TFR ADA'!$F:$AU,MATCH("b-2.1",'PY1 TFR ADA'!$F$5:$AU$5,0),FALSE),0)</f>
        <v>0</v>
      </c>
      <c r="J263" s="527"/>
      <c r="K263" s="609">
        <f>IFERROR(VLOOKUP($B261,'PY1 TFR ADA'!$F:$AU,MATCH("b-3.1",'PY1 TFR ADA'!$F$5:$AU$5,0),FALSE),0)</f>
        <v>0</v>
      </c>
      <c r="L263" s="527"/>
      <c r="M263" s="609">
        <f>IFERROR(VLOOKUP($B261,'PY1 TFR ADA'!$F:$AU,MATCH("b-4.1",'PY1 TFR ADA'!$F$5:$AU$5,0),FALSE),0)</f>
        <v>0</v>
      </c>
      <c r="N263" s="527"/>
      <c r="O263" s="609">
        <f>IFERROR(VLOOKUP($B261,'PY1 TFR ADA'!$F:$AU,MATCH("b-5.1",'PY1 TFR ADA'!$F$5:$AU$5,0),FALSE),0)</f>
        <v>0</v>
      </c>
      <c r="P263" s="527"/>
      <c r="Q263" s="609">
        <f>IFERROR(VLOOKUP($B261,'PY1 TFR ADA'!$F:$AU,MATCH("b-6.1",'PY1 TFR ADA'!$F$5:$AU$5,0),FALSE),0)</f>
        <v>0</v>
      </c>
      <c r="R263" s="551"/>
      <c r="S263" s="601">
        <f t="shared" ref="S263:S266" si="358">SUM(G263:Q263)</f>
        <v>0</v>
      </c>
      <c r="T263" s="551"/>
      <c r="U263" s="536">
        <f t="shared" ref="U263" si="359">ROUND(IF($G270="LCFF Rate",(G263*$C263),(G263*$E263))+IF($I270="LCFF Rate",(I263*$C263),(I263*$E263))+IF($K270="LCFF Rate",(K263*$C263),(K263*$E263))+IF($M270="LCFF Rate",(M263*$C263),(M263*$E263))+IF($O270="LCFF Rate",(O263*$C263),(O263*$E263))+IF($Q270="LCFF Rate",(Q263*$C263),(Q263*$E263)),0)</f>
        <v>0</v>
      </c>
      <c r="V263" s="524"/>
      <c r="X263" s="496"/>
    </row>
    <row r="264" spans="1:24" s="8" customFormat="1" ht="14.4">
      <c r="A264" s="521"/>
      <c r="B264" s="510" t="s">
        <v>2</v>
      </c>
      <c r="C264" s="525">
        <f>IFERROR(VLOOKUP($B261,'PY1 TFR ADA'!$F:$AU,MATCH("A-1.2",'PY1 TFR ADA'!$F$5:$AU$5,0),FALSE),0)</f>
        <v>0</v>
      </c>
      <c r="D264" s="167"/>
      <c r="E264" s="525">
        <f>IFERROR(VALUE(VLOOKUP($B261,'PY1 TFR ADA'!$F:$AU,MATCH("A-2.2",'PY1 TFR ADA'!$F$5:$AU$5,0),FALSE)),0)</f>
        <v>0</v>
      </c>
      <c r="F264" s="167"/>
      <c r="G264" s="609">
        <f>IFERROR(VLOOKUP($B261,'PY1 TFR ADA'!$F:$AU,MATCH("b-1.2",'PY1 TFR ADA'!$F$5:$AU$5,0),FALSE),0)</f>
        <v>0</v>
      </c>
      <c r="H264" s="527"/>
      <c r="I264" s="609">
        <f>IFERROR(VLOOKUP($B261,'PY1 TFR ADA'!$F:$AU,MATCH("b-2.2",'PY1 TFR ADA'!$F$5:$AU$5,0),FALSE),0)</f>
        <v>0</v>
      </c>
      <c r="J264" s="527"/>
      <c r="K264" s="609">
        <f>IFERROR(VLOOKUP($B261,'PY1 TFR ADA'!$F:$AU,MATCH("b-3.2",'PY1 TFR ADA'!$F$5:$AU$5,0),FALSE),0)</f>
        <v>0</v>
      </c>
      <c r="L264" s="527"/>
      <c r="M264" s="609">
        <f>IFERROR(VLOOKUP($B261,'PY1 TFR ADA'!$F:$AU,MATCH("b-4.2",'PY1 TFR ADA'!$F$5:$AU$5,0),FALSE),0)</f>
        <v>0</v>
      </c>
      <c r="N264" s="527"/>
      <c r="O264" s="609">
        <f>IFERROR(VLOOKUP($B261,'PY1 TFR ADA'!$F:$AU,MATCH("b-5.2",'PY1 TFR ADA'!$F$5:$AU$5,0),FALSE),0)</f>
        <v>0</v>
      </c>
      <c r="P264" s="527"/>
      <c r="Q264" s="609">
        <f>IFERROR(VLOOKUP($B261,'PY1 TFR ADA'!$F:$AU,MATCH("b-6.2",'PY1 TFR ADA'!$F$5:$AU$5,0),FALSE),0)</f>
        <v>0</v>
      </c>
      <c r="R264" s="551"/>
      <c r="S264" s="601">
        <f t="shared" si="358"/>
        <v>0</v>
      </c>
      <c r="T264" s="551"/>
      <c r="U264" s="536">
        <f t="shared" ref="U264" si="360">ROUND(IF($G270="LCFF Rate",(G264*$C264),(G264*$E264))+IF($I270="LCFF Rate",(I264*$C264),(I264*$E264))+IF($K270="LCFF Rate",(K264*$C264),(K264*$E264))+IF($M270="LCFF Rate",(M264*$C264),(M264*$E264))+IF($O270="LCFF Rate",(O264*$C264),(O264*$E264))+IF($Q270="LCFF Rate",(Q264*$C264),(Q264*$E264)),0)</f>
        <v>0</v>
      </c>
      <c r="V264" s="524"/>
      <c r="X264" s="4"/>
    </row>
    <row r="265" spans="1:24" s="8" customFormat="1" ht="14.4">
      <c r="A265" s="521"/>
      <c r="B265" s="510" t="s">
        <v>3</v>
      </c>
      <c r="C265" s="525">
        <f>IFERROR(VLOOKUP($B261,'PY1 TFR ADA'!$F:$AU,MATCH("A-1.3",'PY1 TFR ADA'!$F$5:$AU$5,0),FALSE),0)</f>
        <v>0</v>
      </c>
      <c r="D265" s="167"/>
      <c r="E265" s="525">
        <f>IFERROR(VALUE(VLOOKUP($B261,'PY1 TFR ADA'!$F:$AU,MATCH("A-2.3",'PY1 TFR ADA'!$F$5:$AU$5,0),FALSE)),0)</f>
        <v>0</v>
      </c>
      <c r="F265" s="167"/>
      <c r="G265" s="609">
        <f>IFERROR(VLOOKUP($B261,'PY1 TFR ADA'!$F:$AU,MATCH("b-1.3",'PY1 TFR ADA'!$F$5:$AU$5,0),FALSE),0)</f>
        <v>0</v>
      </c>
      <c r="H265" s="527"/>
      <c r="I265" s="609">
        <f>IFERROR(VLOOKUP($B261,'PY1 TFR ADA'!$F:$AU,MATCH("b-2.3",'PY1 TFR ADA'!$F$5:$AU$5,0),FALSE),0)</f>
        <v>0</v>
      </c>
      <c r="J265" s="527"/>
      <c r="K265" s="609">
        <f>IFERROR(VLOOKUP($B261,'PY1 TFR ADA'!$F:$AU,MATCH("b-3.3",'PY1 TFR ADA'!$F$5:$AU$5,0),FALSE),0)</f>
        <v>0</v>
      </c>
      <c r="L265" s="527"/>
      <c r="M265" s="609">
        <f>IFERROR(VLOOKUP($B261,'PY1 TFR ADA'!$F:$AU,MATCH("b-4.3",'PY1 TFR ADA'!$F$5:$AU$5,0),FALSE),0)</f>
        <v>0</v>
      </c>
      <c r="N265" s="527"/>
      <c r="O265" s="609">
        <f>IFERROR(VLOOKUP($B261,'PY1 TFR ADA'!$F:$AU,MATCH("b-5.3",'PY1 TFR ADA'!$F$5:$AU$5,0),FALSE),0)</f>
        <v>0</v>
      </c>
      <c r="P265" s="527"/>
      <c r="Q265" s="609">
        <f>IFERROR(VLOOKUP($B261,'PY1 TFR ADA'!$F:$AU,MATCH("b-6.3",'PY1 TFR ADA'!$F$5:$AU$5,0),FALSE),0)</f>
        <v>0</v>
      </c>
      <c r="R265" s="551"/>
      <c r="S265" s="601">
        <f t="shared" si="358"/>
        <v>0</v>
      </c>
      <c r="T265" s="551"/>
      <c r="U265" s="536">
        <f t="shared" ref="U265" si="361">ROUND(IF($G270="LCFF Rate",(G265*$C265),(G265*$E265))+IF($I270="LCFF Rate",(I265*$C265),(I265*$E265))+IF($K270="LCFF Rate",(K265*$C265),(K265*$E265))+IF($M270="LCFF Rate",(M265*$C265),(M265*$E265))+IF($O270="LCFF Rate",(O265*$C265),(O265*$E265))+IF($Q270="LCFF Rate",(Q265*$C265),(Q265*$E265)),0)</f>
        <v>0</v>
      </c>
      <c r="V265" s="524"/>
      <c r="X265" s="4"/>
    </row>
    <row r="266" spans="1:24" s="8" customFormat="1" ht="14.4">
      <c r="A266" s="526"/>
      <c r="B266" s="510" t="s">
        <v>4</v>
      </c>
      <c r="C266" s="525">
        <f>IFERROR(VLOOKUP($B261,'PY1 TFR ADA'!$F:$AU,MATCH("A-1.4",'PY1 TFR ADA'!$F$5:$AU$5,0),FALSE),0)</f>
        <v>0</v>
      </c>
      <c r="D266" s="523"/>
      <c r="E266" s="525">
        <f>IFERROR(VALUE(VLOOKUP($B261,'PY1 TFR ADA'!$F:$AU,MATCH("A-2.4",'PY1 TFR ADA'!$F$5:$AU$5,0),FALSE)),0)</f>
        <v>0</v>
      </c>
      <c r="F266" s="523"/>
      <c r="G266" s="609">
        <f>IFERROR(VLOOKUP($B261,'PY1 TFR ADA'!$F:$AU,MATCH("b-1.4",'PY1 TFR ADA'!$F$5:$AU$5,0),FALSE),0)</f>
        <v>0</v>
      </c>
      <c r="H266" s="527"/>
      <c r="I266" s="609">
        <f>IFERROR(VLOOKUP($B261,'PY1 TFR ADA'!$F:$AU,MATCH("b-2.4",'PY1 TFR ADA'!$F$5:$AU$5,0),FALSE),0)</f>
        <v>0</v>
      </c>
      <c r="J266" s="527"/>
      <c r="K266" s="609">
        <f>IFERROR(VLOOKUP($B261,'PY1 TFR ADA'!$F:$AU,MATCH("b-3.4",'PY1 TFR ADA'!$F$5:$AU$5,0),FALSE),0)</f>
        <v>0</v>
      </c>
      <c r="L266" s="527"/>
      <c r="M266" s="609">
        <f>IFERROR(VLOOKUP($B261,'PY1 TFR ADA'!$F:$AU,MATCH("b-4.4",'PY1 TFR ADA'!$F$5:$AU$5,0),FALSE),0)</f>
        <v>0</v>
      </c>
      <c r="N266" s="527"/>
      <c r="O266" s="609">
        <f>IFERROR(VLOOKUP($B261,'PY1 TFR ADA'!$F:$AU,MATCH("b-5.4",'PY1 TFR ADA'!$F$5:$AU$5,0),FALSE),0)</f>
        <v>0</v>
      </c>
      <c r="P266" s="527"/>
      <c r="Q266" s="609">
        <f>IFERROR(VLOOKUP($B261,'PY1 TFR ADA'!$F:$AU,MATCH("b-6.4",'PY1 TFR ADA'!$F$5:$AU$5,0),FALSE),0)</f>
        <v>0</v>
      </c>
      <c r="R266" s="551"/>
      <c r="S266" s="601">
        <f t="shared" si="358"/>
        <v>0</v>
      </c>
      <c r="T266" s="551"/>
      <c r="U266" s="536">
        <f t="shared" ref="U266" si="362">ROUND(IF($G270="LCFF Rate",(G266*$C266),(G266*$E266))+IF($I270="LCFF Rate",(I266*$C266),(I266*$E266))+IF($K270="LCFF Rate",(K266*$C266),(K266*$E266))+IF($M270="LCFF Rate",(M266*$C266),(M266*$E266))+IF($O270="LCFF Rate",(O266*$C266),(O266*$E266))+IF($Q270="LCFF Rate",(Q266*$C266),(Q266*$E266)),0)</f>
        <v>0</v>
      </c>
      <c r="V266" s="522"/>
      <c r="X266" s="496"/>
    </row>
    <row r="267" spans="1:24" s="8" customFormat="1" ht="8.25" customHeight="1">
      <c r="A267" s="521"/>
      <c r="B267" s="167"/>
      <c r="C267" s="165"/>
      <c r="D267" s="523"/>
      <c r="E267" s="165"/>
      <c r="F267" s="523"/>
      <c r="G267" s="520"/>
      <c r="H267" s="523"/>
      <c r="I267" s="520"/>
      <c r="J267" s="523"/>
      <c r="K267" s="520"/>
      <c r="L267" s="523"/>
      <c r="M267" s="520"/>
      <c r="N267" s="523"/>
      <c r="O267" s="520"/>
      <c r="P267" s="523"/>
      <c r="Q267" s="520"/>
      <c r="R267" s="167"/>
      <c r="S267" s="520"/>
      <c r="T267" s="167"/>
      <c r="U267" s="602"/>
      <c r="V267" s="522"/>
      <c r="X267" s="4"/>
    </row>
    <row r="268" spans="1:24" s="8" customFormat="1" ht="14.4">
      <c r="A268" s="521"/>
      <c r="B268" s="167"/>
      <c r="C268" s="165"/>
      <c r="D268" s="523"/>
      <c r="E268" s="513" t="s">
        <v>1317</v>
      </c>
      <c r="F268" s="523"/>
      <c r="G268" s="601">
        <f t="shared" ref="G268" si="363">SUM(G263:G266)</f>
        <v>0</v>
      </c>
      <c r="H268" s="527"/>
      <c r="I268" s="601">
        <f t="shared" ref="I268" si="364">SUM(I263:I266)</f>
        <v>0</v>
      </c>
      <c r="J268" s="527"/>
      <c r="K268" s="601">
        <f t="shared" ref="K268" si="365">SUM(K263:K266)</f>
        <v>0</v>
      </c>
      <c r="L268" s="527"/>
      <c r="M268" s="601">
        <f t="shared" ref="M268" si="366">SUM(M263:M266)</f>
        <v>0</v>
      </c>
      <c r="N268" s="527"/>
      <c r="O268" s="601">
        <f t="shared" ref="O268" si="367">SUM(O263:O266)</f>
        <v>0</v>
      </c>
      <c r="P268" s="527"/>
      <c r="Q268" s="601">
        <f t="shared" ref="Q268" si="368">SUM(Q263:Q266)</f>
        <v>0</v>
      </c>
      <c r="R268" s="527"/>
      <c r="S268" s="601">
        <f t="shared" ref="S268" si="369">SUM(S263:S266)</f>
        <v>0</v>
      </c>
      <c r="T268" s="527"/>
      <c r="U268" s="536">
        <f t="shared" ref="U268" si="370">SUM(U263:U266)</f>
        <v>0</v>
      </c>
      <c r="V268" s="522"/>
      <c r="X268" s="4"/>
    </row>
    <row r="269" spans="1:24" s="8" customFormat="1" ht="8.25" customHeight="1">
      <c r="A269" s="521"/>
      <c r="B269" s="167"/>
      <c r="C269" s="165"/>
      <c r="D269" s="523"/>
      <c r="E269" s="165"/>
      <c r="F269" s="523"/>
      <c r="G269" s="520"/>
      <c r="H269" s="523"/>
      <c r="I269" s="520"/>
      <c r="J269" s="523"/>
      <c r="K269" s="520"/>
      <c r="L269" s="523"/>
      <c r="M269" s="520"/>
      <c r="N269" s="523"/>
      <c r="O269" s="520"/>
      <c r="P269" s="523"/>
      <c r="Q269" s="520"/>
      <c r="R269" s="167"/>
      <c r="S269" s="520"/>
      <c r="T269" s="167"/>
      <c r="U269" s="528"/>
      <c r="V269" s="522"/>
      <c r="X269" s="4"/>
    </row>
    <row r="270" spans="1:24" s="8" customFormat="1" ht="16.5" customHeight="1">
      <c r="A270" s="521"/>
      <c r="B270" s="167"/>
      <c r="C270" s="165"/>
      <c r="E270" s="513" t="s">
        <v>1304</v>
      </c>
      <c r="F270" s="523"/>
      <c r="G270" s="977">
        <f>_xlfn.IFNA(IF(VLOOKUP($B261,'PY1 TFR ADA'!$F:$AU,MATCH("B-1.5",'PY1 TFR ADA'!$F$5:$AU$5,0),FALSE)=TRUE,IF(VLOOKUP($B261,'PY1 TFR ADA'!$F:$AU,MATCH("C-1",'PY1 TFR ADA'!$F$5:$AU$5,0),FALSE)=TRUE,"Alternative Rate","LCFF Rate"),"LCFF Rate"),0)</f>
        <v>0</v>
      </c>
      <c r="H270" s="523"/>
      <c r="I270" s="977">
        <f>_xlfn.IFNA(IF(VLOOKUP($B261,'PY1 TFR ADA'!$F:$AU,MATCH("B-2.5",'PY1 TFR ADA'!$F$5:$AU$5,0),FALSE)=TRUE,IF(VLOOKUP($B261,'PY1 TFR ADA'!$F:$AU,MATCH("C-1",'PY1 TFR ADA'!$F$5:$AU$5,0),FALSE)=TRUE,"Alternative Rate","LCFF Rate"),"LCFF Rate"),0)</f>
        <v>0</v>
      </c>
      <c r="J270" s="523"/>
      <c r="K270" s="977">
        <f>_xlfn.IFNA(IF(VLOOKUP($B261,'PY1 TFR ADA'!$F:$AU,MATCH("B-3.5",'PY1 TFR ADA'!$F$5:$AU$5,0),FALSE)=TRUE,IF(VLOOKUP($B261,'PY1 TFR ADA'!$F:$AU,MATCH("C-1",'PY1 TFR ADA'!$F$5:$AU$5,0),FALSE)=TRUE,"Alternative Rate","LCFF Rate"),"LCFF Rate"),0)</f>
        <v>0</v>
      </c>
      <c r="L270" s="523"/>
      <c r="M270" s="977">
        <f>_xlfn.IFNA(IF(VLOOKUP($B261,'PY1 TFR ADA'!$F:$AU,MATCH("B-4.5",'PY1 TFR ADA'!$F$5:$AU$5,0),FALSE)=TRUE,IF(VLOOKUP($B261,'PY1 TFR ADA'!$F:$AU,MATCH("C-1",'PY1 TFR ADA'!$F$5:$AU$5,0),FALSE)=TRUE,"Alternative Rate","LCFF Rate"),"LCFF Rate"),0)</f>
        <v>0</v>
      </c>
      <c r="N270" s="523"/>
      <c r="O270" s="977">
        <f>_xlfn.IFNA(IF(VLOOKUP($B261,'PY1 TFR ADA'!$F:$AU,MATCH("B-5.5",'PY1 TFR ADA'!$F$5:$AU$5,0),FALSE)=TRUE,IF(VLOOKUP($B261,'PY1 TFR ADA'!$F:$AU,MATCH("C-1",'PY1 TFR ADA'!$F$5:$AU$5,0),FALSE)=TRUE,"Alternative Rate","LCFF Rate"),"LCFF Rate"),0)</f>
        <v>0</v>
      </c>
      <c r="P270" s="523"/>
      <c r="Q270" s="977">
        <f>_xlfn.IFNA(IF(VLOOKUP($B261,'PY1 TFR ADA'!$F:$AU,MATCH("B-6.5",'PY1 TFR ADA'!$F$5:$AU$5,0),FALSE)=TRUE,IF(VLOOKUP($B261,'PY1 TFR ADA'!$F:$AU,MATCH("C-1",'PY1 TFR ADA'!$F$5:$AU$5,0),FALSE)=TRUE,"Alternative Rate","LCFF Rate"),"LCFF Rate"),0)</f>
        <v>0</v>
      </c>
      <c r="R270" s="167"/>
      <c r="S270" s="520"/>
      <c r="T270" s="167"/>
      <c r="U270" s="528"/>
      <c r="V270" s="522"/>
      <c r="X270" s="283"/>
    </row>
    <row r="271" spans="1:24" s="8" customFormat="1" ht="8.25" customHeight="1">
      <c r="A271" s="521"/>
      <c r="B271" s="167"/>
      <c r="C271" s="165"/>
      <c r="D271" s="523"/>
      <c r="E271" s="165"/>
      <c r="F271" s="523"/>
      <c r="G271" s="520"/>
      <c r="H271" s="523"/>
      <c r="I271" s="520"/>
      <c r="J271" s="523"/>
      <c r="K271" s="520"/>
      <c r="L271" s="523"/>
      <c r="M271" s="520"/>
      <c r="N271" s="523"/>
      <c r="O271" s="520"/>
      <c r="P271" s="523"/>
      <c r="Q271" s="520"/>
      <c r="R271" s="167"/>
      <c r="S271" s="520"/>
      <c r="T271" s="167"/>
      <c r="U271" s="528"/>
      <c r="V271" s="522"/>
      <c r="X271" s="4"/>
    </row>
    <row r="272" spans="1:24" s="8" customFormat="1" ht="16.8">
      <c r="A272" s="521"/>
      <c r="B272" s="2"/>
      <c r="F272" s="523"/>
      <c r="G272" s="535">
        <f t="shared" ref="G272" si="371">IF(G270="LCFF Rate",(G263*C263+G264*C264+G265*C265+G266*C266),(G268*E266))</f>
        <v>0</v>
      </c>
      <c r="H272" s="537"/>
      <c r="I272" s="535">
        <f t="shared" ref="I272" si="372">IF(I270="LCFF Rate",(I263*C263+I264*C264+I265*C265+I266*C266),(I268*E266))</f>
        <v>0</v>
      </c>
      <c r="J272" s="537"/>
      <c r="K272" s="535">
        <f t="shared" ref="K272" si="373">IF(K270="LCFF Rate",(K263*C263+K264*C264+K265*C265+K266*C266),(K268*E266))</f>
        <v>0</v>
      </c>
      <c r="L272" s="537"/>
      <c r="M272" s="535">
        <f t="shared" ref="M272" si="374">IF(M270="LCFF Rate",(M263*C263+M264*C264+M265*C265+M266*C266),(M268*E266))</f>
        <v>0</v>
      </c>
      <c r="N272" s="537"/>
      <c r="O272" s="535">
        <f t="shared" ref="O272" si="375">IF(O270="LCFF Rate",(O263*C263+O264*C264+O265*C265+O266*C266),(O268*E266))</f>
        <v>0</v>
      </c>
      <c r="P272" s="537"/>
      <c r="Q272" s="535">
        <f t="shared" ref="Q272" si="376">IF(Q270="LCFF Rate",(Q263*C263+Q264*C264+Q265*C265+Q266*C266),(Q268*E266))</f>
        <v>0</v>
      </c>
      <c r="R272" s="167"/>
      <c r="S272" s="538">
        <f t="shared" ref="S272" si="377">SUM(G272:Q272)</f>
        <v>0</v>
      </c>
      <c r="T272" s="167"/>
      <c r="U272" s="528"/>
      <c r="V272" s="522"/>
      <c r="X272" s="979"/>
    </row>
    <row r="273" spans="1:24" s="8" customFormat="1" ht="9" customHeight="1" thickBot="1">
      <c r="A273" s="529"/>
      <c r="B273" s="530"/>
      <c r="C273" s="531"/>
      <c r="D273" s="532"/>
      <c r="E273" s="533"/>
      <c r="F273" s="532"/>
      <c r="G273" s="530"/>
      <c r="H273" s="532"/>
      <c r="I273" s="530"/>
      <c r="J273" s="532"/>
      <c r="K273" s="530"/>
      <c r="L273" s="532"/>
      <c r="M273" s="530"/>
      <c r="N273" s="532"/>
      <c r="O273" s="530"/>
      <c r="P273" s="532"/>
      <c r="Q273" s="530"/>
      <c r="R273" s="532"/>
      <c r="S273" s="530"/>
      <c r="T273" s="532"/>
      <c r="U273" s="532"/>
      <c r="V273" s="534"/>
      <c r="X273" s="4"/>
    </row>
    <row r="274" spans="1:24" s="82" customFormat="1" ht="18" customHeight="1" thickBot="1">
      <c r="A274" s="890">
        <f>+A261+1</f>
        <v>21</v>
      </c>
      <c r="B274" s="891" t="str">
        <f>'Data Entry'!$B$3&amp;"-"&amp;C274</f>
        <v>-</v>
      </c>
      <c r="C274" s="891" t="str">
        <f>IFERROR(VLOOKUP('Data Entry'!$B$3&amp;"-"&amp;A274,'PY1 TFR ADA'!$D:$AT,2,FALSE),"")</f>
        <v/>
      </c>
      <c r="D274" s="892" t="str">
        <f>IFERROR(VLOOKUP('Data Entry'!$B$3&amp;"-"&amp;A274,'PY1 TFR ADA'!$D:$AT,4,FALSE),"")</f>
        <v/>
      </c>
      <c r="E274" s="893"/>
      <c r="F274" s="893"/>
      <c r="G274" s="893"/>
      <c r="H274" s="893"/>
      <c r="I274" s="893"/>
      <c r="J274" s="893"/>
      <c r="K274" s="893"/>
      <c r="L274" s="893"/>
      <c r="M274" s="893"/>
      <c r="N274" s="893"/>
      <c r="O274" s="893"/>
      <c r="P274" s="893"/>
      <c r="Q274" s="893"/>
      <c r="R274" s="893"/>
      <c r="S274" s="893"/>
      <c r="T274" s="893"/>
      <c r="U274" s="893"/>
      <c r="V274" s="894"/>
      <c r="X274" s="83"/>
    </row>
    <row r="275" spans="1:24" ht="75" customHeight="1">
      <c r="A275" s="521"/>
      <c r="C275" s="540" t="s">
        <v>1315</v>
      </c>
      <c r="D275" s="512"/>
      <c r="E275" s="540" t="s">
        <v>1316</v>
      </c>
      <c r="F275" s="512"/>
      <c r="G275" s="540" t="s">
        <v>1309</v>
      </c>
      <c r="H275" s="512"/>
      <c r="I275" s="540" t="s">
        <v>1310</v>
      </c>
      <c r="J275" s="512"/>
      <c r="K275" s="540" t="s">
        <v>1311</v>
      </c>
      <c r="L275" s="512"/>
      <c r="M275" s="540" t="s">
        <v>1312</v>
      </c>
      <c r="N275" s="512"/>
      <c r="O275" s="540" t="s">
        <v>1313</v>
      </c>
      <c r="P275" s="512"/>
      <c r="Q275" s="540" t="s">
        <v>1314</v>
      </c>
      <c r="R275" s="167"/>
      <c r="S275" s="540" t="s">
        <v>1308</v>
      </c>
      <c r="T275" s="167"/>
      <c r="U275" s="512" t="s">
        <v>1307</v>
      </c>
      <c r="V275" s="524"/>
      <c r="X275" s="283"/>
    </row>
    <row r="276" spans="1:24" s="8" customFormat="1" ht="14.4">
      <c r="A276" s="521"/>
      <c r="B276" s="510" t="s">
        <v>94</v>
      </c>
      <c r="C276" s="525">
        <f>IFERROR(VLOOKUP($B274,'PY1 TFR ADA'!$F:$AU,MATCH("A-1.1",'PY1 TFR ADA'!$F$5:$AU$5,0),FALSE),0)</f>
        <v>0</v>
      </c>
      <c r="D276" s="167"/>
      <c r="E276" s="525">
        <f>IFERROR(VALUE(VLOOKUP($B274,'PY1 TFR ADA'!$F:$AU,MATCH("A-2.1",'PY1 TFR ADA'!$F$5:$AU$5,0),FALSE)),0)</f>
        <v>0</v>
      </c>
      <c r="F276" s="167"/>
      <c r="G276" s="609">
        <f>IFERROR(VLOOKUP($B274,'PY1 TFR ADA'!$F:$AU,MATCH("b-1.1",'PY1 TFR ADA'!$F$5:$AU$5,0),FALSE),0)</f>
        <v>0</v>
      </c>
      <c r="H276" s="527"/>
      <c r="I276" s="609">
        <f>IFERROR(VLOOKUP($B274,'PY1 TFR ADA'!$F:$AU,MATCH("b-2.1",'PY1 TFR ADA'!$F$5:$AU$5,0),FALSE),0)</f>
        <v>0</v>
      </c>
      <c r="J276" s="527"/>
      <c r="K276" s="609">
        <f>IFERROR(VLOOKUP($B274,'PY1 TFR ADA'!$F:$AU,MATCH("b-3.1",'PY1 TFR ADA'!$F$5:$AU$5,0),FALSE),0)</f>
        <v>0</v>
      </c>
      <c r="L276" s="527"/>
      <c r="M276" s="609">
        <f>IFERROR(VLOOKUP($B274,'PY1 TFR ADA'!$F:$AU,MATCH("b-4.1",'PY1 TFR ADA'!$F$5:$AU$5,0),FALSE),0)</f>
        <v>0</v>
      </c>
      <c r="N276" s="527"/>
      <c r="O276" s="609">
        <f>IFERROR(VLOOKUP($B274,'PY1 TFR ADA'!$F:$AU,MATCH("b-5.1",'PY1 TFR ADA'!$F$5:$AU$5,0),FALSE),0)</f>
        <v>0</v>
      </c>
      <c r="P276" s="527"/>
      <c r="Q276" s="609">
        <f>IFERROR(VLOOKUP($B274,'PY1 TFR ADA'!$F:$AU,MATCH("b-6.1",'PY1 TFR ADA'!$F$5:$AU$5,0),FALSE),0)</f>
        <v>0</v>
      </c>
      <c r="R276" s="551"/>
      <c r="S276" s="601">
        <f t="shared" ref="S276:S279" si="378">SUM(G276:Q276)</f>
        <v>0</v>
      </c>
      <c r="T276" s="551"/>
      <c r="U276" s="536">
        <f t="shared" ref="U276" si="379">ROUND(IF($G283="LCFF Rate",(G276*$C276),(G276*$E276))+IF($I283="LCFF Rate",(I276*$C276),(I276*$E276))+IF($K283="LCFF Rate",(K276*$C276),(K276*$E276))+IF($M283="LCFF Rate",(M276*$C276),(M276*$E276))+IF($O283="LCFF Rate",(O276*$C276),(O276*$E276))+IF($Q283="LCFF Rate",(Q276*$C276),(Q276*$E276)),0)</f>
        <v>0</v>
      </c>
      <c r="V276" s="524"/>
      <c r="X276" s="496"/>
    </row>
    <row r="277" spans="1:24" s="8" customFormat="1" ht="14.4">
      <c r="A277" s="521"/>
      <c r="B277" s="510" t="s">
        <v>2</v>
      </c>
      <c r="C277" s="525">
        <f>IFERROR(VLOOKUP($B274,'PY1 TFR ADA'!$F:$AU,MATCH("A-1.2",'PY1 TFR ADA'!$F$5:$AU$5,0),FALSE),0)</f>
        <v>0</v>
      </c>
      <c r="D277" s="167"/>
      <c r="E277" s="525">
        <f>IFERROR(VALUE(VLOOKUP($B274,'PY1 TFR ADA'!$F:$AU,MATCH("A-2.2",'PY1 TFR ADA'!$F$5:$AU$5,0),FALSE)),0)</f>
        <v>0</v>
      </c>
      <c r="F277" s="167"/>
      <c r="G277" s="609">
        <f>IFERROR(VLOOKUP($B274,'PY1 TFR ADA'!$F:$AU,MATCH("b-1.2",'PY1 TFR ADA'!$F$5:$AU$5,0),FALSE),0)</f>
        <v>0</v>
      </c>
      <c r="H277" s="527"/>
      <c r="I277" s="609">
        <f>IFERROR(VLOOKUP($B274,'PY1 TFR ADA'!$F:$AU,MATCH("b-2.2",'PY1 TFR ADA'!$F$5:$AU$5,0),FALSE),0)</f>
        <v>0</v>
      </c>
      <c r="J277" s="527"/>
      <c r="K277" s="609">
        <f>IFERROR(VLOOKUP($B274,'PY1 TFR ADA'!$F:$AU,MATCH("b-3.2",'PY1 TFR ADA'!$F$5:$AU$5,0),FALSE),0)</f>
        <v>0</v>
      </c>
      <c r="L277" s="527"/>
      <c r="M277" s="609">
        <f>IFERROR(VLOOKUP($B274,'PY1 TFR ADA'!$F:$AU,MATCH("b-4.2",'PY1 TFR ADA'!$F$5:$AU$5,0),FALSE),0)</f>
        <v>0</v>
      </c>
      <c r="N277" s="527"/>
      <c r="O277" s="609">
        <f>IFERROR(VLOOKUP($B274,'PY1 TFR ADA'!$F:$AU,MATCH("b-5.2",'PY1 TFR ADA'!$F$5:$AU$5,0),FALSE),0)</f>
        <v>0</v>
      </c>
      <c r="P277" s="527"/>
      <c r="Q277" s="609">
        <f>IFERROR(VLOOKUP($B274,'PY1 TFR ADA'!$F:$AU,MATCH("b-6.2",'PY1 TFR ADA'!$F$5:$AU$5,0),FALSE),0)</f>
        <v>0</v>
      </c>
      <c r="R277" s="551"/>
      <c r="S277" s="601">
        <f t="shared" si="378"/>
        <v>0</v>
      </c>
      <c r="T277" s="551"/>
      <c r="U277" s="536">
        <f t="shared" ref="U277" si="380">ROUND(IF($G283="LCFF Rate",(G277*$C277),(G277*$E277))+IF($I283="LCFF Rate",(I277*$C277),(I277*$E277))+IF($K283="LCFF Rate",(K277*$C277),(K277*$E277))+IF($M283="LCFF Rate",(M277*$C277),(M277*$E277))+IF($O283="LCFF Rate",(O277*$C277),(O277*$E277))+IF($Q283="LCFF Rate",(Q277*$C277),(Q277*$E277)),0)</f>
        <v>0</v>
      </c>
      <c r="V277" s="524"/>
      <c r="X277" s="4"/>
    </row>
    <row r="278" spans="1:24" s="8" customFormat="1" ht="14.4">
      <c r="A278" s="521"/>
      <c r="B278" s="510" t="s">
        <v>3</v>
      </c>
      <c r="C278" s="525">
        <f>IFERROR(VLOOKUP($B274,'PY1 TFR ADA'!$F:$AU,MATCH("A-1.3",'PY1 TFR ADA'!$F$5:$AU$5,0),FALSE),0)</f>
        <v>0</v>
      </c>
      <c r="D278" s="167"/>
      <c r="E278" s="525">
        <f>IFERROR(VALUE(VLOOKUP($B274,'PY1 TFR ADA'!$F:$AU,MATCH("A-2.3",'PY1 TFR ADA'!$F$5:$AU$5,0),FALSE)),0)</f>
        <v>0</v>
      </c>
      <c r="F278" s="167"/>
      <c r="G278" s="609">
        <f>IFERROR(VLOOKUP($B274,'PY1 TFR ADA'!$F:$AU,MATCH("b-1.3",'PY1 TFR ADA'!$F$5:$AU$5,0),FALSE),0)</f>
        <v>0</v>
      </c>
      <c r="H278" s="527"/>
      <c r="I278" s="609">
        <f>IFERROR(VLOOKUP($B274,'PY1 TFR ADA'!$F:$AU,MATCH("b-2.3",'PY1 TFR ADA'!$F$5:$AU$5,0),FALSE),0)</f>
        <v>0</v>
      </c>
      <c r="J278" s="527"/>
      <c r="K278" s="609">
        <f>IFERROR(VLOOKUP($B274,'PY1 TFR ADA'!$F:$AU,MATCH("b-3.3",'PY1 TFR ADA'!$F$5:$AU$5,0),FALSE),0)</f>
        <v>0</v>
      </c>
      <c r="L278" s="527"/>
      <c r="M278" s="609">
        <f>IFERROR(VLOOKUP($B274,'PY1 TFR ADA'!$F:$AU,MATCH("b-4.3",'PY1 TFR ADA'!$F$5:$AU$5,0),FALSE),0)</f>
        <v>0</v>
      </c>
      <c r="N278" s="527"/>
      <c r="O278" s="609">
        <f>IFERROR(VLOOKUP($B274,'PY1 TFR ADA'!$F:$AU,MATCH("b-5.3",'PY1 TFR ADA'!$F$5:$AU$5,0),FALSE),0)</f>
        <v>0</v>
      </c>
      <c r="P278" s="527"/>
      <c r="Q278" s="609">
        <f>IFERROR(VLOOKUP($B274,'PY1 TFR ADA'!$F:$AU,MATCH("b-6.3",'PY1 TFR ADA'!$F$5:$AU$5,0),FALSE),0)</f>
        <v>0</v>
      </c>
      <c r="R278" s="551"/>
      <c r="S278" s="601">
        <f t="shared" si="378"/>
        <v>0</v>
      </c>
      <c r="T278" s="551"/>
      <c r="U278" s="536">
        <f t="shared" ref="U278" si="381">ROUND(IF($G283="LCFF Rate",(G278*$C278),(G278*$E278))+IF($I283="LCFF Rate",(I278*$C278),(I278*$E278))+IF($K283="LCFF Rate",(K278*$C278),(K278*$E278))+IF($M283="LCFF Rate",(M278*$C278),(M278*$E278))+IF($O283="LCFF Rate",(O278*$C278),(O278*$E278))+IF($Q283="LCFF Rate",(Q278*$C278),(Q278*$E278)),0)</f>
        <v>0</v>
      </c>
      <c r="V278" s="524"/>
      <c r="X278" s="4"/>
    </row>
    <row r="279" spans="1:24" s="8" customFormat="1" ht="14.4">
      <c r="A279" s="526"/>
      <c r="B279" s="510" t="s">
        <v>4</v>
      </c>
      <c r="C279" s="525">
        <f>IFERROR(VLOOKUP($B274,'PY1 TFR ADA'!$F:$AU,MATCH("A-1.4",'PY1 TFR ADA'!$F$5:$AU$5,0),FALSE),0)</f>
        <v>0</v>
      </c>
      <c r="D279" s="523"/>
      <c r="E279" s="525">
        <f>IFERROR(VALUE(VLOOKUP($B274,'PY1 TFR ADA'!$F:$AU,MATCH("A-2.4",'PY1 TFR ADA'!$F$5:$AU$5,0),FALSE)),0)</f>
        <v>0</v>
      </c>
      <c r="F279" s="523"/>
      <c r="G279" s="609">
        <f>IFERROR(VLOOKUP($B274,'PY1 TFR ADA'!$F:$AU,MATCH("b-1.4",'PY1 TFR ADA'!$F$5:$AU$5,0),FALSE),0)</f>
        <v>0</v>
      </c>
      <c r="H279" s="527"/>
      <c r="I279" s="609">
        <f>IFERROR(VLOOKUP($B274,'PY1 TFR ADA'!$F:$AU,MATCH("b-2.4",'PY1 TFR ADA'!$F$5:$AU$5,0),FALSE),0)</f>
        <v>0</v>
      </c>
      <c r="J279" s="527"/>
      <c r="K279" s="609">
        <f>IFERROR(VLOOKUP($B274,'PY1 TFR ADA'!$F:$AU,MATCH("b-3.4",'PY1 TFR ADA'!$F$5:$AU$5,0),FALSE),0)</f>
        <v>0</v>
      </c>
      <c r="L279" s="527"/>
      <c r="M279" s="609">
        <f>IFERROR(VLOOKUP($B274,'PY1 TFR ADA'!$F:$AU,MATCH("b-4.4",'PY1 TFR ADA'!$F$5:$AU$5,0),FALSE),0)</f>
        <v>0</v>
      </c>
      <c r="N279" s="527"/>
      <c r="O279" s="609">
        <f>IFERROR(VLOOKUP($B274,'PY1 TFR ADA'!$F:$AU,MATCH("b-5.4",'PY1 TFR ADA'!$F$5:$AU$5,0),FALSE),0)</f>
        <v>0</v>
      </c>
      <c r="P279" s="527"/>
      <c r="Q279" s="609">
        <f>IFERROR(VLOOKUP($B274,'PY1 TFR ADA'!$F:$AU,MATCH("b-6.4",'PY1 TFR ADA'!$F$5:$AU$5,0),FALSE),0)</f>
        <v>0</v>
      </c>
      <c r="R279" s="551"/>
      <c r="S279" s="601">
        <f t="shared" si="378"/>
        <v>0</v>
      </c>
      <c r="T279" s="551"/>
      <c r="U279" s="536">
        <f t="shared" ref="U279" si="382">ROUND(IF($G283="LCFF Rate",(G279*$C279),(G279*$E279))+IF($I283="LCFF Rate",(I279*$C279),(I279*$E279))+IF($K283="LCFF Rate",(K279*$C279),(K279*$E279))+IF($M283="LCFF Rate",(M279*$C279),(M279*$E279))+IF($O283="LCFF Rate",(O279*$C279),(O279*$E279))+IF($Q283="LCFF Rate",(Q279*$C279),(Q279*$E279)),0)</f>
        <v>0</v>
      </c>
      <c r="V279" s="522"/>
      <c r="X279" s="496"/>
    </row>
    <row r="280" spans="1:24" s="8" customFormat="1" ht="8.25" customHeight="1">
      <c r="A280" s="521"/>
      <c r="B280" s="167"/>
      <c r="C280" s="165"/>
      <c r="D280" s="523"/>
      <c r="E280" s="165"/>
      <c r="F280" s="523"/>
      <c r="G280" s="520"/>
      <c r="H280" s="523"/>
      <c r="I280" s="520"/>
      <c r="J280" s="523"/>
      <c r="K280" s="520"/>
      <c r="L280" s="523"/>
      <c r="M280" s="520"/>
      <c r="N280" s="523"/>
      <c r="O280" s="520"/>
      <c r="P280" s="523"/>
      <c r="Q280" s="520"/>
      <c r="R280" s="167"/>
      <c r="S280" s="520"/>
      <c r="T280" s="167"/>
      <c r="U280" s="602"/>
      <c r="V280" s="522"/>
      <c r="X280" s="4"/>
    </row>
    <row r="281" spans="1:24" s="8" customFormat="1" ht="14.4">
      <c r="A281" s="521"/>
      <c r="B281" s="167"/>
      <c r="C281" s="165"/>
      <c r="D281" s="523"/>
      <c r="E281" s="513" t="s">
        <v>1317</v>
      </c>
      <c r="F281" s="523"/>
      <c r="G281" s="601">
        <f t="shared" ref="G281" si="383">SUM(G276:G279)</f>
        <v>0</v>
      </c>
      <c r="H281" s="527"/>
      <c r="I281" s="601">
        <f t="shared" ref="I281" si="384">SUM(I276:I279)</f>
        <v>0</v>
      </c>
      <c r="J281" s="527"/>
      <c r="K281" s="601">
        <f t="shared" ref="K281" si="385">SUM(K276:K279)</f>
        <v>0</v>
      </c>
      <c r="L281" s="527"/>
      <c r="M281" s="601">
        <f t="shared" ref="M281" si="386">SUM(M276:M279)</f>
        <v>0</v>
      </c>
      <c r="N281" s="527"/>
      <c r="O281" s="601">
        <f t="shared" ref="O281" si="387">SUM(O276:O279)</f>
        <v>0</v>
      </c>
      <c r="P281" s="527"/>
      <c r="Q281" s="601">
        <f t="shared" ref="Q281" si="388">SUM(Q276:Q279)</f>
        <v>0</v>
      </c>
      <c r="R281" s="527"/>
      <c r="S281" s="601">
        <f t="shared" ref="S281" si="389">SUM(S276:S279)</f>
        <v>0</v>
      </c>
      <c r="T281" s="527"/>
      <c r="U281" s="536">
        <f t="shared" ref="U281" si="390">SUM(U276:U279)</f>
        <v>0</v>
      </c>
      <c r="V281" s="522"/>
      <c r="X281" s="4"/>
    </row>
    <row r="282" spans="1:24" s="8" customFormat="1" ht="8.25" customHeight="1">
      <c r="A282" s="521"/>
      <c r="B282" s="167"/>
      <c r="C282" s="165"/>
      <c r="D282" s="523"/>
      <c r="E282" s="165"/>
      <c r="F282" s="523"/>
      <c r="G282" s="520"/>
      <c r="H282" s="523"/>
      <c r="I282" s="520"/>
      <c r="J282" s="523"/>
      <c r="K282" s="520"/>
      <c r="L282" s="523"/>
      <c r="M282" s="520"/>
      <c r="N282" s="523"/>
      <c r="O282" s="520"/>
      <c r="P282" s="523"/>
      <c r="Q282" s="520"/>
      <c r="R282" s="167"/>
      <c r="S282" s="520"/>
      <c r="T282" s="167"/>
      <c r="U282" s="528"/>
      <c r="V282" s="522"/>
      <c r="X282" s="4"/>
    </row>
    <row r="283" spans="1:24" s="8" customFormat="1" ht="16.5" customHeight="1">
      <c r="A283" s="521"/>
      <c r="B283" s="167"/>
      <c r="C283" s="165"/>
      <c r="E283" s="513" t="s">
        <v>1304</v>
      </c>
      <c r="F283" s="523"/>
      <c r="G283" s="977">
        <f>_xlfn.IFNA(IF(VLOOKUP($B274,'PY1 TFR ADA'!$F:$AU,MATCH("B-1.5",'PY1 TFR ADA'!$F$5:$AU$5,0),FALSE)=TRUE,IF(VLOOKUP($B274,'PY1 TFR ADA'!$F:$AU,MATCH("C-1",'PY1 TFR ADA'!$F$5:$AU$5,0),FALSE)=TRUE,"Alternative Rate","LCFF Rate"),"LCFF Rate"),0)</f>
        <v>0</v>
      </c>
      <c r="H283" s="523"/>
      <c r="I283" s="977">
        <f>_xlfn.IFNA(IF(VLOOKUP($B274,'PY1 TFR ADA'!$F:$AU,MATCH("B-2.5",'PY1 TFR ADA'!$F$5:$AU$5,0),FALSE)=TRUE,IF(VLOOKUP($B274,'PY1 TFR ADA'!$F:$AU,MATCH("C-1",'PY1 TFR ADA'!$F$5:$AU$5,0),FALSE)=TRUE,"Alternative Rate","LCFF Rate"),"LCFF Rate"),0)</f>
        <v>0</v>
      </c>
      <c r="J283" s="523"/>
      <c r="K283" s="977">
        <f>_xlfn.IFNA(IF(VLOOKUP($B274,'PY1 TFR ADA'!$F:$AU,MATCH("B-3.5",'PY1 TFR ADA'!$F$5:$AU$5,0),FALSE)=TRUE,IF(VLOOKUP($B274,'PY1 TFR ADA'!$F:$AU,MATCH("C-1",'PY1 TFR ADA'!$F$5:$AU$5,0),FALSE)=TRUE,"Alternative Rate","LCFF Rate"),"LCFF Rate"),0)</f>
        <v>0</v>
      </c>
      <c r="L283" s="523"/>
      <c r="M283" s="977">
        <f>_xlfn.IFNA(IF(VLOOKUP($B274,'PY1 TFR ADA'!$F:$AU,MATCH("B-4.5",'PY1 TFR ADA'!$F$5:$AU$5,0),FALSE)=TRUE,IF(VLOOKUP($B274,'PY1 TFR ADA'!$F:$AU,MATCH("C-1",'PY1 TFR ADA'!$F$5:$AU$5,0),FALSE)=TRUE,"Alternative Rate","LCFF Rate"),"LCFF Rate"),0)</f>
        <v>0</v>
      </c>
      <c r="N283" s="523"/>
      <c r="O283" s="977">
        <f>_xlfn.IFNA(IF(VLOOKUP($B274,'PY1 TFR ADA'!$F:$AU,MATCH("B-5.5",'PY1 TFR ADA'!$F$5:$AU$5,0),FALSE)=TRUE,IF(VLOOKUP($B274,'PY1 TFR ADA'!$F:$AU,MATCH("C-1",'PY1 TFR ADA'!$F$5:$AU$5,0),FALSE)=TRUE,"Alternative Rate","LCFF Rate"),"LCFF Rate"),0)</f>
        <v>0</v>
      </c>
      <c r="P283" s="523"/>
      <c r="Q283" s="977">
        <f>_xlfn.IFNA(IF(VLOOKUP($B274,'PY1 TFR ADA'!$F:$AU,MATCH("B-6.5",'PY1 TFR ADA'!$F$5:$AU$5,0),FALSE)=TRUE,IF(VLOOKUP($B274,'PY1 TFR ADA'!$F:$AU,MATCH("C-1",'PY1 TFR ADA'!$F$5:$AU$5,0),FALSE)=TRUE,"Alternative Rate","LCFF Rate"),"LCFF Rate"),0)</f>
        <v>0</v>
      </c>
      <c r="R283" s="167"/>
      <c r="S283" s="520"/>
      <c r="T283" s="167"/>
      <c r="U283" s="528"/>
      <c r="V283" s="522"/>
      <c r="X283" s="283"/>
    </row>
    <row r="284" spans="1:24" s="8" customFormat="1" ht="8.25" customHeight="1">
      <c r="A284" s="521"/>
      <c r="B284" s="167"/>
      <c r="C284" s="165"/>
      <c r="D284" s="523"/>
      <c r="E284" s="165"/>
      <c r="F284" s="523"/>
      <c r="G284" s="520"/>
      <c r="H284" s="523"/>
      <c r="I284" s="520"/>
      <c r="J284" s="523"/>
      <c r="K284" s="520"/>
      <c r="L284" s="523"/>
      <c r="M284" s="520"/>
      <c r="N284" s="523"/>
      <c r="O284" s="520"/>
      <c r="P284" s="523"/>
      <c r="Q284" s="520"/>
      <c r="R284" s="167"/>
      <c r="S284" s="520"/>
      <c r="T284" s="167"/>
      <c r="U284" s="528"/>
      <c r="V284" s="522"/>
      <c r="X284" s="4"/>
    </row>
    <row r="285" spans="1:24" s="8" customFormat="1" ht="16.8">
      <c r="A285" s="521"/>
      <c r="B285" s="2"/>
      <c r="F285" s="523"/>
      <c r="G285" s="535">
        <f t="shared" ref="G285" si="391">IF(G283="LCFF Rate",(G276*C276+G277*C277+G278*C278+G279*C279),(G281*E279))</f>
        <v>0</v>
      </c>
      <c r="H285" s="537"/>
      <c r="I285" s="535">
        <f t="shared" ref="I285" si="392">IF(I283="LCFF Rate",(I276*C276+I277*C277+I278*C278+I279*C279),(I281*E279))</f>
        <v>0</v>
      </c>
      <c r="J285" s="537"/>
      <c r="K285" s="535">
        <f t="shared" ref="K285" si="393">IF(K283="LCFF Rate",(K276*C276+K277*C277+K278*C278+K279*C279),(K281*E279))</f>
        <v>0</v>
      </c>
      <c r="L285" s="537"/>
      <c r="M285" s="535">
        <f t="shared" ref="M285" si="394">IF(M283="LCFF Rate",(M276*C276+M277*C277+M278*C278+M279*C279),(M281*E279))</f>
        <v>0</v>
      </c>
      <c r="N285" s="537"/>
      <c r="O285" s="535">
        <f t="shared" ref="O285" si="395">IF(O283="LCFF Rate",(O276*C276+O277*C277+O278*C278+O279*C279),(O281*E279))</f>
        <v>0</v>
      </c>
      <c r="P285" s="537"/>
      <c r="Q285" s="535">
        <f t="shared" ref="Q285" si="396">IF(Q283="LCFF Rate",(Q276*C276+Q277*C277+Q278*C278+Q279*C279),(Q281*E279))</f>
        <v>0</v>
      </c>
      <c r="R285" s="167"/>
      <c r="S285" s="538">
        <f t="shared" ref="S285" si="397">SUM(G285:Q285)</f>
        <v>0</v>
      </c>
      <c r="T285" s="167"/>
      <c r="U285" s="528"/>
      <c r="V285" s="522"/>
      <c r="X285" s="979"/>
    </row>
    <row r="286" spans="1:24" s="8" customFormat="1" ht="9" customHeight="1" thickBot="1">
      <c r="A286" s="529"/>
      <c r="B286" s="530"/>
      <c r="C286" s="531"/>
      <c r="D286" s="532"/>
      <c r="E286" s="533"/>
      <c r="F286" s="532"/>
      <c r="G286" s="530"/>
      <c r="H286" s="532"/>
      <c r="I286" s="530"/>
      <c r="J286" s="532"/>
      <c r="K286" s="530"/>
      <c r="L286" s="532"/>
      <c r="M286" s="530"/>
      <c r="N286" s="532"/>
      <c r="O286" s="530"/>
      <c r="P286" s="532"/>
      <c r="Q286" s="530"/>
      <c r="R286" s="532"/>
      <c r="S286" s="530"/>
      <c r="T286" s="532"/>
      <c r="U286" s="532"/>
      <c r="V286" s="534"/>
      <c r="X286" s="4"/>
    </row>
    <row r="287" spans="1:24" s="82" customFormat="1" ht="18" customHeight="1" thickBot="1">
      <c r="A287" s="890">
        <f>+A274+1</f>
        <v>22</v>
      </c>
      <c r="B287" s="891" t="str">
        <f>'Data Entry'!$B$3&amp;"-"&amp;C287</f>
        <v>-</v>
      </c>
      <c r="C287" s="891" t="str">
        <f>IFERROR(VLOOKUP('Data Entry'!$B$3&amp;"-"&amp;A287,'PY1 TFR ADA'!$D:$AT,2,FALSE),"")</f>
        <v/>
      </c>
      <c r="D287" s="892" t="str">
        <f>IFERROR(VLOOKUP('Data Entry'!$B$3&amp;"-"&amp;A287,'PY1 TFR ADA'!$D:$AT,4,FALSE),"")</f>
        <v/>
      </c>
      <c r="E287" s="893"/>
      <c r="F287" s="893"/>
      <c r="G287" s="893"/>
      <c r="H287" s="893"/>
      <c r="I287" s="893"/>
      <c r="J287" s="893"/>
      <c r="K287" s="893"/>
      <c r="L287" s="893"/>
      <c r="M287" s="893"/>
      <c r="N287" s="893"/>
      <c r="O287" s="893"/>
      <c r="P287" s="893"/>
      <c r="Q287" s="893"/>
      <c r="R287" s="893"/>
      <c r="S287" s="893"/>
      <c r="T287" s="893"/>
      <c r="U287" s="893"/>
      <c r="V287" s="894"/>
      <c r="X287" s="83"/>
    </row>
    <row r="288" spans="1:24" ht="75" customHeight="1">
      <c r="A288" s="521"/>
      <c r="C288" s="540" t="s">
        <v>1315</v>
      </c>
      <c r="D288" s="512"/>
      <c r="E288" s="540" t="s">
        <v>1316</v>
      </c>
      <c r="F288" s="512"/>
      <c r="G288" s="540" t="s">
        <v>1309</v>
      </c>
      <c r="H288" s="512"/>
      <c r="I288" s="540" t="s">
        <v>1310</v>
      </c>
      <c r="J288" s="512"/>
      <c r="K288" s="540" t="s">
        <v>1311</v>
      </c>
      <c r="L288" s="512"/>
      <c r="M288" s="540" t="s">
        <v>1312</v>
      </c>
      <c r="N288" s="512"/>
      <c r="O288" s="540" t="s">
        <v>1313</v>
      </c>
      <c r="P288" s="512"/>
      <c r="Q288" s="540" t="s">
        <v>1314</v>
      </c>
      <c r="R288" s="167"/>
      <c r="S288" s="540" t="s">
        <v>1308</v>
      </c>
      <c r="T288" s="167"/>
      <c r="U288" s="512" t="s">
        <v>1307</v>
      </c>
      <c r="V288" s="524"/>
      <c r="X288" s="283"/>
    </row>
    <row r="289" spans="1:24" s="8" customFormat="1" ht="14.4">
      <c r="A289" s="521"/>
      <c r="B289" s="510" t="s">
        <v>94</v>
      </c>
      <c r="C289" s="525">
        <f>IFERROR(VLOOKUP($B287,'PY1 TFR ADA'!$F:$AU,MATCH("A-1.1",'PY1 TFR ADA'!$F$5:$AU$5,0),FALSE),0)</f>
        <v>0</v>
      </c>
      <c r="D289" s="167"/>
      <c r="E289" s="525">
        <f>IFERROR(VALUE(VLOOKUP($B287,'PY1 TFR ADA'!$F:$AU,MATCH("A-2.1",'PY1 TFR ADA'!$F$5:$AU$5,0),FALSE)),0)</f>
        <v>0</v>
      </c>
      <c r="F289" s="167"/>
      <c r="G289" s="609">
        <f>IFERROR(VLOOKUP($B287,'PY1 TFR ADA'!$F:$AU,MATCH("b-1.1",'PY1 TFR ADA'!$F$5:$AU$5,0),FALSE),0)</f>
        <v>0</v>
      </c>
      <c r="H289" s="527"/>
      <c r="I289" s="609">
        <f>IFERROR(VLOOKUP($B287,'PY1 TFR ADA'!$F:$AU,MATCH("b-2.1",'PY1 TFR ADA'!$F$5:$AU$5,0),FALSE),0)</f>
        <v>0</v>
      </c>
      <c r="J289" s="527"/>
      <c r="K289" s="609">
        <f>IFERROR(VLOOKUP($B287,'PY1 TFR ADA'!$F:$AU,MATCH("b-3.1",'PY1 TFR ADA'!$F$5:$AU$5,0),FALSE),0)</f>
        <v>0</v>
      </c>
      <c r="L289" s="527"/>
      <c r="M289" s="609">
        <f>IFERROR(VLOOKUP($B287,'PY1 TFR ADA'!$F:$AU,MATCH("b-4.1",'PY1 TFR ADA'!$F$5:$AU$5,0),FALSE),0)</f>
        <v>0</v>
      </c>
      <c r="N289" s="527"/>
      <c r="O289" s="609">
        <f>IFERROR(VLOOKUP($B287,'PY1 TFR ADA'!$F:$AU,MATCH("b-5.1",'PY1 TFR ADA'!$F$5:$AU$5,0),FALSE),0)</f>
        <v>0</v>
      </c>
      <c r="P289" s="527"/>
      <c r="Q289" s="609">
        <f>IFERROR(VLOOKUP($B287,'PY1 TFR ADA'!$F:$AU,MATCH("b-6.1",'PY1 TFR ADA'!$F$5:$AU$5,0),FALSE),0)</f>
        <v>0</v>
      </c>
      <c r="R289" s="551"/>
      <c r="S289" s="601">
        <f t="shared" ref="S289:S292" si="398">SUM(G289:Q289)</f>
        <v>0</v>
      </c>
      <c r="T289" s="551"/>
      <c r="U289" s="536">
        <f t="shared" ref="U289" si="399">ROUND(IF($G296="LCFF Rate",(G289*$C289),(G289*$E289))+IF($I296="LCFF Rate",(I289*$C289),(I289*$E289))+IF($K296="LCFF Rate",(K289*$C289),(K289*$E289))+IF($M296="LCFF Rate",(M289*$C289),(M289*$E289))+IF($O296="LCFF Rate",(O289*$C289),(O289*$E289))+IF($Q296="LCFF Rate",(Q289*$C289),(Q289*$E289)),0)</f>
        <v>0</v>
      </c>
      <c r="V289" s="524"/>
      <c r="X289" s="496"/>
    </row>
    <row r="290" spans="1:24" s="8" customFormat="1" ht="14.4">
      <c r="A290" s="521"/>
      <c r="B290" s="510" t="s">
        <v>2</v>
      </c>
      <c r="C290" s="525">
        <f>IFERROR(VLOOKUP($B287,'PY1 TFR ADA'!$F:$AU,MATCH("A-1.2",'PY1 TFR ADA'!$F$5:$AU$5,0),FALSE),0)</f>
        <v>0</v>
      </c>
      <c r="D290" s="167"/>
      <c r="E290" s="525">
        <f>IFERROR(VALUE(VLOOKUP($B287,'PY1 TFR ADA'!$F:$AU,MATCH("A-2.2",'PY1 TFR ADA'!$F$5:$AU$5,0),FALSE)),0)</f>
        <v>0</v>
      </c>
      <c r="F290" s="167"/>
      <c r="G290" s="609">
        <f>IFERROR(VLOOKUP($B287,'PY1 TFR ADA'!$F:$AU,MATCH("b-1.2",'PY1 TFR ADA'!$F$5:$AU$5,0),FALSE),0)</f>
        <v>0</v>
      </c>
      <c r="H290" s="527"/>
      <c r="I290" s="609">
        <f>IFERROR(VLOOKUP($B287,'PY1 TFR ADA'!$F:$AU,MATCH("b-2.2",'PY1 TFR ADA'!$F$5:$AU$5,0),FALSE),0)</f>
        <v>0</v>
      </c>
      <c r="J290" s="527"/>
      <c r="K290" s="609">
        <f>IFERROR(VLOOKUP($B287,'PY1 TFR ADA'!$F:$AU,MATCH("b-3.2",'PY1 TFR ADA'!$F$5:$AU$5,0),FALSE),0)</f>
        <v>0</v>
      </c>
      <c r="L290" s="527"/>
      <c r="M290" s="609">
        <f>IFERROR(VLOOKUP($B287,'PY1 TFR ADA'!$F:$AU,MATCH("b-4.2",'PY1 TFR ADA'!$F$5:$AU$5,0),FALSE),0)</f>
        <v>0</v>
      </c>
      <c r="N290" s="527"/>
      <c r="O290" s="609">
        <f>IFERROR(VLOOKUP($B287,'PY1 TFR ADA'!$F:$AU,MATCH("b-5.2",'PY1 TFR ADA'!$F$5:$AU$5,0),FALSE),0)</f>
        <v>0</v>
      </c>
      <c r="P290" s="527"/>
      <c r="Q290" s="609">
        <f>IFERROR(VLOOKUP($B287,'PY1 TFR ADA'!$F:$AU,MATCH("b-6.2",'PY1 TFR ADA'!$F$5:$AU$5,0),FALSE),0)</f>
        <v>0</v>
      </c>
      <c r="R290" s="551"/>
      <c r="S290" s="601">
        <f t="shared" si="398"/>
        <v>0</v>
      </c>
      <c r="T290" s="551"/>
      <c r="U290" s="536">
        <f t="shared" ref="U290" si="400">ROUND(IF($G296="LCFF Rate",(G290*$C290),(G290*$E290))+IF($I296="LCFF Rate",(I290*$C290),(I290*$E290))+IF($K296="LCFF Rate",(K290*$C290),(K290*$E290))+IF($M296="LCFF Rate",(M290*$C290),(M290*$E290))+IF($O296="LCFF Rate",(O290*$C290),(O290*$E290))+IF($Q296="LCFF Rate",(Q290*$C290),(Q290*$E290)),0)</f>
        <v>0</v>
      </c>
      <c r="V290" s="524"/>
      <c r="X290" s="4"/>
    </row>
    <row r="291" spans="1:24" s="8" customFormat="1" ht="14.4">
      <c r="A291" s="521"/>
      <c r="B291" s="510" t="s">
        <v>3</v>
      </c>
      <c r="C291" s="525">
        <f>IFERROR(VLOOKUP($B287,'PY1 TFR ADA'!$F:$AU,MATCH("A-1.3",'PY1 TFR ADA'!$F$5:$AU$5,0),FALSE),0)</f>
        <v>0</v>
      </c>
      <c r="D291" s="167"/>
      <c r="E291" s="525">
        <f>IFERROR(VALUE(VLOOKUP($B287,'PY1 TFR ADA'!$F:$AU,MATCH("A-2.3",'PY1 TFR ADA'!$F$5:$AU$5,0),FALSE)),0)</f>
        <v>0</v>
      </c>
      <c r="F291" s="167"/>
      <c r="G291" s="609">
        <f>IFERROR(VLOOKUP($B287,'PY1 TFR ADA'!$F:$AU,MATCH("b-1.3",'PY1 TFR ADA'!$F$5:$AU$5,0),FALSE),0)</f>
        <v>0</v>
      </c>
      <c r="H291" s="527"/>
      <c r="I291" s="609">
        <f>IFERROR(VLOOKUP($B287,'PY1 TFR ADA'!$F:$AU,MATCH("b-2.3",'PY1 TFR ADA'!$F$5:$AU$5,0),FALSE),0)</f>
        <v>0</v>
      </c>
      <c r="J291" s="527"/>
      <c r="K291" s="609">
        <f>IFERROR(VLOOKUP($B287,'PY1 TFR ADA'!$F:$AU,MATCH("b-3.3",'PY1 TFR ADA'!$F$5:$AU$5,0),FALSE),0)</f>
        <v>0</v>
      </c>
      <c r="L291" s="527"/>
      <c r="M291" s="609">
        <f>IFERROR(VLOOKUP($B287,'PY1 TFR ADA'!$F:$AU,MATCH("b-4.3",'PY1 TFR ADA'!$F$5:$AU$5,0),FALSE),0)</f>
        <v>0</v>
      </c>
      <c r="N291" s="527"/>
      <c r="O291" s="609">
        <f>IFERROR(VLOOKUP($B287,'PY1 TFR ADA'!$F:$AU,MATCH("b-5.3",'PY1 TFR ADA'!$F$5:$AU$5,0),FALSE),0)</f>
        <v>0</v>
      </c>
      <c r="P291" s="527"/>
      <c r="Q291" s="609">
        <f>IFERROR(VLOOKUP($B287,'PY1 TFR ADA'!$F:$AU,MATCH("b-6.3",'PY1 TFR ADA'!$F$5:$AU$5,0),FALSE),0)</f>
        <v>0</v>
      </c>
      <c r="R291" s="551"/>
      <c r="S291" s="601">
        <f t="shared" si="398"/>
        <v>0</v>
      </c>
      <c r="T291" s="551"/>
      <c r="U291" s="536">
        <f t="shared" ref="U291" si="401">ROUND(IF($G296="LCFF Rate",(G291*$C291),(G291*$E291))+IF($I296="LCFF Rate",(I291*$C291),(I291*$E291))+IF($K296="LCFF Rate",(K291*$C291),(K291*$E291))+IF($M296="LCFF Rate",(M291*$C291),(M291*$E291))+IF($O296="LCFF Rate",(O291*$C291),(O291*$E291))+IF($Q296="LCFF Rate",(Q291*$C291),(Q291*$E291)),0)</f>
        <v>0</v>
      </c>
      <c r="V291" s="524"/>
      <c r="X291" s="4"/>
    </row>
    <row r="292" spans="1:24" s="8" customFormat="1" ht="14.4">
      <c r="A292" s="526"/>
      <c r="B292" s="510" t="s">
        <v>4</v>
      </c>
      <c r="C292" s="525">
        <f>IFERROR(VLOOKUP($B287,'PY1 TFR ADA'!$F:$AU,MATCH("A-1.4",'PY1 TFR ADA'!$F$5:$AU$5,0),FALSE),0)</f>
        <v>0</v>
      </c>
      <c r="D292" s="523"/>
      <c r="E292" s="525">
        <f>IFERROR(VALUE(VLOOKUP($B287,'PY1 TFR ADA'!$F:$AU,MATCH("A-2.4",'PY1 TFR ADA'!$F$5:$AU$5,0),FALSE)),0)</f>
        <v>0</v>
      </c>
      <c r="F292" s="523"/>
      <c r="G292" s="609">
        <f>IFERROR(VLOOKUP($B287,'PY1 TFR ADA'!$F:$AU,MATCH("b-1.4",'PY1 TFR ADA'!$F$5:$AU$5,0),FALSE),0)</f>
        <v>0</v>
      </c>
      <c r="H292" s="527"/>
      <c r="I292" s="609">
        <f>IFERROR(VLOOKUP($B287,'PY1 TFR ADA'!$F:$AU,MATCH("b-2.4",'PY1 TFR ADA'!$F$5:$AU$5,0),FALSE),0)</f>
        <v>0</v>
      </c>
      <c r="J292" s="527"/>
      <c r="K292" s="609">
        <f>IFERROR(VLOOKUP($B287,'PY1 TFR ADA'!$F:$AU,MATCH("b-3.4",'PY1 TFR ADA'!$F$5:$AU$5,0),FALSE),0)</f>
        <v>0</v>
      </c>
      <c r="L292" s="527"/>
      <c r="M292" s="609">
        <f>IFERROR(VLOOKUP($B287,'PY1 TFR ADA'!$F:$AU,MATCH("b-4.4",'PY1 TFR ADA'!$F$5:$AU$5,0),FALSE),0)</f>
        <v>0</v>
      </c>
      <c r="N292" s="527"/>
      <c r="O292" s="609">
        <f>IFERROR(VLOOKUP($B287,'PY1 TFR ADA'!$F:$AU,MATCH("b-5.4",'PY1 TFR ADA'!$F$5:$AU$5,0),FALSE),0)</f>
        <v>0</v>
      </c>
      <c r="P292" s="527"/>
      <c r="Q292" s="609">
        <f>IFERROR(VLOOKUP($B287,'PY1 TFR ADA'!$F:$AU,MATCH("b-6.4",'PY1 TFR ADA'!$F$5:$AU$5,0),FALSE),0)</f>
        <v>0</v>
      </c>
      <c r="R292" s="551"/>
      <c r="S292" s="601">
        <f t="shared" si="398"/>
        <v>0</v>
      </c>
      <c r="T292" s="551"/>
      <c r="U292" s="536">
        <f t="shared" ref="U292" si="402">ROUND(IF($G296="LCFF Rate",(G292*$C292),(G292*$E292))+IF($I296="LCFF Rate",(I292*$C292),(I292*$E292))+IF($K296="LCFF Rate",(K292*$C292),(K292*$E292))+IF($M296="LCFF Rate",(M292*$C292),(M292*$E292))+IF($O296="LCFF Rate",(O292*$C292),(O292*$E292))+IF($Q296="LCFF Rate",(Q292*$C292),(Q292*$E292)),0)</f>
        <v>0</v>
      </c>
      <c r="V292" s="522"/>
      <c r="X292" s="496"/>
    </row>
    <row r="293" spans="1:24" s="8" customFormat="1" ht="8.25" customHeight="1">
      <c r="A293" s="521"/>
      <c r="B293" s="167"/>
      <c r="C293" s="165"/>
      <c r="D293" s="523"/>
      <c r="E293" s="165"/>
      <c r="F293" s="523"/>
      <c r="G293" s="520"/>
      <c r="H293" s="523"/>
      <c r="I293" s="520"/>
      <c r="J293" s="523"/>
      <c r="K293" s="520"/>
      <c r="L293" s="523"/>
      <c r="M293" s="520"/>
      <c r="N293" s="523"/>
      <c r="O293" s="520"/>
      <c r="P293" s="523"/>
      <c r="Q293" s="520"/>
      <c r="R293" s="167"/>
      <c r="S293" s="520"/>
      <c r="T293" s="167"/>
      <c r="U293" s="602"/>
      <c r="V293" s="522"/>
      <c r="X293" s="4"/>
    </row>
    <row r="294" spans="1:24" s="8" customFormat="1" ht="14.4">
      <c r="A294" s="521"/>
      <c r="B294" s="167"/>
      <c r="C294" s="165"/>
      <c r="D294" s="523"/>
      <c r="E294" s="513" t="s">
        <v>1317</v>
      </c>
      <c r="F294" s="523"/>
      <c r="G294" s="601">
        <f t="shared" ref="G294" si="403">SUM(G289:G292)</f>
        <v>0</v>
      </c>
      <c r="H294" s="527"/>
      <c r="I294" s="601">
        <f t="shared" ref="I294" si="404">SUM(I289:I292)</f>
        <v>0</v>
      </c>
      <c r="J294" s="527"/>
      <c r="K294" s="601">
        <f t="shared" ref="K294" si="405">SUM(K289:K292)</f>
        <v>0</v>
      </c>
      <c r="L294" s="527"/>
      <c r="M294" s="601">
        <f t="shared" ref="M294" si="406">SUM(M289:M292)</f>
        <v>0</v>
      </c>
      <c r="N294" s="527"/>
      <c r="O294" s="601">
        <f t="shared" ref="O294" si="407">SUM(O289:O292)</f>
        <v>0</v>
      </c>
      <c r="P294" s="527"/>
      <c r="Q294" s="601">
        <f t="shared" ref="Q294" si="408">SUM(Q289:Q292)</f>
        <v>0</v>
      </c>
      <c r="R294" s="527"/>
      <c r="S294" s="601">
        <f t="shared" ref="S294" si="409">SUM(S289:S292)</f>
        <v>0</v>
      </c>
      <c r="T294" s="527"/>
      <c r="U294" s="536">
        <f t="shared" ref="U294" si="410">SUM(U289:U292)</f>
        <v>0</v>
      </c>
      <c r="V294" s="522"/>
      <c r="X294" s="4"/>
    </row>
    <row r="295" spans="1:24" s="8" customFormat="1" ht="8.25" customHeight="1">
      <c r="A295" s="521"/>
      <c r="B295" s="167"/>
      <c r="C295" s="165"/>
      <c r="D295" s="523"/>
      <c r="E295" s="165"/>
      <c r="F295" s="523"/>
      <c r="G295" s="520"/>
      <c r="H295" s="523"/>
      <c r="I295" s="520"/>
      <c r="J295" s="523"/>
      <c r="K295" s="520"/>
      <c r="L295" s="523"/>
      <c r="M295" s="520"/>
      <c r="N295" s="523"/>
      <c r="O295" s="520"/>
      <c r="P295" s="523"/>
      <c r="Q295" s="520"/>
      <c r="R295" s="167"/>
      <c r="S295" s="520"/>
      <c r="T295" s="167"/>
      <c r="U295" s="528"/>
      <c r="V295" s="522"/>
      <c r="X295" s="4"/>
    </row>
    <row r="296" spans="1:24" s="8" customFormat="1" ht="16.5" customHeight="1">
      <c r="A296" s="521"/>
      <c r="B296" s="167"/>
      <c r="C296" s="165"/>
      <c r="E296" s="513" t="s">
        <v>1304</v>
      </c>
      <c r="F296" s="523"/>
      <c r="G296" s="977">
        <f>_xlfn.IFNA(IF(VLOOKUP($B287,'PY1 TFR ADA'!$F:$AU,MATCH("B-1.5",'PY1 TFR ADA'!$F$5:$AU$5,0),FALSE)=TRUE,IF(VLOOKUP($B287,'PY1 TFR ADA'!$F:$AU,MATCH("C-1",'PY1 TFR ADA'!$F$5:$AU$5,0),FALSE)=TRUE,"Alternative Rate","LCFF Rate"),"LCFF Rate"),0)</f>
        <v>0</v>
      </c>
      <c r="H296" s="523"/>
      <c r="I296" s="977">
        <f>_xlfn.IFNA(IF(VLOOKUP($B287,'PY1 TFR ADA'!$F:$AU,MATCH("B-2.5",'PY1 TFR ADA'!$F$5:$AU$5,0),FALSE)=TRUE,IF(VLOOKUP($B287,'PY1 TFR ADA'!$F:$AU,MATCH("C-1",'PY1 TFR ADA'!$F$5:$AU$5,0),FALSE)=TRUE,"Alternative Rate","LCFF Rate"),"LCFF Rate"),0)</f>
        <v>0</v>
      </c>
      <c r="J296" s="523"/>
      <c r="K296" s="977">
        <f>_xlfn.IFNA(IF(VLOOKUP($B287,'PY1 TFR ADA'!$F:$AU,MATCH("B-3.5",'PY1 TFR ADA'!$F$5:$AU$5,0),FALSE)=TRUE,IF(VLOOKUP($B287,'PY1 TFR ADA'!$F:$AU,MATCH("C-1",'PY1 TFR ADA'!$F$5:$AU$5,0),FALSE)=TRUE,"Alternative Rate","LCFF Rate"),"LCFF Rate"),0)</f>
        <v>0</v>
      </c>
      <c r="L296" s="523"/>
      <c r="M296" s="977">
        <f>_xlfn.IFNA(IF(VLOOKUP($B287,'PY1 TFR ADA'!$F:$AU,MATCH("B-4.5",'PY1 TFR ADA'!$F$5:$AU$5,0),FALSE)=TRUE,IF(VLOOKUP($B287,'PY1 TFR ADA'!$F:$AU,MATCH("C-1",'PY1 TFR ADA'!$F$5:$AU$5,0),FALSE)=TRUE,"Alternative Rate","LCFF Rate"),"LCFF Rate"),0)</f>
        <v>0</v>
      </c>
      <c r="N296" s="523"/>
      <c r="O296" s="977">
        <f>_xlfn.IFNA(IF(VLOOKUP($B287,'PY1 TFR ADA'!$F:$AU,MATCH("B-5.5",'PY1 TFR ADA'!$F$5:$AU$5,0),FALSE)=TRUE,IF(VLOOKUP($B287,'PY1 TFR ADA'!$F:$AU,MATCH("C-1",'PY1 TFR ADA'!$F$5:$AU$5,0),FALSE)=TRUE,"Alternative Rate","LCFF Rate"),"LCFF Rate"),0)</f>
        <v>0</v>
      </c>
      <c r="P296" s="523"/>
      <c r="Q296" s="977">
        <f>_xlfn.IFNA(IF(VLOOKUP($B287,'PY1 TFR ADA'!$F:$AU,MATCH("B-6.5",'PY1 TFR ADA'!$F$5:$AU$5,0),FALSE)=TRUE,IF(VLOOKUP($B287,'PY1 TFR ADA'!$F:$AU,MATCH("C-1",'PY1 TFR ADA'!$F$5:$AU$5,0),FALSE)=TRUE,"Alternative Rate","LCFF Rate"),"LCFF Rate"),0)</f>
        <v>0</v>
      </c>
      <c r="R296" s="167"/>
      <c r="S296" s="520"/>
      <c r="T296" s="167"/>
      <c r="U296" s="528"/>
      <c r="V296" s="522"/>
      <c r="X296" s="283"/>
    </row>
    <row r="297" spans="1:24" s="8" customFormat="1" ht="8.25" customHeight="1">
      <c r="A297" s="521"/>
      <c r="B297" s="167"/>
      <c r="C297" s="165"/>
      <c r="D297" s="523"/>
      <c r="E297" s="165"/>
      <c r="F297" s="523"/>
      <c r="G297" s="520"/>
      <c r="H297" s="523"/>
      <c r="I297" s="520"/>
      <c r="J297" s="523"/>
      <c r="K297" s="520"/>
      <c r="L297" s="523"/>
      <c r="M297" s="520"/>
      <c r="N297" s="523"/>
      <c r="O297" s="520"/>
      <c r="P297" s="523"/>
      <c r="Q297" s="520"/>
      <c r="R297" s="167"/>
      <c r="S297" s="520"/>
      <c r="T297" s="167"/>
      <c r="U297" s="528"/>
      <c r="V297" s="522"/>
      <c r="X297" s="4"/>
    </row>
    <row r="298" spans="1:24" s="8" customFormat="1" ht="16.8">
      <c r="A298" s="521"/>
      <c r="B298" s="2"/>
      <c r="F298" s="523"/>
      <c r="G298" s="535">
        <f t="shared" ref="G298" si="411">IF(G296="LCFF Rate",(G289*C289+G290*C290+G291*C291+G292*C292),(G294*E292))</f>
        <v>0</v>
      </c>
      <c r="H298" s="537"/>
      <c r="I298" s="535">
        <f t="shared" ref="I298" si="412">IF(I296="LCFF Rate",(I289*C289+I290*C290+I291*C291+I292*C292),(I294*E292))</f>
        <v>0</v>
      </c>
      <c r="J298" s="537"/>
      <c r="K298" s="535">
        <f t="shared" ref="K298" si="413">IF(K296="LCFF Rate",(K289*C289+K290*C290+K291*C291+K292*C292),(K294*E292))</f>
        <v>0</v>
      </c>
      <c r="L298" s="537"/>
      <c r="M298" s="535">
        <f t="shared" ref="M298" si="414">IF(M296="LCFF Rate",(M289*C289+M290*C290+M291*C291+M292*C292),(M294*E292))</f>
        <v>0</v>
      </c>
      <c r="N298" s="537"/>
      <c r="O298" s="535">
        <f t="shared" ref="O298" si="415">IF(O296="LCFF Rate",(O289*C289+O290*C290+O291*C291+O292*C292),(O294*E292))</f>
        <v>0</v>
      </c>
      <c r="P298" s="537"/>
      <c r="Q298" s="535">
        <f t="shared" ref="Q298" si="416">IF(Q296="LCFF Rate",(Q289*C289+Q290*C290+Q291*C291+Q292*C292),(Q294*E292))</f>
        <v>0</v>
      </c>
      <c r="R298" s="167"/>
      <c r="S298" s="538">
        <f t="shared" ref="S298" si="417">SUM(G298:Q298)</f>
        <v>0</v>
      </c>
      <c r="T298" s="167"/>
      <c r="U298" s="528"/>
      <c r="V298" s="522"/>
      <c r="X298" s="979"/>
    </row>
    <row r="299" spans="1:24" s="8" customFormat="1" ht="9" customHeight="1" thickBot="1">
      <c r="A299" s="529"/>
      <c r="B299" s="530"/>
      <c r="C299" s="531"/>
      <c r="D299" s="532"/>
      <c r="E299" s="533"/>
      <c r="F299" s="532"/>
      <c r="G299" s="530"/>
      <c r="H299" s="532"/>
      <c r="I299" s="530"/>
      <c r="J299" s="532"/>
      <c r="K299" s="530"/>
      <c r="L299" s="532"/>
      <c r="M299" s="530"/>
      <c r="N299" s="532"/>
      <c r="O299" s="530"/>
      <c r="P299" s="532"/>
      <c r="Q299" s="530"/>
      <c r="R299" s="532"/>
      <c r="S299" s="530"/>
      <c r="T299" s="532"/>
      <c r="U299" s="532"/>
      <c r="V299" s="534"/>
      <c r="X299" s="4"/>
    </row>
    <row r="300" spans="1:24" s="82" customFormat="1" ht="18" customHeight="1" thickBot="1">
      <c r="A300" s="890">
        <f>+A287+1</f>
        <v>23</v>
      </c>
      <c r="B300" s="891" t="str">
        <f>'Data Entry'!$B$3&amp;"-"&amp;C300</f>
        <v>-</v>
      </c>
      <c r="C300" s="891" t="str">
        <f>IFERROR(VLOOKUP('Data Entry'!$B$3&amp;"-"&amp;A300,'PY1 TFR ADA'!$D:$AT,2,FALSE),"")</f>
        <v/>
      </c>
      <c r="D300" s="892" t="str">
        <f>IFERROR(VLOOKUP('Data Entry'!$B$3&amp;"-"&amp;A300,'PY1 TFR ADA'!$D:$AT,4,FALSE),"")</f>
        <v/>
      </c>
      <c r="E300" s="893"/>
      <c r="F300" s="893"/>
      <c r="G300" s="893"/>
      <c r="H300" s="893"/>
      <c r="I300" s="893"/>
      <c r="J300" s="893"/>
      <c r="K300" s="893"/>
      <c r="L300" s="893"/>
      <c r="M300" s="893"/>
      <c r="N300" s="893"/>
      <c r="O300" s="893"/>
      <c r="P300" s="893"/>
      <c r="Q300" s="893"/>
      <c r="R300" s="893"/>
      <c r="S300" s="893"/>
      <c r="T300" s="893"/>
      <c r="U300" s="893"/>
      <c r="V300" s="894"/>
      <c r="X300" s="83"/>
    </row>
    <row r="301" spans="1:24" ht="75" customHeight="1">
      <c r="A301" s="521"/>
      <c r="C301" s="540" t="s">
        <v>1315</v>
      </c>
      <c r="D301" s="512"/>
      <c r="E301" s="540" t="s">
        <v>1316</v>
      </c>
      <c r="F301" s="512"/>
      <c r="G301" s="540" t="s">
        <v>1309</v>
      </c>
      <c r="H301" s="512"/>
      <c r="I301" s="540" t="s">
        <v>1310</v>
      </c>
      <c r="J301" s="512"/>
      <c r="K301" s="540" t="s">
        <v>1311</v>
      </c>
      <c r="L301" s="512"/>
      <c r="M301" s="540" t="s">
        <v>1312</v>
      </c>
      <c r="N301" s="512"/>
      <c r="O301" s="540" t="s">
        <v>1313</v>
      </c>
      <c r="P301" s="512"/>
      <c r="Q301" s="540" t="s">
        <v>1314</v>
      </c>
      <c r="R301" s="167"/>
      <c r="S301" s="540" t="s">
        <v>1308</v>
      </c>
      <c r="T301" s="167"/>
      <c r="U301" s="512" t="s">
        <v>1307</v>
      </c>
      <c r="V301" s="524"/>
      <c r="X301" s="283"/>
    </row>
    <row r="302" spans="1:24" s="8" customFormat="1" ht="14.4">
      <c r="A302" s="521"/>
      <c r="B302" s="510" t="s">
        <v>94</v>
      </c>
      <c r="C302" s="525">
        <f>IFERROR(VLOOKUP($B300,'PY1 TFR ADA'!$F:$AU,MATCH("A-1.1",'PY1 TFR ADA'!$F$5:$AU$5,0),FALSE),0)</f>
        <v>0</v>
      </c>
      <c r="D302" s="167"/>
      <c r="E302" s="525">
        <f>IFERROR(VALUE(VLOOKUP($B300,'PY1 TFR ADA'!$F:$AU,MATCH("A-2.1",'PY1 TFR ADA'!$F$5:$AU$5,0),FALSE)),0)</f>
        <v>0</v>
      </c>
      <c r="F302" s="167"/>
      <c r="G302" s="609">
        <f>IFERROR(VLOOKUP($B300,'PY1 TFR ADA'!$F:$AU,MATCH("b-1.1",'PY1 TFR ADA'!$F$5:$AU$5,0),FALSE),0)</f>
        <v>0</v>
      </c>
      <c r="H302" s="527"/>
      <c r="I302" s="609">
        <f>IFERROR(VLOOKUP($B300,'PY1 TFR ADA'!$F:$AU,MATCH("b-2.1",'PY1 TFR ADA'!$F$5:$AU$5,0),FALSE),0)</f>
        <v>0</v>
      </c>
      <c r="J302" s="527"/>
      <c r="K302" s="609">
        <f>IFERROR(VLOOKUP($B300,'PY1 TFR ADA'!$F:$AU,MATCH("b-3.1",'PY1 TFR ADA'!$F$5:$AU$5,0),FALSE),0)</f>
        <v>0</v>
      </c>
      <c r="L302" s="527"/>
      <c r="M302" s="609">
        <f>IFERROR(VLOOKUP($B300,'PY1 TFR ADA'!$F:$AU,MATCH("b-4.1",'PY1 TFR ADA'!$F$5:$AU$5,0),FALSE),0)</f>
        <v>0</v>
      </c>
      <c r="N302" s="527"/>
      <c r="O302" s="609">
        <f>IFERROR(VLOOKUP($B300,'PY1 TFR ADA'!$F:$AU,MATCH("b-5.1",'PY1 TFR ADA'!$F$5:$AU$5,0),FALSE),0)</f>
        <v>0</v>
      </c>
      <c r="P302" s="527"/>
      <c r="Q302" s="609">
        <f>IFERROR(VLOOKUP($B300,'PY1 TFR ADA'!$F:$AU,MATCH("b-6.1",'PY1 TFR ADA'!$F$5:$AU$5,0),FALSE),0)</f>
        <v>0</v>
      </c>
      <c r="R302" s="551"/>
      <c r="S302" s="601">
        <f t="shared" ref="S302:S305" si="418">SUM(G302:Q302)</f>
        <v>0</v>
      </c>
      <c r="T302" s="551"/>
      <c r="U302" s="536">
        <f t="shared" ref="U302" si="419">ROUND(IF($G309="LCFF Rate",(G302*$C302),(G302*$E302))+IF($I309="LCFF Rate",(I302*$C302),(I302*$E302))+IF($K309="LCFF Rate",(K302*$C302),(K302*$E302))+IF($M309="LCFF Rate",(M302*$C302),(M302*$E302))+IF($O309="LCFF Rate",(O302*$C302),(O302*$E302))+IF($Q309="LCFF Rate",(Q302*$C302),(Q302*$E302)),0)</f>
        <v>0</v>
      </c>
      <c r="V302" s="524"/>
      <c r="X302" s="496"/>
    </row>
    <row r="303" spans="1:24" s="8" customFormat="1" ht="14.4">
      <c r="A303" s="521"/>
      <c r="B303" s="510" t="s">
        <v>2</v>
      </c>
      <c r="C303" s="525">
        <f>IFERROR(VLOOKUP($B300,'PY1 TFR ADA'!$F:$AU,MATCH("A-1.2",'PY1 TFR ADA'!$F$5:$AU$5,0),FALSE),0)</f>
        <v>0</v>
      </c>
      <c r="D303" s="167"/>
      <c r="E303" s="525">
        <f>IFERROR(VALUE(VLOOKUP($B300,'PY1 TFR ADA'!$F:$AU,MATCH("A-2.2",'PY1 TFR ADA'!$F$5:$AU$5,0),FALSE)),0)</f>
        <v>0</v>
      </c>
      <c r="F303" s="167"/>
      <c r="G303" s="609">
        <f>IFERROR(VLOOKUP($B300,'PY1 TFR ADA'!$F:$AU,MATCH("b-1.2",'PY1 TFR ADA'!$F$5:$AU$5,0),FALSE),0)</f>
        <v>0</v>
      </c>
      <c r="H303" s="527"/>
      <c r="I303" s="609">
        <f>IFERROR(VLOOKUP($B300,'PY1 TFR ADA'!$F:$AU,MATCH("b-2.2",'PY1 TFR ADA'!$F$5:$AU$5,0),FALSE),0)</f>
        <v>0</v>
      </c>
      <c r="J303" s="527"/>
      <c r="K303" s="609">
        <f>IFERROR(VLOOKUP($B300,'PY1 TFR ADA'!$F:$AU,MATCH("b-3.2",'PY1 TFR ADA'!$F$5:$AU$5,0),FALSE),0)</f>
        <v>0</v>
      </c>
      <c r="L303" s="527"/>
      <c r="M303" s="609">
        <f>IFERROR(VLOOKUP($B300,'PY1 TFR ADA'!$F:$AU,MATCH("b-4.2",'PY1 TFR ADA'!$F$5:$AU$5,0),FALSE),0)</f>
        <v>0</v>
      </c>
      <c r="N303" s="527"/>
      <c r="O303" s="609">
        <f>IFERROR(VLOOKUP($B300,'PY1 TFR ADA'!$F:$AU,MATCH("b-5.2",'PY1 TFR ADA'!$F$5:$AU$5,0),FALSE),0)</f>
        <v>0</v>
      </c>
      <c r="P303" s="527"/>
      <c r="Q303" s="609">
        <f>IFERROR(VLOOKUP($B300,'PY1 TFR ADA'!$F:$AU,MATCH("b-6.2",'PY1 TFR ADA'!$F$5:$AU$5,0),FALSE),0)</f>
        <v>0</v>
      </c>
      <c r="R303" s="551"/>
      <c r="S303" s="601">
        <f t="shared" si="418"/>
        <v>0</v>
      </c>
      <c r="T303" s="551"/>
      <c r="U303" s="536">
        <f t="shared" ref="U303" si="420">ROUND(IF($G309="LCFF Rate",(G303*$C303),(G303*$E303))+IF($I309="LCFF Rate",(I303*$C303),(I303*$E303))+IF($K309="LCFF Rate",(K303*$C303),(K303*$E303))+IF($M309="LCFF Rate",(M303*$C303),(M303*$E303))+IF($O309="LCFF Rate",(O303*$C303),(O303*$E303))+IF($Q309="LCFF Rate",(Q303*$C303),(Q303*$E303)),0)</f>
        <v>0</v>
      </c>
      <c r="V303" s="524"/>
      <c r="X303" s="4"/>
    </row>
    <row r="304" spans="1:24" s="8" customFormat="1" ht="14.4">
      <c r="A304" s="521"/>
      <c r="B304" s="510" t="s">
        <v>3</v>
      </c>
      <c r="C304" s="525">
        <f>IFERROR(VLOOKUP($B300,'PY1 TFR ADA'!$F:$AU,MATCH("A-1.3",'PY1 TFR ADA'!$F$5:$AU$5,0),FALSE),0)</f>
        <v>0</v>
      </c>
      <c r="D304" s="167"/>
      <c r="E304" s="525">
        <f>IFERROR(VALUE(VLOOKUP($B300,'PY1 TFR ADA'!$F:$AU,MATCH("A-2.3",'PY1 TFR ADA'!$F$5:$AU$5,0),FALSE)),0)</f>
        <v>0</v>
      </c>
      <c r="F304" s="167"/>
      <c r="G304" s="609">
        <f>IFERROR(VLOOKUP($B300,'PY1 TFR ADA'!$F:$AU,MATCH("b-1.3",'PY1 TFR ADA'!$F$5:$AU$5,0),FALSE),0)</f>
        <v>0</v>
      </c>
      <c r="H304" s="527"/>
      <c r="I304" s="609">
        <f>IFERROR(VLOOKUP($B300,'PY1 TFR ADA'!$F:$AU,MATCH("b-2.3",'PY1 TFR ADA'!$F$5:$AU$5,0),FALSE),0)</f>
        <v>0</v>
      </c>
      <c r="J304" s="527"/>
      <c r="K304" s="609">
        <f>IFERROR(VLOOKUP($B300,'PY1 TFR ADA'!$F:$AU,MATCH("b-3.3",'PY1 TFR ADA'!$F$5:$AU$5,0),FALSE),0)</f>
        <v>0</v>
      </c>
      <c r="L304" s="527"/>
      <c r="M304" s="609">
        <f>IFERROR(VLOOKUP($B300,'PY1 TFR ADA'!$F:$AU,MATCH("b-4.3",'PY1 TFR ADA'!$F$5:$AU$5,0),FALSE),0)</f>
        <v>0</v>
      </c>
      <c r="N304" s="527"/>
      <c r="O304" s="609">
        <f>IFERROR(VLOOKUP($B300,'PY1 TFR ADA'!$F:$AU,MATCH("b-5.3",'PY1 TFR ADA'!$F$5:$AU$5,0),FALSE),0)</f>
        <v>0</v>
      </c>
      <c r="P304" s="527"/>
      <c r="Q304" s="609">
        <f>IFERROR(VLOOKUP($B300,'PY1 TFR ADA'!$F:$AU,MATCH("b-6.3",'PY1 TFR ADA'!$F$5:$AU$5,0),FALSE),0)</f>
        <v>0</v>
      </c>
      <c r="R304" s="551"/>
      <c r="S304" s="601">
        <f t="shared" si="418"/>
        <v>0</v>
      </c>
      <c r="T304" s="551"/>
      <c r="U304" s="536">
        <f t="shared" ref="U304" si="421">ROUND(IF($G309="LCFF Rate",(G304*$C304),(G304*$E304))+IF($I309="LCFF Rate",(I304*$C304),(I304*$E304))+IF($K309="LCFF Rate",(K304*$C304),(K304*$E304))+IF($M309="LCFF Rate",(M304*$C304),(M304*$E304))+IF($O309="LCFF Rate",(O304*$C304),(O304*$E304))+IF($Q309="LCFF Rate",(Q304*$C304),(Q304*$E304)),0)</f>
        <v>0</v>
      </c>
      <c r="V304" s="524"/>
      <c r="X304" s="4"/>
    </row>
    <row r="305" spans="1:24" s="8" customFormat="1" ht="14.4">
      <c r="A305" s="526"/>
      <c r="B305" s="510" t="s">
        <v>4</v>
      </c>
      <c r="C305" s="525">
        <f>IFERROR(VLOOKUP($B300,'PY1 TFR ADA'!$F:$AU,MATCH("A-1.4",'PY1 TFR ADA'!$F$5:$AU$5,0),FALSE),0)</f>
        <v>0</v>
      </c>
      <c r="D305" s="523"/>
      <c r="E305" s="525">
        <f>IFERROR(VALUE(VLOOKUP($B300,'PY1 TFR ADA'!$F:$AU,MATCH("A-2.4",'PY1 TFR ADA'!$F$5:$AU$5,0),FALSE)),0)</f>
        <v>0</v>
      </c>
      <c r="F305" s="523"/>
      <c r="G305" s="609">
        <f>IFERROR(VLOOKUP($B300,'PY1 TFR ADA'!$F:$AU,MATCH("b-1.4",'PY1 TFR ADA'!$F$5:$AU$5,0),FALSE),0)</f>
        <v>0</v>
      </c>
      <c r="H305" s="527"/>
      <c r="I305" s="609">
        <f>IFERROR(VLOOKUP($B300,'PY1 TFR ADA'!$F:$AU,MATCH("b-2.4",'PY1 TFR ADA'!$F$5:$AU$5,0),FALSE),0)</f>
        <v>0</v>
      </c>
      <c r="J305" s="527"/>
      <c r="K305" s="609">
        <f>IFERROR(VLOOKUP($B300,'PY1 TFR ADA'!$F:$AU,MATCH("b-3.4",'PY1 TFR ADA'!$F$5:$AU$5,0),FALSE),0)</f>
        <v>0</v>
      </c>
      <c r="L305" s="527"/>
      <c r="M305" s="609">
        <f>IFERROR(VLOOKUP($B300,'PY1 TFR ADA'!$F:$AU,MATCH("b-4.4",'PY1 TFR ADA'!$F$5:$AU$5,0),FALSE),0)</f>
        <v>0</v>
      </c>
      <c r="N305" s="527"/>
      <c r="O305" s="609">
        <f>IFERROR(VLOOKUP($B300,'PY1 TFR ADA'!$F:$AU,MATCH("b-5.4",'PY1 TFR ADA'!$F$5:$AU$5,0),FALSE),0)</f>
        <v>0</v>
      </c>
      <c r="P305" s="527"/>
      <c r="Q305" s="609">
        <f>IFERROR(VLOOKUP($B300,'PY1 TFR ADA'!$F:$AU,MATCH("b-6.4",'PY1 TFR ADA'!$F$5:$AU$5,0),FALSE),0)</f>
        <v>0</v>
      </c>
      <c r="R305" s="551"/>
      <c r="S305" s="601">
        <f t="shared" si="418"/>
        <v>0</v>
      </c>
      <c r="T305" s="551"/>
      <c r="U305" s="536">
        <f t="shared" ref="U305" si="422">ROUND(IF($G309="LCFF Rate",(G305*$C305),(G305*$E305))+IF($I309="LCFF Rate",(I305*$C305),(I305*$E305))+IF($K309="LCFF Rate",(K305*$C305),(K305*$E305))+IF($M309="LCFF Rate",(M305*$C305),(M305*$E305))+IF($O309="LCFF Rate",(O305*$C305),(O305*$E305))+IF($Q309="LCFF Rate",(Q305*$C305),(Q305*$E305)),0)</f>
        <v>0</v>
      </c>
      <c r="V305" s="522"/>
      <c r="X305" s="496"/>
    </row>
    <row r="306" spans="1:24" s="8" customFormat="1" ht="8.25" customHeight="1">
      <c r="A306" s="521"/>
      <c r="B306" s="167"/>
      <c r="C306" s="165"/>
      <c r="D306" s="523"/>
      <c r="E306" s="165"/>
      <c r="F306" s="523"/>
      <c r="G306" s="520"/>
      <c r="H306" s="523"/>
      <c r="I306" s="520"/>
      <c r="J306" s="523"/>
      <c r="K306" s="520"/>
      <c r="L306" s="523"/>
      <c r="M306" s="520"/>
      <c r="N306" s="523"/>
      <c r="O306" s="520"/>
      <c r="P306" s="523"/>
      <c r="Q306" s="520"/>
      <c r="R306" s="167"/>
      <c r="S306" s="520"/>
      <c r="T306" s="167"/>
      <c r="U306" s="602"/>
      <c r="V306" s="522"/>
      <c r="X306" s="4"/>
    </row>
    <row r="307" spans="1:24" s="8" customFormat="1" ht="14.4">
      <c r="A307" s="521"/>
      <c r="B307" s="167"/>
      <c r="C307" s="165"/>
      <c r="D307" s="523"/>
      <c r="E307" s="513" t="s">
        <v>1317</v>
      </c>
      <c r="F307" s="523"/>
      <c r="G307" s="601">
        <f t="shared" ref="G307" si="423">SUM(G302:G305)</f>
        <v>0</v>
      </c>
      <c r="H307" s="527"/>
      <c r="I307" s="601">
        <f t="shared" ref="I307" si="424">SUM(I302:I305)</f>
        <v>0</v>
      </c>
      <c r="J307" s="527"/>
      <c r="K307" s="601">
        <f t="shared" ref="K307" si="425">SUM(K302:K305)</f>
        <v>0</v>
      </c>
      <c r="L307" s="527"/>
      <c r="M307" s="601">
        <f t="shared" ref="M307" si="426">SUM(M302:M305)</f>
        <v>0</v>
      </c>
      <c r="N307" s="527"/>
      <c r="O307" s="601">
        <f t="shared" ref="O307" si="427">SUM(O302:O305)</f>
        <v>0</v>
      </c>
      <c r="P307" s="527"/>
      <c r="Q307" s="601">
        <f t="shared" ref="Q307" si="428">SUM(Q302:Q305)</f>
        <v>0</v>
      </c>
      <c r="R307" s="527"/>
      <c r="S307" s="601">
        <f t="shared" ref="S307" si="429">SUM(S302:S305)</f>
        <v>0</v>
      </c>
      <c r="T307" s="527"/>
      <c r="U307" s="536">
        <f t="shared" ref="U307" si="430">SUM(U302:U305)</f>
        <v>0</v>
      </c>
      <c r="V307" s="522"/>
      <c r="X307" s="4"/>
    </row>
    <row r="308" spans="1:24" s="8" customFormat="1" ht="8.25" customHeight="1">
      <c r="A308" s="521"/>
      <c r="B308" s="167"/>
      <c r="C308" s="165"/>
      <c r="D308" s="523"/>
      <c r="E308" s="165"/>
      <c r="F308" s="523"/>
      <c r="G308" s="520"/>
      <c r="H308" s="523"/>
      <c r="I308" s="520"/>
      <c r="J308" s="523"/>
      <c r="K308" s="520"/>
      <c r="L308" s="523"/>
      <c r="M308" s="520"/>
      <c r="N308" s="523"/>
      <c r="O308" s="520"/>
      <c r="P308" s="523"/>
      <c r="Q308" s="520"/>
      <c r="R308" s="167"/>
      <c r="S308" s="520"/>
      <c r="T308" s="167"/>
      <c r="U308" s="528"/>
      <c r="V308" s="522"/>
      <c r="X308" s="4"/>
    </row>
    <row r="309" spans="1:24" s="8" customFormat="1" ht="16.5" customHeight="1">
      <c r="A309" s="521"/>
      <c r="B309" s="167"/>
      <c r="C309" s="165"/>
      <c r="E309" s="513" t="s">
        <v>1304</v>
      </c>
      <c r="F309" s="523"/>
      <c r="G309" s="977">
        <f>_xlfn.IFNA(IF(VLOOKUP($B300,'PY1 TFR ADA'!$F:$AU,MATCH("B-1.5",'PY1 TFR ADA'!$F$5:$AU$5,0),FALSE)=TRUE,IF(VLOOKUP($B300,'PY1 TFR ADA'!$F:$AU,MATCH("C-1",'PY1 TFR ADA'!$F$5:$AU$5,0),FALSE)=TRUE,"Alternative Rate","LCFF Rate"),"LCFF Rate"),0)</f>
        <v>0</v>
      </c>
      <c r="H309" s="523"/>
      <c r="I309" s="977">
        <f>_xlfn.IFNA(IF(VLOOKUP($B300,'PY1 TFR ADA'!$F:$AU,MATCH("B-2.5",'PY1 TFR ADA'!$F$5:$AU$5,0),FALSE)=TRUE,IF(VLOOKUP($B300,'PY1 TFR ADA'!$F:$AU,MATCH("C-1",'PY1 TFR ADA'!$F$5:$AU$5,0),FALSE)=TRUE,"Alternative Rate","LCFF Rate"),"LCFF Rate"),0)</f>
        <v>0</v>
      </c>
      <c r="J309" s="523"/>
      <c r="K309" s="977">
        <f>_xlfn.IFNA(IF(VLOOKUP($B300,'PY1 TFR ADA'!$F:$AU,MATCH("B-3.5",'PY1 TFR ADA'!$F$5:$AU$5,0),FALSE)=TRUE,IF(VLOOKUP($B300,'PY1 TFR ADA'!$F:$AU,MATCH("C-1",'PY1 TFR ADA'!$F$5:$AU$5,0),FALSE)=TRUE,"Alternative Rate","LCFF Rate"),"LCFF Rate"),0)</f>
        <v>0</v>
      </c>
      <c r="L309" s="523"/>
      <c r="M309" s="977">
        <f>_xlfn.IFNA(IF(VLOOKUP($B300,'PY1 TFR ADA'!$F:$AU,MATCH("B-4.5",'PY1 TFR ADA'!$F$5:$AU$5,0),FALSE)=TRUE,IF(VLOOKUP($B300,'PY1 TFR ADA'!$F:$AU,MATCH("C-1",'PY1 TFR ADA'!$F$5:$AU$5,0),FALSE)=TRUE,"Alternative Rate","LCFF Rate"),"LCFF Rate"),0)</f>
        <v>0</v>
      </c>
      <c r="N309" s="523"/>
      <c r="O309" s="977">
        <f>_xlfn.IFNA(IF(VLOOKUP($B300,'PY1 TFR ADA'!$F:$AU,MATCH("B-5.5",'PY1 TFR ADA'!$F$5:$AU$5,0),FALSE)=TRUE,IF(VLOOKUP($B300,'PY1 TFR ADA'!$F:$AU,MATCH("C-1",'PY1 TFR ADA'!$F$5:$AU$5,0),FALSE)=TRUE,"Alternative Rate","LCFF Rate"),"LCFF Rate"),0)</f>
        <v>0</v>
      </c>
      <c r="P309" s="523"/>
      <c r="Q309" s="977">
        <f>_xlfn.IFNA(IF(VLOOKUP($B300,'PY1 TFR ADA'!$F:$AU,MATCH("B-6.5",'PY1 TFR ADA'!$F$5:$AU$5,0),FALSE)=TRUE,IF(VLOOKUP($B300,'PY1 TFR ADA'!$F:$AU,MATCH("C-1",'PY1 TFR ADA'!$F$5:$AU$5,0),FALSE)=TRUE,"Alternative Rate","LCFF Rate"),"LCFF Rate"),0)</f>
        <v>0</v>
      </c>
      <c r="R309" s="167"/>
      <c r="S309" s="520"/>
      <c r="T309" s="167"/>
      <c r="U309" s="528"/>
      <c r="V309" s="522"/>
      <c r="X309" s="283"/>
    </row>
    <row r="310" spans="1:24" s="8" customFormat="1" ht="8.25" customHeight="1">
      <c r="A310" s="521"/>
      <c r="B310" s="167"/>
      <c r="C310" s="165"/>
      <c r="D310" s="523"/>
      <c r="E310" s="165"/>
      <c r="F310" s="523"/>
      <c r="G310" s="520"/>
      <c r="H310" s="523"/>
      <c r="I310" s="520"/>
      <c r="J310" s="523"/>
      <c r="K310" s="520"/>
      <c r="L310" s="523"/>
      <c r="M310" s="520"/>
      <c r="N310" s="523"/>
      <c r="O310" s="520"/>
      <c r="P310" s="523"/>
      <c r="Q310" s="520"/>
      <c r="R310" s="167"/>
      <c r="S310" s="520"/>
      <c r="T310" s="167"/>
      <c r="U310" s="528"/>
      <c r="V310" s="522"/>
      <c r="X310" s="4"/>
    </row>
    <row r="311" spans="1:24" s="8" customFormat="1" ht="16.8">
      <c r="A311" s="521"/>
      <c r="B311" s="2"/>
      <c r="F311" s="523"/>
      <c r="G311" s="535">
        <f t="shared" ref="G311" si="431">IF(G309="LCFF Rate",(G302*C302+G303*C303+G304*C304+G305*C305),(G307*E305))</f>
        <v>0</v>
      </c>
      <c r="H311" s="537"/>
      <c r="I311" s="535">
        <f t="shared" ref="I311" si="432">IF(I309="LCFF Rate",(I302*C302+I303*C303+I304*C304+I305*C305),(I307*E305))</f>
        <v>0</v>
      </c>
      <c r="J311" s="537"/>
      <c r="K311" s="535">
        <f t="shared" ref="K311" si="433">IF(K309="LCFF Rate",(K302*C302+K303*C303+K304*C304+K305*C305),(K307*E305))</f>
        <v>0</v>
      </c>
      <c r="L311" s="537"/>
      <c r="M311" s="535">
        <f t="shared" ref="M311" si="434">IF(M309="LCFF Rate",(M302*C302+M303*C303+M304*C304+M305*C305),(M307*E305))</f>
        <v>0</v>
      </c>
      <c r="N311" s="537"/>
      <c r="O311" s="535">
        <f t="shared" ref="O311" si="435">IF(O309="LCFF Rate",(O302*C302+O303*C303+O304*C304+O305*C305),(O307*E305))</f>
        <v>0</v>
      </c>
      <c r="P311" s="537"/>
      <c r="Q311" s="535">
        <f t="shared" ref="Q311" si="436">IF(Q309="LCFF Rate",(Q302*C302+Q303*C303+Q304*C304+Q305*C305),(Q307*E305))</f>
        <v>0</v>
      </c>
      <c r="R311" s="167"/>
      <c r="S311" s="538">
        <f t="shared" ref="S311" si="437">SUM(G311:Q311)</f>
        <v>0</v>
      </c>
      <c r="T311" s="167"/>
      <c r="U311" s="528"/>
      <c r="V311" s="522"/>
      <c r="X311" s="979"/>
    </row>
    <row r="312" spans="1:24" s="8" customFormat="1" ht="9" customHeight="1" thickBot="1">
      <c r="A312" s="529"/>
      <c r="B312" s="530"/>
      <c r="C312" s="531"/>
      <c r="D312" s="532"/>
      <c r="E312" s="533"/>
      <c r="F312" s="532"/>
      <c r="G312" s="530"/>
      <c r="H312" s="532"/>
      <c r="I312" s="530"/>
      <c r="J312" s="532"/>
      <c r="K312" s="530"/>
      <c r="L312" s="532"/>
      <c r="M312" s="530"/>
      <c r="N312" s="532"/>
      <c r="O312" s="530"/>
      <c r="P312" s="532"/>
      <c r="Q312" s="530"/>
      <c r="R312" s="532"/>
      <c r="S312" s="530"/>
      <c r="T312" s="532"/>
      <c r="U312" s="532"/>
      <c r="V312" s="534"/>
      <c r="X312" s="4"/>
    </row>
    <row r="313" spans="1:24" s="82" customFormat="1" ht="18" customHeight="1" thickBot="1">
      <c r="A313" s="890">
        <f>+A300+1</f>
        <v>24</v>
      </c>
      <c r="B313" s="891" t="str">
        <f>'Data Entry'!$B$3&amp;"-"&amp;C313</f>
        <v>-</v>
      </c>
      <c r="C313" s="891" t="str">
        <f>IFERROR(VLOOKUP('Data Entry'!$B$3&amp;"-"&amp;A313,'PY1 TFR ADA'!$D:$AT,2,FALSE),"")</f>
        <v/>
      </c>
      <c r="D313" s="892" t="str">
        <f>IFERROR(VLOOKUP('Data Entry'!$B$3&amp;"-"&amp;A313,'PY1 TFR ADA'!$D:$AT,4,FALSE),"")</f>
        <v/>
      </c>
      <c r="E313" s="893"/>
      <c r="F313" s="893"/>
      <c r="G313" s="893"/>
      <c r="H313" s="893"/>
      <c r="I313" s="893"/>
      <c r="J313" s="893"/>
      <c r="K313" s="893"/>
      <c r="L313" s="893"/>
      <c r="M313" s="893"/>
      <c r="N313" s="893"/>
      <c r="O313" s="893"/>
      <c r="P313" s="893"/>
      <c r="Q313" s="893"/>
      <c r="R313" s="893"/>
      <c r="S313" s="893"/>
      <c r="T313" s="893"/>
      <c r="U313" s="893"/>
      <c r="V313" s="894"/>
      <c r="X313" s="83"/>
    </row>
    <row r="314" spans="1:24" ht="75" customHeight="1">
      <c r="A314" s="521"/>
      <c r="C314" s="540" t="s">
        <v>1315</v>
      </c>
      <c r="D314" s="512"/>
      <c r="E314" s="540" t="s">
        <v>1316</v>
      </c>
      <c r="F314" s="512"/>
      <c r="G314" s="540" t="s">
        <v>1309</v>
      </c>
      <c r="H314" s="512"/>
      <c r="I314" s="540" t="s">
        <v>1310</v>
      </c>
      <c r="J314" s="512"/>
      <c r="K314" s="540" t="s">
        <v>1311</v>
      </c>
      <c r="L314" s="512"/>
      <c r="M314" s="540" t="s">
        <v>1312</v>
      </c>
      <c r="N314" s="512"/>
      <c r="O314" s="540" t="s">
        <v>1313</v>
      </c>
      <c r="P314" s="512"/>
      <c r="Q314" s="540" t="s">
        <v>1314</v>
      </c>
      <c r="R314" s="167"/>
      <c r="S314" s="540" t="s">
        <v>1308</v>
      </c>
      <c r="T314" s="167"/>
      <c r="U314" s="512" t="s">
        <v>1307</v>
      </c>
      <c r="V314" s="524"/>
      <c r="X314" s="283"/>
    </row>
    <row r="315" spans="1:24" s="8" customFormat="1" ht="14.4">
      <c r="A315" s="521"/>
      <c r="B315" s="510" t="s">
        <v>94</v>
      </c>
      <c r="C315" s="525">
        <f>IFERROR(VLOOKUP($B313,'PY1 TFR ADA'!$F:$AU,MATCH("A-1.1",'PY1 TFR ADA'!$F$5:$AU$5,0),FALSE),0)</f>
        <v>0</v>
      </c>
      <c r="D315" s="167"/>
      <c r="E315" s="525">
        <f>IFERROR(VALUE(VLOOKUP($B313,'PY1 TFR ADA'!$F:$AU,MATCH("A-2.1",'PY1 TFR ADA'!$F$5:$AU$5,0),FALSE)),0)</f>
        <v>0</v>
      </c>
      <c r="F315" s="167"/>
      <c r="G315" s="609">
        <f>IFERROR(VLOOKUP($B313,'PY1 TFR ADA'!$F:$AU,MATCH("b-1.1",'PY1 TFR ADA'!$F$5:$AU$5,0),FALSE),0)</f>
        <v>0</v>
      </c>
      <c r="H315" s="527"/>
      <c r="I315" s="609">
        <f>IFERROR(VLOOKUP($B313,'PY1 TFR ADA'!$F:$AU,MATCH("b-2.1",'PY1 TFR ADA'!$F$5:$AU$5,0),FALSE),0)</f>
        <v>0</v>
      </c>
      <c r="J315" s="527"/>
      <c r="K315" s="609">
        <f>IFERROR(VLOOKUP($B313,'PY1 TFR ADA'!$F:$AU,MATCH("b-3.1",'PY1 TFR ADA'!$F$5:$AU$5,0),FALSE),0)</f>
        <v>0</v>
      </c>
      <c r="L315" s="527"/>
      <c r="M315" s="609">
        <f>IFERROR(VLOOKUP($B313,'PY1 TFR ADA'!$F:$AU,MATCH("b-4.1",'PY1 TFR ADA'!$F$5:$AU$5,0),FALSE),0)</f>
        <v>0</v>
      </c>
      <c r="N315" s="527"/>
      <c r="O315" s="609">
        <f>IFERROR(VLOOKUP($B313,'PY1 TFR ADA'!$F:$AU,MATCH("b-5.1",'PY1 TFR ADA'!$F$5:$AU$5,0),FALSE),0)</f>
        <v>0</v>
      </c>
      <c r="P315" s="527"/>
      <c r="Q315" s="609">
        <f>IFERROR(VLOOKUP($B313,'PY1 TFR ADA'!$F:$AU,MATCH("b-6.1",'PY1 TFR ADA'!$F$5:$AU$5,0),FALSE),0)</f>
        <v>0</v>
      </c>
      <c r="R315" s="551"/>
      <c r="S315" s="601">
        <f t="shared" ref="S315:S318" si="438">SUM(G315:Q315)</f>
        <v>0</v>
      </c>
      <c r="T315" s="551"/>
      <c r="U315" s="536">
        <f t="shared" ref="U315" si="439">ROUND(IF($G322="LCFF Rate",(G315*$C315),(G315*$E315))+IF($I322="LCFF Rate",(I315*$C315),(I315*$E315))+IF($K322="LCFF Rate",(K315*$C315),(K315*$E315))+IF($M322="LCFF Rate",(M315*$C315),(M315*$E315))+IF($O322="LCFF Rate",(O315*$C315),(O315*$E315))+IF($Q322="LCFF Rate",(Q315*$C315),(Q315*$E315)),0)</f>
        <v>0</v>
      </c>
      <c r="V315" s="524"/>
      <c r="X315" s="496"/>
    </row>
    <row r="316" spans="1:24" s="8" customFormat="1" ht="14.4">
      <c r="A316" s="521"/>
      <c r="B316" s="510" t="s">
        <v>2</v>
      </c>
      <c r="C316" s="525">
        <f>IFERROR(VLOOKUP($B313,'PY1 TFR ADA'!$F:$AU,MATCH("A-1.2",'PY1 TFR ADA'!$F$5:$AU$5,0),FALSE),0)</f>
        <v>0</v>
      </c>
      <c r="D316" s="167"/>
      <c r="E316" s="525">
        <f>IFERROR(VALUE(VLOOKUP($B313,'PY1 TFR ADA'!$F:$AU,MATCH("A-2.2",'PY1 TFR ADA'!$F$5:$AU$5,0),FALSE)),0)</f>
        <v>0</v>
      </c>
      <c r="F316" s="167"/>
      <c r="G316" s="609">
        <f>IFERROR(VLOOKUP($B313,'PY1 TFR ADA'!$F:$AU,MATCH("b-1.2",'PY1 TFR ADA'!$F$5:$AU$5,0),FALSE),0)</f>
        <v>0</v>
      </c>
      <c r="H316" s="527"/>
      <c r="I316" s="609">
        <f>IFERROR(VLOOKUP($B313,'PY1 TFR ADA'!$F:$AU,MATCH("b-2.2",'PY1 TFR ADA'!$F$5:$AU$5,0),FALSE),0)</f>
        <v>0</v>
      </c>
      <c r="J316" s="527"/>
      <c r="K316" s="609">
        <f>IFERROR(VLOOKUP($B313,'PY1 TFR ADA'!$F:$AU,MATCH("b-3.2",'PY1 TFR ADA'!$F$5:$AU$5,0),FALSE),0)</f>
        <v>0</v>
      </c>
      <c r="L316" s="527"/>
      <c r="M316" s="609">
        <f>IFERROR(VLOOKUP($B313,'PY1 TFR ADA'!$F:$AU,MATCH("b-4.2",'PY1 TFR ADA'!$F$5:$AU$5,0),FALSE),0)</f>
        <v>0</v>
      </c>
      <c r="N316" s="527"/>
      <c r="O316" s="609">
        <f>IFERROR(VLOOKUP($B313,'PY1 TFR ADA'!$F:$AU,MATCH("b-5.2",'PY1 TFR ADA'!$F$5:$AU$5,0),FALSE),0)</f>
        <v>0</v>
      </c>
      <c r="P316" s="527"/>
      <c r="Q316" s="609">
        <f>IFERROR(VLOOKUP($B313,'PY1 TFR ADA'!$F:$AU,MATCH("b-6.2",'PY1 TFR ADA'!$F$5:$AU$5,0),FALSE),0)</f>
        <v>0</v>
      </c>
      <c r="R316" s="551"/>
      <c r="S316" s="601">
        <f t="shared" si="438"/>
        <v>0</v>
      </c>
      <c r="T316" s="551"/>
      <c r="U316" s="536">
        <f t="shared" ref="U316" si="440">ROUND(IF($G322="LCFF Rate",(G316*$C316),(G316*$E316))+IF($I322="LCFF Rate",(I316*$C316),(I316*$E316))+IF($K322="LCFF Rate",(K316*$C316),(K316*$E316))+IF($M322="LCFF Rate",(M316*$C316),(M316*$E316))+IF($O322="LCFF Rate",(O316*$C316),(O316*$E316))+IF($Q322="LCFF Rate",(Q316*$C316),(Q316*$E316)),0)</f>
        <v>0</v>
      </c>
      <c r="V316" s="524"/>
      <c r="X316" s="4"/>
    </row>
    <row r="317" spans="1:24" s="8" customFormat="1" ht="14.4">
      <c r="A317" s="521"/>
      <c r="B317" s="510" t="s">
        <v>3</v>
      </c>
      <c r="C317" s="525">
        <f>IFERROR(VLOOKUP($B313,'PY1 TFR ADA'!$F:$AU,MATCH("A-1.3",'PY1 TFR ADA'!$F$5:$AU$5,0),FALSE),0)</f>
        <v>0</v>
      </c>
      <c r="D317" s="167"/>
      <c r="E317" s="525">
        <f>IFERROR(VALUE(VLOOKUP($B313,'PY1 TFR ADA'!$F:$AU,MATCH("A-2.3",'PY1 TFR ADA'!$F$5:$AU$5,0),FALSE)),0)</f>
        <v>0</v>
      </c>
      <c r="F317" s="167"/>
      <c r="G317" s="609">
        <f>IFERROR(VLOOKUP($B313,'PY1 TFR ADA'!$F:$AU,MATCH("b-1.3",'PY1 TFR ADA'!$F$5:$AU$5,0),FALSE),0)</f>
        <v>0</v>
      </c>
      <c r="H317" s="527"/>
      <c r="I317" s="609">
        <f>IFERROR(VLOOKUP($B313,'PY1 TFR ADA'!$F:$AU,MATCH("b-2.3",'PY1 TFR ADA'!$F$5:$AU$5,0),FALSE),0)</f>
        <v>0</v>
      </c>
      <c r="J317" s="527"/>
      <c r="K317" s="609">
        <f>IFERROR(VLOOKUP($B313,'PY1 TFR ADA'!$F:$AU,MATCH("b-3.3",'PY1 TFR ADA'!$F$5:$AU$5,0),FALSE),0)</f>
        <v>0</v>
      </c>
      <c r="L317" s="527"/>
      <c r="M317" s="609">
        <f>IFERROR(VLOOKUP($B313,'PY1 TFR ADA'!$F:$AU,MATCH("b-4.3",'PY1 TFR ADA'!$F$5:$AU$5,0),FALSE),0)</f>
        <v>0</v>
      </c>
      <c r="N317" s="527"/>
      <c r="O317" s="609">
        <f>IFERROR(VLOOKUP($B313,'PY1 TFR ADA'!$F:$AU,MATCH("b-5.3",'PY1 TFR ADA'!$F$5:$AU$5,0),FALSE),0)</f>
        <v>0</v>
      </c>
      <c r="P317" s="527"/>
      <c r="Q317" s="609">
        <f>IFERROR(VLOOKUP($B313,'PY1 TFR ADA'!$F:$AU,MATCH("b-6.3",'PY1 TFR ADA'!$F$5:$AU$5,0),FALSE),0)</f>
        <v>0</v>
      </c>
      <c r="R317" s="551"/>
      <c r="S317" s="601">
        <f t="shared" si="438"/>
        <v>0</v>
      </c>
      <c r="T317" s="551"/>
      <c r="U317" s="536">
        <f t="shared" ref="U317" si="441">ROUND(IF($G322="LCFF Rate",(G317*$C317),(G317*$E317))+IF($I322="LCFF Rate",(I317*$C317),(I317*$E317))+IF($K322="LCFF Rate",(K317*$C317),(K317*$E317))+IF($M322="LCFF Rate",(M317*$C317),(M317*$E317))+IF($O322="LCFF Rate",(O317*$C317),(O317*$E317))+IF($Q322="LCFF Rate",(Q317*$C317),(Q317*$E317)),0)</f>
        <v>0</v>
      </c>
      <c r="V317" s="524"/>
      <c r="X317" s="4"/>
    </row>
    <row r="318" spans="1:24" s="8" customFormat="1" ht="14.4">
      <c r="A318" s="526"/>
      <c r="B318" s="510" t="s">
        <v>4</v>
      </c>
      <c r="C318" s="525">
        <f>IFERROR(VLOOKUP($B313,'PY1 TFR ADA'!$F:$AU,MATCH("A-1.4",'PY1 TFR ADA'!$F$5:$AU$5,0),FALSE),0)</f>
        <v>0</v>
      </c>
      <c r="D318" s="523"/>
      <c r="E318" s="525">
        <f>IFERROR(VALUE(VLOOKUP($B313,'PY1 TFR ADA'!$F:$AU,MATCH("A-2.4",'PY1 TFR ADA'!$F$5:$AU$5,0),FALSE)),0)</f>
        <v>0</v>
      </c>
      <c r="F318" s="523"/>
      <c r="G318" s="609">
        <f>IFERROR(VLOOKUP($B313,'PY1 TFR ADA'!$F:$AU,MATCH("b-1.4",'PY1 TFR ADA'!$F$5:$AU$5,0),FALSE),0)</f>
        <v>0</v>
      </c>
      <c r="H318" s="527"/>
      <c r="I318" s="609">
        <f>IFERROR(VLOOKUP($B313,'PY1 TFR ADA'!$F:$AU,MATCH("b-2.4",'PY1 TFR ADA'!$F$5:$AU$5,0),FALSE),0)</f>
        <v>0</v>
      </c>
      <c r="J318" s="527"/>
      <c r="K318" s="609">
        <f>IFERROR(VLOOKUP($B313,'PY1 TFR ADA'!$F:$AU,MATCH("b-3.4",'PY1 TFR ADA'!$F$5:$AU$5,0),FALSE),0)</f>
        <v>0</v>
      </c>
      <c r="L318" s="527"/>
      <c r="M318" s="609">
        <f>IFERROR(VLOOKUP($B313,'PY1 TFR ADA'!$F:$AU,MATCH("b-4.4",'PY1 TFR ADA'!$F$5:$AU$5,0),FALSE),0)</f>
        <v>0</v>
      </c>
      <c r="N318" s="527"/>
      <c r="O318" s="609">
        <f>IFERROR(VLOOKUP($B313,'PY1 TFR ADA'!$F:$AU,MATCH("b-5.4",'PY1 TFR ADA'!$F$5:$AU$5,0),FALSE),0)</f>
        <v>0</v>
      </c>
      <c r="P318" s="527"/>
      <c r="Q318" s="609">
        <f>IFERROR(VLOOKUP($B313,'PY1 TFR ADA'!$F:$AU,MATCH("b-6.4",'PY1 TFR ADA'!$F$5:$AU$5,0),FALSE),0)</f>
        <v>0</v>
      </c>
      <c r="R318" s="551"/>
      <c r="S318" s="601">
        <f t="shared" si="438"/>
        <v>0</v>
      </c>
      <c r="T318" s="551"/>
      <c r="U318" s="536">
        <f t="shared" ref="U318" si="442">ROUND(IF($G322="LCFF Rate",(G318*$C318),(G318*$E318))+IF($I322="LCFF Rate",(I318*$C318),(I318*$E318))+IF($K322="LCFF Rate",(K318*$C318),(K318*$E318))+IF($M322="LCFF Rate",(M318*$C318),(M318*$E318))+IF($O322="LCFF Rate",(O318*$C318),(O318*$E318))+IF($Q322="LCFF Rate",(Q318*$C318),(Q318*$E318)),0)</f>
        <v>0</v>
      </c>
      <c r="V318" s="522"/>
      <c r="X318" s="496"/>
    </row>
    <row r="319" spans="1:24" s="8" customFormat="1" ht="8.25" customHeight="1">
      <c r="A319" s="521"/>
      <c r="B319" s="167"/>
      <c r="C319" s="165"/>
      <c r="D319" s="523"/>
      <c r="E319" s="165"/>
      <c r="F319" s="523"/>
      <c r="G319" s="520"/>
      <c r="H319" s="523"/>
      <c r="I319" s="520"/>
      <c r="J319" s="523"/>
      <c r="K319" s="520"/>
      <c r="L319" s="523"/>
      <c r="M319" s="520"/>
      <c r="N319" s="523"/>
      <c r="O319" s="520"/>
      <c r="P319" s="523"/>
      <c r="Q319" s="520"/>
      <c r="R319" s="167"/>
      <c r="S319" s="520"/>
      <c r="T319" s="167"/>
      <c r="U319" s="602"/>
      <c r="V319" s="522"/>
      <c r="X319" s="4"/>
    </row>
    <row r="320" spans="1:24" s="8" customFormat="1" ht="14.4">
      <c r="A320" s="521"/>
      <c r="B320" s="167"/>
      <c r="C320" s="165"/>
      <c r="D320" s="523"/>
      <c r="E320" s="513" t="s">
        <v>1317</v>
      </c>
      <c r="F320" s="523"/>
      <c r="G320" s="601">
        <f t="shared" ref="G320" si="443">SUM(G315:G318)</f>
        <v>0</v>
      </c>
      <c r="H320" s="527"/>
      <c r="I320" s="601">
        <f t="shared" ref="I320" si="444">SUM(I315:I318)</f>
        <v>0</v>
      </c>
      <c r="J320" s="527"/>
      <c r="K320" s="601">
        <f t="shared" ref="K320" si="445">SUM(K315:K318)</f>
        <v>0</v>
      </c>
      <c r="L320" s="527"/>
      <c r="M320" s="601">
        <f t="shared" ref="M320" si="446">SUM(M315:M318)</f>
        <v>0</v>
      </c>
      <c r="N320" s="527"/>
      <c r="O320" s="601">
        <f t="shared" ref="O320" si="447">SUM(O315:O318)</f>
        <v>0</v>
      </c>
      <c r="P320" s="527"/>
      <c r="Q320" s="601">
        <f t="shared" ref="Q320" si="448">SUM(Q315:Q318)</f>
        <v>0</v>
      </c>
      <c r="R320" s="527"/>
      <c r="S320" s="601">
        <f t="shared" ref="S320" si="449">SUM(S315:S318)</f>
        <v>0</v>
      </c>
      <c r="T320" s="527"/>
      <c r="U320" s="536">
        <f t="shared" ref="U320" si="450">SUM(U315:U318)</f>
        <v>0</v>
      </c>
      <c r="V320" s="522"/>
      <c r="X320" s="4"/>
    </row>
    <row r="321" spans="1:24" s="8" customFormat="1" ht="8.25" customHeight="1">
      <c r="A321" s="521"/>
      <c r="B321" s="167"/>
      <c r="C321" s="165"/>
      <c r="D321" s="523"/>
      <c r="E321" s="165"/>
      <c r="F321" s="523"/>
      <c r="G321" s="520"/>
      <c r="H321" s="523"/>
      <c r="I321" s="520"/>
      <c r="J321" s="523"/>
      <c r="K321" s="520"/>
      <c r="L321" s="523"/>
      <c r="M321" s="520"/>
      <c r="N321" s="523"/>
      <c r="O321" s="520"/>
      <c r="P321" s="523"/>
      <c r="Q321" s="520"/>
      <c r="R321" s="167"/>
      <c r="S321" s="520"/>
      <c r="T321" s="167"/>
      <c r="U321" s="528"/>
      <c r="V321" s="522"/>
      <c r="X321" s="4"/>
    </row>
    <row r="322" spans="1:24" s="8" customFormat="1" ht="16.5" customHeight="1">
      <c r="A322" s="521"/>
      <c r="B322" s="167"/>
      <c r="C322" s="165"/>
      <c r="E322" s="513" t="s">
        <v>1304</v>
      </c>
      <c r="F322" s="523"/>
      <c r="G322" s="977">
        <f>_xlfn.IFNA(IF(VLOOKUP($B313,'PY1 TFR ADA'!$F:$AU,MATCH("B-1.5",'PY1 TFR ADA'!$F$5:$AU$5,0),FALSE)=TRUE,IF(VLOOKUP($B313,'PY1 TFR ADA'!$F:$AU,MATCH("C-1",'PY1 TFR ADA'!$F$5:$AU$5,0),FALSE)=TRUE,"Alternative Rate","LCFF Rate"),"LCFF Rate"),0)</f>
        <v>0</v>
      </c>
      <c r="H322" s="523"/>
      <c r="I322" s="977">
        <f>_xlfn.IFNA(IF(VLOOKUP($B313,'PY1 TFR ADA'!$F:$AU,MATCH("B-2.5",'PY1 TFR ADA'!$F$5:$AU$5,0),FALSE)=TRUE,IF(VLOOKUP($B313,'PY1 TFR ADA'!$F:$AU,MATCH("C-1",'PY1 TFR ADA'!$F$5:$AU$5,0),FALSE)=TRUE,"Alternative Rate","LCFF Rate"),"LCFF Rate"),0)</f>
        <v>0</v>
      </c>
      <c r="J322" s="523"/>
      <c r="K322" s="977">
        <f>_xlfn.IFNA(IF(VLOOKUP($B313,'PY1 TFR ADA'!$F:$AU,MATCH("B-3.5",'PY1 TFR ADA'!$F$5:$AU$5,0),FALSE)=TRUE,IF(VLOOKUP($B313,'PY1 TFR ADA'!$F:$AU,MATCH("C-1",'PY1 TFR ADA'!$F$5:$AU$5,0),FALSE)=TRUE,"Alternative Rate","LCFF Rate"),"LCFF Rate"),0)</f>
        <v>0</v>
      </c>
      <c r="L322" s="523"/>
      <c r="M322" s="977">
        <f>_xlfn.IFNA(IF(VLOOKUP($B313,'PY1 TFR ADA'!$F:$AU,MATCH("B-4.5",'PY1 TFR ADA'!$F$5:$AU$5,0),FALSE)=TRUE,IF(VLOOKUP($B313,'PY1 TFR ADA'!$F:$AU,MATCH("C-1",'PY1 TFR ADA'!$F$5:$AU$5,0),FALSE)=TRUE,"Alternative Rate","LCFF Rate"),"LCFF Rate"),0)</f>
        <v>0</v>
      </c>
      <c r="N322" s="523"/>
      <c r="O322" s="977">
        <f>_xlfn.IFNA(IF(VLOOKUP($B313,'PY1 TFR ADA'!$F:$AU,MATCH("B-5.5",'PY1 TFR ADA'!$F$5:$AU$5,0),FALSE)=TRUE,IF(VLOOKUP($B313,'PY1 TFR ADA'!$F:$AU,MATCH("C-1",'PY1 TFR ADA'!$F$5:$AU$5,0),FALSE)=TRUE,"Alternative Rate","LCFF Rate"),"LCFF Rate"),0)</f>
        <v>0</v>
      </c>
      <c r="P322" s="523"/>
      <c r="Q322" s="977">
        <f>_xlfn.IFNA(IF(VLOOKUP($B313,'PY1 TFR ADA'!$F:$AU,MATCH("B-6.5",'PY1 TFR ADA'!$F$5:$AU$5,0),FALSE)=TRUE,IF(VLOOKUP($B313,'PY1 TFR ADA'!$F:$AU,MATCH("C-1",'PY1 TFR ADA'!$F$5:$AU$5,0),FALSE)=TRUE,"Alternative Rate","LCFF Rate"),"LCFF Rate"),0)</f>
        <v>0</v>
      </c>
      <c r="R322" s="167"/>
      <c r="S322" s="520"/>
      <c r="T322" s="167"/>
      <c r="U322" s="528"/>
      <c r="V322" s="522"/>
      <c r="X322" s="283"/>
    </row>
    <row r="323" spans="1:24" s="8" customFormat="1" ht="8.25" customHeight="1">
      <c r="A323" s="521"/>
      <c r="B323" s="167"/>
      <c r="C323" s="165"/>
      <c r="D323" s="523"/>
      <c r="E323" s="165"/>
      <c r="F323" s="523"/>
      <c r="G323" s="520"/>
      <c r="H323" s="523"/>
      <c r="I323" s="520"/>
      <c r="J323" s="523"/>
      <c r="K323" s="520"/>
      <c r="L323" s="523"/>
      <c r="M323" s="520"/>
      <c r="N323" s="523"/>
      <c r="O323" s="520"/>
      <c r="P323" s="523"/>
      <c r="Q323" s="520"/>
      <c r="R323" s="167"/>
      <c r="S323" s="520"/>
      <c r="T323" s="167"/>
      <c r="U323" s="528"/>
      <c r="V323" s="522"/>
      <c r="X323" s="4"/>
    </row>
    <row r="324" spans="1:24" s="8" customFormat="1" ht="16.8">
      <c r="A324" s="521"/>
      <c r="B324" s="2"/>
      <c r="F324" s="523"/>
      <c r="G324" s="535">
        <f t="shared" ref="G324" si="451">IF(G322="LCFF Rate",(G315*C315+G316*C316+G317*C317+G318*C318),(G320*E318))</f>
        <v>0</v>
      </c>
      <c r="H324" s="537"/>
      <c r="I324" s="535">
        <f t="shared" ref="I324" si="452">IF(I322="LCFF Rate",(I315*C315+I316*C316+I317*C317+I318*C318),(I320*E318))</f>
        <v>0</v>
      </c>
      <c r="J324" s="537"/>
      <c r="K324" s="535">
        <f t="shared" ref="K324" si="453">IF(K322="LCFF Rate",(K315*C315+K316*C316+K317*C317+K318*C318),(K320*E318))</f>
        <v>0</v>
      </c>
      <c r="L324" s="537"/>
      <c r="M324" s="535">
        <f t="shared" ref="M324" si="454">IF(M322="LCFF Rate",(M315*C315+M316*C316+M317*C317+M318*C318),(M320*E318))</f>
        <v>0</v>
      </c>
      <c r="N324" s="537"/>
      <c r="O324" s="535">
        <f t="shared" ref="O324" si="455">IF(O322="LCFF Rate",(O315*C315+O316*C316+O317*C317+O318*C318),(O320*E318))</f>
        <v>0</v>
      </c>
      <c r="P324" s="537"/>
      <c r="Q324" s="535">
        <f t="shared" ref="Q324" si="456">IF(Q322="LCFF Rate",(Q315*C315+Q316*C316+Q317*C317+Q318*C318),(Q320*E318))</f>
        <v>0</v>
      </c>
      <c r="R324" s="167"/>
      <c r="S324" s="538">
        <f t="shared" ref="S324" si="457">SUM(G324:Q324)</f>
        <v>0</v>
      </c>
      <c r="T324" s="167"/>
      <c r="U324" s="528"/>
      <c r="V324" s="522"/>
      <c r="X324" s="979"/>
    </row>
    <row r="325" spans="1:24" s="8" customFormat="1" ht="9" customHeight="1" thickBot="1">
      <c r="A325" s="529"/>
      <c r="B325" s="530"/>
      <c r="C325" s="531"/>
      <c r="D325" s="532"/>
      <c r="E325" s="533"/>
      <c r="F325" s="532"/>
      <c r="G325" s="530"/>
      <c r="H325" s="532"/>
      <c r="I325" s="530"/>
      <c r="J325" s="532"/>
      <c r="K325" s="530"/>
      <c r="L325" s="532"/>
      <c r="M325" s="530"/>
      <c r="N325" s="532"/>
      <c r="O325" s="530"/>
      <c r="P325" s="532"/>
      <c r="Q325" s="530"/>
      <c r="R325" s="532"/>
      <c r="S325" s="530"/>
      <c r="T325" s="532"/>
      <c r="U325" s="532"/>
      <c r="V325" s="534"/>
      <c r="X325" s="4"/>
    </row>
    <row r="326" spans="1:24" s="82" customFormat="1" ht="18" customHeight="1" thickBot="1">
      <c r="A326" s="890">
        <f>+A313+1</f>
        <v>25</v>
      </c>
      <c r="B326" s="891" t="str">
        <f>'Data Entry'!$B$3&amp;"-"&amp;C326</f>
        <v>-</v>
      </c>
      <c r="C326" s="891" t="str">
        <f>IFERROR(VLOOKUP('Data Entry'!$B$3&amp;"-"&amp;A326,'PY1 TFR ADA'!$D:$AT,2,FALSE),"")</f>
        <v/>
      </c>
      <c r="D326" s="892" t="str">
        <f>IFERROR(VLOOKUP('Data Entry'!$B$3&amp;"-"&amp;A326,'PY1 TFR ADA'!$D:$AT,4,FALSE),"")</f>
        <v/>
      </c>
      <c r="E326" s="893"/>
      <c r="F326" s="893"/>
      <c r="G326" s="893"/>
      <c r="H326" s="893"/>
      <c r="I326" s="893"/>
      <c r="J326" s="893"/>
      <c r="K326" s="893"/>
      <c r="L326" s="893"/>
      <c r="M326" s="893"/>
      <c r="N326" s="893"/>
      <c r="O326" s="893"/>
      <c r="P326" s="893"/>
      <c r="Q326" s="893"/>
      <c r="R326" s="893"/>
      <c r="S326" s="893"/>
      <c r="T326" s="893"/>
      <c r="U326" s="893"/>
      <c r="V326" s="894"/>
      <c r="X326" s="83"/>
    </row>
    <row r="327" spans="1:24" ht="75" customHeight="1">
      <c r="A327" s="521"/>
      <c r="C327" s="540" t="s">
        <v>1315</v>
      </c>
      <c r="D327" s="512"/>
      <c r="E327" s="540" t="s">
        <v>1316</v>
      </c>
      <c r="F327" s="512"/>
      <c r="G327" s="540" t="s">
        <v>1309</v>
      </c>
      <c r="H327" s="512"/>
      <c r="I327" s="540" t="s">
        <v>1310</v>
      </c>
      <c r="J327" s="512"/>
      <c r="K327" s="540" t="s">
        <v>1311</v>
      </c>
      <c r="L327" s="512"/>
      <c r="M327" s="540" t="s">
        <v>1312</v>
      </c>
      <c r="N327" s="512"/>
      <c r="O327" s="540" t="s">
        <v>1313</v>
      </c>
      <c r="P327" s="512"/>
      <c r="Q327" s="540" t="s">
        <v>1314</v>
      </c>
      <c r="R327" s="167"/>
      <c r="S327" s="540" t="s">
        <v>1308</v>
      </c>
      <c r="T327" s="167"/>
      <c r="U327" s="512" t="s">
        <v>1307</v>
      </c>
      <c r="V327" s="524"/>
      <c r="X327" s="283"/>
    </row>
    <row r="328" spans="1:24" s="8" customFormat="1" ht="14.4">
      <c r="A328" s="521"/>
      <c r="B328" s="510" t="s">
        <v>94</v>
      </c>
      <c r="C328" s="525">
        <f>IFERROR(VLOOKUP($B326,'PY1 TFR ADA'!$F:$AU,MATCH("A-1.1",'PY1 TFR ADA'!$F$5:$AU$5,0),FALSE),0)</f>
        <v>0</v>
      </c>
      <c r="D328" s="167"/>
      <c r="E328" s="525">
        <f>IFERROR(VALUE(VLOOKUP($B326,'PY1 TFR ADA'!$F:$AU,MATCH("A-2.1",'PY1 TFR ADA'!$F$5:$AU$5,0),FALSE)),0)</f>
        <v>0</v>
      </c>
      <c r="F328" s="167"/>
      <c r="G328" s="609">
        <f>IFERROR(VLOOKUP($B326,'PY1 TFR ADA'!$F:$AU,MATCH("b-1.1",'PY1 TFR ADA'!$F$5:$AU$5,0),FALSE),0)</f>
        <v>0</v>
      </c>
      <c r="H328" s="527"/>
      <c r="I328" s="609">
        <f>IFERROR(VLOOKUP($B326,'PY1 TFR ADA'!$F:$AU,MATCH("b-2.1",'PY1 TFR ADA'!$F$5:$AU$5,0),FALSE),0)</f>
        <v>0</v>
      </c>
      <c r="J328" s="527"/>
      <c r="K328" s="609">
        <f>IFERROR(VLOOKUP($B326,'PY1 TFR ADA'!$F:$AU,MATCH("b-3.1",'PY1 TFR ADA'!$F$5:$AU$5,0),FALSE),0)</f>
        <v>0</v>
      </c>
      <c r="L328" s="527"/>
      <c r="M328" s="609">
        <f>IFERROR(VLOOKUP($B326,'PY1 TFR ADA'!$F:$AU,MATCH("b-4.1",'PY1 TFR ADA'!$F$5:$AU$5,0),FALSE),0)</f>
        <v>0</v>
      </c>
      <c r="N328" s="527"/>
      <c r="O328" s="609">
        <f>IFERROR(VLOOKUP($B326,'PY1 TFR ADA'!$F:$AU,MATCH("b-5.1",'PY1 TFR ADA'!$F$5:$AU$5,0),FALSE),0)</f>
        <v>0</v>
      </c>
      <c r="P328" s="527"/>
      <c r="Q328" s="609">
        <f>IFERROR(VLOOKUP($B326,'PY1 TFR ADA'!$F:$AU,MATCH("b-6.1",'PY1 TFR ADA'!$F$5:$AU$5,0),FALSE),0)</f>
        <v>0</v>
      </c>
      <c r="R328" s="551"/>
      <c r="S328" s="601">
        <f t="shared" ref="S328:S331" si="458">SUM(G328:Q328)</f>
        <v>0</v>
      </c>
      <c r="T328" s="551"/>
      <c r="U328" s="536">
        <f t="shared" ref="U328" si="459">ROUND(IF($G335="LCFF Rate",(G328*$C328),(G328*$E328))+IF($I335="LCFF Rate",(I328*$C328),(I328*$E328))+IF($K335="LCFF Rate",(K328*$C328),(K328*$E328))+IF($M335="LCFF Rate",(M328*$C328),(M328*$E328))+IF($O335="LCFF Rate",(O328*$C328),(O328*$E328))+IF($Q335="LCFF Rate",(Q328*$C328),(Q328*$E328)),0)</f>
        <v>0</v>
      </c>
      <c r="V328" s="524"/>
      <c r="X328" s="496"/>
    </row>
    <row r="329" spans="1:24" s="8" customFormat="1" ht="14.4">
      <c r="A329" s="521"/>
      <c r="B329" s="510" t="s">
        <v>2</v>
      </c>
      <c r="C329" s="525">
        <f>IFERROR(VLOOKUP($B326,'PY1 TFR ADA'!$F:$AU,MATCH("A-1.2",'PY1 TFR ADA'!$F$5:$AU$5,0),FALSE),0)</f>
        <v>0</v>
      </c>
      <c r="D329" s="167"/>
      <c r="E329" s="525">
        <f>IFERROR(VALUE(VLOOKUP($B326,'PY1 TFR ADA'!$F:$AU,MATCH("A-2.2",'PY1 TFR ADA'!$F$5:$AU$5,0),FALSE)),0)</f>
        <v>0</v>
      </c>
      <c r="F329" s="167"/>
      <c r="G329" s="609">
        <f>IFERROR(VLOOKUP($B326,'PY1 TFR ADA'!$F:$AU,MATCH("b-1.2",'PY1 TFR ADA'!$F$5:$AU$5,0),FALSE),0)</f>
        <v>0</v>
      </c>
      <c r="H329" s="527"/>
      <c r="I329" s="609">
        <f>IFERROR(VLOOKUP($B326,'PY1 TFR ADA'!$F:$AU,MATCH("b-2.2",'PY1 TFR ADA'!$F$5:$AU$5,0),FALSE),0)</f>
        <v>0</v>
      </c>
      <c r="J329" s="527"/>
      <c r="K329" s="609">
        <f>IFERROR(VLOOKUP($B326,'PY1 TFR ADA'!$F:$AU,MATCH("b-3.2",'PY1 TFR ADA'!$F$5:$AU$5,0),FALSE),0)</f>
        <v>0</v>
      </c>
      <c r="L329" s="527"/>
      <c r="M329" s="609">
        <f>IFERROR(VLOOKUP($B326,'PY1 TFR ADA'!$F:$AU,MATCH("b-4.2",'PY1 TFR ADA'!$F$5:$AU$5,0),FALSE),0)</f>
        <v>0</v>
      </c>
      <c r="N329" s="527"/>
      <c r="O329" s="609">
        <f>IFERROR(VLOOKUP($B326,'PY1 TFR ADA'!$F:$AU,MATCH("b-5.2",'PY1 TFR ADA'!$F$5:$AU$5,0),FALSE),0)</f>
        <v>0</v>
      </c>
      <c r="P329" s="527"/>
      <c r="Q329" s="609">
        <f>IFERROR(VLOOKUP($B326,'PY1 TFR ADA'!$F:$AU,MATCH("b-6.2",'PY1 TFR ADA'!$F$5:$AU$5,0),FALSE),0)</f>
        <v>0</v>
      </c>
      <c r="R329" s="551"/>
      <c r="S329" s="601">
        <f t="shared" si="458"/>
        <v>0</v>
      </c>
      <c r="T329" s="551"/>
      <c r="U329" s="536">
        <f t="shared" ref="U329" si="460">ROUND(IF($G335="LCFF Rate",(G329*$C329),(G329*$E329))+IF($I335="LCFF Rate",(I329*$C329),(I329*$E329))+IF($K335="LCFF Rate",(K329*$C329),(K329*$E329))+IF($M335="LCFF Rate",(M329*$C329),(M329*$E329))+IF($O335="LCFF Rate",(O329*$C329),(O329*$E329))+IF($Q335="LCFF Rate",(Q329*$C329),(Q329*$E329)),0)</f>
        <v>0</v>
      </c>
      <c r="V329" s="524"/>
      <c r="X329" s="4"/>
    </row>
    <row r="330" spans="1:24" s="8" customFormat="1" ht="14.4">
      <c r="A330" s="521"/>
      <c r="B330" s="510" t="s">
        <v>3</v>
      </c>
      <c r="C330" s="525">
        <f>IFERROR(VLOOKUP($B326,'PY1 TFR ADA'!$F:$AU,MATCH("A-1.3",'PY1 TFR ADA'!$F$5:$AU$5,0),FALSE),0)</f>
        <v>0</v>
      </c>
      <c r="D330" s="167"/>
      <c r="E330" s="525">
        <f>IFERROR(VALUE(VLOOKUP($B326,'PY1 TFR ADA'!$F:$AU,MATCH("A-2.3",'PY1 TFR ADA'!$F$5:$AU$5,0),FALSE)),0)</f>
        <v>0</v>
      </c>
      <c r="F330" s="167"/>
      <c r="G330" s="609">
        <f>IFERROR(VLOOKUP($B326,'PY1 TFR ADA'!$F:$AU,MATCH("b-1.3",'PY1 TFR ADA'!$F$5:$AU$5,0),FALSE),0)</f>
        <v>0</v>
      </c>
      <c r="H330" s="527"/>
      <c r="I330" s="609">
        <f>IFERROR(VLOOKUP($B326,'PY1 TFR ADA'!$F:$AU,MATCH("b-2.3",'PY1 TFR ADA'!$F$5:$AU$5,0),FALSE),0)</f>
        <v>0</v>
      </c>
      <c r="J330" s="527"/>
      <c r="K330" s="609">
        <f>IFERROR(VLOOKUP($B326,'PY1 TFR ADA'!$F:$AU,MATCH("b-3.3",'PY1 TFR ADA'!$F$5:$AU$5,0),FALSE),0)</f>
        <v>0</v>
      </c>
      <c r="L330" s="527"/>
      <c r="M330" s="609">
        <f>IFERROR(VLOOKUP($B326,'PY1 TFR ADA'!$F:$AU,MATCH("b-4.3",'PY1 TFR ADA'!$F$5:$AU$5,0),FALSE),0)</f>
        <v>0</v>
      </c>
      <c r="N330" s="527"/>
      <c r="O330" s="609">
        <f>IFERROR(VLOOKUP($B326,'PY1 TFR ADA'!$F:$AU,MATCH("b-5.3",'PY1 TFR ADA'!$F$5:$AU$5,0),FALSE),0)</f>
        <v>0</v>
      </c>
      <c r="P330" s="527"/>
      <c r="Q330" s="609">
        <f>IFERROR(VLOOKUP($B326,'PY1 TFR ADA'!$F:$AU,MATCH("b-6.3",'PY1 TFR ADA'!$F$5:$AU$5,0),FALSE),0)</f>
        <v>0</v>
      </c>
      <c r="R330" s="551"/>
      <c r="S330" s="601">
        <f t="shared" si="458"/>
        <v>0</v>
      </c>
      <c r="T330" s="551"/>
      <c r="U330" s="536">
        <f t="shared" ref="U330" si="461">ROUND(IF($G335="LCFF Rate",(G330*$C330),(G330*$E330))+IF($I335="LCFF Rate",(I330*$C330),(I330*$E330))+IF($K335="LCFF Rate",(K330*$C330),(K330*$E330))+IF($M335="LCFF Rate",(M330*$C330),(M330*$E330))+IF($O335="LCFF Rate",(O330*$C330),(O330*$E330))+IF($Q335="LCFF Rate",(Q330*$C330),(Q330*$E330)),0)</f>
        <v>0</v>
      </c>
      <c r="V330" s="524"/>
      <c r="X330" s="4"/>
    </row>
    <row r="331" spans="1:24" s="8" customFormat="1" ht="14.4">
      <c r="A331" s="526"/>
      <c r="B331" s="510" t="s">
        <v>4</v>
      </c>
      <c r="C331" s="525">
        <f>IFERROR(VLOOKUP($B326,'PY1 TFR ADA'!$F:$AU,MATCH("A-1.4",'PY1 TFR ADA'!$F$5:$AU$5,0),FALSE),0)</f>
        <v>0</v>
      </c>
      <c r="D331" s="523"/>
      <c r="E331" s="525">
        <f>IFERROR(VALUE(VLOOKUP($B326,'PY1 TFR ADA'!$F:$AU,MATCH("A-2.4",'PY1 TFR ADA'!$F$5:$AU$5,0),FALSE)),0)</f>
        <v>0</v>
      </c>
      <c r="F331" s="523"/>
      <c r="G331" s="609">
        <f>IFERROR(VLOOKUP($B326,'PY1 TFR ADA'!$F:$AU,MATCH("b-1.4",'PY1 TFR ADA'!$F$5:$AU$5,0),FALSE),0)</f>
        <v>0</v>
      </c>
      <c r="H331" s="527"/>
      <c r="I331" s="609">
        <f>IFERROR(VLOOKUP($B326,'PY1 TFR ADA'!$F:$AU,MATCH("b-2.4",'PY1 TFR ADA'!$F$5:$AU$5,0),FALSE),0)</f>
        <v>0</v>
      </c>
      <c r="J331" s="527"/>
      <c r="K331" s="609">
        <f>IFERROR(VLOOKUP($B326,'PY1 TFR ADA'!$F:$AU,MATCH("b-3.4",'PY1 TFR ADA'!$F$5:$AU$5,0),FALSE),0)</f>
        <v>0</v>
      </c>
      <c r="L331" s="527"/>
      <c r="M331" s="609">
        <f>IFERROR(VLOOKUP($B326,'PY1 TFR ADA'!$F:$AU,MATCH("b-4.4",'PY1 TFR ADA'!$F$5:$AU$5,0),FALSE),0)</f>
        <v>0</v>
      </c>
      <c r="N331" s="527"/>
      <c r="O331" s="609">
        <f>IFERROR(VLOOKUP($B326,'PY1 TFR ADA'!$F:$AU,MATCH("b-5.4",'PY1 TFR ADA'!$F$5:$AU$5,0),FALSE),0)</f>
        <v>0</v>
      </c>
      <c r="P331" s="527"/>
      <c r="Q331" s="609">
        <f>IFERROR(VLOOKUP($B326,'PY1 TFR ADA'!$F:$AU,MATCH("b-6.4",'PY1 TFR ADA'!$F$5:$AU$5,0),FALSE),0)</f>
        <v>0</v>
      </c>
      <c r="R331" s="551"/>
      <c r="S331" s="601">
        <f t="shared" si="458"/>
        <v>0</v>
      </c>
      <c r="T331" s="551"/>
      <c r="U331" s="536">
        <f t="shared" ref="U331" si="462">ROUND(IF($G335="LCFF Rate",(G331*$C331),(G331*$E331))+IF($I335="LCFF Rate",(I331*$C331),(I331*$E331))+IF($K335="LCFF Rate",(K331*$C331),(K331*$E331))+IF($M335="LCFF Rate",(M331*$C331),(M331*$E331))+IF($O335="LCFF Rate",(O331*$C331),(O331*$E331))+IF($Q335="LCFF Rate",(Q331*$C331),(Q331*$E331)),0)</f>
        <v>0</v>
      </c>
      <c r="V331" s="522"/>
      <c r="X331" s="496"/>
    </row>
    <row r="332" spans="1:24" s="8" customFormat="1" ht="8.25" customHeight="1">
      <c r="A332" s="521"/>
      <c r="B332" s="167"/>
      <c r="C332" s="165"/>
      <c r="D332" s="523"/>
      <c r="E332" s="165"/>
      <c r="F332" s="523"/>
      <c r="G332" s="520"/>
      <c r="H332" s="523"/>
      <c r="I332" s="520"/>
      <c r="J332" s="523"/>
      <c r="K332" s="520"/>
      <c r="L332" s="523"/>
      <c r="M332" s="520"/>
      <c r="N332" s="523"/>
      <c r="O332" s="520"/>
      <c r="P332" s="523"/>
      <c r="Q332" s="520"/>
      <c r="R332" s="167"/>
      <c r="S332" s="520"/>
      <c r="T332" s="167"/>
      <c r="U332" s="602"/>
      <c r="V332" s="522"/>
      <c r="X332" s="4"/>
    </row>
    <row r="333" spans="1:24" s="8" customFormat="1" ht="14.4">
      <c r="A333" s="521"/>
      <c r="B333" s="167"/>
      <c r="C333" s="165"/>
      <c r="D333" s="523"/>
      <c r="E333" s="513" t="s">
        <v>1317</v>
      </c>
      <c r="F333" s="523"/>
      <c r="G333" s="601">
        <f t="shared" ref="G333" si="463">SUM(G328:G331)</f>
        <v>0</v>
      </c>
      <c r="H333" s="527"/>
      <c r="I333" s="601">
        <f t="shared" ref="I333" si="464">SUM(I328:I331)</f>
        <v>0</v>
      </c>
      <c r="J333" s="527"/>
      <c r="K333" s="601">
        <f t="shared" ref="K333" si="465">SUM(K328:K331)</f>
        <v>0</v>
      </c>
      <c r="L333" s="527"/>
      <c r="M333" s="601">
        <f t="shared" ref="M333" si="466">SUM(M328:M331)</f>
        <v>0</v>
      </c>
      <c r="N333" s="527"/>
      <c r="O333" s="601">
        <f t="shared" ref="O333" si="467">SUM(O328:O331)</f>
        <v>0</v>
      </c>
      <c r="P333" s="527"/>
      <c r="Q333" s="601">
        <f t="shared" ref="Q333" si="468">SUM(Q328:Q331)</f>
        <v>0</v>
      </c>
      <c r="R333" s="527"/>
      <c r="S333" s="601">
        <f t="shared" ref="S333" si="469">SUM(S328:S331)</f>
        <v>0</v>
      </c>
      <c r="T333" s="527"/>
      <c r="U333" s="536">
        <f t="shared" ref="U333" si="470">SUM(U328:U331)</f>
        <v>0</v>
      </c>
      <c r="V333" s="522"/>
      <c r="X333" s="4"/>
    </row>
    <row r="334" spans="1:24" s="8" customFormat="1" ht="8.25" customHeight="1">
      <c r="A334" s="521"/>
      <c r="B334" s="167"/>
      <c r="C334" s="165"/>
      <c r="D334" s="523"/>
      <c r="E334" s="165"/>
      <c r="F334" s="523"/>
      <c r="G334" s="520"/>
      <c r="H334" s="523"/>
      <c r="I334" s="520"/>
      <c r="J334" s="523"/>
      <c r="K334" s="520"/>
      <c r="L334" s="523"/>
      <c r="M334" s="520"/>
      <c r="N334" s="523"/>
      <c r="O334" s="520"/>
      <c r="P334" s="523"/>
      <c r="Q334" s="520"/>
      <c r="R334" s="167"/>
      <c r="S334" s="520"/>
      <c r="T334" s="167"/>
      <c r="U334" s="528"/>
      <c r="V334" s="522"/>
      <c r="X334" s="4"/>
    </row>
    <row r="335" spans="1:24" s="8" customFormat="1" ht="16.5" customHeight="1">
      <c r="A335" s="521"/>
      <c r="B335" s="167"/>
      <c r="C335" s="165"/>
      <c r="E335" s="513" t="s">
        <v>1304</v>
      </c>
      <c r="F335" s="523"/>
      <c r="G335" s="977">
        <f>_xlfn.IFNA(IF(VLOOKUP($B326,'PY1 TFR ADA'!$F:$AU,MATCH("B-1.5",'PY1 TFR ADA'!$F$5:$AU$5,0),FALSE)=TRUE,IF(VLOOKUP($B326,'PY1 TFR ADA'!$F:$AU,MATCH("C-1",'PY1 TFR ADA'!$F$5:$AU$5,0),FALSE)=TRUE,"Alternative Rate","LCFF Rate"),"LCFF Rate"),0)</f>
        <v>0</v>
      </c>
      <c r="H335" s="523"/>
      <c r="I335" s="977">
        <f>_xlfn.IFNA(IF(VLOOKUP($B326,'PY1 TFR ADA'!$F:$AU,MATCH("B-2.5",'PY1 TFR ADA'!$F$5:$AU$5,0),FALSE)=TRUE,IF(VLOOKUP($B326,'PY1 TFR ADA'!$F:$AU,MATCH("C-1",'PY1 TFR ADA'!$F$5:$AU$5,0),FALSE)=TRUE,"Alternative Rate","LCFF Rate"),"LCFF Rate"),0)</f>
        <v>0</v>
      </c>
      <c r="J335" s="523"/>
      <c r="K335" s="977">
        <f>_xlfn.IFNA(IF(VLOOKUP($B326,'PY1 TFR ADA'!$F:$AU,MATCH("B-3.5",'PY1 TFR ADA'!$F$5:$AU$5,0),FALSE)=TRUE,IF(VLOOKUP($B326,'PY1 TFR ADA'!$F:$AU,MATCH("C-1",'PY1 TFR ADA'!$F$5:$AU$5,0),FALSE)=TRUE,"Alternative Rate","LCFF Rate"),"LCFF Rate"),0)</f>
        <v>0</v>
      </c>
      <c r="L335" s="523"/>
      <c r="M335" s="977">
        <f>_xlfn.IFNA(IF(VLOOKUP($B326,'PY1 TFR ADA'!$F:$AU,MATCH("B-4.5",'PY1 TFR ADA'!$F$5:$AU$5,0),FALSE)=TRUE,IF(VLOOKUP($B326,'PY1 TFR ADA'!$F:$AU,MATCH("C-1",'PY1 TFR ADA'!$F$5:$AU$5,0),FALSE)=TRUE,"Alternative Rate","LCFF Rate"),"LCFF Rate"),0)</f>
        <v>0</v>
      </c>
      <c r="N335" s="523"/>
      <c r="O335" s="977">
        <f>_xlfn.IFNA(IF(VLOOKUP($B326,'PY1 TFR ADA'!$F:$AU,MATCH("B-5.5",'PY1 TFR ADA'!$F$5:$AU$5,0),FALSE)=TRUE,IF(VLOOKUP($B326,'PY1 TFR ADA'!$F:$AU,MATCH("C-1",'PY1 TFR ADA'!$F$5:$AU$5,0),FALSE)=TRUE,"Alternative Rate","LCFF Rate"),"LCFF Rate"),0)</f>
        <v>0</v>
      </c>
      <c r="P335" s="523"/>
      <c r="Q335" s="977">
        <f>_xlfn.IFNA(IF(VLOOKUP($B326,'PY1 TFR ADA'!$F:$AU,MATCH("B-6.5",'PY1 TFR ADA'!$F$5:$AU$5,0),FALSE)=TRUE,IF(VLOOKUP($B326,'PY1 TFR ADA'!$F:$AU,MATCH("C-1",'PY1 TFR ADA'!$F$5:$AU$5,0),FALSE)=TRUE,"Alternative Rate","LCFF Rate"),"LCFF Rate"),0)</f>
        <v>0</v>
      </c>
      <c r="R335" s="167"/>
      <c r="S335" s="520"/>
      <c r="T335" s="167"/>
      <c r="U335" s="528"/>
      <c r="V335" s="522"/>
      <c r="X335" s="283"/>
    </row>
    <row r="336" spans="1:24" s="8" customFormat="1" ht="8.25" customHeight="1">
      <c r="A336" s="521"/>
      <c r="B336" s="167"/>
      <c r="C336" s="165"/>
      <c r="D336" s="523"/>
      <c r="E336" s="165"/>
      <c r="F336" s="523"/>
      <c r="G336" s="520"/>
      <c r="H336" s="523"/>
      <c r="I336" s="520"/>
      <c r="J336" s="523"/>
      <c r="K336" s="520"/>
      <c r="L336" s="523"/>
      <c r="M336" s="520"/>
      <c r="N336" s="523"/>
      <c r="O336" s="520"/>
      <c r="P336" s="523"/>
      <c r="Q336" s="520"/>
      <c r="R336" s="167"/>
      <c r="S336" s="520"/>
      <c r="T336" s="167"/>
      <c r="U336" s="528"/>
      <c r="V336" s="522"/>
      <c r="X336" s="4"/>
    </row>
    <row r="337" spans="1:24" s="8" customFormat="1" ht="16.8">
      <c r="A337" s="521"/>
      <c r="B337" s="2"/>
      <c r="F337" s="523"/>
      <c r="G337" s="535">
        <f t="shared" ref="G337" si="471">IF(G335="LCFF Rate",(G328*C328+G329*C329+G330*C330+G331*C331),(G333*E331))</f>
        <v>0</v>
      </c>
      <c r="H337" s="537"/>
      <c r="I337" s="535">
        <f t="shared" ref="I337" si="472">IF(I335="LCFF Rate",(I328*C328+I329*C329+I330*C330+I331*C331),(I333*E331))</f>
        <v>0</v>
      </c>
      <c r="J337" s="537"/>
      <c r="K337" s="535">
        <f t="shared" ref="K337" si="473">IF(K335="LCFF Rate",(K328*C328+K329*C329+K330*C330+K331*C331),(K333*E331))</f>
        <v>0</v>
      </c>
      <c r="L337" s="537"/>
      <c r="M337" s="535">
        <f t="shared" ref="M337" si="474">IF(M335="LCFF Rate",(M328*C328+M329*C329+M330*C330+M331*C331),(M333*E331))</f>
        <v>0</v>
      </c>
      <c r="N337" s="537"/>
      <c r="O337" s="535">
        <f t="shared" ref="O337" si="475">IF(O335="LCFF Rate",(O328*C328+O329*C329+O330*C330+O331*C331),(O333*E331))</f>
        <v>0</v>
      </c>
      <c r="P337" s="537"/>
      <c r="Q337" s="535">
        <f t="shared" ref="Q337" si="476">IF(Q335="LCFF Rate",(Q328*C328+Q329*C329+Q330*C330+Q331*C331),(Q333*E331))</f>
        <v>0</v>
      </c>
      <c r="R337" s="167"/>
      <c r="S337" s="538">
        <f t="shared" ref="S337" si="477">SUM(G337:Q337)</f>
        <v>0</v>
      </c>
      <c r="T337" s="167"/>
      <c r="U337" s="528"/>
      <c r="V337" s="522"/>
      <c r="X337" s="979"/>
    </row>
    <row r="338" spans="1:24" s="8" customFormat="1" ht="9" customHeight="1" thickBot="1">
      <c r="A338" s="529"/>
      <c r="B338" s="530"/>
      <c r="C338" s="531"/>
      <c r="D338" s="532"/>
      <c r="E338" s="533"/>
      <c r="F338" s="532"/>
      <c r="G338" s="530"/>
      <c r="H338" s="532"/>
      <c r="I338" s="530"/>
      <c r="J338" s="532"/>
      <c r="K338" s="530"/>
      <c r="L338" s="532"/>
      <c r="M338" s="530"/>
      <c r="N338" s="532"/>
      <c r="O338" s="530"/>
      <c r="P338" s="532"/>
      <c r="Q338" s="530"/>
      <c r="R338" s="532"/>
      <c r="S338" s="530"/>
      <c r="T338" s="532"/>
      <c r="U338" s="532"/>
      <c r="V338" s="534"/>
      <c r="X338" s="4"/>
    </row>
    <row r="339" spans="1:24" s="82" customFormat="1" ht="18" customHeight="1" thickBot="1">
      <c r="A339" s="890">
        <f>+A326+1</f>
        <v>26</v>
      </c>
      <c r="B339" s="891" t="str">
        <f>'Data Entry'!$B$3&amp;"-"&amp;C339</f>
        <v>-</v>
      </c>
      <c r="C339" s="891" t="str">
        <f>IFERROR(VLOOKUP('Data Entry'!$B$3&amp;"-"&amp;A339,'PY1 TFR ADA'!$D:$AT,2,FALSE),"")</f>
        <v/>
      </c>
      <c r="D339" s="892" t="str">
        <f>IFERROR(VLOOKUP('Data Entry'!$B$3&amp;"-"&amp;A339,'PY1 TFR ADA'!$D:$AT,4,FALSE),"")</f>
        <v/>
      </c>
      <c r="E339" s="893"/>
      <c r="F339" s="893"/>
      <c r="G339" s="893"/>
      <c r="H339" s="893"/>
      <c r="I339" s="893"/>
      <c r="J339" s="893"/>
      <c r="K339" s="893"/>
      <c r="L339" s="893"/>
      <c r="M339" s="893"/>
      <c r="N339" s="893"/>
      <c r="O339" s="893"/>
      <c r="P339" s="893"/>
      <c r="Q339" s="893"/>
      <c r="R339" s="893"/>
      <c r="S339" s="893"/>
      <c r="T339" s="893"/>
      <c r="U339" s="893"/>
      <c r="V339" s="894"/>
      <c r="X339" s="83"/>
    </row>
    <row r="340" spans="1:24" ht="75" customHeight="1">
      <c r="A340" s="521"/>
      <c r="C340" s="540" t="s">
        <v>1315</v>
      </c>
      <c r="D340" s="512"/>
      <c r="E340" s="540" t="s">
        <v>1316</v>
      </c>
      <c r="F340" s="512"/>
      <c r="G340" s="540" t="s">
        <v>1309</v>
      </c>
      <c r="H340" s="512"/>
      <c r="I340" s="540" t="s">
        <v>1310</v>
      </c>
      <c r="J340" s="512"/>
      <c r="K340" s="540" t="s">
        <v>1311</v>
      </c>
      <c r="L340" s="512"/>
      <c r="M340" s="540" t="s">
        <v>1312</v>
      </c>
      <c r="N340" s="512"/>
      <c r="O340" s="540" t="s">
        <v>1313</v>
      </c>
      <c r="P340" s="512"/>
      <c r="Q340" s="540" t="s">
        <v>1314</v>
      </c>
      <c r="R340" s="167"/>
      <c r="S340" s="540" t="s">
        <v>1308</v>
      </c>
      <c r="T340" s="167"/>
      <c r="U340" s="512" t="s">
        <v>1307</v>
      </c>
      <c r="V340" s="524"/>
      <c r="X340" s="283"/>
    </row>
    <row r="341" spans="1:24" s="8" customFormat="1" ht="14.4">
      <c r="A341" s="521"/>
      <c r="B341" s="510" t="s">
        <v>94</v>
      </c>
      <c r="C341" s="525">
        <f>IFERROR(VLOOKUP($B339,'PY1 TFR ADA'!$F:$AU,MATCH("A-1.1",'PY1 TFR ADA'!$F$5:$AU$5,0),FALSE),0)</f>
        <v>0</v>
      </c>
      <c r="D341" s="167"/>
      <c r="E341" s="525">
        <f>IFERROR(VALUE(VLOOKUP($B339,'PY1 TFR ADA'!$F:$AU,MATCH("A-2.1",'PY1 TFR ADA'!$F$5:$AU$5,0),FALSE)),0)</f>
        <v>0</v>
      </c>
      <c r="F341" s="167"/>
      <c r="G341" s="609">
        <f>IFERROR(VLOOKUP($B339,'PY1 TFR ADA'!$F:$AU,MATCH("b-1.1",'PY1 TFR ADA'!$F$5:$AU$5,0),FALSE),0)</f>
        <v>0</v>
      </c>
      <c r="H341" s="527"/>
      <c r="I341" s="609">
        <f>IFERROR(VLOOKUP($B339,'PY1 TFR ADA'!$F:$AU,MATCH("b-2.1",'PY1 TFR ADA'!$F$5:$AU$5,0),FALSE),0)</f>
        <v>0</v>
      </c>
      <c r="J341" s="527"/>
      <c r="K341" s="609">
        <f>IFERROR(VLOOKUP($B339,'PY1 TFR ADA'!$F:$AU,MATCH("b-3.1",'PY1 TFR ADA'!$F$5:$AU$5,0),FALSE),0)</f>
        <v>0</v>
      </c>
      <c r="L341" s="527"/>
      <c r="M341" s="609">
        <f>IFERROR(VLOOKUP($B339,'PY1 TFR ADA'!$F:$AU,MATCH("b-4.1",'PY1 TFR ADA'!$F$5:$AU$5,0),FALSE),0)</f>
        <v>0</v>
      </c>
      <c r="N341" s="527"/>
      <c r="O341" s="609">
        <f>IFERROR(VLOOKUP($B339,'PY1 TFR ADA'!$F:$AU,MATCH("b-5.1",'PY1 TFR ADA'!$F$5:$AU$5,0),FALSE),0)</f>
        <v>0</v>
      </c>
      <c r="P341" s="527"/>
      <c r="Q341" s="609">
        <f>IFERROR(VLOOKUP($B339,'PY1 TFR ADA'!$F:$AU,MATCH("b-6.1",'PY1 TFR ADA'!$F$5:$AU$5,0),FALSE),0)</f>
        <v>0</v>
      </c>
      <c r="R341" s="551"/>
      <c r="S341" s="601">
        <f t="shared" ref="S341:S344" si="478">SUM(G341:Q341)</f>
        <v>0</v>
      </c>
      <c r="T341" s="551"/>
      <c r="U341" s="536">
        <f t="shared" ref="U341" si="479">ROUND(IF($G348="LCFF Rate",(G341*$C341),(G341*$E341))+IF($I348="LCFF Rate",(I341*$C341),(I341*$E341))+IF($K348="LCFF Rate",(K341*$C341),(K341*$E341))+IF($M348="LCFF Rate",(M341*$C341),(M341*$E341))+IF($O348="LCFF Rate",(O341*$C341),(O341*$E341))+IF($Q348="LCFF Rate",(Q341*$C341),(Q341*$E341)),0)</f>
        <v>0</v>
      </c>
      <c r="V341" s="524"/>
      <c r="X341" s="496"/>
    </row>
    <row r="342" spans="1:24" s="8" customFormat="1" ht="14.4">
      <c r="A342" s="521"/>
      <c r="B342" s="510" t="s">
        <v>2</v>
      </c>
      <c r="C342" s="525">
        <f>IFERROR(VLOOKUP($B339,'PY1 TFR ADA'!$F:$AU,MATCH("A-1.2",'PY1 TFR ADA'!$F$5:$AU$5,0),FALSE),0)</f>
        <v>0</v>
      </c>
      <c r="D342" s="167"/>
      <c r="E342" s="525">
        <f>IFERROR(VALUE(VLOOKUP($B339,'PY1 TFR ADA'!$F:$AU,MATCH("A-2.2",'PY1 TFR ADA'!$F$5:$AU$5,0),FALSE)),0)</f>
        <v>0</v>
      </c>
      <c r="F342" s="167"/>
      <c r="G342" s="609">
        <f>IFERROR(VLOOKUP($B339,'PY1 TFR ADA'!$F:$AU,MATCH("b-1.2",'PY1 TFR ADA'!$F$5:$AU$5,0),FALSE),0)</f>
        <v>0</v>
      </c>
      <c r="H342" s="527"/>
      <c r="I342" s="609">
        <f>IFERROR(VLOOKUP($B339,'PY1 TFR ADA'!$F:$AU,MATCH("b-2.2",'PY1 TFR ADA'!$F$5:$AU$5,0),FALSE),0)</f>
        <v>0</v>
      </c>
      <c r="J342" s="527"/>
      <c r="K342" s="609">
        <f>IFERROR(VLOOKUP($B339,'PY1 TFR ADA'!$F:$AU,MATCH("b-3.2",'PY1 TFR ADA'!$F$5:$AU$5,0),FALSE),0)</f>
        <v>0</v>
      </c>
      <c r="L342" s="527"/>
      <c r="M342" s="609">
        <f>IFERROR(VLOOKUP($B339,'PY1 TFR ADA'!$F:$AU,MATCH("b-4.2",'PY1 TFR ADA'!$F$5:$AU$5,0),FALSE),0)</f>
        <v>0</v>
      </c>
      <c r="N342" s="527"/>
      <c r="O342" s="609">
        <f>IFERROR(VLOOKUP($B339,'PY1 TFR ADA'!$F:$AU,MATCH("b-5.2",'PY1 TFR ADA'!$F$5:$AU$5,0),FALSE),0)</f>
        <v>0</v>
      </c>
      <c r="P342" s="527"/>
      <c r="Q342" s="609">
        <f>IFERROR(VLOOKUP($B339,'PY1 TFR ADA'!$F:$AU,MATCH("b-6.2",'PY1 TFR ADA'!$F$5:$AU$5,0),FALSE),0)</f>
        <v>0</v>
      </c>
      <c r="R342" s="551"/>
      <c r="S342" s="601">
        <f t="shared" si="478"/>
        <v>0</v>
      </c>
      <c r="T342" s="551"/>
      <c r="U342" s="536">
        <f t="shared" ref="U342" si="480">ROUND(IF($G348="LCFF Rate",(G342*$C342),(G342*$E342))+IF($I348="LCFF Rate",(I342*$C342),(I342*$E342))+IF($K348="LCFF Rate",(K342*$C342),(K342*$E342))+IF($M348="LCFF Rate",(M342*$C342),(M342*$E342))+IF($O348="LCFF Rate",(O342*$C342),(O342*$E342))+IF($Q348="LCFF Rate",(Q342*$C342),(Q342*$E342)),0)</f>
        <v>0</v>
      </c>
      <c r="V342" s="524"/>
      <c r="X342" s="4"/>
    </row>
    <row r="343" spans="1:24" s="8" customFormat="1" ht="14.4">
      <c r="A343" s="521"/>
      <c r="B343" s="510" t="s">
        <v>3</v>
      </c>
      <c r="C343" s="525">
        <f>IFERROR(VLOOKUP($B339,'PY1 TFR ADA'!$F:$AU,MATCH("A-1.3",'PY1 TFR ADA'!$F$5:$AU$5,0),FALSE),0)</f>
        <v>0</v>
      </c>
      <c r="D343" s="167"/>
      <c r="E343" s="525">
        <f>IFERROR(VALUE(VLOOKUP($B339,'PY1 TFR ADA'!$F:$AU,MATCH("A-2.3",'PY1 TFR ADA'!$F$5:$AU$5,0),FALSE)),0)</f>
        <v>0</v>
      </c>
      <c r="F343" s="167"/>
      <c r="G343" s="609">
        <f>IFERROR(VLOOKUP($B339,'PY1 TFR ADA'!$F:$AU,MATCH("b-1.3",'PY1 TFR ADA'!$F$5:$AU$5,0),FALSE),0)</f>
        <v>0</v>
      </c>
      <c r="H343" s="527"/>
      <c r="I343" s="609">
        <f>IFERROR(VLOOKUP($B339,'PY1 TFR ADA'!$F:$AU,MATCH("b-2.3",'PY1 TFR ADA'!$F$5:$AU$5,0),FALSE),0)</f>
        <v>0</v>
      </c>
      <c r="J343" s="527"/>
      <c r="K343" s="609">
        <f>IFERROR(VLOOKUP($B339,'PY1 TFR ADA'!$F:$AU,MATCH("b-3.3",'PY1 TFR ADA'!$F$5:$AU$5,0),FALSE),0)</f>
        <v>0</v>
      </c>
      <c r="L343" s="527"/>
      <c r="M343" s="609">
        <f>IFERROR(VLOOKUP($B339,'PY1 TFR ADA'!$F:$AU,MATCH("b-4.3",'PY1 TFR ADA'!$F$5:$AU$5,0),FALSE),0)</f>
        <v>0</v>
      </c>
      <c r="N343" s="527"/>
      <c r="O343" s="609">
        <f>IFERROR(VLOOKUP($B339,'PY1 TFR ADA'!$F:$AU,MATCH("b-5.3",'PY1 TFR ADA'!$F$5:$AU$5,0),FALSE),0)</f>
        <v>0</v>
      </c>
      <c r="P343" s="527"/>
      <c r="Q343" s="609">
        <f>IFERROR(VLOOKUP($B339,'PY1 TFR ADA'!$F:$AU,MATCH("b-6.3",'PY1 TFR ADA'!$F$5:$AU$5,0),FALSE),0)</f>
        <v>0</v>
      </c>
      <c r="R343" s="551"/>
      <c r="S343" s="601">
        <f t="shared" si="478"/>
        <v>0</v>
      </c>
      <c r="T343" s="551"/>
      <c r="U343" s="536">
        <f t="shared" ref="U343" si="481">ROUND(IF($G348="LCFF Rate",(G343*$C343),(G343*$E343))+IF($I348="LCFF Rate",(I343*$C343),(I343*$E343))+IF($K348="LCFF Rate",(K343*$C343),(K343*$E343))+IF($M348="LCFF Rate",(M343*$C343),(M343*$E343))+IF($O348="LCFF Rate",(O343*$C343),(O343*$E343))+IF($Q348="LCFF Rate",(Q343*$C343),(Q343*$E343)),0)</f>
        <v>0</v>
      </c>
      <c r="V343" s="524"/>
      <c r="X343" s="4"/>
    </row>
    <row r="344" spans="1:24" s="8" customFormat="1" ht="14.4">
      <c r="A344" s="526"/>
      <c r="B344" s="510" t="s">
        <v>4</v>
      </c>
      <c r="C344" s="525">
        <f>IFERROR(VLOOKUP($B339,'PY1 TFR ADA'!$F:$AU,MATCH("A-1.4",'PY1 TFR ADA'!$F$5:$AU$5,0),FALSE),0)</f>
        <v>0</v>
      </c>
      <c r="D344" s="523"/>
      <c r="E344" s="525">
        <f>IFERROR(VALUE(VLOOKUP($B339,'PY1 TFR ADA'!$F:$AU,MATCH("A-2.4",'PY1 TFR ADA'!$F$5:$AU$5,0),FALSE)),0)</f>
        <v>0</v>
      </c>
      <c r="F344" s="523"/>
      <c r="G344" s="609">
        <f>IFERROR(VLOOKUP($B339,'PY1 TFR ADA'!$F:$AU,MATCH("b-1.4",'PY1 TFR ADA'!$F$5:$AU$5,0),FALSE),0)</f>
        <v>0</v>
      </c>
      <c r="H344" s="527"/>
      <c r="I344" s="609">
        <f>IFERROR(VLOOKUP($B339,'PY1 TFR ADA'!$F:$AU,MATCH("b-2.4",'PY1 TFR ADA'!$F$5:$AU$5,0),FALSE),0)</f>
        <v>0</v>
      </c>
      <c r="J344" s="527"/>
      <c r="K344" s="609">
        <f>IFERROR(VLOOKUP($B339,'PY1 TFR ADA'!$F:$AU,MATCH("b-3.4",'PY1 TFR ADA'!$F$5:$AU$5,0),FALSE),0)</f>
        <v>0</v>
      </c>
      <c r="L344" s="527"/>
      <c r="M344" s="609">
        <f>IFERROR(VLOOKUP($B339,'PY1 TFR ADA'!$F:$AU,MATCH("b-4.4",'PY1 TFR ADA'!$F$5:$AU$5,0),FALSE),0)</f>
        <v>0</v>
      </c>
      <c r="N344" s="527"/>
      <c r="O344" s="609">
        <f>IFERROR(VLOOKUP($B339,'PY1 TFR ADA'!$F:$AU,MATCH("b-5.4",'PY1 TFR ADA'!$F$5:$AU$5,0),FALSE),0)</f>
        <v>0</v>
      </c>
      <c r="P344" s="527"/>
      <c r="Q344" s="609">
        <f>IFERROR(VLOOKUP($B339,'PY1 TFR ADA'!$F:$AU,MATCH("b-6.4",'PY1 TFR ADA'!$F$5:$AU$5,0),FALSE),0)</f>
        <v>0</v>
      </c>
      <c r="R344" s="551"/>
      <c r="S344" s="601">
        <f t="shared" si="478"/>
        <v>0</v>
      </c>
      <c r="T344" s="551"/>
      <c r="U344" s="536">
        <f t="shared" ref="U344" si="482">ROUND(IF($G348="LCFF Rate",(G344*$C344),(G344*$E344))+IF($I348="LCFF Rate",(I344*$C344),(I344*$E344))+IF($K348="LCFF Rate",(K344*$C344),(K344*$E344))+IF($M348="LCFF Rate",(M344*$C344),(M344*$E344))+IF($O348="LCFF Rate",(O344*$C344),(O344*$E344))+IF($Q348="LCFF Rate",(Q344*$C344),(Q344*$E344)),0)</f>
        <v>0</v>
      </c>
      <c r="V344" s="522"/>
      <c r="X344" s="496"/>
    </row>
    <row r="345" spans="1:24" s="8" customFormat="1" ht="8.25" customHeight="1">
      <c r="A345" s="521"/>
      <c r="B345" s="167"/>
      <c r="C345" s="165"/>
      <c r="D345" s="523"/>
      <c r="E345" s="165"/>
      <c r="F345" s="523"/>
      <c r="G345" s="520"/>
      <c r="H345" s="523"/>
      <c r="I345" s="520"/>
      <c r="J345" s="523"/>
      <c r="K345" s="520"/>
      <c r="L345" s="523"/>
      <c r="M345" s="520"/>
      <c r="N345" s="523"/>
      <c r="O345" s="520"/>
      <c r="P345" s="523"/>
      <c r="Q345" s="520"/>
      <c r="R345" s="167"/>
      <c r="S345" s="520"/>
      <c r="T345" s="167"/>
      <c r="U345" s="602"/>
      <c r="V345" s="522"/>
      <c r="X345" s="4"/>
    </row>
    <row r="346" spans="1:24" s="8" customFormat="1" ht="14.4">
      <c r="A346" s="521"/>
      <c r="B346" s="167"/>
      <c r="C346" s="165"/>
      <c r="D346" s="523"/>
      <c r="E346" s="513" t="s">
        <v>1317</v>
      </c>
      <c r="F346" s="523"/>
      <c r="G346" s="601">
        <f t="shared" ref="G346" si="483">SUM(G341:G344)</f>
        <v>0</v>
      </c>
      <c r="H346" s="527"/>
      <c r="I346" s="601">
        <f t="shared" ref="I346" si="484">SUM(I341:I344)</f>
        <v>0</v>
      </c>
      <c r="J346" s="527"/>
      <c r="K346" s="601">
        <f t="shared" ref="K346" si="485">SUM(K341:K344)</f>
        <v>0</v>
      </c>
      <c r="L346" s="527"/>
      <c r="M346" s="601">
        <f t="shared" ref="M346" si="486">SUM(M341:M344)</f>
        <v>0</v>
      </c>
      <c r="N346" s="527"/>
      <c r="O346" s="601">
        <f t="shared" ref="O346" si="487">SUM(O341:O344)</f>
        <v>0</v>
      </c>
      <c r="P346" s="527"/>
      <c r="Q346" s="601">
        <f t="shared" ref="Q346" si="488">SUM(Q341:Q344)</f>
        <v>0</v>
      </c>
      <c r="R346" s="527"/>
      <c r="S346" s="601">
        <f t="shared" ref="S346" si="489">SUM(S341:S344)</f>
        <v>0</v>
      </c>
      <c r="T346" s="527"/>
      <c r="U346" s="536">
        <f t="shared" ref="U346" si="490">SUM(U341:U344)</f>
        <v>0</v>
      </c>
      <c r="V346" s="522"/>
      <c r="X346" s="4"/>
    </row>
    <row r="347" spans="1:24" s="8" customFormat="1" ht="8.25" customHeight="1">
      <c r="A347" s="521"/>
      <c r="B347" s="167"/>
      <c r="C347" s="165"/>
      <c r="D347" s="523"/>
      <c r="E347" s="165"/>
      <c r="F347" s="523"/>
      <c r="G347" s="520"/>
      <c r="H347" s="523"/>
      <c r="I347" s="520"/>
      <c r="J347" s="523"/>
      <c r="K347" s="520"/>
      <c r="L347" s="523"/>
      <c r="M347" s="520"/>
      <c r="N347" s="523"/>
      <c r="O347" s="520"/>
      <c r="P347" s="523"/>
      <c r="Q347" s="520"/>
      <c r="R347" s="167"/>
      <c r="S347" s="520"/>
      <c r="T347" s="167"/>
      <c r="U347" s="528"/>
      <c r="V347" s="522"/>
      <c r="X347" s="4"/>
    </row>
    <row r="348" spans="1:24" s="8" customFormat="1" ht="16.5" customHeight="1">
      <c r="A348" s="521"/>
      <c r="B348" s="167"/>
      <c r="C348" s="165"/>
      <c r="E348" s="513" t="s">
        <v>1304</v>
      </c>
      <c r="F348" s="523"/>
      <c r="G348" s="977">
        <f>_xlfn.IFNA(IF(VLOOKUP($B339,'PY1 TFR ADA'!$F:$AU,MATCH("B-1.5",'PY1 TFR ADA'!$F$5:$AU$5,0),FALSE)=TRUE,IF(VLOOKUP($B339,'PY1 TFR ADA'!$F:$AU,MATCH("C-1",'PY1 TFR ADA'!$F$5:$AU$5,0),FALSE)=TRUE,"Alternative Rate","LCFF Rate"),"LCFF Rate"),0)</f>
        <v>0</v>
      </c>
      <c r="H348" s="523"/>
      <c r="I348" s="977">
        <f>_xlfn.IFNA(IF(VLOOKUP($B339,'PY1 TFR ADA'!$F:$AU,MATCH("B-2.5",'PY1 TFR ADA'!$F$5:$AU$5,0),FALSE)=TRUE,IF(VLOOKUP($B339,'PY1 TFR ADA'!$F:$AU,MATCH("C-1",'PY1 TFR ADA'!$F$5:$AU$5,0),FALSE)=TRUE,"Alternative Rate","LCFF Rate"),"LCFF Rate"),0)</f>
        <v>0</v>
      </c>
      <c r="J348" s="523"/>
      <c r="K348" s="977">
        <f>_xlfn.IFNA(IF(VLOOKUP($B339,'PY1 TFR ADA'!$F:$AU,MATCH("B-3.5",'PY1 TFR ADA'!$F$5:$AU$5,0),FALSE)=TRUE,IF(VLOOKUP($B339,'PY1 TFR ADA'!$F:$AU,MATCH("C-1",'PY1 TFR ADA'!$F$5:$AU$5,0),FALSE)=TRUE,"Alternative Rate","LCFF Rate"),"LCFF Rate"),0)</f>
        <v>0</v>
      </c>
      <c r="L348" s="523"/>
      <c r="M348" s="977">
        <f>_xlfn.IFNA(IF(VLOOKUP($B339,'PY1 TFR ADA'!$F:$AU,MATCH("B-4.5",'PY1 TFR ADA'!$F$5:$AU$5,0),FALSE)=TRUE,IF(VLOOKUP($B339,'PY1 TFR ADA'!$F:$AU,MATCH("C-1",'PY1 TFR ADA'!$F$5:$AU$5,0),FALSE)=TRUE,"Alternative Rate","LCFF Rate"),"LCFF Rate"),0)</f>
        <v>0</v>
      </c>
      <c r="N348" s="523"/>
      <c r="O348" s="977">
        <f>_xlfn.IFNA(IF(VLOOKUP($B339,'PY1 TFR ADA'!$F:$AU,MATCH("B-5.5",'PY1 TFR ADA'!$F$5:$AU$5,0),FALSE)=TRUE,IF(VLOOKUP($B339,'PY1 TFR ADA'!$F:$AU,MATCH("C-1",'PY1 TFR ADA'!$F$5:$AU$5,0),FALSE)=TRUE,"Alternative Rate","LCFF Rate"),"LCFF Rate"),0)</f>
        <v>0</v>
      </c>
      <c r="P348" s="523"/>
      <c r="Q348" s="977">
        <f>_xlfn.IFNA(IF(VLOOKUP($B339,'PY1 TFR ADA'!$F:$AU,MATCH("B-6.5",'PY1 TFR ADA'!$F$5:$AU$5,0),FALSE)=TRUE,IF(VLOOKUP($B339,'PY1 TFR ADA'!$F:$AU,MATCH("C-1",'PY1 TFR ADA'!$F$5:$AU$5,0),FALSE)=TRUE,"Alternative Rate","LCFF Rate"),"LCFF Rate"),0)</f>
        <v>0</v>
      </c>
      <c r="R348" s="167"/>
      <c r="S348" s="520"/>
      <c r="T348" s="167"/>
      <c r="U348" s="528"/>
      <c r="V348" s="522"/>
      <c r="X348" s="283"/>
    </row>
    <row r="349" spans="1:24" s="8" customFormat="1" ht="8.25" customHeight="1">
      <c r="A349" s="521"/>
      <c r="B349" s="167"/>
      <c r="C349" s="165"/>
      <c r="D349" s="523"/>
      <c r="E349" s="165"/>
      <c r="F349" s="523"/>
      <c r="G349" s="520"/>
      <c r="H349" s="523"/>
      <c r="I349" s="520"/>
      <c r="J349" s="523"/>
      <c r="K349" s="520"/>
      <c r="L349" s="523"/>
      <c r="M349" s="520"/>
      <c r="N349" s="523"/>
      <c r="O349" s="520"/>
      <c r="P349" s="523"/>
      <c r="Q349" s="520"/>
      <c r="R349" s="167"/>
      <c r="S349" s="520"/>
      <c r="T349" s="167"/>
      <c r="U349" s="528"/>
      <c r="V349" s="522"/>
      <c r="X349" s="4"/>
    </row>
    <row r="350" spans="1:24" s="8" customFormat="1" ht="16.8">
      <c r="A350" s="521"/>
      <c r="B350" s="2"/>
      <c r="F350" s="523"/>
      <c r="G350" s="535">
        <f t="shared" ref="G350" si="491">IF(G348="LCFF Rate",(G341*C341+G342*C342+G343*C343+G344*C344),(G346*E344))</f>
        <v>0</v>
      </c>
      <c r="H350" s="537"/>
      <c r="I350" s="535">
        <f t="shared" ref="I350" si="492">IF(I348="LCFF Rate",(I341*C341+I342*C342+I343*C343+I344*C344),(I346*E344))</f>
        <v>0</v>
      </c>
      <c r="J350" s="537"/>
      <c r="K350" s="535">
        <f t="shared" ref="K350" si="493">IF(K348="LCFF Rate",(K341*C341+K342*C342+K343*C343+K344*C344),(K346*E344))</f>
        <v>0</v>
      </c>
      <c r="L350" s="537"/>
      <c r="M350" s="535">
        <f t="shared" ref="M350" si="494">IF(M348="LCFF Rate",(M341*C341+M342*C342+M343*C343+M344*C344),(M346*E344))</f>
        <v>0</v>
      </c>
      <c r="N350" s="537"/>
      <c r="O350" s="535">
        <f t="shared" ref="O350" si="495">IF(O348="LCFF Rate",(O341*C341+O342*C342+O343*C343+O344*C344),(O346*E344))</f>
        <v>0</v>
      </c>
      <c r="P350" s="537"/>
      <c r="Q350" s="535">
        <f t="shared" ref="Q350" si="496">IF(Q348="LCFF Rate",(Q341*C341+Q342*C342+Q343*C343+Q344*C344),(Q346*E344))</f>
        <v>0</v>
      </c>
      <c r="R350" s="167"/>
      <c r="S350" s="538">
        <f t="shared" ref="S350" si="497">SUM(G350:Q350)</f>
        <v>0</v>
      </c>
      <c r="T350" s="167"/>
      <c r="U350" s="528"/>
      <c r="V350" s="522"/>
      <c r="X350" s="979"/>
    </row>
    <row r="351" spans="1:24" s="8" customFormat="1" ht="9" customHeight="1" thickBot="1">
      <c r="A351" s="529"/>
      <c r="B351" s="530"/>
      <c r="C351" s="531"/>
      <c r="D351" s="532"/>
      <c r="E351" s="533"/>
      <c r="F351" s="532"/>
      <c r="G351" s="530"/>
      <c r="H351" s="532"/>
      <c r="I351" s="530"/>
      <c r="J351" s="532"/>
      <c r="K351" s="530"/>
      <c r="L351" s="532"/>
      <c r="M351" s="530"/>
      <c r="N351" s="532"/>
      <c r="O351" s="530"/>
      <c r="P351" s="532"/>
      <c r="Q351" s="530"/>
      <c r="R351" s="532"/>
      <c r="S351" s="530"/>
      <c r="T351" s="532"/>
      <c r="U351" s="532"/>
      <c r="V351" s="534"/>
      <c r="X351" s="4"/>
    </row>
    <row r="352" spans="1:24" s="82" customFormat="1" ht="18" customHeight="1" thickBot="1">
      <c r="A352" s="890">
        <f>+A339+1</f>
        <v>27</v>
      </c>
      <c r="B352" s="891" t="str">
        <f>'Data Entry'!$B$3&amp;"-"&amp;C352</f>
        <v>-</v>
      </c>
      <c r="C352" s="891" t="str">
        <f>IFERROR(VLOOKUP('Data Entry'!$B$3&amp;"-"&amp;A352,'PY1 TFR ADA'!$D:$AT,2,FALSE),"")</f>
        <v/>
      </c>
      <c r="D352" s="892" t="str">
        <f>IFERROR(VLOOKUP('Data Entry'!$B$3&amp;"-"&amp;A352,'PY1 TFR ADA'!$D:$AT,4,FALSE),"")</f>
        <v/>
      </c>
      <c r="E352" s="893"/>
      <c r="F352" s="893"/>
      <c r="G352" s="893"/>
      <c r="H352" s="893"/>
      <c r="I352" s="893"/>
      <c r="J352" s="893"/>
      <c r="K352" s="893"/>
      <c r="L352" s="893"/>
      <c r="M352" s="893"/>
      <c r="N352" s="893"/>
      <c r="O352" s="893"/>
      <c r="P352" s="893"/>
      <c r="Q352" s="893"/>
      <c r="R352" s="893"/>
      <c r="S352" s="893"/>
      <c r="T352" s="893"/>
      <c r="U352" s="893"/>
      <c r="V352" s="894"/>
      <c r="X352" s="83"/>
    </row>
    <row r="353" spans="1:24" ht="75" customHeight="1">
      <c r="A353" s="521"/>
      <c r="C353" s="540" t="s">
        <v>1315</v>
      </c>
      <c r="D353" s="512"/>
      <c r="E353" s="540" t="s">
        <v>1316</v>
      </c>
      <c r="F353" s="512"/>
      <c r="G353" s="540" t="s">
        <v>1309</v>
      </c>
      <c r="H353" s="512"/>
      <c r="I353" s="540" t="s">
        <v>1310</v>
      </c>
      <c r="J353" s="512"/>
      <c r="K353" s="540" t="s">
        <v>1311</v>
      </c>
      <c r="L353" s="512"/>
      <c r="M353" s="540" t="s">
        <v>1312</v>
      </c>
      <c r="N353" s="512"/>
      <c r="O353" s="540" t="s">
        <v>1313</v>
      </c>
      <c r="P353" s="512"/>
      <c r="Q353" s="540" t="s">
        <v>1314</v>
      </c>
      <c r="R353" s="167"/>
      <c r="S353" s="540" t="s">
        <v>1308</v>
      </c>
      <c r="T353" s="167"/>
      <c r="U353" s="512" t="s">
        <v>1307</v>
      </c>
      <c r="V353" s="524"/>
      <c r="X353" s="283"/>
    </row>
    <row r="354" spans="1:24" s="8" customFormat="1" ht="14.4">
      <c r="A354" s="521"/>
      <c r="B354" s="510" t="s">
        <v>94</v>
      </c>
      <c r="C354" s="525">
        <f>IFERROR(VLOOKUP($B352,'PY1 TFR ADA'!$F:$AU,MATCH("A-1.1",'PY1 TFR ADA'!$F$5:$AU$5,0),FALSE),0)</f>
        <v>0</v>
      </c>
      <c r="D354" s="167"/>
      <c r="E354" s="525">
        <f>IFERROR(VALUE(VLOOKUP($B352,'PY1 TFR ADA'!$F:$AU,MATCH("A-2.1",'PY1 TFR ADA'!$F$5:$AU$5,0),FALSE)),0)</f>
        <v>0</v>
      </c>
      <c r="F354" s="167"/>
      <c r="G354" s="609">
        <f>IFERROR(VLOOKUP($B352,'PY1 TFR ADA'!$F:$AU,MATCH("b-1.1",'PY1 TFR ADA'!$F$5:$AU$5,0),FALSE),0)</f>
        <v>0</v>
      </c>
      <c r="H354" s="527"/>
      <c r="I354" s="609">
        <f>IFERROR(VLOOKUP($B352,'PY1 TFR ADA'!$F:$AU,MATCH("b-2.1",'PY1 TFR ADA'!$F$5:$AU$5,0),FALSE),0)</f>
        <v>0</v>
      </c>
      <c r="J354" s="527"/>
      <c r="K354" s="609">
        <f>IFERROR(VLOOKUP($B352,'PY1 TFR ADA'!$F:$AU,MATCH("b-3.1",'PY1 TFR ADA'!$F$5:$AU$5,0),FALSE),0)</f>
        <v>0</v>
      </c>
      <c r="L354" s="527"/>
      <c r="M354" s="609">
        <f>IFERROR(VLOOKUP($B352,'PY1 TFR ADA'!$F:$AU,MATCH("b-4.1",'PY1 TFR ADA'!$F$5:$AU$5,0),FALSE),0)</f>
        <v>0</v>
      </c>
      <c r="N354" s="527"/>
      <c r="O354" s="609">
        <f>IFERROR(VLOOKUP($B352,'PY1 TFR ADA'!$F:$AU,MATCH("b-5.1",'PY1 TFR ADA'!$F$5:$AU$5,0),FALSE),0)</f>
        <v>0</v>
      </c>
      <c r="P354" s="527"/>
      <c r="Q354" s="609">
        <f>IFERROR(VLOOKUP($B352,'PY1 TFR ADA'!$F:$AU,MATCH("b-6.1",'PY1 TFR ADA'!$F$5:$AU$5,0),FALSE),0)</f>
        <v>0</v>
      </c>
      <c r="R354" s="551"/>
      <c r="S354" s="601">
        <f t="shared" ref="S354:S357" si="498">SUM(G354:Q354)</f>
        <v>0</v>
      </c>
      <c r="T354" s="551"/>
      <c r="U354" s="536">
        <f t="shared" ref="U354" si="499">ROUND(IF($G361="LCFF Rate",(G354*$C354),(G354*$E354))+IF($I361="LCFF Rate",(I354*$C354),(I354*$E354))+IF($K361="LCFF Rate",(K354*$C354),(K354*$E354))+IF($M361="LCFF Rate",(M354*$C354),(M354*$E354))+IF($O361="LCFF Rate",(O354*$C354),(O354*$E354))+IF($Q361="LCFF Rate",(Q354*$C354),(Q354*$E354)),0)</f>
        <v>0</v>
      </c>
      <c r="V354" s="524"/>
      <c r="X354" s="496"/>
    </row>
    <row r="355" spans="1:24" s="8" customFormat="1" ht="14.4">
      <c r="A355" s="521"/>
      <c r="B355" s="510" t="s">
        <v>2</v>
      </c>
      <c r="C355" s="525">
        <f>IFERROR(VLOOKUP($B352,'PY1 TFR ADA'!$F:$AU,MATCH("A-1.2",'PY1 TFR ADA'!$F$5:$AU$5,0),FALSE),0)</f>
        <v>0</v>
      </c>
      <c r="D355" s="167"/>
      <c r="E355" s="525">
        <f>IFERROR(VALUE(VLOOKUP($B352,'PY1 TFR ADA'!$F:$AU,MATCH("A-2.2",'PY1 TFR ADA'!$F$5:$AU$5,0),FALSE)),0)</f>
        <v>0</v>
      </c>
      <c r="F355" s="167"/>
      <c r="G355" s="609">
        <f>IFERROR(VLOOKUP($B352,'PY1 TFR ADA'!$F:$AU,MATCH("b-1.2",'PY1 TFR ADA'!$F$5:$AU$5,0),FALSE),0)</f>
        <v>0</v>
      </c>
      <c r="H355" s="527"/>
      <c r="I355" s="609">
        <f>IFERROR(VLOOKUP($B352,'PY1 TFR ADA'!$F:$AU,MATCH("b-2.2",'PY1 TFR ADA'!$F$5:$AU$5,0),FALSE),0)</f>
        <v>0</v>
      </c>
      <c r="J355" s="527"/>
      <c r="K355" s="609">
        <f>IFERROR(VLOOKUP($B352,'PY1 TFR ADA'!$F:$AU,MATCH("b-3.2",'PY1 TFR ADA'!$F$5:$AU$5,0),FALSE),0)</f>
        <v>0</v>
      </c>
      <c r="L355" s="527"/>
      <c r="M355" s="609">
        <f>IFERROR(VLOOKUP($B352,'PY1 TFR ADA'!$F:$AU,MATCH("b-4.2",'PY1 TFR ADA'!$F$5:$AU$5,0),FALSE),0)</f>
        <v>0</v>
      </c>
      <c r="N355" s="527"/>
      <c r="O355" s="609">
        <f>IFERROR(VLOOKUP($B352,'PY1 TFR ADA'!$F:$AU,MATCH("b-5.2",'PY1 TFR ADA'!$F$5:$AU$5,0),FALSE),0)</f>
        <v>0</v>
      </c>
      <c r="P355" s="527"/>
      <c r="Q355" s="609">
        <f>IFERROR(VLOOKUP($B352,'PY1 TFR ADA'!$F:$AU,MATCH("b-6.2",'PY1 TFR ADA'!$F$5:$AU$5,0),FALSE),0)</f>
        <v>0</v>
      </c>
      <c r="R355" s="551"/>
      <c r="S355" s="601">
        <f t="shared" si="498"/>
        <v>0</v>
      </c>
      <c r="T355" s="551"/>
      <c r="U355" s="536">
        <f t="shared" ref="U355" si="500">ROUND(IF($G361="LCFF Rate",(G355*$C355),(G355*$E355))+IF($I361="LCFF Rate",(I355*$C355),(I355*$E355))+IF($K361="LCFF Rate",(K355*$C355),(K355*$E355))+IF($M361="LCFF Rate",(M355*$C355),(M355*$E355))+IF($O361="LCFF Rate",(O355*$C355),(O355*$E355))+IF($Q361="LCFF Rate",(Q355*$C355),(Q355*$E355)),0)</f>
        <v>0</v>
      </c>
      <c r="V355" s="524"/>
      <c r="X355" s="4"/>
    </row>
    <row r="356" spans="1:24" s="8" customFormat="1" ht="14.4">
      <c r="A356" s="521"/>
      <c r="B356" s="510" t="s">
        <v>3</v>
      </c>
      <c r="C356" s="525">
        <f>IFERROR(VLOOKUP($B352,'PY1 TFR ADA'!$F:$AU,MATCH("A-1.3",'PY1 TFR ADA'!$F$5:$AU$5,0),FALSE),0)</f>
        <v>0</v>
      </c>
      <c r="D356" s="167"/>
      <c r="E356" s="525">
        <f>IFERROR(VALUE(VLOOKUP($B352,'PY1 TFR ADA'!$F:$AU,MATCH("A-2.3",'PY1 TFR ADA'!$F$5:$AU$5,0),FALSE)),0)</f>
        <v>0</v>
      </c>
      <c r="F356" s="167"/>
      <c r="G356" s="609">
        <f>IFERROR(VLOOKUP($B352,'PY1 TFR ADA'!$F:$AU,MATCH("b-1.3",'PY1 TFR ADA'!$F$5:$AU$5,0),FALSE),0)</f>
        <v>0</v>
      </c>
      <c r="H356" s="527"/>
      <c r="I356" s="609">
        <f>IFERROR(VLOOKUP($B352,'PY1 TFR ADA'!$F:$AU,MATCH("b-2.3",'PY1 TFR ADA'!$F$5:$AU$5,0),FALSE),0)</f>
        <v>0</v>
      </c>
      <c r="J356" s="527"/>
      <c r="K356" s="609">
        <f>IFERROR(VLOOKUP($B352,'PY1 TFR ADA'!$F:$AU,MATCH("b-3.3",'PY1 TFR ADA'!$F$5:$AU$5,0),FALSE),0)</f>
        <v>0</v>
      </c>
      <c r="L356" s="527"/>
      <c r="M356" s="609">
        <f>IFERROR(VLOOKUP($B352,'PY1 TFR ADA'!$F:$AU,MATCH("b-4.3",'PY1 TFR ADA'!$F$5:$AU$5,0),FALSE),0)</f>
        <v>0</v>
      </c>
      <c r="N356" s="527"/>
      <c r="O356" s="609">
        <f>IFERROR(VLOOKUP($B352,'PY1 TFR ADA'!$F:$AU,MATCH("b-5.3",'PY1 TFR ADA'!$F$5:$AU$5,0),FALSE),0)</f>
        <v>0</v>
      </c>
      <c r="P356" s="527"/>
      <c r="Q356" s="609">
        <f>IFERROR(VLOOKUP($B352,'PY1 TFR ADA'!$F:$AU,MATCH("b-6.3",'PY1 TFR ADA'!$F$5:$AU$5,0),FALSE),0)</f>
        <v>0</v>
      </c>
      <c r="R356" s="551"/>
      <c r="S356" s="601">
        <f t="shared" si="498"/>
        <v>0</v>
      </c>
      <c r="T356" s="551"/>
      <c r="U356" s="536">
        <f t="shared" ref="U356" si="501">ROUND(IF($G361="LCFF Rate",(G356*$C356),(G356*$E356))+IF($I361="LCFF Rate",(I356*$C356),(I356*$E356))+IF($K361="LCFF Rate",(K356*$C356),(K356*$E356))+IF($M361="LCFF Rate",(M356*$C356),(M356*$E356))+IF($O361="LCFF Rate",(O356*$C356),(O356*$E356))+IF($Q361="LCFF Rate",(Q356*$C356),(Q356*$E356)),0)</f>
        <v>0</v>
      </c>
      <c r="V356" s="524"/>
      <c r="X356" s="4"/>
    </row>
    <row r="357" spans="1:24" s="8" customFormat="1" ht="14.4">
      <c r="A357" s="526"/>
      <c r="B357" s="510" t="s">
        <v>4</v>
      </c>
      <c r="C357" s="525">
        <f>IFERROR(VLOOKUP($B352,'PY1 TFR ADA'!$F:$AU,MATCH("A-1.4",'PY1 TFR ADA'!$F$5:$AU$5,0),FALSE),0)</f>
        <v>0</v>
      </c>
      <c r="D357" s="523"/>
      <c r="E357" s="525">
        <f>IFERROR(VALUE(VLOOKUP($B352,'PY1 TFR ADA'!$F:$AU,MATCH("A-2.4",'PY1 TFR ADA'!$F$5:$AU$5,0),FALSE)),0)</f>
        <v>0</v>
      </c>
      <c r="F357" s="523"/>
      <c r="G357" s="609">
        <f>IFERROR(VLOOKUP($B352,'PY1 TFR ADA'!$F:$AU,MATCH("b-1.4",'PY1 TFR ADA'!$F$5:$AU$5,0),FALSE),0)</f>
        <v>0</v>
      </c>
      <c r="H357" s="527"/>
      <c r="I357" s="609">
        <f>IFERROR(VLOOKUP($B352,'PY1 TFR ADA'!$F:$AU,MATCH("b-2.4",'PY1 TFR ADA'!$F$5:$AU$5,0),FALSE),0)</f>
        <v>0</v>
      </c>
      <c r="J357" s="527"/>
      <c r="K357" s="609">
        <f>IFERROR(VLOOKUP($B352,'PY1 TFR ADA'!$F:$AU,MATCH("b-3.4",'PY1 TFR ADA'!$F$5:$AU$5,0),FALSE),0)</f>
        <v>0</v>
      </c>
      <c r="L357" s="527"/>
      <c r="M357" s="609">
        <f>IFERROR(VLOOKUP($B352,'PY1 TFR ADA'!$F:$AU,MATCH("b-4.4",'PY1 TFR ADA'!$F$5:$AU$5,0),FALSE),0)</f>
        <v>0</v>
      </c>
      <c r="N357" s="527"/>
      <c r="O357" s="609">
        <f>IFERROR(VLOOKUP($B352,'PY1 TFR ADA'!$F:$AU,MATCH("b-5.4",'PY1 TFR ADA'!$F$5:$AU$5,0),FALSE),0)</f>
        <v>0</v>
      </c>
      <c r="P357" s="527"/>
      <c r="Q357" s="609">
        <f>IFERROR(VLOOKUP($B352,'PY1 TFR ADA'!$F:$AU,MATCH("b-6.4",'PY1 TFR ADA'!$F$5:$AU$5,0),FALSE),0)</f>
        <v>0</v>
      </c>
      <c r="R357" s="551"/>
      <c r="S357" s="601">
        <f t="shared" si="498"/>
        <v>0</v>
      </c>
      <c r="T357" s="551"/>
      <c r="U357" s="536">
        <f t="shared" ref="U357" si="502">ROUND(IF($G361="LCFF Rate",(G357*$C357),(G357*$E357))+IF($I361="LCFF Rate",(I357*$C357),(I357*$E357))+IF($K361="LCFF Rate",(K357*$C357),(K357*$E357))+IF($M361="LCFF Rate",(M357*$C357),(M357*$E357))+IF($O361="LCFF Rate",(O357*$C357),(O357*$E357))+IF($Q361="LCFF Rate",(Q357*$C357),(Q357*$E357)),0)</f>
        <v>0</v>
      </c>
      <c r="V357" s="522"/>
      <c r="X357" s="496"/>
    </row>
    <row r="358" spans="1:24" s="8" customFormat="1" ht="8.25" customHeight="1">
      <c r="A358" s="521"/>
      <c r="B358" s="167"/>
      <c r="C358" s="165"/>
      <c r="D358" s="523"/>
      <c r="E358" s="165"/>
      <c r="F358" s="523"/>
      <c r="G358" s="520"/>
      <c r="H358" s="523"/>
      <c r="I358" s="520"/>
      <c r="J358" s="523"/>
      <c r="K358" s="520"/>
      <c r="L358" s="523"/>
      <c r="M358" s="520"/>
      <c r="N358" s="523"/>
      <c r="O358" s="520"/>
      <c r="P358" s="523"/>
      <c r="Q358" s="520"/>
      <c r="R358" s="167"/>
      <c r="S358" s="520"/>
      <c r="T358" s="167"/>
      <c r="U358" s="602"/>
      <c r="V358" s="522"/>
      <c r="X358" s="4"/>
    </row>
    <row r="359" spans="1:24" s="8" customFormat="1" ht="14.4">
      <c r="A359" s="521"/>
      <c r="B359" s="167"/>
      <c r="C359" s="165"/>
      <c r="D359" s="523"/>
      <c r="E359" s="513" t="s">
        <v>1317</v>
      </c>
      <c r="F359" s="523"/>
      <c r="G359" s="601">
        <f t="shared" ref="G359" si="503">SUM(G354:G357)</f>
        <v>0</v>
      </c>
      <c r="H359" s="527"/>
      <c r="I359" s="601">
        <f t="shared" ref="I359" si="504">SUM(I354:I357)</f>
        <v>0</v>
      </c>
      <c r="J359" s="527"/>
      <c r="K359" s="601">
        <f t="shared" ref="K359" si="505">SUM(K354:K357)</f>
        <v>0</v>
      </c>
      <c r="L359" s="527"/>
      <c r="M359" s="601">
        <f t="shared" ref="M359" si="506">SUM(M354:M357)</f>
        <v>0</v>
      </c>
      <c r="N359" s="527"/>
      <c r="O359" s="601">
        <f t="shared" ref="O359" si="507">SUM(O354:O357)</f>
        <v>0</v>
      </c>
      <c r="P359" s="527"/>
      <c r="Q359" s="601">
        <f t="shared" ref="Q359" si="508">SUM(Q354:Q357)</f>
        <v>0</v>
      </c>
      <c r="R359" s="527"/>
      <c r="S359" s="601">
        <f t="shared" ref="S359" si="509">SUM(S354:S357)</f>
        <v>0</v>
      </c>
      <c r="T359" s="527"/>
      <c r="U359" s="536">
        <f t="shared" ref="U359" si="510">SUM(U354:U357)</f>
        <v>0</v>
      </c>
      <c r="V359" s="522"/>
      <c r="X359" s="4"/>
    </row>
    <row r="360" spans="1:24" s="8" customFormat="1" ht="8.25" customHeight="1">
      <c r="A360" s="521"/>
      <c r="B360" s="167"/>
      <c r="C360" s="165"/>
      <c r="D360" s="523"/>
      <c r="E360" s="165"/>
      <c r="F360" s="523"/>
      <c r="G360" s="520"/>
      <c r="H360" s="523"/>
      <c r="I360" s="520"/>
      <c r="J360" s="523"/>
      <c r="K360" s="520"/>
      <c r="L360" s="523"/>
      <c r="M360" s="520"/>
      <c r="N360" s="523"/>
      <c r="O360" s="520"/>
      <c r="P360" s="523"/>
      <c r="Q360" s="520"/>
      <c r="R360" s="167"/>
      <c r="S360" s="520"/>
      <c r="T360" s="167"/>
      <c r="U360" s="528"/>
      <c r="V360" s="522"/>
      <c r="X360" s="4"/>
    </row>
    <row r="361" spans="1:24" s="8" customFormat="1" ht="16.5" customHeight="1">
      <c r="A361" s="521"/>
      <c r="B361" s="167"/>
      <c r="C361" s="165"/>
      <c r="E361" s="513" t="s">
        <v>1304</v>
      </c>
      <c r="F361" s="523"/>
      <c r="G361" s="977">
        <f>_xlfn.IFNA(IF(VLOOKUP($B352,'PY1 TFR ADA'!$F:$AU,MATCH("B-1.5",'PY1 TFR ADA'!$F$5:$AU$5,0),FALSE)=TRUE,IF(VLOOKUP($B352,'PY1 TFR ADA'!$F:$AU,MATCH("C-1",'PY1 TFR ADA'!$F$5:$AU$5,0),FALSE)=TRUE,"Alternative Rate","LCFF Rate"),"LCFF Rate"),0)</f>
        <v>0</v>
      </c>
      <c r="H361" s="523"/>
      <c r="I361" s="977">
        <f>_xlfn.IFNA(IF(VLOOKUP($B352,'PY1 TFR ADA'!$F:$AU,MATCH("B-2.5",'PY1 TFR ADA'!$F$5:$AU$5,0),FALSE)=TRUE,IF(VLOOKUP($B352,'PY1 TFR ADA'!$F:$AU,MATCH("C-1",'PY1 TFR ADA'!$F$5:$AU$5,0),FALSE)=TRUE,"Alternative Rate","LCFF Rate"),"LCFF Rate"),0)</f>
        <v>0</v>
      </c>
      <c r="J361" s="523"/>
      <c r="K361" s="977">
        <f>_xlfn.IFNA(IF(VLOOKUP($B352,'PY1 TFR ADA'!$F:$AU,MATCH("B-3.5",'PY1 TFR ADA'!$F$5:$AU$5,0),FALSE)=TRUE,IF(VLOOKUP($B352,'PY1 TFR ADA'!$F:$AU,MATCH("C-1",'PY1 TFR ADA'!$F$5:$AU$5,0),FALSE)=TRUE,"Alternative Rate","LCFF Rate"),"LCFF Rate"),0)</f>
        <v>0</v>
      </c>
      <c r="L361" s="523"/>
      <c r="M361" s="977">
        <f>_xlfn.IFNA(IF(VLOOKUP($B352,'PY1 TFR ADA'!$F:$AU,MATCH("B-4.5",'PY1 TFR ADA'!$F$5:$AU$5,0),FALSE)=TRUE,IF(VLOOKUP($B352,'PY1 TFR ADA'!$F:$AU,MATCH("C-1",'PY1 TFR ADA'!$F$5:$AU$5,0),FALSE)=TRUE,"Alternative Rate","LCFF Rate"),"LCFF Rate"),0)</f>
        <v>0</v>
      </c>
      <c r="N361" s="523"/>
      <c r="O361" s="977">
        <f>_xlfn.IFNA(IF(VLOOKUP($B352,'PY1 TFR ADA'!$F:$AU,MATCH("B-5.5",'PY1 TFR ADA'!$F$5:$AU$5,0),FALSE)=TRUE,IF(VLOOKUP($B352,'PY1 TFR ADA'!$F:$AU,MATCH("C-1",'PY1 TFR ADA'!$F$5:$AU$5,0),FALSE)=TRUE,"Alternative Rate","LCFF Rate"),"LCFF Rate"),0)</f>
        <v>0</v>
      </c>
      <c r="P361" s="523"/>
      <c r="Q361" s="977">
        <f>_xlfn.IFNA(IF(VLOOKUP($B352,'PY1 TFR ADA'!$F:$AU,MATCH("B-6.5",'PY1 TFR ADA'!$F$5:$AU$5,0),FALSE)=TRUE,IF(VLOOKUP($B352,'PY1 TFR ADA'!$F:$AU,MATCH("C-1",'PY1 TFR ADA'!$F$5:$AU$5,0),FALSE)=TRUE,"Alternative Rate","LCFF Rate"),"LCFF Rate"),0)</f>
        <v>0</v>
      </c>
      <c r="R361" s="167"/>
      <c r="S361" s="520"/>
      <c r="T361" s="167"/>
      <c r="U361" s="528"/>
      <c r="V361" s="522"/>
      <c r="X361" s="283"/>
    </row>
    <row r="362" spans="1:24" s="8" customFormat="1" ht="8.25" customHeight="1">
      <c r="A362" s="521"/>
      <c r="B362" s="167"/>
      <c r="C362" s="165"/>
      <c r="D362" s="523"/>
      <c r="E362" s="165"/>
      <c r="F362" s="523"/>
      <c r="G362" s="520"/>
      <c r="H362" s="523"/>
      <c r="I362" s="520"/>
      <c r="J362" s="523"/>
      <c r="K362" s="520"/>
      <c r="L362" s="523"/>
      <c r="M362" s="520"/>
      <c r="N362" s="523"/>
      <c r="O362" s="520"/>
      <c r="P362" s="523"/>
      <c r="Q362" s="520"/>
      <c r="R362" s="167"/>
      <c r="S362" s="520"/>
      <c r="T362" s="167"/>
      <c r="U362" s="528"/>
      <c r="V362" s="522"/>
      <c r="X362" s="4"/>
    </row>
    <row r="363" spans="1:24" s="8" customFormat="1" ht="16.8">
      <c r="A363" s="521"/>
      <c r="B363" s="2"/>
      <c r="F363" s="523"/>
      <c r="G363" s="535">
        <f t="shared" ref="G363" si="511">IF(G361="LCFF Rate",(G354*C354+G355*C355+G356*C356+G357*C357),(G359*E357))</f>
        <v>0</v>
      </c>
      <c r="H363" s="537"/>
      <c r="I363" s="535">
        <f t="shared" ref="I363" si="512">IF(I361="LCFF Rate",(I354*C354+I355*C355+I356*C356+I357*C357),(I359*E357))</f>
        <v>0</v>
      </c>
      <c r="J363" s="537"/>
      <c r="K363" s="535">
        <f t="shared" ref="K363" si="513">IF(K361="LCFF Rate",(K354*C354+K355*C355+K356*C356+K357*C357),(K359*E357))</f>
        <v>0</v>
      </c>
      <c r="L363" s="537"/>
      <c r="M363" s="535">
        <f t="shared" ref="M363" si="514">IF(M361="LCFF Rate",(M354*C354+M355*C355+M356*C356+M357*C357),(M359*E357))</f>
        <v>0</v>
      </c>
      <c r="N363" s="537"/>
      <c r="O363" s="535">
        <f t="shared" ref="O363" si="515">IF(O361="LCFF Rate",(O354*C354+O355*C355+O356*C356+O357*C357),(O359*E357))</f>
        <v>0</v>
      </c>
      <c r="P363" s="537"/>
      <c r="Q363" s="535">
        <f t="shared" ref="Q363" si="516">IF(Q361="LCFF Rate",(Q354*C354+Q355*C355+Q356*C356+Q357*C357),(Q359*E357))</f>
        <v>0</v>
      </c>
      <c r="R363" s="167"/>
      <c r="S363" s="538">
        <f t="shared" ref="S363" si="517">SUM(G363:Q363)</f>
        <v>0</v>
      </c>
      <c r="T363" s="167"/>
      <c r="U363" s="528"/>
      <c r="V363" s="522"/>
      <c r="X363" s="979"/>
    </row>
    <row r="364" spans="1:24" s="8" customFormat="1" ht="9" customHeight="1" thickBot="1">
      <c r="A364" s="529"/>
      <c r="B364" s="530"/>
      <c r="C364" s="531"/>
      <c r="D364" s="532"/>
      <c r="E364" s="533"/>
      <c r="F364" s="532"/>
      <c r="G364" s="530"/>
      <c r="H364" s="532"/>
      <c r="I364" s="530"/>
      <c r="J364" s="532"/>
      <c r="K364" s="530"/>
      <c r="L364" s="532"/>
      <c r="M364" s="530"/>
      <c r="N364" s="532"/>
      <c r="O364" s="530"/>
      <c r="P364" s="532"/>
      <c r="Q364" s="530"/>
      <c r="R364" s="532"/>
      <c r="S364" s="530"/>
      <c r="T364" s="532"/>
      <c r="U364" s="532"/>
      <c r="V364" s="534"/>
      <c r="X364" s="4"/>
    </row>
    <row r="365" spans="1:24" s="82" customFormat="1" ht="18" customHeight="1" thickBot="1">
      <c r="A365" s="890">
        <f>+A352+1</f>
        <v>28</v>
      </c>
      <c r="B365" s="891" t="str">
        <f>'Data Entry'!$B$3&amp;"-"&amp;C365</f>
        <v>-</v>
      </c>
      <c r="C365" s="891" t="str">
        <f>IFERROR(VLOOKUP('Data Entry'!$B$3&amp;"-"&amp;A365,'PY1 TFR ADA'!$D:$AT,2,FALSE),"")</f>
        <v/>
      </c>
      <c r="D365" s="892" t="str">
        <f>IFERROR(VLOOKUP('Data Entry'!$B$3&amp;"-"&amp;A365,'PY1 TFR ADA'!$D:$AT,4,FALSE),"")</f>
        <v/>
      </c>
      <c r="E365" s="893"/>
      <c r="F365" s="893"/>
      <c r="G365" s="893"/>
      <c r="H365" s="893"/>
      <c r="I365" s="893"/>
      <c r="J365" s="893"/>
      <c r="K365" s="893"/>
      <c r="L365" s="893"/>
      <c r="M365" s="893"/>
      <c r="N365" s="893"/>
      <c r="O365" s="893"/>
      <c r="P365" s="893"/>
      <c r="Q365" s="893"/>
      <c r="R365" s="893"/>
      <c r="S365" s="893"/>
      <c r="T365" s="893"/>
      <c r="U365" s="893"/>
      <c r="V365" s="894"/>
      <c r="X365" s="83"/>
    </row>
    <row r="366" spans="1:24" ht="75" customHeight="1">
      <c r="A366" s="521"/>
      <c r="C366" s="540" t="s">
        <v>1315</v>
      </c>
      <c r="D366" s="512"/>
      <c r="E366" s="540" t="s">
        <v>1316</v>
      </c>
      <c r="F366" s="512"/>
      <c r="G366" s="540" t="s">
        <v>1309</v>
      </c>
      <c r="H366" s="512"/>
      <c r="I366" s="540" t="s">
        <v>1310</v>
      </c>
      <c r="J366" s="512"/>
      <c r="K366" s="540" t="s">
        <v>1311</v>
      </c>
      <c r="L366" s="512"/>
      <c r="M366" s="540" t="s">
        <v>1312</v>
      </c>
      <c r="N366" s="512"/>
      <c r="O366" s="540" t="s">
        <v>1313</v>
      </c>
      <c r="P366" s="512"/>
      <c r="Q366" s="540" t="s">
        <v>1314</v>
      </c>
      <c r="R366" s="167"/>
      <c r="S366" s="540" t="s">
        <v>1308</v>
      </c>
      <c r="T366" s="167"/>
      <c r="U366" s="512" t="s">
        <v>1307</v>
      </c>
      <c r="V366" s="524"/>
      <c r="X366" s="283"/>
    </row>
    <row r="367" spans="1:24" s="8" customFormat="1" ht="14.4">
      <c r="A367" s="521"/>
      <c r="B367" s="510" t="s">
        <v>94</v>
      </c>
      <c r="C367" s="525">
        <f>IFERROR(VLOOKUP($B365,'PY1 TFR ADA'!$F:$AU,MATCH("A-1.1",'PY1 TFR ADA'!$F$5:$AU$5,0),FALSE),0)</f>
        <v>0</v>
      </c>
      <c r="D367" s="167"/>
      <c r="E367" s="525">
        <f>IFERROR(VALUE(VLOOKUP($B365,'PY1 TFR ADA'!$F:$AU,MATCH("A-2.1",'PY1 TFR ADA'!$F$5:$AU$5,0),FALSE)),0)</f>
        <v>0</v>
      </c>
      <c r="F367" s="167"/>
      <c r="G367" s="609">
        <f>IFERROR(VLOOKUP($B365,'PY1 TFR ADA'!$F:$AU,MATCH("b-1.1",'PY1 TFR ADA'!$F$5:$AU$5,0),FALSE),0)</f>
        <v>0</v>
      </c>
      <c r="H367" s="527"/>
      <c r="I367" s="609">
        <f>IFERROR(VLOOKUP($B365,'PY1 TFR ADA'!$F:$AU,MATCH("b-2.1",'PY1 TFR ADA'!$F$5:$AU$5,0),FALSE),0)</f>
        <v>0</v>
      </c>
      <c r="J367" s="527"/>
      <c r="K367" s="609">
        <f>IFERROR(VLOOKUP($B365,'PY1 TFR ADA'!$F:$AU,MATCH("b-3.1",'PY1 TFR ADA'!$F$5:$AU$5,0),FALSE),0)</f>
        <v>0</v>
      </c>
      <c r="L367" s="527"/>
      <c r="M367" s="609">
        <f>IFERROR(VLOOKUP($B365,'PY1 TFR ADA'!$F:$AU,MATCH("b-4.1",'PY1 TFR ADA'!$F$5:$AU$5,0),FALSE),0)</f>
        <v>0</v>
      </c>
      <c r="N367" s="527"/>
      <c r="O367" s="609">
        <f>IFERROR(VLOOKUP($B365,'PY1 TFR ADA'!$F:$AU,MATCH("b-5.1",'PY1 TFR ADA'!$F$5:$AU$5,0),FALSE),0)</f>
        <v>0</v>
      </c>
      <c r="P367" s="527"/>
      <c r="Q367" s="609">
        <f>IFERROR(VLOOKUP($B365,'PY1 TFR ADA'!$F:$AU,MATCH("b-6.1",'PY1 TFR ADA'!$F$5:$AU$5,0),FALSE),0)</f>
        <v>0</v>
      </c>
      <c r="R367" s="551"/>
      <c r="S367" s="601">
        <f t="shared" ref="S367:S370" si="518">SUM(G367:Q367)</f>
        <v>0</v>
      </c>
      <c r="T367" s="551"/>
      <c r="U367" s="536">
        <f t="shared" ref="U367" si="519">ROUND(IF($G374="LCFF Rate",(G367*$C367),(G367*$E367))+IF($I374="LCFF Rate",(I367*$C367),(I367*$E367))+IF($K374="LCFF Rate",(K367*$C367),(K367*$E367))+IF($M374="LCFF Rate",(M367*$C367),(M367*$E367))+IF($O374="LCFF Rate",(O367*$C367),(O367*$E367))+IF($Q374="LCFF Rate",(Q367*$C367),(Q367*$E367)),0)</f>
        <v>0</v>
      </c>
      <c r="V367" s="524"/>
      <c r="X367" s="496"/>
    </row>
    <row r="368" spans="1:24" s="8" customFormat="1" ht="14.4">
      <c r="A368" s="521"/>
      <c r="B368" s="510" t="s">
        <v>2</v>
      </c>
      <c r="C368" s="525">
        <f>IFERROR(VLOOKUP($B365,'PY1 TFR ADA'!$F:$AU,MATCH("A-1.2",'PY1 TFR ADA'!$F$5:$AU$5,0),FALSE),0)</f>
        <v>0</v>
      </c>
      <c r="D368" s="167"/>
      <c r="E368" s="525">
        <f>IFERROR(VALUE(VLOOKUP($B365,'PY1 TFR ADA'!$F:$AU,MATCH("A-2.2",'PY1 TFR ADA'!$F$5:$AU$5,0),FALSE)),0)</f>
        <v>0</v>
      </c>
      <c r="F368" s="167"/>
      <c r="G368" s="609">
        <f>IFERROR(VLOOKUP($B365,'PY1 TFR ADA'!$F:$AU,MATCH("b-1.2",'PY1 TFR ADA'!$F$5:$AU$5,0),FALSE),0)</f>
        <v>0</v>
      </c>
      <c r="H368" s="527"/>
      <c r="I368" s="609">
        <f>IFERROR(VLOOKUP($B365,'PY1 TFR ADA'!$F:$AU,MATCH("b-2.2",'PY1 TFR ADA'!$F$5:$AU$5,0),FALSE),0)</f>
        <v>0</v>
      </c>
      <c r="J368" s="527"/>
      <c r="K368" s="609">
        <f>IFERROR(VLOOKUP($B365,'PY1 TFR ADA'!$F:$AU,MATCH("b-3.2",'PY1 TFR ADA'!$F$5:$AU$5,0),FALSE),0)</f>
        <v>0</v>
      </c>
      <c r="L368" s="527"/>
      <c r="M368" s="609">
        <f>IFERROR(VLOOKUP($B365,'PY1 TFR ADA'!$F:$AU,MATCH("b-4.2",'PY1 TFR ADA'!$F$5:$AU$5,0),FALSE),0)</f>
        <v>0</v>
      </c>
      <c r="N368" s="527"/>
      <c r="O368" s="609">
        <f>IFERROR(VLOOKUP($B365,'PY1 TFR ADA'!$F:$AU,MATCH("b-5.2",'PY1 TFR ADA'!$F$5:$AU$5,0),FALSE),0)</f>
        <v>0</v>
      </c>
      <c r="P368" s="527"/>
      <c r="Q368" s="609">
        <f>IFERROR(VLOOKUP($B365,'PY1 TFR ADA'!$F:$AU,MATCH("b-6.2",'PY1 TFR ADA'!$F$5:$AU$5,0),FALSE),0)</f>
        <v>0</v>
      </c>
      <c r="R368" s="551"/>
      <c r="S368" s="601">
        <f t="shared" si="518"/>
        <v>0</v>
      </c>
      <c r="T368" s="551"/>
      <c r="U368" s="536">
        <f t="shared" ref="U368" si="520">ROUND(IF($G374="LCFF Rate",(G368*$C368),(G368*$E368))+IF($I374="LCFF Rate",(I368*$C368),(I368*$E368))+IF($K374="LCFF Rate",(K368*$C368),(K368*$E368))+IF($M374="LCFF Rate",(M368*$C368),(M368*$E368))+IF($O374="LCFF Rate",(O368*$C368),(O368*$E368))+IF($Q374="LCFF Rate",(Q368*$C368),(Q368*$E368)),0)</f>
        <v>0</v>
      </c>
      <c r="V368" s="524"/>
      <c r="X368" s="4"/>
    </row>
    <row r="369" spans="1:24" s="8" customFormat="1" ht="14.4">
      <c r="A369" s="521"/>
      <c r="B369" s="510" t="s">
        <v>3</v>
      </c>
      <c r="C369" s="525">
        <f>IFERROR(VLOOKUP($B365,'PY1 TFR ADA'!$F:$AU,MATCH("A-1.3",'PY1 TFR ADA'!$F$5:$AU$5,0),FALSE),0)</f>
        <v>0</v>
      </c>
      <c r="D369" s="167"/>
      <c r="E369" s="525">
        <f>IFERROR(VALUE(VLOOKUP($B365,'PY1 TFR ADA'!$F:$AU,MATCH("A-2.3",'PY1 TFR ADA'!$F$5:$AU$5,0),FALSE)),0)</f>
        <v>0</v>
      </c>
      <c r="F369" s="167"/>
      <c r="G369" s="609">
        <f>IFERROR(VLOOKUP($B365,'PY1 TFR ADA'!$F:$AU,MATCH("b-1.3",'PY1 TFR ADA'!$F$5:$AU$5,0),FALSE),0)</f>
        <v>0</v>
      </c>
      <c r="H369" s="527"/>
      <c r="I369" s="609">
        <f>IFERROR(VLOOKUP($B365,'PY1 TFR ADA'!$F:$AU,MATCH("b-2.3",'PY1 TFR ADA'!$F$5:$AU$5,0),FALSE),0)</f>
        <v>0</v>
      </c>
      <c r="J369" s="527"/>
      <c r="K369" s="609">
        <f>IFERROR(VLOOKUP($B365,'PY1 TFR ADA'!$F:$AU,MATCH("b-3.3",'PY1 TFR ADA'!$F$5:$AU$5,0),FALSE),0)</f>
        <v>0</v>
      </c>
      <c r="L369" s="527"/>
      <c r="M369" s="609">
        <f>IFERROR(VLOOKUP($B365,'PY1 TFR ADA'!$F:$AU,MATCH("b-4.3",'PY1 TFR ADA'!$F$5:$AU$5,0),FALSE),0)</f>
        <v>0</v>
      </c>
      <c r="N369" s="527"/>
      <c r="O369" s="609">
        <f>IFERROR(VLOOKUP($B365,'PY1 TFR ADA'!$F:$AU,MATCH("b-5.3",'PY1 TFR ADA'!$F$5:$AU$5,0),FALSE),0)</f>
        <v>0</v>
      </c>
      <c r="P369" s="527"/>
      <c r="Q369" s="609">
        <f>IFERROR(VLOOKUP($B365,'PY1 TFR ADA'!$F:$AU,MATCH("b-6.3",'PY1 TFR ADA'!$F$5:$AU$5,0),FALSE),0)</f>
        <v>0</v>
      </c>
      <c r="R369" s="551"/>
      <c r="S369" s="601">
        <f t="shared" si="518"/>
        <v>0</v>
      </c>
      <c r="T369" s="551"/>
      <c r="U369" s="536">
        <f t="shared" ref="U369" si="521">ROUND(IF($G374="LCFF Rate",(G369*$C369),(G369*$E369))+IF($I374="LCFF Rate",(I369*$C369),(I369*$E369))+IF($K374="LCFF Rate",(K369*$C369),(K369*$E369))+IF($M374="LCFF Rate",(M369*$C369),(M369*$E369))+IF($O374="LCFF Rate",(O369*$C369),(O369*$E369))+IF($Q374="LCFF Rate",(Q369*$C369),(Q369*$E369)),0)</f>
        <v>0</v>
      </c>
      <c r="V369" s="524"/>
      <c r="X369" s="4"/>
    </row>
    <row r="370" spans="1:24" s="8" customFormat="1" ht="14.4">
      <c r="A370" s="526"/>
      <c r="B370" s="510" t="s">
        <v>4</v>
      </c>
      <c r="C370" s="525">
        <f>IFERROR(VLOOKUP($B365,'PY1 TFR ADA'!$F:$AU,MATCH("A-1.4",'PY1 TFR ADA'!$F$5:$AU$5,0),FALSE),0)</f>
        <v>0</v>
      </c>
      <c r="D370" s="523"/>
      <c r="E370" s="525">
        <f>IFERROR(VALUE(VLOOKUP($B365,'PY1 TFR ADA'!$F:$AU,MATCH("A-2.4",'PY1 TFR ADA'!$F$5:$AU$5,0),FALSE)),0)</f>
        <v>0</v>
      </c>
      <c r="F370" s="523"/>
      <c r="G370" s="609">
        <f>IFERROR(VLOOKUP($B365,'PY1 TFR ADA'!$F:$AU,MATCH("b-1.4",'PY1 TFR ADA'!$F$5:$AU$5,0),FALSE),0)</f>
        <v>0</v>
      </c>
      <c r="H370" s="527"/>
      <c r="I370" s="609">
        <f>IFERROR(VLOOKUP($B365,'PY1 TFR ADA'!$F:$AU,MATCH("b-2.4",'PY1 TFR ADA'!$F$5:$AU$5,0),FALSE),0)</f>
        <v>0</v>
      </c>
      <c r="J370" s="527"/>
      <c r="K370" s="609">
        <f>IFERROR(VLOOKUP($B365,'PY1 TFR ADA'!$F:$AU,MATCH("b-3.4",'PY1 TFR ADA'!$F$5:$AU$5,0),FALSE),0)</f>
        <v>0</v>
      </c>
      <c r="L370" s="527"/>
      <c r="M370" s="609">
        <f>IFERROR(VLOOKUP($B365,'PY1 TFR ADA'!$F:$AU,MATCH("b-4.4",'PY1 TFR ADA'!$F$5:$AU$5,0),FALSE),0)</f>
        <v>0</v>
      </c>
      <c r="N370" s="527"/>
      <c r="O370" s="609">
        <f>IFERROR(VLOOKUP($B365,'PY1 TFR ADA'!$F:$AU,MATCH("b-5.4",'PY1 TFR ADA'!$F$5:$AU$5,0),FALSE),0)</f>
        <v>0</v>
      </c>
      <c r="P370" s="527"/>
      <c r="Q370" s="609">
        <f>IFERROR(VLOOKUP($B365,'PY1 TFR ADA'!$F:$AU,MATCH("b-6.4",'PY1 TFR ADA'!$F$5:$AU$5,0),FALSE),0)</f>
        <v>0</v>
      </c>
      <c r="R370" s="551"/>
      <c r="S370" s="601">
        <f t="shared" si="518"/>
        <v>0</v>
      </c>
      <c r="T370" s="551"/>
      <c r="U370" s="536">
        <f t="shared" ref="U370" si="522">ROUND(IF($G374="LCFF Rate",(G370*$C370),(G370*$E370))+IF($I374="LCFF Rate",(I370*$C370),(I370*$E370))+IF($K374="LCFF Rate",(K370*$C370),(K370*$E370))+IF($M374="LCFF Rate",(M370*$C370),(M370*$E370))+IF($O374="LCFF Rate",(O370*$C370),(O370*$E370))+IF($Q374="LCFF Rate",(Q370*$C370),(Q370*$E370)),0)</f>
        <v>0</v>
      </c>
      <c r="V370" s="522"/>
      <c r="X370" s="496"/>
    </row>
    <row r="371" spans="1:24" s="8" customFormat="1" ht="8.25" customHeight="1">
      <c r="A371" s="521"/>
      <c r="B371" s="167"/>
      <c r="C371" s="165"/>
      <c r="D371" s="523"/>
      <c r="E371" s="165"/>
      <c r="F371" s="523"/>
      <c r="G371" s="520"/>
      <c r="H371" s="523"/>
      <c r="I371" s="520"/>
      <c r="J371" s="523"/>
      <c r="K371" s="520"/>
      <c r="L371" s="523"/>
      <c r="M371" s="520"/>
      <c r="N371" s="523"/>
      <c r="O371" s="520"/>
      <c r="P371" s="523"/>
      <c r="Q371" s="520"/>
      <c r="R371" s="167"/>
      <c r="S371" s="520"/>
      <c r="T371" s="167"/>
      <c r="U371" s="602"/>
      <c r="V371" s="522"/>
      <c r="X371" s="4"/>
    </row>
    <row r="372" spans="1:24" s="8" customFormat="1" ht="14.4">
      <c r="A372" s="521"/>
      <c r="B372" s="167"/>
      <c r="C372" s="165"/>
      <c r="D372" s="523"/>
      <c r="E372" s="513" t="s">
        <v>1317</v>
      </c>
      <c r="F372" s="523"/>
      <c r="G372" s="601">
        <f t="shared" ref="G372" si="523">SUM(G367:G370)</f>
        <v>0</v>
      </c>
      <c r="H372" s="527"/>
      <c r="I372" s="601">
        <f t="shared" ref="I372" si="524">SUM(I367:I370)</f>
        <v>0</v>
      </c>
      <c r="J372" s="527"/>
      <c r="K372" s="601">
        <f t="shared" ref="K372" si="525">SUM(K367:K370)</f>
        <v>0</v>
      </c>
      <c r="L372" s="527"/>
      <c r="M372" s="601">
        <f t="shared" ref="M372" si="526">SUM(M367:M370)</f>
        <v>0</v>
      </c>
      <c r="N372" s="527"/>
      <c r="O372" s="601">
        <f t="shared" ref="O372" si="527">SUM(O367:O370)</f>
        <v>0</v>
      </c>
      <c r="P372" s="527"/>
      <c r="Q372" s="601">
        <f t="shared" ref="Q372" si="528">SUM(Q367:Q370)</f>
        <v>0</v>
      </c>
      <c r="R372" s="527"/>
      <c r="S372" s="601">
        <f t="shared" ref="S372" si="529">SUM(S367:S370)</f>
        <v>0</v>
      </c>
      <c r="T372" s="527"/>
      <c r="U372" s="536">
        <f t="shared" ref="U372" si="530">SUM(U367:U370)</f>
        <v>0</v>
      </c>
      <c r="V372" s="522"/>
      <c r="X372" s="4"/>
    </row>
    <row r="373" spans="1:24" s="8" customFormat="1" ht="8.25" customHeight="1">
      <c r="A373" s="521"/>
      <c r="B373" s="167"/>
      <c r="C373" s="165"/>
      <c r="D373" s="523"/>
      <c r="E373" s="165"/>
      <c r="F373" s="523"/>
      <c r="G373" s="520"/>
      <c r="H373" s="523"/>
      <c r="I373" s="520"/>
      <c r="J373" s="523"/>
      <c r="K373" s="520"/>
      <c r="L373" s="523"/>
      <c r="M373" s="520"/>
      <c r="N373" s="523"/>
      <c r="O373" s="520"/>
      <c r="P373" s="523"/>
      <c r="Q373" s="520"/>
      <c r="R373" s="167"/>
      <c r="S373" s="520"/>
      <c r="T373" s="167"/>
      <c r="U373" s="528"/>
      <c r="V373" s="522"/>
      <c r="X373" s="4"/>
    </row>
    <row r="374" spans="1:24" s="8" customFormat="1" ht="16.5" customHeight="1">
      <c r="A374" s="521"/>
      <c r="B374" s="167"/>
      <c r="C374" s="165"/>
      <c r="E374" s="513" t="s">
        <v>1304</v>
      </c>
      <c r="F374" s="523"/>
      <c r="G374" s="977">
        <f>_xlfn.IFNA(IF(VLOOKUP($B365,'PY1 TFR ADA'!$F:$AU,MATCH("B-1.5",'PY1 TFR ADA'!$F$5:$AU$5,0),FALSE)=TRUE,IF(VLOOKUP($B365,'PY1 TFR ADA'!$F:$AU,MATCH("C-1",'PY1 TFR ADA'!$F$5:$AU$5,0),FALSE)=TRUE,"Alternative Rate","LCFF Rate"),"LCFF Rate"),0)</f>
        <v>0</v>
      </c>
      <c r="H374" s="523"/>
      <c r="I374" s="977">
        <f>_xlfn.IFNA(IF(VLOOKUP($B365,'PY1 TFR ADA'!$F:$AU,MATCH("B-2.5",'PY1 TFR ADA'!$F$5:$AU$5,0),FALSE)=TRUE,IF(VLOOKUP($B365,'PY1 TFR ADA'!$F:$AU,MATCH("C-1",'PY1 TFR ADA'!$F$5:$AU$5,0),FALSE)=TRUE,"Alternative Rate","LCFF Rate"),"LCFF Rate"),0)</f>
        <v>0</v>
      </c>
      <c r="J374" s="523"/>
      <c r="K374" s="977">
        <f>_xlfn.IFNA(IF(VLOOKUP($B365,'PY1 TFR ADA'!$F:$AU,MATCH("B-3.5",'PY1 TFR ADA'!$F$5:$AU$5,0),FALSE)=TRUE,IF(VLOOKUP($B365,'PY1 TFR ADA'!$F:$AU,MATCH("C-1",'PY1 TFR ADA'!$F$5:$AU$5,0),FALSE)=TRUE,"Alternative Rate","LCFF Rate"),"LCFF Rate"),0)</f>
        <v>0</v>
      </c>
      <c r="L374" s="523"/>
      <c r="M374" s="977">
        <f>_xlfn.IFNA(IF(VLOOKUP($B365,'PY1 TFR ADA'!$F:$AU,MATCH("B-4.5",'PY1 TFR ADA'!$F$5:$AU$5,0),FALSE)=TRUE,IF(VLOOKUP($B365,'PY1 TFR ADA'!$F:$AU,MATCH("C-1",'PY1 TFR ADA'!$F$5:$AU$5,0),FALSE)=TRUE,"Alternative Rate","LCFF Rate"),"LCFF Rate"),0)</f>
        <v>0</v>
      </c>
      <c r="N374" s="523"/>
      <c r="O374" s="977">
        <f>_xlfn.IFNA(IF(VLOOKUP($B365,'PY1 TFR ADA'!$F:$AU,MATCH("B-5.5",'PY1 TFR ADA'!$F$5:$AU$5,0),FALSE)=TRUE,IF(VLOOKUP($B365,'PY1 TFR ADA'!$F:$AU,MATCH("C-1",'PY1 TFR ADA'!$F$5:$AU$5,0),FALSE)=TRUE,"Alternative Rate","LCFF Rate"),"LCFF Rate"),0)</f>
        <v>0</v>
      </c>
      <c r="P374" s="523"/>
      <c r="Q374" s="977">
        <f>_xlfn.IFNA(IF(VLOOKUP($B365,'PY1 TFR ADA'!$F:$AU,MATCH("B-6.5",'PY1 TFR ADA'!$F$5:$AU$5,0),FALSE)=TRUE,IF(VLOOKUP($B365,'PY1 TFR ADA'!$F:$AU,MATCH("C-1",'PY1 TFR ADA'!$F$5:$AU$5,0),FALSE)=TRUE,"Alternative Rate","LCFF Rate"),"LCFF Rate"),0)</f>
        <v>0</v>
      </c>
      <c r="R374" s="167"/>
      <c r="S374" s="520"/>
      <c r="T374" s="167"/>
      <c r="U374" s="528"/>
      <c r="V374" s="522"/>
      <c r="X374" s="283"/>
    </row>
    <row r="375" spans="1:24" s="8" customFormat="1" ht="8.25" customHeight="1">
      <c r="A375" s="521"/>
      <c r="B375" s="167"/>
      <c r="C375" s="165"/>
      <c r="D375" s="523"/>
      <c r="E375" s="165"/>
      <c r="F375" s="523"/>
      <c r="G375" s="520"/>
      <c r="H375" s="523"/>
      <c r="I375" s="520"/>
      <c r="J375" s="523"/>
      <c r="K375" s="520"/>
      <c r="L375" s="523"/>
      <c r="M375" s="520"/>
      <c r="N375" s="523"/>
      <c r="O375" s="520"/>
      <c r="P375" s="523"/>
      <c r="Q375" s="520"/>
      <c r="R375" s="167"/>
      <c r="S375" s="520"/>
      <c r="T375" s="167"/>
      <c r="U375" s="528"/>
      <c r="V375" s="522"/>
      <c r="X375" s="4"/>
    </row>
    <row r="376" spans="1:24" s="8" customFormat="1" ht="16.8">
      <c r="A376" s="521"/>
      <c r="B376" s="2"/>
      <c r="F376" s="523"/>
      <c r="G376" s="535">
        <f t="shared" ref="G376" si="531">IF(G374="LCFF Rate",(G367*C367+G368*C368+G369*C369+G370*C370),(G372*E370))</f>
        <v>0</v>
      </c>
      <c r="H376" s="537"/>
      <c r="I376" s="535">
        <f t="shared" ref="I376" si="532">IF(I374="LCFF Rate",(I367*C367+I368*C368+I369*C369+I370*C370),(I372*E370))</f>
        <v>0</v>
      </c>
      <c r="J376" s="537"/>
      <c r="K376" s="535">
        <f t="shared" ref="K376" si="533">IF(K374="LCFF Rate",(K367*C367+K368*C368+K369*C369+K370*C370),(K372*E370))</f>
        <v>0</v>
      </c>
      <c r="L376" s="537"/>
      <c r="M376" s="535">
        <f t="shared" ref="M376" si="534">IF(M374="LCFF Rate",(M367*C367+M368*C368+M369*C369+M370*C370),(M372*E370))</f>
        <v>0</v>
      </c>
      <c r="N376" s="537"/>
      <c r="O376" s="535">
        <f t="shared" ref="O376" si="535">IF(O374="LCFF Rate",(O367*C367+O368*C368+O369*C369+O370*C370),(O372*E370))</f>
        <v>0</v>
      </c>
      <c r="P376" s="537"/>
      <c r="Q376" s="535">
        <f t="shared" ref="Q376" si="536">IF(Q374="LCFF Rate",(Q367*C367+Q368*C368+Q369*C369+Q370*C370),(Q372*E370))</f>
        <v>0</v>
      </c>
      <c r="R376" s="167"/>
      <c r="S376" s="538">
        <f t="shared" ref="S376" si="537">SUM(G376:Q376)</f>
        <v>0</v>
      </c>
      <c r="T376" s="167"/>
      <c r="U376" s="528"/>
      <c r="V376" s="522"/>
      <c r="X376" s="979"/>
    </row>
    <row r="377" spans="1:24" s="8" customFormat="1" ht="9" customHeight="1" thickBot="1">
      <c r="A377" s="529"/>
      <c r="B377" s="530"/>
      <c r="C377" s="531"/>
      <c r="D377" s="532"/>
      <c r="E377" s="533"/>
      <c r="F377" s="532"/>
      <c r="G377" s="530"/>
      <c r="H377" s="532"/>
      <c r="I377" s="530"/>
      <c r="J377" s="532"/>
      <c r="K377" s="530"/>
      <c r="L377" s="532"/>
      <c r="M377" s="530"/>
      <c r="N377" s="532"/>
      <c r="O377" s="530"/>
      <c r="P377" s="532"/>
      <c r="Q377" s="530"/>
      <c r="R377" s="532"/>
      <c r="S377" s="530"/>
      <c r="T377" s="532"/>
      <c r="U377" s="532"/>
      <c r="V377" s="534"/>
      <c r="X377" s="4"/>
    </row>
    <row r="378" spans="1:24" s="82" customFormat="1" ht="18" customHeight="1" thickBot="1">
      <c r="A378" s="890">
        <f>+A365+1</f>
        <v>29</v>
      </c>
      <c r="B378" s="891" t="str">
        <f>'Data Entry'!$B$3&amp;"-"&amp;C378</f>
        <v>-</v>
      </c>
      <c r="C378" s="891" t="str">
        <f>IFERROR(VLOOKUP('Data Entry'!$B$3&amp;"-"&amp;A378,'PY1 TFR ADA'!$D:$AT,2,FALSE),"")</f>
        <v/>
      </c>
      <c r="D378" s="892" t="str">
        <f>IFERROR(VLOOKUP('Data Entry'!$B$3&amp;"-"&amp;A378,'PY1 TFR ADA'!$D:$AT,4,FALSE),"")</f>
        <v/>
      </c>
      <c r="E378" s="893"/>
      <c r="F378" s="893"/>
      <c r="G378" s="893"/>
      <c r="H378" s="893"/>
      <c r="I378" s="893"/>
      <c r="J378" s="893"/>
      <c r="K378" s="893"/>
      <c r="L378" s="893"/>
      <c r="M378" s="893"/>
      <c r="N378" s="893"/>
      <c r="O378" s="893"/>
      <c r="P378" s="893"/>
      <c r="Q378" s="893"/>
      <c r="R378" s="893"/>
      <c r="S378" s="893"/>
      <c r="T378" s="893"/>
      <c r="U378" s="893"/>
      <c r="V378" s="894"/>
      <c r="X378" s="83"/>
    </row>
    <row r="379" spans="1:24" ht="75" customHeight="1">
      <c r="A379" s="521"/>
      <c r="C379" s="540" t="s">
        <v>1315</v>
      </c>
      <c r="D379" s="512"/>
      <c r="E379" s="540" t="s">
        <v>1316</v>
      </c>
      <c r="F379" s="512"/>
      <c r="G379" s="540" t="s">
        <v>1309</v>
      </c>
      <c r="H379" s="512"/>
      <c r="I379" s="540" t="s">
        <v>1310</v>
      </c>
      <c r="J379" s="512"/>
      <c r="K379" s="540" t="s">
        <v>1311</v>
      </c>
      <c r="L379" s="512"/>
      <c r="M379" s="540" t="s">
        <v>1312</v>
      </c>
      <c r="N379" s="512"/>
      <c r="O379" s="540" t="s">
        <v>1313</v>
      </c>
      <c r="P379" s="512"/>
      <c r="Q379" s="540" t="s">
        <v>1314</v>
      </c>
      <c r="R379" s="167"/>
      <c r="S379" s="540" t="s">
        <v>1308</v>
      </c>
      <c r="T379" s="167"/>
      <c r="U379" s="512" t="s">
        <v>1307</v>
      </c>
      <c r="V379" s="524"/>
      <c r="X379" s="283"/>
    </row>
    <row r="380" spans="1:24" s="8" customFormat="1" ht="14.4">
      <c r="A380" s="521"/>
      <c r="B380" s="510" t="s">
        <v>94</v>
      </c>
      <c r="C380" s="525">
        <f>IFERROR(VLOOKUP($B378,'PY1 TFR ADA'!$F:$AU,MATCH("A-1.1",'PY1 TFR ADA'!$F$5:$AU$5,0),FALSE),0)</f>
        <v>0</v>
      </c>
      <c r="D380" s="167"/>
      <c r="E380" s="525">
        <f>IFERROR(VALUE(VLOOKUP($B378,'PY1 TFR ADA'!$F:$AU,MATCH("A-2.1",'PY1 TFR ADA'!$F$5:$AU$5,0),FALSE)),0)</f>
        <v>0</v>
      </c>
      <c r="F380" s="167"/>
      <c r="G380" s="609">
        <f>IFERROR(VLOOKUP($B378,'PY1 TFR ADA'!$F:$AU,MATCH("b-1.1",'PY1 TFR ADA'!$F$5:$AU$5,0),FALSE),0)</f>
        <v>0</v>
      </c>
      <c r="H380" s="527"/>
      <c r="I380" s="609">
        <f>IFERROR(VLOOKUP($B378,'PY1 TFR ADA'!$F:$AU,MATCH("b-2.1",'PY1 TFR ADA'!$F$5:$AU$5,0),FALSE),0)</f>
        <v>0</v>
      </c>
      <c r="J380" s="527"/>
      <c r="K380" s="609">
        <f>IFERROR(VLOOKUP($B378,'PY1 TFR ADA'!$F:$AU,MATCH("b-3.1",'PY1 TFR ADA'!$F$5:$AU$5,0),FALSE),0)</f>
        <v>0</v>
      </c>
      <c r="L380" s="527"/>
      <c r="M380" s="609">
        <f>IFERROR(VLOOKUP($B378,'PY1 TFR ADA'!$F:$AU,MATCH("b-4.1",'PY1 TFR ADA'!$F$5:$AU$5,0),FALSE),0)</f>
        <v>0</v>
      </c>
      <c r="N380" s="527"/>
      <c r="O380" s="609">
        <f>IFERROR(VLOOKUP($B378,'PY1 TFR ADA'!$F:$AU,MATCH("b-5.1",'PY1 TFR ADA'!$F$5:$AU$5,0),FALSE),0)</f>
        <v>0</v>
      </c>
      <c r="P380" s="527"/>
      <c r="Q380" s="609">
        <f>IFERROR(VLOOKUP($B378,'PY1 TFR ADA'!$F:$AU,MATCH("b-6.1",'PY1 TFR ADA'!$F$5:$AU$5,0),FALSE),0)</f>
        <v>0</v>
      </c>
      <c r="R380" s="551"/>
      <c r="S380" s="601">
        <f t="shared" ref="S380:S383" si="538">SUM(G380:Q380)</f>
        <v>0</v>
      </c>
      <c r="T380" s="551"/>
      <c r="U380" s="536">
        <f t="shared" ref="U380" si="539">ROUND(IF($G387="LCFF Rate",(G380*$C380),(G380*$E380))+IF($I387="LCFF Rate",(I380*$C380),(I380*$E380))+IF($K387="LCFF Rate",(K380*$C380),(K380*$E380))+IF($M387="LCFF Rate",(M380*$C380),(M380*$E380))+IF($O387="LCFF Rate",(O380*$C380),(O380*$E380))+IF($Q387="LCFF Rate",(Q380*$C380),(Q380*$E380)),0)</f>
        <v>0</v>
      </c>
      <c r="V380" s="524"/>
      <c r="X380" s="496"/>
    </row>
    <row r="381" spans="1:24" s="8" customFormat="1" ht="14.4">
      <c r="A381" s="521"/>
      <c r="B381" s="510" t="s">
        <v>2</v>
      </c>
      <c r="C381" s="525">
        <f>IFERROR(VLOOKUP($B378,'PY1 TFR ADA'!$F:$AU,MATCH("A-1.2",'PY1 TFR ADA'!$F$5:$AU$5,0),FALSE),0)</f>
        <v>0</v>
      </c>
      <c r="D381" s="167"/>
      <c r="E381" s="525">
        <f>IFERROR(VALUE(VLOOKUP($B378,'PY1 TFR ADA'!$F:$AU,MATCH("A-2.2",'PY1 TFR ADA'!$F$5:$AU$5,0),FALSE)),0)</f>
        <v>0</v>
      </c>
      <c r="F381" s="167"/>
      <c r="G381" s="609">
        <f>IFERROR(VLOOKUP($B378,'PY1 TFR ADA'!$F:$AU,MATCH("b-1.2",'PY1 TFR ADA'!$F$5:$AU$5,0),FALSE),0)</f>
        <v>0</v>
      </c>
      <c r="H381" s="527"/>
      <c r="I381" s="609">
        <f>IFERROR(VLOOKUP($B378,'PY1 TFR ADA'!$F:$AU,MATCH("b-2.2",'PY1 TFR ADA'!$F$5:$AU$5,0),FALSE),0)</f>
        <v>0</v>
      </c>
      <c r="J381" s="527"/>
      <c r="K381" s="609">
        <f>IFERROR(VLOOKUP($B378,'PY1 TFR ADA'!$F:$AU,MATCH("b-3.2",'PY1 TFR ADA'!$F$5:$AU$5,0),FALSE),0)</f>
        <v>0</v>
      </c>
      <c r="L381" s="527"/>
      <c r="M381" s="609">
        <f>IFERROR(VLOOKUP($B378,'PY1 TFR ADA'!$F:$AU,MATCH("b-4.2",'PY1 TFR ADA'!$F$5:$AU$5,0),FALSE),0)</f>
        <v>0</v>
      </c>
      <c r="N381" s="527"/>
      <c r="O381" s="609">
        <f>IFERROR(VLOOKUP($B378,'PY1 TFR ADA'!$F:$AU,MATCH("b-5.2",'PY1 TFR ADA'!$F$5:$AU$5,0),FALSE),0)</f>
        <v>0</v>
      </c>
      <c r="P381" s="527"/>
      <c r="Q381" s="609">
        <f>IFERROR(VLOOKUP($B378,'PY1 TFR ADA'!$F:$AU,MATCH("b-6.2",'PY1 TFR ADA'!$F$5:$AU$5,0),FALSE),0)</f>
        <v>0</v>
      </c>
      <c r="R381" s="551"/>
      <c r="S381" s="601">
        <f t="shared" si="538"/>
        <v>0</v>
      </c>
      <c r="T381" s="551"/>
      <c r="U381" s="536">
        <f t="shared" ref="U381" si="540">ROUND(IF($G387="LCFF Rate",(G381*$C381),(G381*$E381))+IF($I387="LCFF Rate",(I381*$C381),(I381*$E381))+IF($K387="LCFF Rate",(K381*$C381),(K381*$E381))+IF($M387="LCFF Rate",(M381*$C381),(M381*$E381))+IF($O387="LCFF Rate",(O381*$C381),(O381*$E381))+IF($Q387="LCFF Rate",(Q381*$C381),(Q381*$E381)),0)</f>
        <v>0</v>
      </c>
      <c r="V381" s="524"/>
      <c r="X381" s="4"/>
    </row>
    <row r="382" spans="1:24" s="8" customFormat="1" ht="14.4">
      <c r="A382" s="521"/>
      <c r="B382" s="510" t="s">
        <v>3</v>
      </c>
      <c r="C382" s="525">
        <f>IFERROR(VLOOKUP($B378,'PY1 TFR ADA'!$F:$AU,MATCH("A-1.3",'PY1 TFR ADA'!$F$5:$AU$5,0),FALSE),0)</f>
        <v>0</v>
      </c>
      <c r="D382" s="167"/>
      <c r="E382" s="525">
        <f>IFERROR(VALUE(VLOOKUP($B378,'PY1 TFR ADA'!$F:$AU,MATCH("A-2.3",'PY1 TFR ADA'!$F$5:$AU$5,0),FALSE)),0)</f>
        <v>0</v>
      </c>
      <c r="F382" s="167"/>
      <c r="G382" s="609">
        <f>IFERROR(VLOOKUP($B378,'PY1 TFR ADA'!$F:$AU,MATCH("b-1.3",'PY1 TFR ADA'!$F$5:$AU$5,0),FALSE),0)</f>
        <v>0</v>
      </c>
      <c r="H382" s="527"/>
      <c r="I382" s="609">
        <f>IFERROR(VLOOKUP($B378,'PY1 TFR ADA'!$F:$AU,MATCH("b-2.3",'PY1 TFR ADA'!$F$5:$AU$5,0),FALSE),0)</f>
        <v>0</v>
      </c>
      <c r="J382" s="527"/>
      <c r="K382" s="609">
        <f>IFERROR(VLOOKUP($B378,'PY1 TFR ADA'!$F:$AU,MATCH("b-3.3",'PY1 TFR ADA'!$F$5:$AU$5,0),FALSE),0)</f>
        <v>0</v>
      </c>
      <c r="L382" s="527"/>
      <c r="M382" s="609">
        <f>IFERROR(VLOOKUP($B378,'PY1 TFR ADA'!$F:$AU,MATCH("b-4.3",'PY1 TFR ADA'!$F$5:$AU$5,0),FALSE),0)</f>
        <v>0</v>
      </c>
      <c r="N382" s="527"/>
      <c r="O382" s="609">
        <f>IFERROR(VLOOKUP($B378,'PY1 TFR ADA'!$F:$AU,MATCH("b-5.3",'PY1 TFR ADA'!$F$5:$AU$5,0),FALSE),0)</f>
        <v>0</v>
      </c>
      <c r="P382" s="527"/>
      <c r="Q382" s="609">
        <f>IFERROR(VLOOKUP($B378,'PY1 TFR ADA'!$F:$AU,MATCH("b-6.3",'PY1 TFR ADA'!$F$5:$AU$5,0),FALSE),0)</f>
        <v>0</v>
      </c>
      <c r="R382" s="551"/>
      <c r="S382" s="601">
        <f t="shared" si="538"/>
        <v>0</v>
      </c>
      <c r="T382" s="551"/>
      <c r="U382" s="536">
        <f t="shared" ref="U382" si="541">ROUND(IF($G387="LCFF Rate",(G382*$C382),(G382*$E382))+IF($I387="LCFF Rate",(I382*$C382),(I382*$E382))+IF($K387="LCFF Rate",(K382*$C382),(K382*$E382))+IF($M387="LCFF Rate",(M382*$C382),(M382*$E382))+IF($O387="LCFF Rate",(O382*$C382),(O382*$E382))+IF($Q387="LCFF Rate",(Q382*$C382),(Q382*$E382)),0)</f>
        <v>0</v>
      </c>
      <c r="V382" s="524"/>
      <c r="X382" s="4"/>
    </row>
    <row r="383" spans="1:24" s="8" customFormat="1" ht="14.4">
      <c r="A383" s="526"/>
      <c r="B383" s="510" t="s">
        <v>4</v>
      </c>
      <c r="C383" s="525">
        <f>IFERROR(VLOOKUP($B378,'PY1 TFR ADA'!$F:$AU,MATCH("A-1.4",'PY1 TFR ADA'!$F$5:$AU$5,0),FALSE),0)</f>
        <v>0</v>
      </c>
      <c r="D383" s="523"/>
      <c r="E383" s="525">
        <f>IFERROR(VALUE(VLOOKUP($B378,'PY1 TFR ADA'!$F:$AU,MATCH("A-2.4",'PY1 TFR ADA'!$F$5:$AU$5,0),FALSE)),0)</f>
        <v>0</v>
      </c>
      <c r="F383" s="523"/>
      <c r="G383" s="609">
        <f>IFERROR(VLOOKUP($B378,'PY1 TFR ADA'!$F:$AU,MATCH("b-1.4",'PY1 TFR ADA'!$F$5:$AU$5,0),FALSE),0)</f>
        <v>0</v>
      </c>
      <c r="H383" s="527"/>
      <c r="I383" s="609">
        <f>IFERROR(VLOOKUP($B378,'PY1 TFR ADA'!$F:$AU,MATCH("b-2.4",'PY1 TFR ADA'!$F$5:$AU$5,0),FALSE),0)</f>
        <v>0</v>
      </c>
      <c r="J383" s="527"/>
      <c r="K383" s="609">
        <f>IFERROR(VLOOKUP($B378,'PY1 TFR ADA'!$F:$AU,MATCH("b-3.4",'PY1 TFR ADA'!$F$5:$AU$5,0),FALSE),0)</f>
        <v>0</v>
      </c>
      <c r="L383" s="527"/>
      <c r="M383" s="609">
        <f>IFERROR(VLOOKUP($B378,'PY1 TFR ADA'!$F:$AU,MATCH("b-4.4",'PY1 TFR ADA'!$F$5:$AU$5,0),FALSE),0)</f>
        <v>0</v>
      </c>
      <c r="N383" s="527"/>
      <c r="O383" s="609">
        <f>IFERROR(VLOOKUP($B378,'PY1 TFR ADA'!$F:$AU,MATCH("b-5.4",'PY1 TFR ADA'!$F$5:$AU$5,0),FALSE),0)</f>
        <v>0</v>
      </c>
      <c r="P383" s="527"/>
      <c r="Q383" s="609">
        <f>IFERROR(VLOOKUP($B378,'PY1 TFR ADA'!$F:$AU,MATCH("b-6.4",'PY1 TFR ADA'!$F$5:$AU$5,0),FALSE),0)</f>
        <v>0</v>
      </c>
      <c r="R383" s="551"/>
      <c r="S383" s="601">
        <f t="shared" si="538"/>
        <v>0</v>
      </c>
      <c r="T383" s="551"/>
      <c r="U383" s="536">
        <f t="shared" ref="U383" si="542">ROUND(IF($G387="LCFF Rate",(G383*$C383),(G383*$E383))+IF($I387="LCFF Rate",(I383*$C383),(I383*$E383))+IF($K387="LCFF Rate",(K383*$C383),(K383*$E383))+IF($M387="LCFF Rate",(M383*$C383),(M383*$E383))+IF($O387="LCFF Rate",(O383*$C383),(O383*$E383))+IF($Q387="LCFF Rate",(Q383*$C383),(Q383*$E383)),0)</f>
        <v>0</v>
      </c>
      <c r="V383" s="522"/>
      <c r="X383" s="496"/>
    </row>
    <row r="384" spans="1:24" s="8" customFormat="1" ht="8.25" customHeight="1">
      <c r="A384" s="521"/>
      <c r="B384" s="167"/>
      <c r="C384" s="165"/>
      <c r="D384" s="523"/>
      <c r="E384" s="165"/>
      <c r="F384" s="523"/>
      <c r="G384" s="520"/>
      <c r="H384" s="523"/>
      <c r="I384" s="520"/>
      <c r="J384" s="523"/>
      <c r="K384" s="520"/>
      <c r="L384" s="523"/>
      <c r="M384" s="520"/>
      <c r="N384" s="523"/>
      <c r="O384" s="520"/>
      <c r="P384" s="523"/>
      <c r="Q384" s="520"/>
      <c r="R384" s="167"/>
      <c r="S384" s="520"/>
      <c r="T384" s="167"/>
      <c r="U384" s="602"/>
      <c r="V384" s="522"/>
      <c r="X384" s="4"/>
    </row>
    <row r="385" spans="1:24" s="8" customFormat="1" ht="14.4">
      <c r="A385" s="521"/>
      <c r="B385" s="167"/>
      <c r="C385" s="165"/>
      <c r="D385" s="523"/>
      <c r="E385" s="513" t="s">
        <v>1317</v>
      </c>
      <c r="F385" s="523"/>
      <c r="G385" s="601">
        <f t="shared" ref="G385" si="543">SUM(G380:G383)</f>
        <v>0</v>
      </c>
      <c r="H385" s="527"/>
      <c r="I385" s="601">
        <f t="shared" ref="I385" si="544">SUM(I380:I383)</f>
        <v>0</v>
      </c>
      <c r="J385" s="527"/>
      <c r="K385" s="601">
        <f t="shared" ref="K385" si="545">SUM(K380:K383)</f>
        <v>0</v>
      </c>
      <c r="L385" s="527"/>
      <c r="M385" s="601">
        <f t="shared" ref="M385" si="546">SUM(M380:M383)</f>
        <v>0</v>
      </c>
      <c r="N385" s="527"/>
      <c r="O385" s="601">
        <f t="shared" ref="O385" si="547">SUM(O380:O383)</f>
        <v>0</v>
      </c>
      <c r="P385" s="527"/>
      <c r="Q385" s="601">
        <f t="shared" ref="Q385" si="548">SUM(Q380:Q383)</f>
        <v>0</v>
      </c>
      <c r="R385" s="527"/>
      <c r="S385" s="601">
        <f t="shared" ref="S385" si="549">SUM(S380:S383)</f>
        <v>0</v>
      </c>
      <c r="T385" s="527"/>
      <c r="U385" s="536">
        <f t="shared" ref="U385" si="550">SUM(U380:U383)</f>
        <v>0</v>
      </c>
      <c r="V385" s="522"/>
      <c r="X385" s="4"/>
    </row>
    <row r="386" spans="1:24" s="8" customFormat="1" ht="8.25" customHeight="1">
      <c r="A386" s="521"/>
      <c r="B386" s="167"/>
      <c r="C386" s="165"/>
      <c r="D386" s="523"/>
      <c r="E386" s="165"/>
      <c r="F386" s="523"/>
      <c r="G386" s="520"/>
      <c r="H386" s="523"/>
      <c r="I386" s="520"/>
      <c r="J386" s="523"/>
      <c r="K386" s="520"/>
      <c r="L386" s="523"/>
      <c r="M386" s="520"/>
      <c r="N386" s="523"/>
      <c r="O386" s="520"/>
      <c r="P386" s="523"/>
      <c r="Q386" s="520"/>
      <c r="R386" s="167"/>
      <c r="S386" s="520"/>
      <c r="T386" s="167"/>
      <c r="U386" s="528"/>
      <c r="V386" s="522"/>
      <c r="X386" s="4"/>
    </row>
    <row r="387" spans="1:24" s="8" customFormat="1" ht="16.5" customHeight="1">
      <c r="A387" s="521"/>
      <c r="B387" s="167"/>
      <c r="C387" s="165"/>
      <c r="E387" s="513" t="s">
        <v>1304</v>
      </c>
      <c r="F387" s="523"/>
      <c r="G387" s="977">
        <f>_xlfn.IFNA(IF(VLOOKUP($B378,'PY1 TFR ADA'!$F:$AU,MATCH("B-1.5",'PY1 TFR ADA'!$F$5:$AU$5,0),FALSE)=TRUE,IF(VLOOKUP($B378,'PY1 TFR ADA'!$F:$AU,MATCH("C-1",'PY1 TFR ADA'!$F$5:$AU$5,0),FALSE)=TRUE,"Alternative Rate","LCFF Rate"),"LCFF Rate"),0)</f>
        <v>0</v>
      </c>
      <c r="H387" s="523"/>
      <c r="I387" s="977">
        <f>_xlfn.IFNA(IF(VLOOKUP($B378,'PY1 TFR ADA'!$F:$AU,MATCH("B-2.5",'PY1 TFR ADA'!$F$5:$AU$5,0),FALSE)=TRUE,IF(VLOOKUP($B378,'PY1 TFR ADA'!$F:$AU,MATCH("C-1",'PY1 TFR ADA'!$F$5:$AU$5,0),FALSE)=TRUE,"Alternative Rate","LCFF Rate"),"LCFF Rate"),0)</f>
        <v>0</v>
      </c>
      <c r="J387" s="523"/>
      <c r="K387" s="977">
        <f>_xlfn.IFNA(IF(VLOOKUP($B378,'PY1 TFR ADA'!$F:$AU,MATCH("B-3.5",'PY1 TFR ADA'!$F$5:$AU$5,0),FALSE)=TRUE,IF(VLOOKUP($B378,'PY1 TFR ADA'!$F:$AU,MATCH("C-1",'PY1 TFR ADA'!$F$5:$AU$5,0),FALSE)=TRUE,"Alternative Rate","LCFF Rate"),"LCFF Rate"),0)</f>
        <v>0</v>
      </c>
      <c r="L387" s="523"/>
      <c r="M387" s="977">
        <f>_xlfn.IFNA(IF(VLOOKUP($B378,'PY1 TFR ADA'!$F:$AU,MATCH("B-4.5",'PY1 TFR ADA'!$F$5:$AU$5,0),FALSE)=TRUE,IF(VLOOKUP($B378,'PY1 TFR ADA'!$F:$AU,MATCH("C-1",'PY1 TFR ADA'!$F$5:$AU$5,0),FALSE)=TRUE,"Alternative Rate","LCFF Rate"),"LCFF Rate"),0)</f>
        <v>0</v>
      </c>
      <c r="N387" s="523"/>
      <c r="O387" s="977">
        <f>_xlfn.IFNA(IF(VLOOKUP($B378,'PY1 TFR ADA'!$F:$AU,MATCH("B-5.5",'PY1 TFR ADA'!$F$5:$AU$5,0),FALSE)=TRUE,IF(VLOOKUP($B378,'PY1 TFR ADA'!$F:$AU,MATCH("C-1",'PY1 TFR ADA'!$F$5:$AU$5,0),FALSE)=TRUE,"Alternative Rate","LCFF Rate"),"LCFF Rate"),0)</f>
        <v>0</v>
      </c>
      <c r="P387" s="523"/>
      <c r="Q387" s="977">
        <f>_xlfn.IFNA(IF(VLOOKUP($B378,'PY1 TFR ADA'!$F:$AU,MATCH("B-6.5",'PY1 TFR ADA'!$F$5:$AU$5,0),FALSE)=TRUE,IF(VLOOKUP($B378,'PY1 TFR ADA'!$F:$AU,MATCH("C-1",'PY1 TFR ADA'!$F$5:$AU$5,0),FALSE)=TRUE,"Alternative Rate","LCFF Rate"),"LCFF Rate"),0)</f>
        <v>0</v>
      </c>
      <c r="R387" s="167"/>
      <c r="S387" s="520"/>
      <c r="T387" s="167"/>
      <c r="U387" s="528"/>
      <c r="V387" s="522"/>
      <c r="X387" s="283"/>
    </row>
    <row r="388" spans="1:24" s="8" customFormat="1" ht="8.25" customHeight="1">
      <c r="A388" s="521"/>
      <c r="B388" s="167"/>
      <c r="C388" s="165"/>
      <c r="D388" s="523"/>
      <c r="E388" s="165"/>
      <c r="F388" s="523"/>
      <c r="G388" s="520"/>
      <c r="H388" s="523"/>
      <c r="I388" s="520"/>
      <c r="J388" s="523"/>
      <c r="K388" s="520"/>
      <c r="L388" s="523"/>
      <c r="M388" s="520"/>
      <c r="N388" s="523"/>
      <c r="O388" s="520"/>
      <c r="P388" s="523"/>
      <c r="Q388" s="520"/>
      <c r="R388" s="167"/>
      <c r="S388" s="520"/>
      <c r="T388" s="167"/>
      <c r="U388" s="528"/>
      <c r="V388" s="522"/>
      <c r="X388" s="4"/>
    </row>
    <row r="389" spans="1:24" s="8" customFormat="1" ht="16.8">
      <c r="A389" s="521"/>
      <c r="B389" s="2"/>
      <c r="F389" s="523"/>
      <c r="G389" s="535">
        <f t="shared" ref="G389" si="551">IF(G387="LCFF Rate",(G380*C380+G381*C381+G382*C382+G383*C383),(G385*E383))</f>
        <v>0</v>
      </c>
      <c r="H389" s="537"/>
      <c r="I389" s="535">
        <f t="shared" ref="I389" si="552">IF(I387="LCFF Rate",(I380*C380+I381*C381+I382*C382+I383*C383),(I385*E383))</f>
        <v>0</v>
      </c>
      <c r="J389" s="537"/>
      <c r="K389" s="535">
        <f t="shared" ref="K389" si="553">IF(K387="LCFF Rate",(K380*C380+K381*C381+K382*C382+K383*C383),(K385*E383))</f>
        <v>0</v>
      </c>
      <c r="L389" s="537"/>
      <c r="M389" s="535">
        <f t="shared" ref="M389" si="554">IF(M387="LCFF Rate",(M380*C380+M381*C381+M382*C382+M383*C383),(M385*E383))</f>
        <v>0</v>
      </c>
      <c r="N389" s="537"/>
      <c r="O389" s="535">
        <f t="shared" ref="O389" si="555">IF(O387="LCFF Rate",(O380*C380+O381*C381+O382*C382+O383*C383),(O385*E383))</f>
        <v>0</v>
      </c>
      <c r="P389" s="537"/>
      <c r="Q389" s="535">
        <f t="shared" ref="Q389" si="556">IF(Q387="LCFF Rate",(Q380*C380+Q381*C381+Q382*C382+Q383*C383),(Q385*E383))</f>
        <v>0</v>
      </c>
      <c r="R389" s="167"/>
      <c r="S389" s="538">
        <f t="shared" ref="S389" si="557">SUM(G389:Q389)</f>
        <v>0</v>
      </c>
      <c r="T389" s="167"/>
      <c r="U389" s="528"/>
      <c r="V389" s="522"/>
      <c r="X389" s="979"/>
    </row>
    <row r="390" spans="1:24" s="8" customFormat="1" ht="9" customHeight="1" thickBot="1">
      <c r="A390" s="529"/>
      <c r="B390" s="530"/>
      <c r="C390" s="531"/>
      <c r="D390" s="532"/>
      <c r="E390" s="533"/>
      <c r="F390" s="532"/>
      <c r="G390" s="530"/>
      <c r="H390" s="532"/>
      <c r="I390" s="530"/>
      <c r="J390" s="532"/>
      <c r="K390" s="530"/>
      <c r="L390" s="532"/>
      <c r="M390" s="530"/>
      <c r="N390" s="532"/>
      <c r="O390" s="530"/>
      <c r="P390" s="532"/>
      <c r="Q390" s="530"/>
      <c r="R390" s="532"/>
      <c r="S390" s="530"/>
      <c r="T390" s="532"/>
      <c r="U390" s="532"/>
      <c r="V390" s="534"/>
      <c r="X390" s="4"/>
    </row>
    <row r="391" spans="1:24" s="82" customFormat="1" ht="18" customHeight="1" thickBot="1">
      <c r="A391" s="890">
        <f>+A378+1</f>
        <v>30</v>
      </c>
      <c r="B391" s="891" t="str">
        <f>'Data Entry'!$B$3&amp;"-"&amp;C391</f>
        <v>-</v>
      </c>
      <c r="C391" s="891" t="str">
        <f>IFERROR(VLOOKUP('Data Entry'!$B$3&amp;"-"&amp;A391,'PY1 TFR ADA'!$D:$AT,2,FALSE),"")</f>
        <v/>
      </c>
      <c r="D391" s="892" t="str">
        <f>IFERROR(VLOOKUP('Data Entry'!$B$3&amp;"-"&amp;A391,'PY1 TFR ADA'!$D:$AT,4,FALSE),"")</f>
        <v/>
      </c>
      <c r="E391" s="893"/>
      <c r="F391" s="893"/>
      <c r="G391" s="893"/>
      <c r="H391" s="893"/>
      <c r="I391" s="893"/>
      <c r="J391" s="893"/>
      <c r="K391" s="893"/>
      <c r="L391" s="893"/>
      <c r="M391" s="893"/>
      <c r="N391" s="893"/>
      <c r="O391" s="893"/>
      <c r="P391" s="893"/>
      <c r="Q391" s="893"/>
      <c r="R391" s="893"/>
      <c r="S391" s="893"/>
      <c r="T391" s="893"/>
      <c r="U391" s="893"/>
      <c r="V391" s="894"/>
      <c r="X391" s="83"/>
    </row>
    <row r="392" spans="1:24" ht="75" customHeight="1">
      <c r="A392" s="521"/>
      <c r="C392" s="540" t="s">
        <v>1315</v>
      </c>
      <c r="D392" s="512"/>
      <c r="E392" s="540" t="s">
        <v>1316</v>
      </c>
      <c r="F392" s="512"/>
      <c r="G392" s="540" t="s">
        <v>1309</v>
      </c>
      <c r="H392" s="512"/>
      <c r="I392" s="540" t="s">
        <v>1310</v>
      </c>
      <c r="J392" s="512"/>
      <c r="K392" s="540" t="s">
        <v>1311</v>
      </c>
      <c r="L392" s="512"/>
      <c r="M392" s="540" t="s">
        <v>1312</v>
      </c>
      <c r="N392" s="512"/>
      <c r="O392" s="540" t="s">
        <v>1313</v>
      </c>
      <c r="P392" s="512"/>
      <c r="Q392" s="540" t="s">
        <v>1314</v>
      </c>
      <c r="R392" s="167"/>
      <c r="S392" s="540" t="s">
        <v>1308</v>
      </c>
      <c r="T392" s="167"/>
      <c r="U392" s="512" t="s">
        <v>1307</v>
      </c>
      <c r="V392" s="524"/>
      <c r="X392" s="283"/>
    </row>
    <row r="393" spans="1:24" s="8" customFormat="1" ht="14.4">
      <c r="A393" s="521"/>
      <c r="B393" s="510" t="s">
        <v>94</v>
      </c>
      <c r="C393" s="525">
        <f>IFERROR(VLOOKUP($B391,'PY1 TFR ADA'!$F:$AU,MATCH("A-1.1",'PY1 TFR ADA'!$F$5:$AU$5,0),FALSE),0)</f>
        <v>0</v>
      </c>
      <c r="D393" s="167"/>
      <c r="E393" s="525">
        <f>IFERROR(VALUE(VLOOKUP($B391,'PY1 TFR ADA'!$F:$AU,MATCH("A-2.1",'PY1 TFR ADA'!$F$5:$AU$5,0),FALSE)),0)</f>
        <v>0</v>
      </c>
      <c r="F393" s="167"/>
      <c r="G393" s="609">
        <f>IFERROR(VLOOKUP($B391,'PY1 TFR ADA'!$F:$AU,MATCH("b-1.1",'PY1 TFR ADA'!$F$5:$AU$5,0),FALSE),0)</f>
        <v>0</v>
      </c>
      <c r="H393" s="527"/>
      <c r="I393" s="609">
        <f>IFERROR(VLOOKUP($B391,'PY1 TFR ADA'!$F:$AU,MATCH("b-2.1",'PY1 TFR ADA'!$F$5:$AU$5,0),FALSE),0)</f>
        <v>0</v>
      </c>
      <c r="J393" s="527"/>
      <c r="K393" s="609">
        <f>IFERROR(VLOOKUP($B391,'PY1 TFR ADA'!$F:$AU,MATCH("b-3.1",'PY1 TFR ADA'!$F$5:$AU$5,0),FALSE),0)</f>
        <v>0</v>
      </c>
      <c r="L393" s="527"/>
      <c r="M393" s="609">
        <f>IFERROR(VLOOKUP($B391,'PY1 TFR ADA'!$F:$AU,MATCH("b-4.1",'PY1 TFR ADA'!$F$5:$AU$5,0),FALSE),0)</f>
        <v>0</v>
      </c>
      <c r="N393" s="527"/>
      <c r="O393" s="609">
        <f>IFERROR(VLOOKUP($B391,'PY1 TFR ADA'!$F:$AU,MATCH("b-5.1",'PY1 TFR ADA'!$F$5:$AU$5,0),FALSE),0)</f>
        <v>0</v>
      </c>
      <c r="P393" s="527"/>
      <c r="Q393" s="609">
        <f>IFERROR(VLOOKUP($B391,'PY1 TFR ADA'!$F:$AU,MATCH("b-6.1",'PY1 TFR ADA'!$F$5:$AU$5,0),FALSE),0)</f>
        <v>0</v>
      </c>
      <c r="R393" s="551"/>
      <c r="S393" s="601">
        <f t="shared" ref="S393:S396" si="558">SUM(G393:Q393)</f>
        <v>0</v>
      </c>
      <c r="T393" s="551"/>
      <c r="U393" s="536">
        <f t="shared" ref="U393" si="559">ROUND(IF($G400="LCFF Rate",(G393*$C393),(G393*$E393))+IF($I400="LCFF Rate",(I393*$C393),(I393*$E393))+IF($K400="LCFF Rate",(K393*$C393),(K393*$E393))+IF($M400="LCFF Rate",(M393*$C393),(M393*$E393))+IF($O400="LCFF Rate",(O393*$C393),(O393*$E393))+IF($Q400="LCFF Rate",(Q393*$C393),(Q393*$E393)),0)</f>
        <v>0</v>
      </c>
      <c r="V393" s="524"/>
      <c r="X393" s="496"/>
    </row>
    <row r="394" spans="1:24" s="8" customFormat="1" ht="14.4">
      <c r="A394" s="521"/>
      <c r="B394" s="510" t="s">
        <v>2</v>
      </c>
      <c r="C394" s="525">
        <f>IFERROR(VLOOKUP($B391,'PY1 TFR ADA'!$F:$AU,MATCH("A-1.2",'PY1 TFR ADA'!$F$5:$AU$5,0),FALSE),0)</f>
        <v>0</v>
      </c>
      <c r="D394" s="167"/>
      <c r="E394" s="525">
        <f>IFERROR(VALUE(VLOOKUP($B391,'PY1 TFR ADA'!$F:$AU,MATCH("A-2.2",'PY1 TFR ADA'!$F$5:$AU$5,0),FALSE)),0)</f>
        <v>0</v>
      </c>
      <c r="F394" s="167"/>
      <c r="G394" s="609">
        <f>IFERROR(VLOOKUP($B391,'PY1 TFR ADA'!$F:$AU,MATCH("b-1.2",'PY1 TFR ADA'!$F$5:$AU$5,0),FALSE),0)</f>
        <v>0</v>
      </c>
      <c r="H394" s="527"/>
      <c r="I394" s="609">
        <f>IFERROR(VLOOKUP($B391,'PY1 TFR ADA'!$F:$AU,MATCH("b-2.2",'PY1 TFR ADA'!$F$5:$AU$5,0),FALSE),0)</f>
        <v>0</v>
      </c>
      <c r="J394" s="527"/>
      <c r="K394" s="609">
        <f>IFERROR(VLOOKUP($B391,'PY1 TFR ADA'!$F:$AU,MATCH("b-3.2",'PY1 TFR ADA'!$F$5:$AU$5,0),FALSE),0)</f>
        <v>0</v>
      </c>
      <c r="L394" s="527"/>
      <c r="M394" s="609">
        <f>IFERROR(VLOOKUP($B391,'PY1 TFR ADA'!$F:$AU,MATCH("b-4.2",'PY1 TFR ADA'!$F$5:$AU$5,0),FALSE),0)</f>
        <v>0</v>
      </c>
      <c r="N394" s="527"/>
      <c r="O394" s="609">
        <f>IFERROR(VLOOKUP($B391,'PY1 TFR ADA'!$F:$AU,MATCH("b-5.2",'PY1 TFR ADA'!$F$5:$AU$5,0),FALSE),0)</f>
        <v>0</v>
      </c>
      <c r="P394" s="527"/>
      <c r="Q394" s="609">
        <f>IFERROR(VLOOKUP($B391,'PY1 TFR ADA'!$F:$AU,MATCH("b-6.2",'PY1 TFR ADA'!$F$5:$AU$5,0),FALSE),0)</f>
        <v>0</v>
      </c>
      <c r="R394" s="551"/>
      <c r="S394" s="601">
        <f t="shared" si="558"/>
        <v>0</v>
      </c>
      <c r="T394" s="551"/>
      <c r="U394" s="536">
        <f t="shared" ref="U394" si="560">ROUND(IF($G400="LCFF Rate",(G394*$C394),(G394*$E394))+IF($I400="LCFF Rate",(I394*$C394),(I394*$E394))+IF($K400="LCFF Rate",(K394*$C394),(K394*$E394))+IF($M400="LCFF Rate",(M394*$C394),(M394*$E394))+IF($O400="LCFF Rate",(O394*$C394),(O394*$E394))+IF($Q400="LCFF Rate",(Q394*$C394),(Q394*$E394)),0)</f>
        <v>0</v>
      </c>
      <c r="V394" s="524"/>
      <c r="X394" s="4"/>
    </row>
    <row r="395" spans="1:24" s="8" customFormat="1" ht="14.4">
      <c r="A395" s="521"/>
      <c r="B395" s="510" t="s">
        <v>3</v>
      </c>
      <c r="C395" s="525">
        <f>IFERROR(VLOOKUP($B391,'PY1 TFR ADA'!$F:$AU,MATCH("A-1.3",'PY1 TFR ADA'!$F$5:$AU$5,0),FALSE),0)</f>
        <v>0</v>
      </c>
      <c r="D395" s="167"/>
      <c r="E395" s="525">
        <f>IFERROR(VALUE(VLOOKUP($B391,'PY1 TFR ADA'!$F:$AU,MATCH("A-2.3",'PY1 TFR ADA'!$F$5:$AU$5,0),FALSE)),0)</f>
        <v>0</v>
      </c>
      <c r="F395" s="167"/>
      <c r="G395" s="609">
        <f>IFERROR(VLOOKUP($B391,'PY1 TFR ADA'!$F:$AU,MATCH("b-1.3",'PY1 TFR ADA'!$F$5:$AU$5,0),FALSE),0)</f>
        <v>0</v>
      </c>
      <c r="H395" s="527"/>
      <c r="I395" s="609">
        <f>IFERROR(VLOOKUP($B391,'PY1 TFR ADA'!$F:$AU,MATCH("b-2.3",'PY1 TFR ADA'!$F$5:$AU$5,0),FALSE),0)</f>
        <v>0</v>
      </c>
      <c r="J395" s="527"/>
      <c r="K395" s="609">
        <f>IFERROR(VLOOKUP($B391,'PY1 TFR ADA'!$F:$AU,MATCH("b-3.3",'PY1 TFR ADA'!$F$5:$AU$5,0),FALSE),0)</f>
        <v>0</v>
      </c>
      <c r="L395" s="527"/>
      <c r="M395" s="609">
        <f>IFERROR(VLOOKUP($B391,'PY1 TFR ADA'!$F:$AU,MATCH("b-4.3",'PY1 TFR ADA'!$F$5:$AU$5,0),FALSE),0)</f>
        <v>0</v>
      </c>
      <c r="N395" s="527"/>
      <c r="O395" s="609">
        <f>IFERROR(VLOOKUP($B391,'PY1 TFR ADA'!$F:$AU,MATCH("b-5.3",'PY1 TFR ADA'!$F$5:$AU$5,0),FALSE),0)</f>
        <v>0</v>
      </c>
      <c r="P395" s="527"/>
      <c r="Q395" s="609">
        <f>IFERROR(VLOOKUP($B391,'PY1 TFR ADA'!$F:$AU,MATCH("b-6.3",'PY1 TFR ADA'!$F$5:$AU$5,0),FALSE),0)</f>
        <v>0</v>
      </c>
      <c r="R395" s="551"/>
      <c r="S395" s="601">
        <f t="shared" si="558"/>
        <v>0</v>
      </c>
      <c r="T395" s="551"/>
      <c r="U395" s="536">
        <f t="shared" ref="U395" si="561">ROUND(IF($G400="LCFF Rate",(G395*$C395),(G395*$E395))+IF($I400="LCFF Rate",(I395*$C395),(I395*$E395))+IF($K400="LCFF Rate",(K395*$C395),(K395*$E395))+IF($M400="LCFF Rate",(M395*$C395),(M395*$E395))+IF($O400="LCFF Rate",(O395*$C395),(O395*$E395))+IF($Q400="LCFF Rate",(Q395*$C395),(Q395*$E395)),0)</f>
        <v>0</v>
      </c>
      <c r="V395" s="524"/>
      <c r="X395" s="4"/>
    </row>
    <row r="396" spans="1:24" s="8" customFormat="1" ht="14.4">
      <c r="A396" s="526"/>
      <c r="B396" s="510" t="s">
        <v>4</v>
      </c>
      <c r="C396" s="525">
        <f>IFERROR(VLOOKUP($B391,'PY1 TFR ADA'!$F:$AU,MATCH("A-1.4",'PY1 TFR ADA'!$F$5:$AU$5,0),FALSE),0)</f>
        <v>0</v>
      </c>
      <c r="D396" s="523"/>
      <c r="E396" s="525">
        <f>IFERROR(VALUE(VLOOKUP($B391,'PY1 TFR ADA'!$F:$AU,MATCH("A-2.4",'PY1 TFR ADA'!$F$5:$AU$5,0),FALSE)),0)</f>
        <v>0</v>
      </c>
      <c r="F396" s="523"/>
      <c r="G396" s="609">
        <f>IFERROR(VLOOKUP($B391,'PY1 TFR ADA'!$F:$AU,MATCH("b-1.4",'PY1 TFR ADA'!$F$5:$AU$5,0),FALSE),0)</f>
        <v>0</v>
      </c>
      <c r="H396" s="527"/>
      <c r="I396" s="609">
        <f>IFERROR(VLOOKUP($B391,'PY1 TFR ADA'!$F:$AU,MATCH("b-2.4",'PY1 TFR ADA'!$F$5:$AU$5,0),FALSE),0)</f>
        <v>0</v>
      </c>
      <c r="J396" s="527"/>
      <c r="K396" s="609">
        <f>IFERROR(VLOOKUP($B391,'PY1 TFR ADA'!$F:$AU,MATCH("b-3.4",'PY1 TFR ADA'!$F$5:$AU$5,0),FALSE),0)</f>
        <v>0</v>
      </c>
      <c r="L396" s="527"/>
      <c r="M396" s="609">
        <f>IFERROR(VLOOKUP($B391,'PY1 TFR ADA'!$F:$AU,MATCH("b-4.4",'PY1 TFR ADA'!$F$5:$AU$5,0),FALSE),0)</f>
        <v>0</v>
      </c>
      <c r="N396" s="527"/>
      <c r="O396" s="609">
        <f>IFERROR(VLOOKUP($B391,'PY1 TFR ADA'!$F:$AU,MATCH("b-5.4",'PY1 TFR ADA'!$F$5:$AU$5,0),FALSE),0)</f>
        <v>0</v>
      </c>
      <c r="P396" s="527"/>
      <c r="Q396" s="609">
        <f>IFERROR(VLOOKUP($B391,'PY1 TFR ADA'!$F:$AU,MATCH("b-6.4",'PY1 TFR ADA'!$F$5:$AU$5,0),FALSE),0)</f>
        <v>0</v>
      </c>
      <c r="R396" s="551"/>
      <c r="S396" s="601">
        <f t="shared" si="558"/>
        <v>0</v>
      </c>
      <c r="T396" s="551"/>
      <c r="U396" s="536">
        <f t="shared" ref="U396" si="562">ROUND(IF($G400="LCFF Rate",(G396*$C396),(G396*$E396))+IF($I400="LCFF Rate",(I396*$C396),(I396*$E396))+IF($K400="LCFF Rate",(K396*$C396),(K396*$E396))+IF($M400="LCFF Rate",(M396*$C396),(M396*$E396))+IF($O400="LCFF Rate",(O396*$C396),(O396*$E396))+IF($Q400="LCFF Rate",(Q396*$C396),(Q396*$E396)),0)</f>
        <v>0</v>
      </c>
      <c r="V396" s="522"/>
      <c r="X396" s="496"/>
    </row>
    <row r="397" spans="1:24" s="8" customFormat="1" ht="8.25" customHeight="1">
      <c r="A397" s="521"/>
      <c r="B397" s="167"/>
      <c r="C397" s="165"/>
      <c r="D397" s="523"/>
      <c r="E397" s="165"/>
      <c r="F397" s="523"/>
      <c r="G397" s="520"/>
      <c r="H397" s="523"/>
      <c r="I397" s="520"/>
      <c r="J397" s="523"/>
      <c r="K397" s="520"/>
      <c r="L397" s="523"/>
      <c r="M397" s="520"/>
      <c r="N397" s="523"/>
      <c r="O397" s="520"/>
      <c r="P397" s="523"/>
      <c r="Q397" s="520"/>
      <c r="R397" s="167"/>
      <c r="S397" s="520"/>
      <c r="T397" s="167"/>
      <c r="U397" s="602"/>
      <c r="V397" s="522"/>
      <c r="X397" s="4"/>
    </row>
    <row r="398" spans="1:24" s="8" customFormat="1" ht="14.4">
      <c r="A398" s="521"/>
      <c r="B398" s="167"/>
      <c r="C398" s="165"/>
      <c r="D398" s="523"/>
      <c r="E398" s="513" t="s">
        <v>1317</v>
      </c>
      <c r="F398" s="523"/>
      <c r="G398" s="601">
        <f t="shared" ref="G398" si="563">SUM(G393:G396)</f>
        <v>0</v>
      </c>
      <c r="H398" s="527"/>
      <c r="I398" s="601">
        <f t="shared" ref="I398" si="564">SUM(I393:I396)</f>
        <v>0</v>
      </c>
      <c r="J398" s="527"/>
      <c r="K398" s="601">
        <f t="shared" ref="K398" si="565">SUM(K393:K396)</f>
        <v>0</v>
      </c>
      <c r="L398" s="527"/>
      <c r="M398" s="601">
        <f t="shared" ref="M398" si="566">SUM(M393:M396)</f>
        <v>0</v>
      </c>
      <c r="N398" s="527"/>
      <c r="O398" s="601">
        <f t="shared" ref="O398" si="567">SUM(O393:O396)</f>
        <v>0</v>
      </c>
      <c r="P398" s="527"/>
      <c r="Q398" s="601">
        <f t="shared" ref="Q398" si="568">SUM(Q393:Q396)</f>
        <v>0</v>
      </c>
      <c r="R398" s="527"/>
      <c r="S398" s="601">
        <f t="shared" ref="S398" si="569">SUM(S393:S396)</f>
        <v>0</v>
      </c>
      <c r="T398" s="527"/>
      <c r="U398" s="536">
        <f t="shared" ref="U398" si="570">SUM(U393:U396)</f>
        <v>0</v>
      </c>
      <c r="V398" s="522"/>
      <c r="X398" s="4"/>
    </row>
    <row r="399" spans="1:24" s="8" customFormat="1" ht="8.25" customHeight="1">
      <c r="A399" s="521"/>
      <c r="B399" s="167"/>
      <c r="C399" s="165"/>
      <c r="D399" s="523"/>
      <c r="E399" s="165"/>
      <c r="F399" s="523"/>
      <c r="G399" s="520"/>
      <c r="H399" s="523"/>
      <c r="I399" s="520"/>
      <c r="J399" s="523"/>
      <c r="K399" s="520"/>
      <c r="L399" s="523"/>
      <c r="M399" s="520"/>
      <c r="N399" s="523"/>
      <c r="O399" s="520"/>
      <c r="P399" s="523"/>
      <c r="Q399" s="520"/>
      <c r="R399" s="167"/>
      <c r="S399" s="520"/>
      <c r="T399" s="167"/>
      <c r="U399" s="528"/>
      <c r="V399" s="522"/>
      <c r="X399" s="4"/>
    </row>
    <row r="400" spans="1:24" s="8" customFormat="1" ht="16.5" customHeight="1">
      <c r="A400" s="521"/>
      <c r="B400" s="167"/>
      <c r="C400" s="165"/>
      <c r="E400" s="513" t="s">
        <v>1304</v>
      </c>
      <c r="F400" s="523"/>
      <c r="G400" s="977">
        <f>_xlfn.IFNA(IF(VLOOKUP($B391,'PY1 TFR ADA'!$F:$AU,MATCH("B-1.5",'PY1 TFR ADA'!$F$5:$AU$5,0),FALSE)=TRUE,IF(VLOOKUP($B391,'PY1 TFR ADA'!$F:$AU,MATCH("C-1",'PY1 TFR ADA'!$F$5:$AU$5,0),FALSE)=TRUE,"Alternative Rate","LCFF Rate"),"LCFF Rate"),0)</f>
        <v>0</v>
      </c>
      <c r="H400" s="523"/>
      <c r="I400" s="977">
        <f>_xlfn.IFNA(IF(VLOOKUP($B391,'PY1 TFR ADA'!$F:$AU,MATCH("B-2.5",'PY1 TFR ADA'!$F$5:$AU$5,0),FALSE)=TRUE,IF(VLOOKUP($B391,'PY1 TFR ADA'!$F:$AU,MATCH("C-1",'PY1 TFR ADA'!$F$5:$AU$5,0),FALSE)=TRUE,"Alternative Rate","LCFF Rate"),"LCFF Rate"),0)</f>
        <v>0</v>
      </c>
      <c r="J400" s="523"/>
      <c r="K400" s="977">
        <f>_xlfn.IFNA(IF(VLOOKUP($B391,'PY1 TFR ADA'!$F:$AU,MATCH("B-3.5",'PY1 TFR ADA'!$F$5:$AU$5,0),FALSE)=TRUE,IF(VLOOKUP($B391,'PY1 TFR ADA'!$F:$AU,MATCH("C-1",'PY1 TFR ADA'!$F$5:$AU$5,0),FALSE)=TRUE,"Alternative Rate","LCFF Rate"),"LCFF Rate"),0)</f>
        <v>0</v>
      </c>
      <c r="L400" s="523"/>
      <c r="M400" s="977">
        <f>_xlfn.IFNA(IF(VLOOKUP($B391,'PY1 TFR ADA'!$F:$AU,MATCH("B-4.5",'PY1 TFR ADA'!$F$5:$AU$5,0),FALSE)=TRUE,IF(VLOOKUP($B391,'PY1 TFR ADA'!$F:$AU,MATCH("C-1",'PY1 TFR ADA'!$F$5:$AU$5,0),FALSE)=TRUE,"Alternative Rate","LCFF Rate"),"LCFF Rate"),0)</f>
        <v>0</v>
      </c>
      <c r="N400" s="523"/>
      <c r="O400" s="977">
        <f>_xlfn.IFNA(IF(VLOOKUP($B391,'PY1 TFR ADA'!$F:$AU,MATCH("B-5.5",'PY1 TFR ADA'!$F$5:$AU$5,0),FALSE)=TRUE,IF(VLOOKUP($B391,'PY1 TFR ADA'!$F:$AU,MATCH("C-1",'PY1 TFR ADA'!$F$5:$AU$5,0),FALSE)=TRUE,"Alternative Rate","LCFF Rate"),"LCFF Rate"),0)</f>
        <v>0</v>
      </c>
      <c r="P400" s="523"/>
      <c r="Q400" s="977">
        <f>_xlfn.IFNA(IF(VLOOKUP($B391,'PY1 TFR ADA'!$F:$AU,MATCH("B-6.5",'PY1 TFR ADA'!$F$5:$AU$5,0),FALSE)=TRUE,IF(VLOOKUP($B391,'PY1 TFR ADA'!$F:$AU,MATCH("C-1",'PY1 TFR ADA'!$F$5:$AU$5,0),FALSE)=TRUE,"Alternative Rate","LCFF Rate"),"LCFF Rate"),0)</f>
        <v>0</v>
      </c>
      <c r="R400" s="167"/>
      <c r="S400" s="520"/>
      <c r="T400" s="167"/>
      <c r="U400" s="528"/>
      <c r="V400" s="522"/>
      <c r="X400" s="283"/>
    </row>
    <row r="401" spans="1:24" s="8" customFormat="1" ht="8.25" customHeight="1">
      <c r="A401" s="521"/>
      <c r="B401" s="167"/>
      <c r="C401" s="165"/>
      <c r="D401" s="523"/>
      <c r="E401" s="165"/>
      <c r="F401" s="523"/>
      <c r="G401" s="520"/>
      <c r="H401" s="523"/>
      <c r="I401" s="520"/>
      <c r="J401" s="523"/>
      <c r="K401" s="520"/>
      <c r="L401" s="523"/>
      <c r="M401" s="520"/>
      <c r="N401" s="523"/>
      <c r="O401" s="520"/>
      <c r="P401" s="523"/>
      <c r="Q401" s="520"/>
      <c r="R401" s="167"/>
      <c r="S401" s="520"/>
      <c r="T401" s="167"/>
      <c r="U401" s="528"/>
      <c r="V401" s="522"/>
      <c r="X401" s="4"/>
    </row>
    <row r="402" spans="1:24" s="8" customFormat="1" ht="16.8">
      <c r="A402" s="521"/>
      <c r="B402" s="2"/>
      <c r="F402" s="523"/>
      <c r="G402" s="535">
        <f t="shared" ref="G402" si="571">IF(G400="LCFF Rate",(G393*C393+G394*C394+G395*C395+G396*C396),(G398*E396))</f>
        <v>0</v>
      </c>
      <c r="H402" s="537"/>
      <c r="I402" s="535">
        <f t="shared" ref="I402" si="572">IF(I400="LCFF Rate",(I393*C393+I394*C394+I395*C395+I396*C396),(I398*E396))</f>
        <v>0</v>
      </c>
      <c r="J402" s="537"/>
      <c r="K402" s="535">
        <f t="shared" ref="K402" si="573">IF(K400="LCFF Rate",(K393*C393+K394*C394+K395*C395+K396*C396),(K398*E396))</f>
        <v>0</v>
      </c>
      <c r="L402" s="537"/>
      <c r="M402" s="535">
        <f t="shared" ref="M402" si="574">IF(M400="LCFF Rate",(M393*C393+M394*C394+M395*C395+M396*C396),(M398*E396))</f>
        <v>0</v>
      </c>
      <c r="N402" s="537"/>
      <c r="O402" s="535">
        <f t="shared" ref="O402" si="575">IF(O400="LCFF Rate",(O393*C393+O394*C394+O395*C395+O396*C396),(O398*E396))</f>
        <v>0</v>
      </c>
      <c r="P402" s="537"/>
      <c r="Q402" s="535">
        <f t="shared" ref="Q402" si="576">IF(Q400="LCFF Rate",(Q393*C393+Q394*C394+Q395*C395+Q396*C396),(Q398*E396))</f>
        <v>0</v>
      </c>
      <c r="R402" s="167"/>
      <c r="S402" s="538">
        <f t="shared" ref="S402" si="577">SUM(G402:Q402)</f>
        <v>0</v>
      </c>
      <c r="T402" s="167"/>
      <c r="U402" s="528"/>
      <c r="V402" s="522"/>
      <c r="X402" s="979"/>
    </row>
    <row r="403" spans="1:24" s="8" customFormat="1" ht="9" customHeight="1" thickBot="1">
      <c r="A403" s="529"/>
      <c r="B403" s="530"/>
      <c r="C403" s="531"/>
      <c r="D403" s="532"/>
      <c r="E403" s="533"/>
      <c r="F403" s="532"/>
      <c r="G403" s="530"/>
      <c r="H403" s="532"/>
      <c r="I403" s="530"/>
      <c r="J403" s="532"/>
      <c r="K403" s="530"/>
      <c r="L403" s="532"/>
      <c r="M403" s="530"/>
      <c r="N403" s="532"/>
      <c r="O403" s="530"/>
      <c r="P403" s="532"/>
      <c r="Q403" s="530"/>
      <c r="R403" s="532"/>
      <c r="S403" s="530"/>
      <c r="T403" s="532"/>
      <c r="U403" s="532"/>
      <c r="V403" s="534"/>
      <c r="X403" s="4"/>
    </row>
    <row r="404" spans="1:24" s="82" customFormat="1" ht="18" customHeight="1" thickBot="1">
      <c r="A404" s="890">
        <f>+A391+1</f>
        <v>31</v>
      </c>
      <c r="B404" s="891" t="str">
        <f>'Data Entry'!$B$3&amp;"-"&amp;C404</f>
        <v>-</v>
      </c>
      <c r="C404" s="891" t="str">
        <f>IFERROR(VLOOKUP('Data Entry'!$B$3&amp;"-"&amp;A404,'PY1 TFR ADA'!$D:$AT,2,FALSE),"")</f>
        <v/>
      </c>
      <c r="D404" s="892" t="str">
        <f>IFERROR(VLOOKUP('Data Entry'!$B$3&amp;"-"&amp;A404,'PY1 TFR ADA'!$D:$AT,4,FALSE),"")</f>
        <v/>
      </c>
      <c r="E404" s="893"/>
      <c r="F404" s="893"/>
      <c r="G404" s="893"/>
      <c r="H404" s="893"/>
      <c r="I404" s="893"/>
      <c r="J404" s="893"/>
      <c r="K404" s="893"/>
      <c r="L404" s="893"/>
      <c r="M404" s="893"/>
      <c r="N404" s="893"/>
      <c r="O404" s="893"/>
      <c r="P404" s="893"/>
      <c r="Q404" s="893"/>
      <c r="R404" s="893"/>
      <c r="S404" s="893"/>
      <c r="T404" s="893"/>
      <c r="U404" s="893"/>
      <c r="V404" s="894"/>
      <c r="X404" s="83"/>
    </row>
    <row r="405" spans="1:24" ht="75" customHeight="1">
      <c r="A405" s="521"/>
      <c r="C405" s="540" t="s">
        <v>1315</v>
      </c>
      <c r="D405" s="512"/>
      <c r="E405" s="540" t="s">
        <v>1316</v>
      </c>
      <c r="F405" s="512"/>
      <c r="G405" s="540" t="s">
        <v>1309</v>
      </c>
      <c r="H405" s="512"/>
      <c r="I405" s="540" t="s">
        <v>1310</v>
      </c>
      <c r="J405" s="512"/>
      <c r="K405" s="540" t="s">
        <v>1311</v>
      </c>
      <c r="L405" s="512"/>
      <c r="M405" s="540" t="s">
        <v>1312</v>
      </c>
      <c r="N405" s="512"/>
      <c r="O405" s="540" t="s">
        <v>1313</v>
      </c>
      <c r="P405" s="512"/>
      <c r="Q405" s="540" t="s">
        <v>1314</v>
      </c>
      <c r="R405" s="167"/>
      <c r="S405" s="540" t="s">
        <v>1308</v>
      </c>
      <c r="T405" s="167"/>
      <c r="U405" s="512" t="s">
        <v>1307</v>
      </c>
      <c r="V405" s="524"/>
      <c r="X405" s="283"/>
    </row>
    <row r="406" spans="1:24" s="8" customFormat="1" ht="14.4">
      <c r="A406" s="521"/>
      <c r="B406" s="510" t="s">
        <v>94</v>
      </c>
      <c r="C406" s="525">
        <f>IFERROR(VLOOKUP($B404,'PY1 TFR ADA'!$F:$AU,MATCH("A-1.1",'PY1 TFR ADA'!$F$5:$AU$5,0),FALSE),0)</f>
        <v>0</v>
      </c>
      <c r="D406" s="167"/>
      <c r="E406" s="525">
        <f>IFERROR(VALUE(VLOOKUP($B404,'PY1 TFR ADA'!$F:$AU,MATCH("A-2.1",'PY1 TFR ADA'!$F$5:$AU$5,0),FALSE)),0)</f>
        <v>0</v>
      </c>
      <c r="F406" s="167"/>
      <c r="G406" s="609">
        <f>IFERROR(VLOOKUP($B404,'PY1 TFR ADA'!$F:$AU,MATCH("b-1.1",'PY1 TFR ADA'!$F$5:$AU$5,0),FALSE),0)</f>
        <v>0</v>
      </c>
      <c r="H406" s="527"/>
      <c r="I406" s="609">
        <f>IFERROR(VLOOKUP($B404,'PY1 TFR ADA'!$F:$AU,MATCH("b-2.1",'PY1 TFR ADA'!$F$5:$AU$5,0),FALSE),0)</f>
        <v>0</v>
      </c>
      <c r="J406" s="527"/>
      <c r="K406" s="609">
        <f>IFERROR(VLOOKUP($B404,'PY1 TFR ADA'!$F:$AU,MATCH("b-3.1",'PY1 TFR ADA'!$F$5:$AU$5,0),FALSE),0)</f>
        <v>0</v>
      </c>
      <c r="L406" s="527"/>
      <c r="M406" s="609">
        <f>IFERROR(VLOOKUP($B404,'PY1 TFR ADA'!$F:$AU,MATCH("b-4.1",'PY1 TFR ADA'!$F$5:$AU$5,0),FALSE),0)</f>
        <v>0</v>
      </c>
      <c r="N406" s="527"/>
      <c r="O406" s="609">
        <f>IFERROR(VLOOKUP($B404,'PY1 TFR ADA'!$F:$AU,MATCH("b-5.1",'PY1 TFR ADA'!$F$5:$AU$5,0),FALSE),0)</f>
        <v>0</v>
      </c>
      <c r="P406" s="527"/>
      <c r="Q406" s="609">
        <f>IFERROR(VLOOKUP($B404,'PY1 TFR ADA'!$F:$AU,MATCH("b-6.1",'PY1 TFR ADA'!$F$5:$AU$5,0),FALSE),0)</f>
        <v>0</v>
      </c>
      <c r="R406" s="551"/>
      <c r="S406" s="601">
        <f t="shared" ref="S406:S409" si="578">SUM(G406:Q406)</f>
        <v>0</v>
      </c>
      <c r="T406" s="551"/>
      <c r="U406" s="536">
        <f t="shared" ref="U406" si="579">ROUND(IF($G413="LCFF Rate",(G406*$C406),(G406*$E406))+IF($I413="LCFF Rate",(I406*$C406),(I406*$E406))+IF($K413="LCFF Rate",(K406*$C406),(K406*$E406))+IF($M413="LCFF Rate",(M406*$C406),(M406*$E406))+IF($O413="LCFF Rate",(O406*$C406),(O406*$E406))+IF($Q413="LCFF Rate",(Q406*$C406),(Q406*$E406)),0)</f>
        <v>0</v>
      </c>
      <c r="V406" s="524"/>
      <c r="X406" s="496"/>
    </row>
    <row r="407" spans="1:24" s="8" customFormat="1" ht="14.4">
      <c r="A407" s="521"/>
      <c r="B407" s="510" t="s">
        <v>2</v>
      </c>
      <c r="C407" s="525">
        <f>IFERROR(VLOOKUP($B404,'PY1 TFR ADA'!$F:$AU,MATCH("A-1.2",'PY1 TFR ADA'!$F$5:$AU$5,0),FALSE),0)</f>
        <v>0</v>
      </c>
      <c r="D407" s="167"/>
      <c r="E407" s="525">
        <f>IFERROR(VALUE(VLOOKUP($B404,'PY1 TFR ADA'!$F:$AU,MATCH("A-2.2",'PY1 TFR ADA'!$F$5:$AU$5,0),FALSE)),0)</f>
        <v>0</v>
      </c>
      <c r="F407" s="167"/>
      <c r="G407" s="609">
        <f>IFERROR(VLOOKUP($B404,'PY1 TFR ADA'!$F:$AU,MATCH("b-1.2",'PY1 TFR ADA'!$F$5:$AU$5,0),FALSE),0)</f>
        <v>0</v>
      </c>
      <c r="H407" s="527"/>
      <c r="I407" s="609">
        <f>IFERROR(VLOOKUP($B404,'PY1 TFR ADA'!$F:$AU,MATCH("b-2.2",'PY1 TFR ADA'!$F$5:$AU$5,0),FALSE),0)</f>
        <v>0</v>
      </c>
      <c r="J407" s="527"/>
      <c r="K407" s="609">
        <f>IFERROR(VLOOKUP($B404,'PY1 TFR ADA'!$F:$AU,MATCH("b-3.2",'PY1 TFR ADA'!$F$5:$AU$5,0),FALSE),0)</f>
        <v>0</v>
      </c>
      <c r="L407" s="527"/>
      <c r="M407" s="609">
        <f>IFERROR(VLOOKUP($B404,'PY1 TFR ADA'!$F:$AU,MATCH("b-4.2",'PY1 TFR ADA'!$F$5:$AU$5,0),FALSE),0)</f>
        <v>0</v>
      </c>
      <c r="N407" s="527"/>
      <c r="O407" s="609">
        <f>IFERROR(VLOOKUP($B404,'PY1 TFR ADA'!$F:$AU,MATCH("b-5.2",'PY1 TFR ADA'!$F$5:$AU$5,0),FALSE),0)</f>
        <v>0</v>
      </c>
      <c r="P407" s="527"/>
      <c r="Q407" s="609">
        <f>IFERROR(VLOOKUP($B404,'PY1 TFR ADA'!$F:$AU,MATCH("b-6.2",'PY1 TFR ADA'!$F$5:$AU$5,0),FALSE),0)</f>
        <v>0</v>
      </c>
      <c r="R407" s="551"/>
      <c r="S407" s="601">
        <f t="shared" si="578"/>
        <v>0</v>
      </c>
      <c r="T407" s="551"/>
      <c r="U407" s="536">
        <f t="shared" ref="U407" si="580">ROUND(IF($G413="LCFF Rate",(G407*$C407),(G407*$E407))+IF($I413="LCFF Rate",(I407*$C407),(I407*$E407))+IF($K413="LCFF Rate",(K407*$C407),(K407*$E407))+IF($M413="LCFF Rate",(M407*$C407),(M407*$E407))+IF($O413="LCFF Rate",(O407*$C407),(O407*$E407))+IF($Q413="LCFF Rate",(Q407*$C407),(Q407*$E407)),0)</f>
        <v>0</v>
      </c>
      <c r="V407" s="524"/>
      <c r="X407" s="4"/>
    </row>
    <row r="408" spans="1:24" s="8" customFormat="1" ht="14.4">
      <c r="A408" s="521"/>
      <c r="B408" s="510" t="s">
        <v>3</v>
      </c>
      <c r="C408" s="525">
        <f>IFERROR(VLOOKUP($B404,'PY1 TFR ADA'!$F:$AU,MATCH("A-1.3",'PY1 TFR ADA'!$F$5:$AU$5,0),FALSE),0)</f>
        <v>0</v>
      </c>
      <c r="D408" s="167"/>
      <c r="E408" s="525">
        <f>IFERROR(VALUE(VLOOKUP($B404,'PY1 TFR ADA'!$F:$AU,MATCH("A-2.3",'PY1 TFR ADA'!$F$5:$AU$5,0),FALSE)),0)</f>
        <v>0</v>
      </c>
      <c r="F408" s="167"/>
      <c r="G408" s="609">
        <f>IFERROR(VLOOKUP($B404,'PY1 TFR ADA'!$F:$AU,MATCH("b-1.3",'PY1 TFR ADA'!$F$5:$AU$5,0),FALSE),0)</f>
        <v>0</v>
      </c>
      <c r="H408" s="527"/>
      <c r="I408" s="609">
        <f>IFERROR(VLOOKUP($B404,'PY1 TFR ADA'!$F:$AU,MATCH("b-2.3",'PY1 TFR ADA'!$F$5:$AU$5,0),FALSE),0)</f>
        <v>0</v>
      </c>
      <c r="J408" s="527"/>
      <c r="K408" s="609">
        <f>IFERROR(VLOOKUP($B404,'PY1 TFR ADA'!$F:$AU,MATCH("b-3.3",'PY1 TFR ADA'!$F$5:$AU$5,0),FALSE),0)</f>
        <v>0</v>
      </c>
      <c r="L408" s="527"/>
      <c r="M408" s="609">
        <f>IFERROR(VLOOKUP($B404,'PY1 TFR ADA'!$F:$AU,MATCH("b-4.3",'PY1 TFR ADA'!$F$5:$AU$5,0),FALSE),0)</f>
        <v>0</v>
      </c>
      <c r="N408" s="527"/>
      <c r="O408" s="609">
        <f>IFERROR(VLOOKUP($B404,'PY1 TFR ADA'!$F:$AU,MATCH("b-5.3",'PY1 TFR ADA'!$F$5:$AU$5,0),FALSE),0)</f>
        <v>0</v>
      </c>
      <c r="P408" s="527"/>
      <c r="Q408" s="609">
        <f>IFERROR(VLOOKUP($B404,'PY1 TFR ADA'!$F:$AU,MATCH("b-6.3",'PY1 TFR ADA'!$F$5:$AU$5,0),FALSE),0)</f>
        <v>0</v>
      </c>
      <c r="R408" s="551"/>
      <c r="S408" s="601">
        <f t="shared" si="578"/>
        <v>0</v>
      </c>
      <c r="T408" s="551"/>
      <c r="U408" s="536">
        <f t="shared" ref="U408" si="581">ROUND(IF($G413="LCFF Rate",(G408*$C408),(G408*$E408))+IF($I413="LCFF Rate",(I408*$C408),(I408*$E408))+IF($K413="LCFF Rate",(K408*$C408),(K408*$E408))+IF($M413="LCFF Rate",(M408*$C408),(M408*$E408))+IF($O413="LCFF Rate",(O408*$C408),(O408*$E408))+IF($Q413="LCFF Rate",(Q408*$C408),(Q408*$E408)),0)</f>
        <v>0</v>
      </c>
      <c r="V408" s="524"/>
      <c r="X408" s="4"/>
    </row>
    <row r="409" spans="1:24" s="8" customFormat="1" ht="14.4">
      <c r="A409" s="526"/>
      <c r="B409" s="510" t="s">
        <v>4</v>
      </c>
      <c r="C409" s="525">
        <f>IFERROR(VLOOKUP($B404,'PY1 TFR ADA'!$F:$AU,MATCH("A-1.4",'PY1 TFR ADA'!$F$5:$AU$5,0),FALSE),0)</f>
        <v>0</v>
      </c>
      <c r="D409" s="523"/>
      <c r="E409" s="525">
        <f>IFERROR(VALUE(VLOOKUP($B404,'PY1 TFR ADA'!$F:$AU,MATCH("A-2.4",'PY1 TFR ADA'!$F$5:$AU$5,0),FALSE)),0)</f>
        <v>0</v>
      </c>
      <c r="F409" s="523"/>
      <c r="G409" s="609">
        <f>IFERROR(VLOOKUP($B404,'PY1 TFR ADA'!$F:$AU,MATCH("b-1.4",'PY1 TFR ADA'!$F$5:$AU$5,0),FALSE),0)</f>
        <v>0</v>
      </c>
      <c r="H409" s="527"/>
      <c r="I409" s="609">
        <f>IFERROR(VLOOKUP($B404,'PY1 TFR ADA'!$F:$AU,MATCH("b-2.4",'PY1 TFR ADA'!$F$5:$AU$5,0),FALSE),0)</f>
        <v>0</v>
      </c>
      <c r="J409" s="527"/>
      <c r="K409" s="609">
        <f>IFERROR(VLOOKUP($B404,'PY1 TFR ADA'!$F:$AU,MATCH("b-3.4",'PY1 TFR ADA'!$F$5:$AU$5,0),FALSE),0)</f>
        <v>0</v>
      </c>
      <c r="L409" s="527"/>
      <c r="M409" s="609">
        <f>IFERROR(VLOOKUP($B404,'PY1 TFR ADA'!$F:$AU,MATCH("b-4.4",'PY1 TFR ADA'!$F$5:$AU$5,0),FALSE),0)</f>
        <v>0</v>
      </c>
      <c r="N409" s="527"/>
      <c r="O409" s="609">
        <f>IFERROR(VLOOKUP($B404,'PY1 TFR ADA'!$F:$AU,MATCH("b-5.4",'PY1 TFR ADA'!$F$5:$AU$5,0),FALSE),0)</f>
        <v>0</v>
      </c>
      <c r="P409" s="527"/>
      <c r="Q409" s="609">
        <f>IFERROR(VLOOKUP($B404,'PY1 TFR ADA'!$F:$AU,MATCH("b-6.4",'PY1 TFR ADA'!$F$5:$AU$5,0),FALSE),0)</f>
        <v>0</v>
      </c>
      <c r="R409" s="551"/>
      <c r="S409" s="601">
        <f t="shared" si="578"/>
        <v>0</v>
      </c>
      <c r="T409" s="551"/>
      <c r="U409" s="536">
        <f t="shared" ref="U409" si="582">ROUND(IF($G413="LCFF Rate",(G409*$C409),(G409*$E409))+IF($I413="LCFF Rate",(I409*$C409),(I409*$E409))+IF($K413="LCFF Rate",(K409*$C409),(K409*$E409))+IF($M413="LCFF Rate",(M409*$C409),(M409*$E409))+IF($O413="LCFF Rate",(O409*$C409),(O409*$E409))+IF($Q413="LCFF Rate",(Q409*$C409),(Q409*$E409)),0)</f>
        <v>0</v>
      </c>
      <c r="V409" s="522"/>
      <c r="X409" s="496"/>
    </row>
    <row r="410" spans="1:24" s="8" customFormat="1" ht="8.25" customHeight="1">
      <c r="A410" s="521"/>
      <c r="B410" s="167"/>
      <c r="C410" s="165"/>
      <c r="D410" s="523"/>
      <c r="E410" s="165"/>
      <c r="F410" s="523"/>
      <c r="G410" s="520"/>
      <c r="H410" s="523"/>
      <c r="I410" s="520"/>
      <c r="J410" s="523"/>
      <c r="K410" s="520"/>
      <c r="L410" s="523"/>
      <c r="M410" s="520"/>
      <c r="N410" s="523"/>
      <c r="O410" s="520"/>
      <c r="P410" s="523"/>
      <c r="Q410" s="520"/>
      <c r="R410" s="167"/>
      <c r="S410" s="520"/>
      <c r="T410" s="167"/>
      <c r="U410" s="602"/>
      <c r="V410" s="522"/>
      <c r="X410" s="4"/>
    </row>
    <row r="411" spans="1:24" s="8" customFormat="1" ht="14.4">
      <c r="A411" s="521"/>
      <c r="B411" s="167"/>
      <c r="C411" s="165"/>
      <c r="D411" s="523"/>
      <c r="E411" s="513" t="s">
        <v>1317</v>
      </c>
      <c r="F411" s="523"/>
      <c r="G411" s="601">
        <f t="shared" ref="G411" si="583">SUM(G406:G409)</f>
        <v>0</v>
      </c>
      <c r="H411" s="527"/>
      <c r="I411" s="601">
        <f t="shared" ref="I411" si="584">SUM(I406:I409)</f>
        <v>0</v>
      </c>
      <c r="J411" s="527"/>
      <c r="K411" s="601">
        <f t="shared" ref="K411" si="585">SUM(K406:K409)</f>
        <v>0</v>
      </c>
      <c r="L411" s="527"/>
      <c r="M411" s="601">
        <f t="shared" ref="M411" si="586">SUM(M406:M409)</f>
        <v>0</v>
      </c>
      <c r="N411" s="527"/>
      <c r="O411" s="601">
        <f t="shared" ref="O411" si="587">SUM(O406:O409)</f>
        <v>0</v>
      </c>
      <c r="P411" s="527"/>
      <c r="Q411" s="601">
        <f t="shared" ref="Q411" si="588">SUM(Q406:Q409)</f>
        <v>0</v>
      </c>
      <c r="R411" s="527"/>
      <c r="S411" s="601">
        <f t="shared" ref="S411" si="589">SUM(S406:S409)</f>
        <v>0</v>
      </c>
      <c r="T411" s="527"/>
      <c r="U411" s="536">
        <f t="shared" ref="U411" si="590">SUM(U406:U409)</f>
        <v>0</v>
      </c>
      <c r="V411" s="522"/>
      <c r="X411" s="4"/>
    </row>
    <row r="412" spans="1:24" s="8" customFormat="1" ht="8.25" customHeight="1">
      <c r="A412" s="521"/>
      <c r="B412" s="167"/>
      <c r="C412" s="165"/>
      <c r="D412" s="523"/>
      <c r="E412" s="165"/>
      <c r="F412" s="523"/>
      <c r="G412" s="520"/>
      <c r="H412" s="523"/>
      <c r="I412" s="520"/>
      <c r="J412" s="523"/>
      <c r="K412" s="520"/>
      <c r="L412" s="523"/>
      <c r="M412" s="520"/>
      <c r="N412" s="523"/>
      <c r="O412" s="520"/>
      <c r="P412" s="523"/>
      <c r="Q412" s="520"/>
      <c r="R412" s="167"/>
      <c r="S412" s="520"/>
      <c r="T412" s="167"/>
      <c r="U412" s="528"/>
      <c r="V412" s="522"/>
      <c r="X412" s="4"/>
    </row>
    <row r="413" spans="1:24" s="8" customFormat="1" ht="16.5" customHeight="1">
      <c r="A413" s="521"/>
      <c r="B413" s="167"/>
      <c r="C413" s="165"/>
      <c r="E413" s="513" t="s">
        <v>1304</v>
      </c>
      <c r="F413" s="523"/>
      <c r="G413" s="977">
        <f>_xlfn.IFNA(IF(VLOOKUP($B404,'PY1 TFR ADA'!$F:$AU,MATCH("B-1.5",'PY1 TFR ADA'!$F$5:$AU$5,0),FALSE)=TRUE,IF(VLOOKUP($B404,'PY1 TFR ADA'!$F:$AU,MATCH("C-1",'PY1 TFR ADA'!$F$5:$AU$5,0),FALSE)=TRUE,"Alternative Rate","LCFF Rate"),"LCFF Rate"),0)</f>
        <v>0</v>
      </c>
      <c r="H413" s="523"/>
      <c r="I413" s="977">
        <f>_xlfn.IFNA(IF(VLOOKUP($B404,'PY1 TFR ADA'!$F:$AU,MATCH("B-2.5",'PY1 TFR ADA'!$F$5:$AU$5,0),FALSE)=TRUE,IF(VLOOKUP($B404,'PY1 TFR ADA'!$F:$AU,MATCH("C-1",'PY1 TFR ADA'!$F$5:$AU$5,0),FALSE)=TRUE,"Alternative Rate","LCFF Rate"),"LCFF Rate"),0)</f>
        <v>0</v>
      </c>
      <c r="J413" s="523"/>
      <c r="K413" s="977">
        <f>_xlfn.IFNA(IF(VLOOKUP($B404,'PY1 TFR ADA'!$F:$AU,MATCH("B-3.5",'PY1 TFR ADA'!$F$5:$AU$5,0),FALSE)=TRUE,IF(VLOOKUP($B404,'PY1 TFR ADA'!$F:$AU,MATCH("C-1",'PY1 TFR ADA'!$F$5:$AU$5,0),FALSE)=TRUE,"Alternative Rate","LCFF Rate"),"LCFF Rate"),0)</f>
        <v>0</v>
      </c>
      <c r="L413" s="523"/>
      <c r="M413" s="977">
        <f>_xlfn.IFNA(IF(VLOOKUP($B404,'PY1 TFR ADA'!$F:$AU,MATCH("B-4.5",'PY1 TFR ADA'!$F$5:$AU$5,0),FALSE)=TRUE,IF(VLOOKUP($B404,'PY1 TFR ADA'!$F:$AU,MATCH("C-1",'PY1 TFR ADA'!$F$5:$AU$5,0),FALSE)=TRUE,"Alternative Rate","LCFF Rate"),"LCFF Rate"),0)</f>
        <v>0</v>
      </c>
      <c r="N413" s="523"/>
      <c r="O413" s="977">
        <f>_xlfn.IFNA(IF(VLOOKUP($B404,'PY1 TFR ADA'!$F:$AU,MATCH("B-5.5",'PY1 TFR ADA'!$F$5:$AU$5,0),FALSE)=TRUE,IF(VLOOKUP($B404,'PY1 TFR ADA'!$F:$AU,MATCH("C-1",'PY1 TFR ADA'!$F$5:$AU$5,0),FALSE)=TRUE,"Alternative Rate","LCFF Rate"),"LCFF Rate"),0)</f>
        <v>0</v>
      </c>
      <c r="P413" s="523"/>
      <c r="Q413" s="977">
        <f>_xlfn.IFNA(IF(VLOOKUP($B404,'PY1 TFR ADA'!$F:$AU,MATCH("B-6.5",'PY1 TFR ADA'!$F$5:$AU$5,0),FALSE)=TRUE,IF(VLOOKUP($B404,'PY1 TFR ADA'!$F:$AU,MATCH("C-1",'PY1 TFR ADA'!$F$5:$AU$5,0),FALSE)=TRUE,"Alternative Rate","LCFF Rate"),"LCFF Rate"),0)</f>
        <v>0</v>
      </c>
      <c r="R413" s="167"/>
      <c r="S413" s="520"/>
      <c r="T413" s="167"/>
      <c r="U413" s="528"/>
      <c r="V413" s="522"/>
      <c r="X413" s="283"/>
    </row>
    <row r="414" spans="1:24" s="8" customFormat="1" ht="8.25" customHeight="1">
      <c r="A414" s="521"/>
      <c r="B414" s="167"/>
      <c r="C414" s="165"/>
      <c r="D414" s="523"/>
      <c r="E414" s="165"/>
      <c r="F414" s="523"/>
      <c r="G414" s="520"/>
      <c r="H414" s="523"/>
      <c r="I414" s="520"/>
      <c r="J414" s="523"/>
      <c r="K414" s="520"/>
      <c r="L414" s="523"/>
      <c r="M414" s="520"/>
      <c r="N414" s="523"/>
      <c r="O414" s="520"/>
      <c r="P414" s="523"/>
      <c r="Q414" s="520"/>
      <c r="R414" s="167"/>
      <c r="S414" s="520"/>
      <c r="T414" s="167"/>
      <c r="U414" s="528"/>
      <c r="V414" s="522"/>
      <c r="X414" s="4"/>
    </row>
    <row r="415" spans="1:24" s="8" customFormat="1" ht="16.8">
      <c r="A415" s="521"/>
      <c r="B415" s="2"/>
      <c r="F415" s="523"/>
      <c r="G415" s="535">
        <f t="shared" ref="G415" si="591">IF(G413="LCFF Rate",(G406*C406+G407*C407+G408*C408+G409*C409),(G411*E409))</f>
        <v>0</v>
      </c>
      <c r="H415" s="537"/>
      <c r="I415" s="535">
        <f t="shared" ref="I415" si="592">IF(I413="LCFF Rate",(I406*C406+I407*C407+I408*C408+I409*C409),(I411*E409))</f>
        <v>0</v>
      </c>
      <c r="J415" s="537"/>
      <c r="K415" s="535">
        <f t="shared" ref="K415" si="593">IF(K413="LCFF Rate",(K406*C406+K407*C407+K408*C408+K409*C409),(K411*E409))</f>
        <v>0</v>
      </c>
      <c r="L415" s="537"/>
      <c r="M415" s="535">
        <f t="shared" ref="M415" si="594">IF(M413="LCFF Rate",(M406*C406+M407*C407+M408*C408+M409*C409),(M411*E409))</f>
        <v>0</v>
      </c>
      <c r="N415" s="537"/>
      <c r="O415" s="535">
        <f t="shared" ref="O415" si="595">IF(O413="LCFF Rate",(O406*C406+O407*C407+O408*C408+O409*C409),(O411*E409))</f>
        <v>0</v>
      </c>
      <c r="P415" s="537"/>
      <c r="Q415" s="535">
        <f t="shared" ref="Q415" si="596">IF(Q413="LCFF Rate",(Q406*C406+Q407*C407+Q408*C408+Q409*C409),(Q411*E409))</f>
        <v>0</v>
      </c>
      <c r="R415" s="167"/>
      <c r="S415" s="538">
        <f t="shared" ref="S415" si="597">SUM(G415:Q415)</f>
        <v>0</v>
      </c>
      <c r="T415" s="167"/>
      <c r="U415" s="528"/>
      <c r="V415" s="522"/>
      <c r="X415" s="979"/>
    </row>
    <row r="416" spans="1:24" s="8" customFormat="1" ht="9" customHeight="1" thickBot="1">
      <c r="A416" s="529"/>
      <c r="B416" s="530"/>
      <c r="C416" s="531"/>
      <c r="D416" s="532"/>
      <c r="E416" s="533"/>
      <c r="F416" s="532"/>
      <c r="G416" s="530"/>
      <c r="H416" s="532"/>
      <c r="I416" s="530"/>
      <c r="J416" s="532"/>
      <c r="K416" s="530"/>
      <c r="L416" s="532"/>
      <c r="M416" s="530"/>
      <c r="N416" s="532"/>
      <c r="O416" s="530"/>
      <c r="P416" s="532"/>
      <c r="Q416" s="530"/>
      <c r="R416" s="532"/>
      <c r="S416" s="530"/>
      <c r="T416" s="532"/>
      <c r="U416" s="532"/>
      <c r="V416" s="534"/>
      <c r="X416" s="4"/>
    </row>
    <row r="417" spans="1:24" s="82" customFormat="1" ht="18" customHeight="1" thickBot="1">
      <c r="A417" s="890">
        <f>+A404+1</f>
        <v>32</v>
      </c>
      <c r="B417" s="891" t="str">
        <f>'Data Entry'!$B$3&amp;"-"&amp;C417</f>
        <v>-</v>
      </c>
      <c r="C417" s="891" t="str">
        <f>IFERROR(VLOOKUP('Data Entry'!$B$3&amp;"-"&amp;A417,'PY1 TFR ADA'!$D:$AT,2,FALSE),"")</f>
        <v/>
      </c>
      <c r="D417" s="892" t="str">
        <f>IFERROR(VLOOKUP('Data Entry'!$B$3&amp;"-"&amp;A417,'PY1 TFR ADA'!$D:$AT,4,FALSE),"")</f>
        <v/>
      </c>
      <c r="E417" s="893"/>
      <c r="F417" s="893"/>
      <c r="G417" s="893"/>
      <c r="H417" s="893"/>
      <c r="I417" s="893"/>
      <c r="J417" s="893"/>
      <c r="K417" s="893"/>
      <c r="L417" s="893"/>
      <c r="M417" s="893"/>
      <c r="N417" s="893"/>
      <c r="O417" s="893"/>
      <c r="P417" s="893"/>
      <c r="Q417" s="893"/>
      <c r="R417" s="893"/>
      <c r="S417" s="893"/>
      <c r="T417" s="893"/>
      <c r="U417" s="893"/>
      <c r="V417" s="894"/>
      <c r="X417" s="83"/>
    </row>
    <row r="418" spans="1:24" ht="75" customHeight="1">
      <c r="A418" s="521"/>
      <c r="C418" s="540" t="s">
        <v>1315</v>
      </c>
      <c r="D418" s="512"/>
      <c r="E418" s="540" t="s">
        <v>1316</v>
      </c>
      <c r="F418" s="512"/>
      <c r="G418" s="540" t="s">
        <v>1309</v>
      </c>
      <c r="H418" s="512"/>
      <c r="I418" s="540" t="s">
        <v>1310</v>
      </c>
      <c r="J418" s="512"/>
      <c r="K418" s="540" t="s">
        <v>1311</v>
      </c>
      <c r="L418" s="512"/>
      <c r="M418" s="540" t="s">
        <v>1312</v>
      </c>
      <c r="N418" s="512"/>
      <c r="O418" s="540" t="s">
        <v>1313</v>
      </c>
      <c r="P418" s="512"/>
      <c r="Q418" s="540" t="s">
        <v>1314</v>
      </c>
      <c r="R418" s="167"/>
      <c r="S418" s="540" t="s">
        <v>1308</v>
      </c>
      <c r="T418" s="167"/>
      <c r="U418" s="512" t="s">
        <v>1307</v>
      </c>
      <c r="V418" s="524"/>
      <c r="X418" s="283"/>
    </row>
    <row r="419" spans="1:24" s="8" customFormat="1" ht="14.4">
      <c r="A419" s="521"/>
      <c r="B419" s="510" t="s">
        <v>94</v>
      </c>
      <c r="C419" s="525">
        <f>IFERROR(VLOOKUP($B417,'PY1 TFR ADA'!$F:$AU,MATCH("A-1.1",'PY1 TFR ADA'!$F$5:$AU$5,0),FALSE),0)</f>
        <v>0</v>
      </c>
      <c r="D419" s="167"/>
      <c r="E419" s="525">
        <f>IFERROR(VALUE(VLOOKUP($B417,'PY1 TFR ADA'!$F:$AU,MATCH("A-2.1",'PY1 TFR ADA'!$F$5:$AU$5,0),FALSE)),0)</f>
        <v>0</v>
      </c>
      <c r="F419" s="167"/>
      <c r="G419" s="609">
        <f>IFERROR(VLOOKUP($B417,'PY1 TFR ADA'!$F:$AU,MATCH("b-1.1",'PY1 TFR ADA'!$F$5:$AU$5,0),FALSE),0)</f>
        <v>0</v>
      </c>
      <c r="H419" s="527"/>
      <c r="I419" s="609">
        <f>IFERROR(VLOOKUP($B417,'PY1 TFR ADA'!$F:$AU,MATCH("b-2.1",'PY1 TFR ADA'!$F$5:$AU$5,0),FALSE),0)</f>
        <v>0</v>
      </c>
      <c r="J419" s="527"/>
      <c r="K419" s="609">
        <f>IFERROR(VLOOKUP($B417,'PY1 TFR ADA'!$F:$AU,MATCH("b-3.1",'PY1 TFR ADA'!$F$5:$AU$5,0),FALSE),0)</f>
        <v>0</v>
      </c>
      <c r="L419" s="527"/>
      <c r="M419" s="609">
        <f>IFERROR(VLOOKUP($B417,'PY1 TFR ADA'!$F:$AU,MATCH("b-4.1",'PY1 TFR ADA'!$F$5:$AU$5,0),FALSE),0)</f>
        <v>0</v>
      </c>
      <c r="N419" s="527"/>
      <c r="O419" s="609">
        <f>IFERROR(VLOOKUP($B417,'PY1 TFR ADA'!$F:$AU,MATCH("b-5.1",'PY1 TFR ADA'!$F$5:$AU$5,0),FALSE),0)</f>
        <v>0</v>
      </c>
      <c r="P419" s="527"/>
      <c r="Q419" s="609">
        <f>IFERROR(VLOOKUP($B417,'PY1 TFR ADA'!$F:$AU,MATCH("b-6.1",'PY1 TFR ADA'!$F$5:$AU$5,0),FALSE),0)</f>
        <v>0</v>
      </c>
      <c r="R419" s="551"/>
      <c r="S419" s="601">
        <f t="shared" ref="S419:S422" si="598">SUM(G419:Q419)</f>
        <v>0</v>
      </c>
      <c r="T419" s="551"/>
      <c r="U419" s="536">
        <f t="shared" ref="U419" si="599">ROUND(IF($G426="LCFF Rate",(G419*$C419),(G419*$E419))+IF($I426="LCFF Rate",(I419*$C419),(I419*$E419))+IF($K426="LCFF Rate",(K419*$C419),(K419*$E419))+IF($M426="LCFF Rate",(M419*$C419),(M419*$E419))+IF($O426="LCFF Rate",(O419*$C419),(O419*$E419))+IF($Q426="LCFF Rate",(Q419*$C419),(Q419*$E419)),0)</f>
        <v>0</v>
      </c>
      <c r="V419" s="524"/>
      <c r="X419" s="496"/>
    </row>
    <row r="420" spans="1:24" s="8" customFormat="1" ht="14.4">
      <c r="A420" s="521"/>
      <c r="B420" s="510" t="s">
        <v>2</v>
      </c>
      <c r="C420" s="525">
        <f>IFERROR(VLOOKUP($B417,'PY1 TFR ADA'!$F:$AU,MATCH("A-1.2",'PY1 TFR ADA'!$F$5:$AU$5,0),FALSE),0)</f>
        <v>0</v>
      </c>
      <c r="D420" s="167"/>
      <c r="E420" s="525">
        <f>IFERROR(VALUE(VLOOKUP($B417,'PY1 TFR ADA'!$F:$AU,MATCH("A-2.2",'PY1 TFR ADA'!$F$5:$AU$5,0),FALSE)),0)</f>
        <v>0</v>
      </c>
      <c r="F420" s="167"/>
      <c r="G420" s="609">
        <f>IFERROR(VLOOKUP($B417,'PY1 TFR ADA'!$F:$AU,MATCH("b-1.2",'PY1 TFR ADA'!$F$5:$AU$5,0),FALSE),0)</f>
        <v>0</v>
      </c>
      <c r="H420" s="527"/>
      <c r="I420" s="609">
        <f>IFERROR(VLOOKUP($B417,'PY1 TFR ADA'!$F:$AU,MATCH("b-2.2",'PY1 TFR ADA'!$F$5:$AU$5,0),FALSE),0)</f>
        <v>0</v>
      </c>
      <c r="J420" s="527"/>
      <c r="K420" s="609">
        <f>IFERROR(VLOOKUP($B417,'PY1 TFR ADA'!$F:$AU,MATCH("b-3.2",'PY1 TFR ADA'!$F$5:$AU$5,0),FALSE),0)</f>
        <v>0</v>
      </c>
      <c r="L420" s="527"/>
      <c r="M420" s="609">
        <f>IFERROR(VLOOKUP($B417,'PY1 TFR ADA'!$F:$AU,MATCH("b-4.2",'PY1 TFR ADA'!$F$5:$AU$5,0),FALSE),0)</f>
        <v>0</v>
      </c>
      <c r="N420" s="527"/>
      <c r="O420" s="609">
        <f>IFERROR(VLOOKUP($B417,'PY1 TFR ADA'!$F:$AU,MATCH("b-5.2",'PY1 TFR ADA'!$F$5:$AU$5,0),FALSE),0)</f>
        <v>0</v>
      </c>
      <c r="P420" s="527"/>
      <c r="Q420" s="609">
        <f>IFERROR(VLOOKUP($B417,'PY1 TFR ADA'!$F:$AU,MATCH("b-6.2",'PY1 TFR ADA'!$F$5:$AU$5,0),FALSE),0)</f>
        <v>0</v>
      </c>
      <c r="R420" s="551"/>
      <c r="S420" s="601">
        <f t="shared" si="598"/>
        <v>0</v>
      </c>
      <c r="T420" s="551"/>
      <c r="U420" s="536">
        <f t="shared" ref="U420" si="600">ROUND(IF($G426="LCFF Rate",(G420*$C420),(G420*$E420))+IF($I426="LCFF Rate",(I420*$C420),(I420*$E420))+IF($K426="LCFF Rate",(K420*$C420),(K420*$E420))+IF($M426="LCFF Rate",(M420*$C420),(M420*$E420))+IF($O426="LCFF Rate",(O420*$C420),(O420*$E420))+IF($Q426="LCFF Rate",(Q420*$C420),(Q420*$E420)),0)</f>
        <v>0</v>
      </c>
      <c r="V420" s="524"/>
      <c r="X420" s="4"/>
    </row>
    <row r="421" spans="1:24" s="8" customFormat="1" ht="14.4">
      <c r="A421" s="521"/>
      <c r="B421" s="510" t="s">
        <v>3</v>
      </c>
      <c r="C421" s="525">
        <f>IFERROR(VLOOKUP($B417,'PY1 TFR ADA'!$F:$AU,MATCH("A-1.3",'PY1 TFR ADA'!$F$5:$AU$5,0),FALSE),0)</f>
        <v>0</v>
      </c>
      <c r="D421" s="167"/>
      <c r="E421" s="525">
        <f>IFERROR(VALUE(VLOOKUP($B417,'PY1 TFR ADA'!$F:$AU,MATCH("A-2.3",'PY1 TFR ADA'!$F$5:$AU$5,0),FALSE)),0)</f>
        <v>0</v>
      </c>
      <c r="F421" s="167"/>
      <c r="G421" s="609">
        <f>IFERROR(VLOOKUP($B417,'PY1 TFR ADA'!$F:$AU,MATCH("b-1.3",'PY1 TFR ADA'!$F$5:$AU$5,0),FALSE),0)</f>
        <v>0</v>
      </c>
      <c r="H421" s="527"/>
      <c r="I421" s="609">
        <f>IFERROR(VLOOKUP($B417,'PY1 TFR ADA'!$F:$AU,MATCH("b-2.3",'PY1 TFR ADA'!$F$5:$AU$5,0),FALSE),0)</f>
        <v>0</v>
      </c>
      <c r="J421" s="527"/>
      <c r="K421" s="609">
        <f>IFERROR(VLOOKUP($B417,'PY1 TFR ADA'!$F:$AU,MATCH("b-3.3",'PY1 TFR ADA'!$F$5:$AU$5,0),FALSE),0)</f>
        <v>0</v>
      </c>
      <c r="L421" s="527"/>
      <c r="M421" s="609">
        <f>IFERROR(VLOOKUP($B417,'PY1 TFR ADA'!$F:$AU,MATCH("b-4.3",'PY1 TFR ADA'!$F$5:$AU$5,0),FALSE),0)</f>
        <v>0</v>
      </c>
      <c r="N421" s="527"/>
      <c r="O421" s="609">
        <f>IFERROR(VLOOKUP($B417,'PY1 TFR ADA'!$F:$AU,MATCH("b-5.3",'PY1 TFR ADA'!$F$5:$AU$5,0),FALSE),0)</f>
        <v>0</v>
      </c>
      <c r="P421" s="527"/>
      <c r="Q421" s="609">
        <f>IFERROR(VLOOKUP($B417,'PY1 TFR ADA'!$F:$AU,MATCH("b-6.3",'PY1 TFR ADA'!$F$5:$AU$5,0),FALSE),0)</f>
        <v>0</v>
      </c>
      <c r="R421" s="551"/>
      <c r="S421" s="601">
        <f t="shared" si="598"/>
        <v>0</v>
      </c>
      <c r="T421" s="551"/>
      <c r="U421" s="536">
        <f t="shared" ref="U421" si="601">ROUND(IF($G426="LCFF Rate",(G421*$C421),(G421*$E421))+IF($I426="LCFF Rate",(I421*$C421),(I421*$E421))+IF($K426="LCFF Rate",(K421*$C421),(K421*$E421))+IF($M426="LCFF Rate",(M421*$C421),(M421*$E421))+IF($O426="LCFF Rate",(O421*$C421),(O421*$E421))+IF($Q426="LCFF Rate",(Q421*$C421),(Q421*$E421)),0)</f>
        <v>0</v>
      </c>
      <c r="V421" s="524"/>
      <c r="X421" s="4"/>
    </row>
    <row r="422" spans="1:24" s="8" customFormat="1" ht="14.4">
      <c r="A422" s="526"/>
      <c r="B422" s="510" t="s">
        <v>4</v>
      </c>
      <c r="C422" s="525">
        <f>IFERROR(VLOOKUP($B417,'PY1 TFR ADA'!$F:$AU,MATCH("A-1.4",'PY1 TFR ADA'!$F$5:$AU$5,0),FALSE),0)</f>
        <v>0</v>
      </c>
      <c r="D422" s="523"/>
      <c r="E422" s="525">
        <f>IFERROR(VALUE(VLOOKUP($B417,'PY1 TFR ADA'!$F:$AU,MATCH("A-2.4",'PY1 TFR ADA'!$F$5:$AU$5,0),FALSE)),0)</f>
        <v>0</v>
      </c>
      <c r="F422" s="523"/>
      <c r="G422" s="609">
        <f>IFERROR(VLOOKUP($B417,'PY1 TFR ADA'!$F:$AU,MATCH("b-1.4",'PY1 TFR ADA'!$F$5:$AU$5,0),FALSE),0)</f>
        <v>0</v>
      </c>
      <c r="H422" s="527"/>
      <c r="I422" s="609">
        <f>IFERROR(VLOOKUP($B417,'PY1 TFR ADA'!$F:$AU,MATCH("b-2.4",'PY1 TFR ADA'!$F$5:$AU$5,0),FALSE),0)</f>
        <v>0</v>
      </c>
      <c r="J422" s="527"/>
      <c r="K422" s="609">
        <f>IFERROR(VLOOKUP($B417,'PY1 TFR ADA'!$F:$AU,MATCH("b-3.4",'PY1 TFR ADA'!$F$5:$AU$5,0),FALSE),0)</f>
        <v>0</v>
      </c>
      <c r="L422" s="527"/>
      <c r="M422" s="609">
        <f>IFERROR(VLOOKUP($B417,'PY1 TFR ADA'!$F:$AU,MATCH("b-4.4",'PY1 TFR ADA'!$F$5:$AU$5,0),FALSE),0)</f>
        <v>0</v>
      </c>
      <c r="N422" s="527"/>
      <c r="O422" s="609">
        <f>IFERROR(VLOOKUP($B417,'PY1 TFR ADA'!$F:$AU,MATCH("b-5.4",'PY1 TFR ADA'!$F$5:$AU$5,0),FALSE),0)</f>
        <v>0</v>
      </c>
      <c r="P422" s="527"/>
      <c r="Q422" s="609">
        <f>IFERROR(VLOOKUP($B417,'PY1 TFR ADA'!$F:$AU,MATCH("b-6.4",'PY1 TFR ADA'!$F$5:$AU$5,0),FALSE),0)</f>
        <v>0</v>
      </c>
      <c r="R422" s="551"/>
      <c r="S422" s="601">
        <f t="shared" si="598"/>
        <v>0</v>
      </c>
      <c r="T422" s="551"/>
      <c r="U422" s="536">
        <f t="shared" ref="U422" si="602">ROUND(IF($G426="LCFF Rate",(G422*$C422),(G422*$E422))+IF($I426="LCFF Rate",(I422*$C422),(I422*$E422))+IF($K426="LCFF Rate",(K422*$C422),(K422*$E422))+IF($M426="LCFF Rate",(M422*$C422),(M422*$E422))+IF($O426="LCFF Rate",(O422*$C422),(O422*$E422))+IF($Q426="LCFF Rate",(Q422*$C422),(Q422*$E422)),0)</f>
        <v>0</v>
      </c>
      <c r="V422" s="522"/>
      <c r="X422" s="496"/>
    </row>
    <row r="423" spans="1:24" s="8" customFormat="1" ht="8.25" customHeight="1">
      <c r="A423" s="521"/>
      <c r="B423" s="167"/>
      <c r="C423" s="165"/>
      <c r="D423" s="523"/>
      <c r="E423" s="165"/>
      <c r="F423" s="523"/>
      <c r="G423" s="520"/>
      <c r="H423" s="523"/>
      <c r="I423" s="520"/>
      <c r="J423" s="523"/>
      <c r="K423" s="520"/>
      <c r="L423" s="523"/>
      <c r="M423" s="520"/>
      <c r="N423" s="523"/>
      <c r="O423" s="520"/>
      <c r="P423" s="523"/>
      <c r="Q423" s="520"/>
      <c r="R423" s="167"/>
      <c r="S423" s="520"/>
      <c r="T423" s="167"/>
      <c r="U423" s="602"/>
      <c r="V423" s="522"/>
      <c r="X423" s="4"/>
    </row>
    <row r="424" spans="1:24" s="8" customFormat="1" ht="14.4">
      <c r="A424" s="521"/>
      <c r="B424" s="167"/>
      <c r="C424" s="165"/>
      <c r="D424" s="523"/>
      <c r="E424" s="513" t="s">
        <v>1317</v>
      </c>
      <c r="F424" s="523"/>
      <c r="G424" s="601">
        <f t="shared" ref="G424" si="603">SUM(G419:G422)</f>
        <v>0</v>
      </c>
      <c r="H424" s="527"/>
      <c r="I424" s="601">
        <f t="shared" ref="I424" si="604">SUM(I419:I422)</f>
        <v>0</v>
      </c>
      <c r="J424" s="527"/>
      <c r="K424" s="601">
        <f t="shared" ref="K424" si="605">SUM(K419:K422)</f>
        <v>0</v>
      </c>
      <c r="L424" s="527"/>
      <c r="M424" s="601">
        <f t="shared" ref="M424" si="606">SUM(M419:M422)</f>
        <v>0</v>
      </c>
      <c r="N424" s="527"/>
      <c r="O424" s="601">
        <f t="shared" ref="O424" si="607">SUM(O419:O422)</f>
        <v>0</v>
      </c>
      <c r="P424" s="527"/>
      <c r="Q424" s="601">
        <f t="shared" ref="Q424" si="608">SUM(Q419:Q422)</f>
        <v>0</v>
      </c>
      <c r="R424" s="527"/>
      <c r="S424" s="601">
        <f t="shared" ref="S424" si="609">SUM(S419:S422)</f>
        <v>0</v>
      </c>
      <c r="T424" s="527"/>
      <c r="U424" s="536">
        <f t="shared" ref="U424" si="610">SUM(U419:U422)</f>
        <v>0</v>
      </c>
      <c r="V424" s="522"/>
      <c r="X424" s="4"/>
    </row>
    <row r="425" spans="1:24" s="8" customFormat="1" ht="8.25" customHeight="1">
      <c r="A425" s="521"/>
      <c r="B425" s="167"/>
      <c r="C425" s="165"/>
      <c r="D425" s="523"/>
      <c r="E425" s="165"/>
      <c r="F425" s="523"/>
      <c r="G425" s="520"/>
      <c r="H425" s="523"/>
      <c r="I425" s="520"/>
      <c r="J425" s="523"/>
      <c r="K425" s="520"/>
      <c r="L425" s="523"/>
      <c r="M425" s="520"/>
      <c r="N425" s="523"/>
      <c r="O425" s="520"/>
      <c r="P425" s="523"/>
      <c r="Q425" s="520"/>
      <c r="R425" s="167"/>
      <c r="S425" s="520"/>
      <c r="T425" s="167"/>
      <c r="U425" s="528"/>
      <c r="V425" s="522"/>
      <c r="X425" s="4"/>
    </row>
    <row r="426" spans="1:24" s="8" customFormat="1" ht="16.5" customHeight="1">
      <c r="A426" s="521"/>
      <c r="B426" s="167"/>
      <c r="C426" s="165"/>
      <c r="E426" s="513" t="s">
        <v>1304</v>
      </c>
      <c r="F426" s="523"/>
      <c r="G426" s="977">
        <f>_xlfn.IFNA(IF(VLOOKUP($B417,'PY1 TFR ADA'!$F:$AU,MATCH("B-1.5",'PY1 TFR ADA'!$F$5:$AU$5,0),FALSE)=TRUE,IF(VLOOKUP($B417,'PY1 TFR ADA'!$F:$AU,MATCH("C-1",'PY1 TFR ADA'!$F$5:$AU$5,0),FALSE)=TRUE,"Alternative Rate","LCFF Rate"),"LCFF Rate"),0)</f>
        <v>0</v>
      </c>
      <c r="H426" s="523"/>
      <c r="I426" s="977">
        <f>_xlfn.IFNA(IF(VLOOKUP($B417,'PY1 TFR ADA'!$F:$AU,MATCH("B-2.5",'PY1 TFR ADA'!$F$5:$AU$5,0),FALSE)=TRUE,IF(VLOOKUP($B417,'PY1 TFR ADA'!$F:$AU,MATCH("C-1",'PY1 TFR ADA'!$F$5:$AU$5,0),FALSE)=TRUE,"Alternative Rate","LCFF Rate"),"LCFF Rate"),0)</f>
        <v>0</v>
      </c>
      <c r="J426" s="523"/>
      <c r="K426" s="977">
        <f>_xlfn.IFNA(IF(VLOOKUP($B417,'PY1 TFR ADA'!$F:$AU,MATCH("B-3.5",'PY1 TFR ADA'!$F$5:$AU$5,0),FALSE)=TRUE,IF(VLOOKUP($B417,'PY1 TFR ADA'!$F:$AU,MATCH("C-1",'PY1 TFR ADA'!$F$5:$AU$5,0),FALSE)=TRUE,"Alternative Rate","LCFF Rate"),"LCFF Rate"),0)</f>
        <v>0</v>
      </c>
      <c r="L426" s="523"/>
      <c r="M426" s="977">
        <f>_xlfn.IFNA(IF(VLOOKUP($B417,'PY1 TFR ADA'!$F:$AU,MATCH("B-4.5",'PY1 TFR ADA'!$F$5:$AU$5,0),FALSE)=TRUE,IF(VLOOKUP($B417,'PY1 TFR ADA'!$F:$AU,MATCH("C-1",'PY1 TFR ADA'!$F$5:$AU$5,0),FALSE)=TRUE,"Alternative Rate","LCFF Rate"),"LCFF Rate"),0)</f>
        <v>0</v>
      </c>
      <c r="N426" s="523"/>
      <c r="O426" s="977">
        <f>_xlfn.IFNA(IF(VLOOKUP($B417,'PY1 TFR ADA'!$F:$AU,MATCH("B-5.5",'PY1 TFR ADA'!$F$5:$AU$5,0),FALSE)=TRUE,IF(VLOOKUP($B417,'PY1 TFR ADA'!$F:$AU,MATCH("C-1",'PY1 TFR ADA'!$F$5:$AU$5,0),FALSE)=TRUE,"Alternative Rate","LCFF Rate"),"LCFF Rate"),0)</f>
        <v>0</v>
      </c>
      <c r="P426" s="523"/>
      <c r="Q426" s="977">
        <f>_xlfn.IFNA(IF(VLOOKUP($B417,'PY1 TFR ADA'!$F:$AU,MATCH("B-6.5",'PY1 TFR ADA'!$F$5:$AU$5,0),FALSE)=TRUE,IF(VLOOKUP($B417,'PY1 TFR ADA'!$F:$AU,MATCH("C-1",'PY1 TFR ADA'!$F$5:$AU$5,0),FALSE)=TRUE,"Alternative Rate","LCFF Rate"),"LCFF Rate"),0)</f>
        <v>0</v>
      </c>
      <c r="R426" s="167"/>
      <c r="S426" s="520"/>
      <c r="T426" s="167"/>
      <c r="U426" s="528"/>
      <c r="V426" s="522"/>
      <c r="X426" s="283"/>
    </row>
    <row r="427" spans="1:24" s="8" customFormat="1" ht="8.25" customHeight="1">
      <c r="A427" s="521"/>
      <c r="B427" s="167"/>
      <c r="C427" s="165"/>
      <c r="D427" s="523"/>
      <c r="E427" s="165"/>
      <c r="F427" s="523"/>
      <c r="G427" s="520"/>
      <c r="H427" s="523"/>
      <c r="I427" s="520"/>
      <c r="J427" s="523"/>
      <c r="K427" s="520"/>
      <c r="L427" s="523"/>
      <c r="M427" s="520"/>
      <c r="N427" s="523"/>
      <c r="O427" s="520"/>
      <c r="P427" s="523"/>
      <c r="Q427" s="520"/>
      <c r="R427" s="167"/>
      <c r="S427" s="520"/>
      <c r="T427" s="167"/>
      <c r="U427" s="528"/>
      <c r="V427" s="522"/>
      <c r="X427" s="4"/>
    </row>
    <row r="428" spans="1:24" s="8" customFormat="1" ht="16.8">
      <c r="A428" s="521"/>
      <c r="B428" s="2"/>
      <c r="F428" s="523"/>
      <c r="G428" s="535">
        <f t="shared" ref="G428" si="611">IF(G426="LCFF Rate",(G419*C419+G420*C420+G421*C421+G422*C422),(G424*E422))</f>
        <v>0</v>
      </c>
      <c r="H428" s="537"/>
      <c r="I428" s="535">
        <f t="shared" ref="I428" si="612">IF(I426="LCFF Rate",(I419*C419+I420*C420+I421*C421+I422*C422),(I424*E422))</f>
        <v>0</v>
      </c>
      <c r="J428" s="537"/>
      <c r="K428" s="535">
        <f t="shared" ref="K428" si="613">IF(K426="LCFF Rate",(K419*C419+K420*C420+K421*C421+K422*C422),(K424*E422))</f>
        <v>0</v>
      </c>
      <c r="L428" s="537"/>
      <c r="M428" s="535">
        <f t="shared" ref="M428" si="614">IF(M426="LCFF Rate",(M419*C419+M420*C420+M421*C421+M422*C422),(M424*E422))</f>
        <v>0</v>
      </c>
      <c r="N428" s="537"/>
      <c r="O428" s="535">
        <f t="shared" ref="O428" si="615">IF(O426="LCFF Rate",(O419*C419+O420*C420+O421*C421+O422*C422),(O424*E422))</f>
        <v>0</v>
      </c>
      <c r="P428" s="537"/>
      <c r="Q428" s="535">
        <f t="shared" ref="Q428" si="616">IF(Q426="LCFF Rate",(Q419*C419+Q420*C420+Q421*C421+Q422*C422),(Q424*E422))</f>
        <v>0</v>
      </c>
      <c r="R428" s="167"/>
      <c r="S428" s="538">
        <f t="shared" ref="S428" si="617">SUM(G428:Q428)</f>
        <v>0</v>
      </c>
      <c r="T428" s="167"/>
      <c r="U428" s="528"/>
      <c r="V428" s="522"/>
      <c r="X428" s="979"/>
    </row>
    <row r="429" spans="1:24" s="8" customFormat="1" ht="9" customHeight="1" thickBot="1">
      <c r="A429" s="529"/>
      <c r="B429" s="530"/>
      <c r="C429" s="531"/>
      <c r="D429" s="532"/>
      <c r="E429" s="533"/>
      <c r="F429" s="532"/>
      <c r="G429" s="530"/>
      <c r="H429" s="532"/>
      <c r="I429" s="530"/>
      <c r="J429" s="532"/>
      <c r="K429" s="530"/>
      <c r="L429" s="532"/>
      <c r="M429" s="530"/>
      <c r="N429" s="532"/>
      <c r="O429" s="530"/>
      <c r="P429" s="532"/>
      <c r="Q429" s="530"/>
      <c r="R429" s="532"/>
      <c r="S429" s="530"/>
      <c r="T429" s="532"/>
      <c r="U429" s="532"/>
      <c r="V429" s="534"/>
      <c r="X429" s="4"/>
    </row>
    <row r="430" spans="1:24" s="82" customFormat="1" ht="18" customHeight="1" thickBot="1">
      <c r="A430" s="890">
        <f>+A417+1</f>
        <v>33</v>
      </c>
      <c r="B430" s="891" t="str">
        <f>'Data Entry'!$B$3&amp;"-"&amp;C430</f>
        <v>-</v>
      </c>
      <c r="C430" s="891" t="str">
        <f>IFERROR(VLOOKUP('Data Entry'!$B$3&amp;"-"&amp;A430,'PY1 TFR ADA'!$D:$AT,2,FALSE),"")</f>
        <v/>
      </c>
      <c r="D430" s="892" t="str">
        <f>IFERROR(VLOOKUP('Data Entry'!$B$3&amp;"-"&amp;A430,'PY1 TFR ADA'!$D:$AT,4,FALSE),"")</f>
        <v/>
      </c>
      <c r="E430" s="893"/>
      <c r="F430" s="893"/>
      <c r="G430" s="893"/>
      <c r="H430" s="893"/>
      <c r="I430" s="893"/>
      <c r="J430" s="893"/>
      <c r="K430" s="893"/>
      <c r="L430" s="893"/>
      <c r="M430" s="893"/>
      <c r="N430" s="893"/>
      <c r="O430" s="893"/>
      <c r="P430" s="893"/>
      <c r="Q430" s="893"/>
      <c r="R430" s="893"/>
      <c r="S430" s="893"/>
      <c r="T430" s="893"/>
      <c r="U430" s="893"/>
      <c r="V430" s="894"/>
      <c r="X430" s="83"/>
    </row>
    <row r="431" spans="1:24" ht="75" customHeight="1">
      <c r="A431" s="521"/>
      <c r="C431" s="540" t="s">
        <v>1315</v>
      </c>
      <c r="D431" s="512"/>
      <c r="E431" s="540" t="s">
        <v>1316</v>
      </c>
      <c r="F431" s="512"/>
      <c r="G431" s="540" t="s">
        <v>1309</v>
      </c>
      <c r="H431" s="512"/>
      <c r="I431" s="540" t="s">
        <v>1310</v>
      </c>
      <c r="J431" s="512"/>
      <c r="K431" s="540" t="s">
        <v>1311</v>
      </c>
      <c r="L431" s="512"/>
      <c r="M431" s="540" t="s">
        <v>1312</v>
      </c>
      <c r="N431" s="512"/>
      <c r="O431" s="540" t="s">
        <v>1313</v>
      </c>
      <c r="P431" s="512"/>
      <c r="Q431" s="540" t="s">
        <v>1314</v>
      </c>
      <c r="R431" s="167"/>
      <c r="S431" s="540" t="s">
        <v>1308</v>
      </c>
      <c r="T431" s="167"/>
      <c r="U431" s="512" t="s">
        <v>1307</v>
      </c>
      <c r="V431" s="524"/>
      <c r="X431" s="283"/>
    </row>
    <row r="432" spans="1:24" s="8" customFormat="1" ht="14.4">
      <c r="A432" s="521"/>
      <c r="B432" s="510" t="s">
        <v>94</v>
      </c>
      <c r="C432" s="525">
        <f>IFERROR(VLOOKUP($B430,'PY1 TFR ADA'!$F:$AU,MATCH("A-1.1",'PY1 TFR ADA'!$F$5:$AU$5,0),FALSE),0)</f>
        <v>0</v>
      </c>
      <c r="D432" s="167"/>
      <c r="E432" s="525">
        <f>IFERROR(VALUE(VLOOKUP($B430,'PY1 TFR ADA'!$F:$AU,MATCH("A-2.1",'PY1 TFR ADA'!$F$5:$AU$5,0),FALSE)),0)</f>
        <v>0</v>
      </c>
      <c r="F432" s="167"/>
      <c r="G432" s="609">
        <f>IFERROR(VLOOKUP($B430,'PY1 TFR ADA'!$F:$AU,MATCH("b-1.1",'PY1 TFR ADA'!$F$5:$AU$5,0),FALSE),0)</f>
        <v>0</v>
      </c>
      <c r="H432" s="527"/>
      <c r="I432" s="609">
        <f>IFERROR(VLOOKUP($B430,'PY1 TFR ADA'!$F:$AU,MATCH("b-2.1",'PY1 TFR ADA'!$F$5:$AU$5,0),FALSE),0)</f>
        <v>0</v>
      </c>
      <c r="J432" s="527"/>
      <c r="K432" s="609">
        <f>IFERROR(VLOOKUP($B430,'PY1 TFR ADA'!$F:$AU,MATCH("b-3.1",'PY1 TFR ADA'!$F$5:$AU$5,0),FALSE),0)</f>
        <v>0</v>
      </c>
      <c r="L432" s="527"/>
      <c r="M432" s="609">
        <f>IFERROR(VLOOKUP($B430,'PY1 TFR ADA'!$F:$AU,MATCH("b-4.1",'PY1 TFR ADA'!$F$5:$AU$5,0),FALSE),0)</f>
        <v>0</v>
      </c>
      <c r="N432" s="527"/>
      <c r="O432" s="609">
        <f>IFERROR(VLOOKUP($B430,'PY1 TFR ADA'!$F:$AU,MATCH("b-5.1",'PY1 TFR ADA'!$F$5:$AU$5,0),FALSE),0)</f>
        <v>0</v>
      </c>
      <c r="P432" s="527"/>
      <c r="Q432" s="609">
        <f>IFERROR(VLOOKUP($B430,'PY1 TFR ADA'!$F:$AU,MATCH("b-6.1",'PY1 TFR ADA'!$F$5:$AU$5,0),FALSE),0)</f>
        <v>0</v>
      </c>
      <c r="R432" s="551"/>
      <c r="S432" s="601">
        <f t="shared" ref="S432:S435" si="618">SUM(G432:Q432)</f>
        <v>0</v>
      </c>
      <c r="T432" s="551"/>
      <c r="U432" s="536">
        <f t="shared" ref="U432" si="619">ROUND(IF($G439="LCFF Rate",(G432*$C432),(G432*$E432))+IF($I439="LCFF Rate",(I432*$C432),(I432*$E432))+IF($K439="LCFF Rate",(K432*$C432),(K432*$E432))+IF($M439="LCFF Rate",(M432*$C432),(M432*$E432))+IF($O439="LCFF Rate",(O432*$C432),(O432*$E432))+IF($Q439="LCFF Rate",(Q432*$C432),(Q432*$E432)),0)</f>
        <v>0</v>
      </c>
      <c r="V432" s="524"/>
      <c r="X432" s="496"/>
    </row>
    <row r="433" spans="1:24" s="8" customFormat="1" ht="14.4">
      <c r="A433" s="521"/>
      <c r="B433" s="510" t="s">
        <v>2</v>
      </c>
      <c r="C433" s="525">
        <f>IFERROR(VLOOKUP($B430,'PY1 TFR ADA'!$F:$AU,MATCH("A-1.2",'PY1 TFR ADA'!$F$5:$AU$5,0),FALSE),0)</f>
        <v>0</v>
      </c>
      <c r="D433" s="167"/>
      <c r="E433" s="525">
        <f>IFERROR(VALUE(VLOOKUP($B430,'PY1 TFR ADA'!$F:$AU,MATCH("A-2.2",'PY1 TFR ADA'!$F$5:$AU$5,0),FALSE)),0)</f>
        <v>0</v>
      </c>
      <c r="F433" s="167"/>
      <c r="G433" s="609">
        <f>IFERROR(VLOOKUP($B430,'PY1 TFR ADA'!$F:$AU,MATCH("b-1.2",'PY1 TFR ADA'!$F$5:$AU$5,0),FALSE),0)</f>
        <v>0</v>
      </c>
      <c r="H433" s="527"/>
      <c r="I433" s="609">
        <f>IFERROR(VLOOKUP($B430,'PY1 TFR ADA'!$F:$AU,MATCH("b-2.2",'PY1 TFR ADA'!$F$5:$AU$5,0),FALSE),0)</f>
        <v>0</v>
      </c>
      <c r="J433" s="527"/>
      <c r="K433" s="609">
        <f>IFERROR(VLOOKUP($B430,'PY1 TFR ADA'!$F:$AU,MATCH("b-3.2",'PY1 TFR ADA'!$F$5:$AU$5,0),FALSE),0)</f>
        <v>0</v>
      </c>
      <c r="L433" s="527"/>
      <c r="M433" s="609">
        <f>IFERROR(VLOOKUP($B430,'PY1 TFR ADA'!$F:$AU,MATCH("b-4.2",'PY1 TFR ADA'!$F$5:$AU$5,0),FALSE),0)</f>
        <v>0</v>
      </c>
      <c r="N433" s="527"/>
      <c r="O433" s="609">
        <f>IFERROR(VLOOKUP($B430,'PY1 TFR ADA'!$F:$AU,MATCH("b-5.2",'PY1 TFR ADA'!$F$5:$AU$5,0),FALSE),0)</f>
        <v>0</v>
      </c>
      <c r="P433" s="527"/>
      <c r="Q433" s="609">
        <f>IFERROR(VLOOKUP($B430,'PY1 TFR ADA'!$F:$AU,MATCH("b-6.2",'PY1 TFR ADA'!$F$5:$AU$5,0),FALSE),0)</f>
        <v>0</v>
      </c>
      <c r="R433" s="551"/>
      <c r="S433" s="601">
        <f t="shared" si="618"/>
        <v>0</v>
      </c>
      <c r="T433" s="551"/>
      <c r="U433" s="536">
        <f t="shared" ref="U433" si="620">ROUND(IF($G439="LCFF Rate",(G433*$C433),(G433*$E433))+IF($I439="LCFF Rate",(I433*$C433),(I433*$E433))+IF($K439="LCFF Rate",(K433*$C433),(K433*$E433))+IF($M439="LCFF Rate",(M433*$C433),(M433*$E433))+IF($O439="LCFF Rate",(O433*$C433),(O433*$E433))+IF($Q439="LCFF Rate",(Q433*$C433),(Q433*$E433)),0)</f>
        <v>0</v>
      </c>
      <c r="V433" s="524"/>
      <c r="X433" s="4"/>
    </row>
    <row r="434" spans="1:24" s="8" customFormat="1" ht="14.4">
      <c r="A434" s="521"/>
      <c r="B434" s="510" t="s">
        <v>3</v>
      </c>
      <c r="C434" s="525">
        <f>IFERROR(VLOOKUP($B430,'PY1 TFR ADA'!$F:$AU,MATCH("A-1.3",'PY1 TFR ADA'!$F$5:$AU$5,0),FALSE),0)</f>
        <v>0</v>
      </c>
      <c r="D434" s="167"/>
      <c r="E434" s="525">
        <f>IFERROR(VALUE(VLOOKUP($B430,'PY1 TFR ADA'!$F:$AU,MATCH("A-2.3",'PY1 TFR ADA'!$F$5:$AU$5,0),FALSE)),0)</f>
        <v>0</v>
      </c>
      <c r="F434" s="167"/>
      <c r="G434" s="609">
        <f>IFERROR(VLOOKUP($B430,'PY1 TFR ADA'!$F:$AU,MATCH("b-1.3",'PY1 TFR ADA'!$F$5:$AU$5,0),FALSE),0)</f>
        <v>0</v>
      </c>
      <c r="H434" s="527"/>
      <c r="I434" s="609">
        <f>IFERROR(VLOOKUP($B430,'PY1 TFR ADA'!$F:$AU,MATCH("b-2.3",'PY1 TFR ADA'!$F$5:$AU$5,0),FALSE),0)</f>
        <v>0</v>
      </c>
      <c r="J434" s="527"/>
      <c r="K434" s="609">
        <f>IFERROR(VLOOKUP($B430,'PY1 TFR ADA'!$F:$AU,MATCH("b-3.3",'PY1 TFR ADA'!$F$5:$AU$5,0),FALSE),0)</f>
        <v>0</v>
      </c>
      <c r="L434" s="527"/>
      <c r="M434" s="609">
        <f>IFERROR(VLOOKUP($B430,'PY1 TFR ADA'!$F:$AU,MATCH("b-4.3",'PY1 TFR ADA'!$F$5:$AU$5,0),FALSE),0)</f>
        <v>0</v>
      </c>
      <c r="N434" s="527"/>
      <c r="O434" s="609">
        <f>IFERROR(VLOOKUP($B430,'PY1 TFR ADA'!$F:$AU,MATCH("b-5.3",'PY1 TFR ADA'!$F$5:$AU$5,0),FALSE),0)</f>
        <v>0</v>
      </c>
      <c r="P434" s="527"/>
      <c r="Q434" s="609">
        <f>IFERROR(VLOOKUP($B430,'PY1 TFR ADA'!$F:$AU,MATCH("b-6.3",'PY1 TFR ADA'!$F$5:$AU$5,0),FALSE),0)</f>
        <v>0</v>
      </c>
      <c r="R434" s="551"/>
      <c r="S434" s="601">
        <f t="shared" si="618"/>
        <v>0</v>
      </c>
      <c r="T434" s="551"/>
      <c r="U434" s="536">
        <f t="shared" ref="U434" si="621">ROUND(IF($G439="LCFF Rate",(G434*$C434),(G434*$E434))+IF($I439="LCFF Rate",(I434*$C434),(I434*$E434))+IF($K439="LCFF Rate",(K434*$C434),(K434*$E434))+IF($M439="LCFF Rate",(M434*$C434),(M434*$E434))+IF($O439="LCFF Rate",(O434*$C434),(O434*$E434))+IF($Q439="LCFF Rate",(Q434*$C434),(Q434*$E434)),0)</f>
        <v>0</v>
      </c>
      <c r="V434" s="524"/>
      <c r="X434" s="4"/>
    </row>
    <row r="435" spans="1:24" s="8" customFormat="1" ht="14.4">
      <c r="A435" s="526"/>
      <c r="B435" s="510" t="s">
        <v>4</v>
      </c>
      <c r="C435" s="525">
        <f>IFERROR(VLOOKUP($B430,'PY1 TFR ADA'!$F:$AU,MATCH("A-1.4",'PY1 TFR ADA'!$F$5:$AU$5,0),FALSE),0)</f>
        <v>0</v>
      </c>
      <c r="D435" s="523"/>
      <c r="E435" s="525">
        <f>IFERROR(VALUE(VLOOKUP($B430,'PY1 TFR ADA'!$F:$AU,MATCH("A-2.4",'PY1 TFR ADA'!$F$5:$AU$5,0),FALSE)),0)</f>
        <v>0</v>
      </c>
      <c r="F435" s="523"/>
      <c r="G435" s="609">
        <f>IFERROR(VLOOKUP($B430,'PY1 TFR ADA'!$F:$AU,MATCH("b-1.4",'PY1 TFR ADA'!$F$5:$AU$5,0),FALSE),0)</f>
        <v>0</v>
      </c>
      <c r="H435" s="527"/>
      <c r="I435" s="609">
        <f>IFERROR(VLOOKUP($B430,'PY1 TFR ADA'!$F:$AU,MATCH("b-2.4",'PY1 TFR ADA'!$F$5:$AU$5,0),FALSE),0)</f>
        <v>0</v>
      </c>
      <c r="J435" s="527"/>
      <c r="K435" s="609">
        <f>IFERROR(VLOOKUP($B430,'PY1 TFR ADA'!$F:$AU,MATCH("b-3.4",'PY1 TFR ADA'!$F$5:$AU$5,0),FALSE),0)</f>
        <v>0</v>
      </c>
      <c r="L435" s="527"/>
      <c r="M435" s="609">
        <f>IFERROR(VLOOKUP($B430,'PY1 TFR ADA'!$F:$AU,MATCH("b-4.4",'PY1 TFR ADA'!$F$5:$AU$5,0),FALSE),0)</f>
        <v>0</v>
      </c>
      <c r="N435" s="527"/>
      <c r="O435" s="609">
        <f>IFERROR(VLOOKUP($B430,'PY1 TFR ADA'!$F:$AU,MATCH("b-5.4",'PY1 TFR ADA'!$F$5:$AU$5,0),FALSE),0)</f>
        <v>0</v>
      </c>
      <c r="P435" s="527"/>
      <c r="Q435" s="609">
        <f>IFERROR(VLOOKUP($B430,'PY1 TFR ADA'!$F:$AU,MATCH("b-6.4",'PY1 TFR ADA'!$F$5:$AU$5,0),FALSE),0)</f>
        <v>0</v>
      </c>
      <c r="R435" s="551"/>
      <c r="S435" s="601">
        <f t="shared" si="618"/>
        <v>0</v>
      </c>
      <c r="T435" s="551"/>
      <c r="U435" s="536">
        <f t="shared" ref="U435" si="622">ROUND(IF($G439="LCFF Rate",(G435*$C435),(G435*$E435))+IF($I439="LCFF Rate",(I435*$C435),(I435*$E435))+IF($K439="LCFF Rate",(K435*$C435),(K435*$E435))+IF($M439="LCFF Rate",(M435*$C435),(M435*$E435))+IF($O439="LCFF Rate",(O435*$C435),(O435*$E435))+IF($Q439="LCFF Rate",(Q435*$C435),(Q435*$E435)),0)</f>
        <v>0</v>
      </c>
      <c r="V435" s="522"/>
      <c r="X435" s="496"/>
    </row>
    <row r="436" spans="1:24" s="8" customFormat="1" ht="8.25" customHeight="1">
      <c r="A436" s="521"/>
      <c r="B436" s="167"/>
      <c r="C436" s="165"/>
      <c r="D436" s="523"/>
      <c r="E436" s="165"/>
      <c r="F436" s="523"/>
      <c r="G436" s="520"/>
      <c r="H436" s="523"/>
      <c r="I436" s="520"/>
      <c r="J436" s="523"/>
      <c r="K436" s="520"/>
      <c r="L436" s="523"/>
      <c r="M436" s="520"/>
      <c r="N436" s="523"/>
      <c r="O436" s="520"/>
      <c r="P436" s="523"/>
      <c r="Q436" s="520"/>
      <c r="R436" s="167"/>
      <c r="S436" s="520"/>
      <c r="T436" s="167"/>
      <c r="U436" s="602"/>
      <c r="V436" s="522"/>
      <c r="X436" s="4"/>
    </row>
    <row r="437" spans="1:24" s="8" customFormat="1" ht="14.4">
      <c r="A437" s="521"/>
      <c r="B437" s="167"/>
      <c r="C437" s="165"/>
      <c r="D437" s="523"/>
      <c r="E437" s="513" t="s">
        <v>1317</v>
      </c>
      <c r="F437" s="523"/>
      <c r="G437" s="601">
        <f t="shared" ref="G437" si="623">SUM(G432:G435)</f>
        <v>0</v>
      </c>
      <c r="H437" s="527"/>
      <c r="I437" s="601">
        <f t="shared" ref="I437" si="624">SUM(I432:I435)</f>
        <v>0</v>
      </c>
      <c r="J437" s="527"/>
      <c r="K437" s="601">
        <f t="shared" ref="K437" si="625">SUM(K432:K435)</f>
        <v>0</v>
      </c>
      <c r="L437" s="527"/>
      <c r="M437" s="601">
        <f t="shared" ref="M437" si="626">SUM(M432:M435)</f>
        <v>0</v>
      </c>
      <c r="N437" s="527"/>
      <c r="O437" s="601">
        <f t="shared" ref="O437" si="627">SUM(O432:O435)</f>
        <v>0</v>
      </c>
      <c r="P437" s="527"/>
      <c r="Q437" s="601">
        <f t="shared" ref="Q437" si="628">SUM(Q432:Q435)</f>
        <v>0</v>
      </c>
      <c r="R437" s="527"/>
      <c r="S437" s="601">
        <f t="shared" ref="S437" si="629">SUM(S432:S435)</f>
        <v>0</v>
      </c>
      <c r="T437" s="527"/>
      <c r="U437" s="536">
        <f t="shared" ref="U437" si="630">SUM(U432:U435)</f>
        <v>0</v>
      </c>
      <c r="V437" s="522"/>
      <c r="X437" s="4"/>
    </row>
    <row r="438" spans="1:24" s="8" customFormat="1" ht="8.25" customHeight="1">
      <c r="A438" s="521"/>
      <c r="B438" s="167"/>
      <c r="C438" s="165"/>
      <c r="D438" s="523"/>
      <c r="E438" s="165"/>
      <c r="F438" s="523"/>
      <c r="G438" s="520"/>
      <c r="H438" s="523"/>
      <c r="I438" s="520"/>
      <c r="J438" s="523"/>
      <c r="K438" s="520"/>
      <c r="L438" s="523"/>
      <c r="M438" s="520"/>
      <c r="N438" s="523"/>
      <c r="O438" s="520"/>
      <c r="P438" s="523"/>
      <c r="Q438" s="520"/>
      <c r="R438" s="167"/>
      <c r="S438" s="520"/>
      <c r="T438" s="167"/>
      <c r="U438" s="528"/>
      <c r="V438" s="522"/>
      <c r="X438" s="4"/>
    </row>
    <row r="439" spans="1:24" s="8" customFormat="1" ht="16.5" customHeight="1">
      <c r="A439" s="521"/>
      <c r="B439" s="167"/>
      <c r="C439" s="165"/>
      <c r="E439" s="513" t="s">
        <v>1304</v>
      </c>
      <c r="F439" s="523"/>
      <c r="G439" s="977">
        <f>_xlfn.IFNA(IF(VLOOKUP($B430,'PY1 TFR ADA'!$F:$AU,MATCH("B-1.5",'PY1 TFR ADA'!$F$5:$AU$5,0),FALSE)=TRUE,IF(VLOOKUP($B430,'PY1 TFR ADA'!$F:$AU,MATCH("C-1",'PY1 TFR ADA'!$F$5:$AU$5,0),FALSE)=TRUE,"Alternative Rate","LCFF Rate"),"LCFF Rate"),0)</f>
        <v>0</v>
      </c>
      <c r="H439" s="523"/>
      <c r="I439" s="977">
        <f>_xlfn.IFNA(IF(VLOOKUP($B430,'PY1 TFR ADA'!$F:$AU,MATCH("B-2.5",'PY1 TFR ADA'!$F$5:$AU$5,0),FALSE)=TRUE,IF(VLOOKUP($B430,'PY1 TFR ADA'!$F:$AU,MATCH("C-1",'PY1 TFR ADA'!$F$5:$AU$5,0),FALSE)=TRUE,"Alternative Rate","LCFF Rate"),"LCFF Rate"),0)</f>
        <v>0</v>
      </c>
      <c r="J439" s="523"/>
      <c r="K439" s="977">
        <f>_xlfn.IFNA(IF(VLOOKUP($B430,'PY1 TFR ADA'!$F:$AU,MATCH("B-3.5",'PY1 TFR ADA'!$F$5:$AU$5,0),FALSE)=TRUE,IF(VLOOKUP($B430,'PY1 TFR ADA'!$F:$AU,MATCH("C-1",'PY1 TFR ADA'!$F$5:$AU$5,0),FALSE)=TRUE,"Alternative Rate","LCFF Rate"),"LCFF Rate"),0)</f>
        <v>0</v>
      </c>
      <c r="L439" s="523"/>
      <c r="M439" s="977">
        <f>_xlfn.IFNA(IF(VLOOKUP($B430,'PY1 TFR ADA'!$F:$AU,MATCH("B-4.5",'PY1 TFR ADA'!$F$5:$AU$5,0),FALSE)=TRUE,IF(VLOOKUP($B430,'PY1 TFR ADA'!$F:$AU,MATCH("C-1",'PY1 TFR ADA'!$F$5:$AU$5,0),FALSE)=TRUE,"Alternative Rate","LCFF Rate"),"LCFF Rate"),0)</f>
        <v>0</v>
      </c>
      <c r="N439" s="523"/>
      <c r="O439" s="977">
        <f>_xlfn.IFNA(IF(VLOOKUP($B430,'PY1 TFR ADA'!$F:$AU,MATCH("B-5.5",'PY1 TFR ADA'!$F$5:$AU$5,0),FALSE)=TRUE,IF(VLOOKUP($B430,'PY1 TFR ADA'!$F:$AU,MATCH("C-1",'PY1 TFR ADA'!$F$5:$AU$5,0),FALSE)=TRUE,"Alternative Rate","LCFF Rate"),"LCFF Rate"),0)</f>
        <v>0</v>
      </c>
      <c r="P439" s="523"/>
      <c r="Q439" s="977">
        <f>_xlfn.IFNA(IF(VLOOKUP($B430,'PY1 TFR ADA'!$F:$AU,MATCH("B-6.5",'PY1 TFR ADA'!$F$5:$AU$5,0),FALSE)=TRUE,IF(VLOOKUP($B430,'PY1 TFR ADA'!$F:$AU,MATCH("C-1",'PY1 TFR ADA'!$F$5:$AU$5,0),FALSE)=TRUE,"Alternative Rate","LCFF Rate"),"LCFF Rate"),0)</f>
        <v>0</v>
      </c>
      <c r="R439" s="167"/>
      <c r="S439" s="520"/>
      <c r="T439" s="167"/>
      <c r="U439" s="528"/>
      <c r="V439" s="522"/>
      <c r="X439" s="283"/>
    </row>
    <row r="440" spans="1:24" s="8" customFormat="1" ht="8.25" customHeight="1">
      <c r="A440" s="521"/>
      <c r="B440" s="167"/>
      <c r="C440" s="165"/>
      <c r="D440" s="523"/>
      <c r="E440" s="165"/>
      <c r="F440" s="523"/>
      <c r="G440" s="520"/>
      <c r="H440" s="523"/>
      <c r="I440" s="520"/>
      <c r="J440" s="523"/>
      <c r="K440" s="520"/>
      <c r="L440" s="523"/>
      <c r="M440" s="520"/>
      <c r="N440" s="523"/>
      <c r="O440" s="520"/>
      <c r="P440" s="523"/>
      <c r="Q440" s="520"/>
      <c r="R440" s="167"/>
      <c r="S440" s="520"/>
      <c r="T440" s="167"/>
      <c r="U440" s="528"/>
      <c r="V440" s="522"/>
      <c r="X440" s="4"/>
    </row>
    <row r="441" spans="1:24" s="8" customFormat="1" ht="16.8">
      <c r="A441" s="521"/>
      <c r="B441" s="2"/>
      <c r="F441" s="523"/>
      <c r="G441" s="535">
        <f t="shared" ref="G441" si="631">IF(G439="LCFF Rate",(G432*C432+G433*C433+G434*C434+G435*C435),(G437*E435))</f>
        <v>0</v>
      </c>
      <c r="H441" s="537"/>
      <c r="I441" s="535">
        <f t="shared" ref="I441" si="632">IF(I439="LCFF Rate",(I432*C432+I433*C433+I434*C434+I435*C435),(I437*E435))</f>
        <v>0</v>
      </c>
      <c r="J441" s="537"/>
      <c r="K441" s="535">
        <f t="shared" ref="K441" si="633">IF(K439="LCFF Rate",(K432*C432+K433*C433+K434*C434+K435*C435),(K437*E435))</f>
        <v>0</v>
      </c>
      <c r="L441" s="537"/>
      <c r="M441" s="535">
        <f t="shared" ref="M441" si="634">IF(M439="LCFF Rate",(M432*C432+M433*C433+M434*C434+M435*C435),(M437*E435))</f>
        <v>0</v>
      </c>
      <c r="N441" s="537"/>
      <c r="O441" s="535">
        <f t="shared" ref="O441" si="635">IF(O439="LCFF Rate",(O432*C432+O433*C433+O434*C434+O435*C435),(O437*E435))</f>
        <v>0</v>
      </c>
      <c r="P441" s="537"/>
      <c r="Q441" s="535">
        <f t="shared" ref="Q441" si="636">IF(Q439="LCFF Rate",(Q432*C432+Q433*C433+Q434*C434+Q435*C435),(Q437*E435))</f>
        <v>0</v>
      </c>
      <c r="R441" s="167"/>
      <c r="S441" s="538">
        <f t="shared" ref="S441" si="637">SUM(G441:Q441)</f>
        <v>0</v>
      </c>
      <c r="T441" s="167"/>
      <c r="U441" s="528"/>
      <c r="V441" s="522"/>
      <c r="X441" s="979"/>
    </row>
    <row r="442" spans="1:24" s="8" customFormat="1" ht="9" customHeight="1" thickBot="1">
      <c r="A442" s="529"/>
      <c r="B442" s="530"/>
      <c r="C442" s="531"/>
      <c r="D442" s="532"/>
      <c r="E442" s="533"/>
      <c r="F442" s="532"/>
      <c r="G442" s="530"/>
      <c r="H442" s="532"/>
      <c r="I442" s="530"/>
      <c r="J442" s="532"/>
      <c r="K442" s="530"/>
      <c r="L442" s="532"/>
      <c r="M442" s="530"/>
      <c r="N442" s="532"/>
      <c r="O442" s="530"/>
      <c r="P442" s="532"/>
      <c r="Q442" s="530"/>
      <c r="R442" s="532"/>
      <c r="S442" s="530"/>
      <c r="T442" s="532"/>
      <c r="U442" s="532"/>
      <c r="V442" s="534"/>
      <c r="X442" s="4"/>
    </row>
    <row r="443" spans="1:24" s="82" customFormat="1" ht="18" customHeight="1" thickBot="1">
      <c r="A443" s="890">
        <f>+A430+1</f>
        <v>34</v>
      </c>
      <c r="B443" s="891" t="str">
        <f>'Data Entry'!$B$3&amp;"-"&amp;C443</f>
        <v>-</v>
      </c>
      <c r="C443" s="891" t="str">
        <f>IFERROR(VLOOKUP('Data Entry'!$B$3&amp;"-"&amp;A443,'PY1 TFR ADA'!$D:$AT,2,FALSE),"")</f>
        <v/>
      </c>
      <c r="D443" s="892" t="str">
        <f>IFERROR(VLOOKUP('Data Entry'!$B$3&amp;"-"&amp;A443,'PY1 TFR ADA'!$D:$AT,4,FALSE),"")</f>
        <v/>
      </c>
      <c r="E443" s="893"/>
      <c r="F443" s="893"/>
      <c r="G443" s="893"/>
      <c r="H443" s="893"/>
      <c r="I443" s="893"/>
      <c r="J443" s="893"/>
      <c r="K443" s="893"/>
      <c r="L443" s="893"/>
      <c r="M443" s="893"/>
      <c r="N443" s="893"/>
      <c r="O443" s="893"/>
      <c r="P443" s="893"/>
      <c r="Q443" s="893"/>
      <c r="R443" s="893"/>
      <c r="S443" s="893"/>
      <c r="T443" s="893"/>
      <c r="U443" s="893"/>
      <c r="V443" s="894"/>
      <c r="X443" s="83"/>
    </row>
    <row r="444" spans="1:24" ht="75" customHeight="1">
      <c r="A444" s="521"/>
      <c r="C444" s="540" t="s">
        <v>1315</v>
      </c>
      <c r="D444" s="512"/>
      <c r="E444" s="540" t="s">
        <v>1316</v>
      </c>
      <c r="F444" s="512"/>
      <c r="G444" s="540" t="s">
        <v>1309</v>
      </c>
      <c r="H444" s="512"/>
      <c r="I444" s="540" t="s">
        <v>1310</v>
      </c>
      <c r="J444" s="512"/>
      <c r="K444" s="540" t="s">
        <v>1311</v>
      </c>
      <c r="L444" s="512"/>
      <c r="M444" s="540" t="s">
        <v>1312</v>
      </c>
      <c r="N444" s="512"/>
      <c r="O444" s="540" t="s">
        <v>1313</v>
      </c>
      <c r="P444" s="512"/>
      <c r="Q444" s="540" t="s">
        <v>1314</v>
      </c>
      <c r="R444" s="167"/>
      <c r="S444" s="540" t="s">
        <v>1308</v>
      </c>
      <c r="T444" s="167"/>
      <c r="U444" s="512" t="s">
        <v>1307</v>
      </c>
      <c r="V444" s="524"/>
      <c r="X444" s="283"/>
    </row>
    <row r="445" spans="1:24" s="8" customFormat="1" ht="14.4">
      <c r="A445" s="521"/>
      <c r="B445" s="510" t="s">
        <v>94</v>
      </c>
      <c r="C445" s="525">
        <f>IFERROR(VLOOKUP($B443,'PY1 TFR ADA'!$F:$AU,MATCH("A-1.1",'PY1 TFR ADA'!$F$5:$AU$5,0),FALSE),0)</f>
        <v>0</v>
      </c>
      <c r="D445" s="167"/>
      <c r="E445" s="525">
        <f>IFERROR(VALUE(VLOOKUP($B443,'PY1 TFR ADA'!$F:$AU,MATCH("A-2.1",'PY1 TFR ADA'!$F$5:$AU$5,0),FALSE)),0)</f>
        <v>0</v>
      </c>
      <c r="F445" s="167"/>
      <c r="G445" s="609">
        <f>IFERROR(VLOOKUP($B443,'PY1 TFR ADA'!$F:$AU,MATCH("b-1.1",'PY1 TFR ADA'!$F$5:$AU$5,0),FALSE),0)</f>
        <v>0</v>
      </c>
      <c r="H445" s="527"/>
      <c r="I445" s="609">
        <f>IFERROR(VLOOKUP($B443,'PY1 TFR ADA'!$F:$AU,MATCH("b-2.1",'PY1 TFR ADA'!$F$5:$AU$5,0),FALSE),0)</f>
        <v>0</v>
      </c>
      <c r="J445" s="527"/>
      <c r="K445" s="609">
        <f>IFERROR(VLOOKUP($B443,'PY1 TFR ADA'!$F:$AU,MATCH("b-3.1",'PY1 TFR ADA'!$F$5:$AU$5,0),FALSE),0)</f>
        <v>0</v>
      </c>
      <c r="L445" s="527"/>
      <c r="M445" s="609">
        <f>IFERROR(VLOOKUP($B443,'PY1 TFR ADA'!$F:$AU,MATCH("b-4.1",'PY1 TFR ADA'!$F$5:$AU$5,0),FALSE),0)</f>
        <v>0</v>
      </c>
      <c r="N445" s="527"/>
      <c r="O445" s="609">
        <f>IFERROR(VLOOKUP($B443,'PY1 TFR ADA'!$F:$AU,MATCH("b-5.1",'PY1 TFR ADA'!$F$5:$AU$5,0),FALSE),0)</f>
        <v>0</v>
      </c>
      <c r="P445" s="527"/>
      <c r="Q445" s="609">
        <f>IFERROR(VLOOKUP($B443,'PY1 TFR ADA'!$F:$AU,MATCH("b-6.1",'PY1 TFR ADA'!$F$5:$AU$5,0),FALSE),0)</f>
        <v>0</v>
      </c>
      <c r="R445" s="551"/>
      <c r="S445" s="601">
        <f t="shared" ref="S445:S448" si="638">SUM(G445:Q445)</f>
        <v>0</v>
      </c>
      <c r="T445" s="551"/>
      <c r="U445" s="536">
        <f t="shared" ref="U445" si="639">ROUND(IF($G452="LCFF Rate",(G445*$C445),(G445*$E445))+IF($I452="LCFF Rate",(I445*$C445),(I445*$E445))+IF($K452="LCFF Rate",(K445*$C445),(K445*$E445))+IF($M452="LCFF Rate",(M445*$C445),(M445*$E445))+IF($O452="LCFF Rate",(O445*$C445),(O445*$E445))+IF($Q452="LCFF Rate",(Q445*$C445),(Q445*$E445)),0)</f>
        <v>0</v>
      </c>
      <c r="V445" s="524"/>
      <c r="X445" s="496"/>
    </row>
    <row r="446" spans="1:24" s="8" customFormat="1" ht="14.4">
      <c r="A446" s="521"/>
      <c r="B446" s="510" t="s">
        <v>2</v>
      </c>
      <c r="C446" s="525">
        <f>IFERROR(VLOOKUP($B443,'PY1 TFR ADA'!$F:$AU,MATCH("A-1.2",'PY1 TFR ADA'!$F$5:$AU$5,0),FALSE),0)</f>
        <v>0</v>
      </c>
      <c r="D446" s="167"/>
      <c r="E446" s="525">
        <f>IFERROR(VALUE(VLOOKUP($B443,'PY1 TFR ADA'!$F:$AU,MATCH("A-2.2",'PY1 TFR ADA'!$F$5:$AU$5,0),FALSE)),0)</f>
        <v>0</v>
      </c>
      <c r="F446" s="167"/>
      <c r="G446" s="609">
        <f>IFERROR(VLOOKUP($B443,'PY1 TFR ADA'!$F:$AU,MATCH("b-1.2",'PY1 TFR ADA'!$F$5:$AU$5,0),FALSE),0)</f>
        <v>0</v>
      </c>
      <c r="H446" s="527"/>
      <c r="I446" s="609">
        <f>IFERROR(VLOOKUP($B443,'PY1 TFR ADA'!$F:$AU,MATCH("b-2.2",'PY1 TFR ADA'!$F$5:$AU$5,0),FALSE),0)</f>
        <v>0</v>
      </c>
      <c r="J446" s="527"/>
      <c r="K446" s="609">
        <f>IFERROR(VLOOKUP($B443,'PY1 TFR ADA'!$F:$AU,MATCH("b-3.2",'PY1 TFR ADA'!$F$5:$AU$5,0),FALSE),0)</f>
        <v>0</v>
      </c>
      <c r="L446" s="527"/>
      <c r="M446" s="609">
        <f>IFERROR(VLOOKUP($B443,'PY1 TFR ADA'!$F:$AU,MATCH("b-4.2",'PY1 TFR ADA'!$F$5:$AU$5,0),FALSE),0)</f>
        <v>0</v>
      </c>
      <c r="N446" s="527"/>
      <c r="O446" s="609">
        <f>IFERROR(VLOOKUP($B443,'PY1 TFR ADA'!$F:$AU,MATCH("b-5.2",'PY1 TFR ADA'!$F$5:$AU$5,0),FALSE),0)</f>
        <v>0</v>
      </c>
      <c r="P446" s="527"/>
      <c r="Q446" s="609">
        <f>IFERROR(VLOOKUP($B443,'PY1 TFR ADA'!$F:$AU,MATCH("b-6.2",'PY1 TFR ADA'!$F$5:$AU$5,0),FALSE),0)</f>
        <v>0</v>
      </c>
      <c r="R446" s="551"/>
      <c r="S446" s="601">
        <f t="shared" si="638"/>
        <v>0</v>
      </c>
      <c r="T446" s="551"/>
      <c r="U446" s="536">
        <f t="shared" ref="U446" si="640">ROUND(IF($G452="LCFF Rate",(G446*$C446),(G446*$E446))+IF($I452="LCFF Rate",(I446*$C446),(I446*$E446))+IF($K452="LCFF Rate",(K446*$C446),(K446*$E446))+IF($M452="LCFF Rate",(M446*$C446),(M446*$E446))+IF($O452="LCFF Rate",(O446*$C446),(O446*$E446))+IF($Q452="LCFF Rate",(Q446*$C446),(Q446*$E446)),0)</f>
        <v>0</v>
      </c>
      <c r="V446" s="524"/>
      <c r="X446" s="4"/>
    </row>
    <row r="447" spans="1:24" s="8" customFormat="1" ht="14.4">
      <c r="A447" s="521"/>
      <c r="B447" s="510" t="s">
        <v>3</v>
      </c>
      <c r="C447" s="525">
        <f>IFERROR(VLOOKUP($B443,'PY1 TFR ADA'!$F:$AU,MATCH("A-1.3",'PY1 TFR ADA'!$F$5:$AU$5,0),FALSE),0)</f>
        <v>0</v>
      </c>
      <c r="D447" s="167"/>
      <c r="E447" s="525">
        <f>IFERROR(VALUE(VLOOKUP($B443,'PY1 TFR ADA'!$F:$AU,MATCH("A-2.3",'PY1 TFR ADA'!$F$5:$AU$5,0),FALSE)),0)</f>
        <v>0</v>
      </c>
      <c r="F447" s="167"/>
      <c r="G447" s="609">
        <f>IFERROR(VLOOKUP($B443,'PY1 TFR ADA'!$F:$AU,MATCH("b-1.3",'PY1 TFR ADA'!$F$5:$AU$5,0),FALSE),0)</f>
        <v>0</v>
      </c>
      <c r="H447" s="527"/>
      <c r="I447" s="609">
        <f>IFERROR(VLOOKUP($B443,'PY1 TFR ADA'!$F:$AU,MATCH("b-2.3",'PY1 TFR ADA'!$F$5:$AU$5,0),FALSE),0)</f>
        <v>0</v>
      </c>
      <c r="J447" s="527"/>
      <c r="K447" s="609">
        <f>IFERROR(VLOOKUP($B443,'PY1 TFR ADA'!$F:$AU,MATCH("b-3.3",'PY1 TFR ADA'!$F$5:$AU$5,0),FALSE),0)</f>
        <v>0</v>
      </c>
      <c r="L447" s="527"/>
      <c r="M447" s="609">
        <f>IFERROR(VLOOKUP($B443,'PY1 TFR ADA'!$F:$AU,MATCH("b-4.3",'PY1 TFR ADA'!$F$5:$AU$5,0),FALSE),0)</f>
        <v>0</v>
      </c>
      <c r="N447" s="527"/>
      <c r="O447" s="609">
        <f>IFERROR(VLOOKUP($B443,'PY1 TFR ADA'!$F:$AU,MATCH("b-5.3",'PY1 TFR ADA'!$F$5:$AU$5,0),FALSE),0)</f>
        <v>0</v>
      </c>
      <c r="P447" s="527"/>
      <c r="Q447" s="609">
        <f>IFERROR(VLOOKUP($B443,'PY1 TFR ADA'!$F:$AU,MATCH("b-6.3",'PY1 TFR ADA'!$F$5:$AU$5,0),FALSE),0)</f>
        <v>0</v>
      </c>
      <c r="R447" s="551"/>
      <c r="S447" s="601">
        <f t="shared" si="638"/>
        <v>0</v>
      </c>
      <c r="T447" s="551"/>
      <c r="U447" s="536">
        <f t="shared" ref="U447" si="641">ROUND(IF($G452="LCFF Rate",(G447*$C447),(G447*$E447))+IF($I452="LCFF Rate",(I447*$C447),(I447*$E447))+IF($K452="LCFF Rate",(K447*$C447),(K447*$E447))+IF($M452="LCFF Rate",(M447*$C447),(M447*$E447))+IF($O452="LCFF Rate",(O447*$C447),(O447*$E447))+IF($Q452="LCFF Rate",(Q447*$C447),(Q447*$E447)),0)</f>
        <v>0</v>
      </c>
      <c r="V447" s="524"/>
      <c r="X447" s="4"/>
    </row>
    <row r="448" spans="1:24" s="8" customFormat="1" ht="14.4">
      <c r="A448" s="526"/>
      <c r="B448" s="510" t="s">
        <v>4</v>
      </c>
      <c r="C448" s="525">
        <f>IFERROR(VLOOKUP($B443,'PY1 TFR ADA'!$F:$AU,MATCH("A-1.4",'PY1 TFR ADA'!$F$5:$AU$5,0),FALSE),0)</f>
        <v>0</v>
      </c>
      <c r="D448" s="523"/>
      <c r="E448" s="525">
        <f>IFERROR(VALUE(VLOOKUP($B443,'PY1 TFR ADA'!$F:$AU,MATCH("A-2.4",'PY1 TFR ADA'!$F$5:$AU$5,0),FALSE)),0)</f>
        <v>0</v>
      </c>
      <c r="F448" s="523"/>
      <c r="G448" s="609">
        <f>IFERROR(VLOOKUP($B443,'PY1 TFR ADA'!$F:$AU,MATCH("b-1.4",'PY1 TFR ADA'!$F$5:$AU$5,0),FALSE),0)</f>
        <v>0</v>
      </c>
      <c r="H448" s="527"/>
      <c r="I448" s="609">
        <f>IFERROR(VLOOKUP($B443,'PY1 TFR ADA'!$F:$AU,MATCH("b-2.4",'PY1 TFR ADA'!$F$5:$AU$5,0),FALSE),0)</f>
        <v>0</v>
      </c>
      <c r="J448" s="527"/>
      <c r="K448" s="609">
        <f>IFERROR(VLOOKUP($B443,'PY1 TFR ADA'!$F:$AU,MATCH("b-3.4",'PY1 TFR ADA'!$F$5:$AU$5,0),FALSE),0)</f>
        <v>0</v>
      </c>
      <c r="L448" s="527"/>
      <c r="M448" s="609">
        <f>IFERROR(VLOOKUP($B443,'PY1 TFR ADA'!$F:$AU,MATCH("b-4.4",'PY1 TFR ADA'!$F$5:$AU$5,0),FALSE),0)</f>
        <v>0</v>
      </c>
      <c r="N448" s="527"/>
      <c r="O448" s="609">
        <f>IFERROR(VLOOKUP($B443,'PY1 TFR ADA'!$F:$AU,MATCH("b-5.4",'PY1 TFR ADA'!$F$5:$AU$5,0),FALSE),0)</f>
        <v>0</v>
      </c>
      <c r="P448" s="527"/>
      <c r="Q448" s="609">
        <f>IFERROR(VLOOKUP($B443,'PY1 TFR ADA'!$F:$AU,MATCH("b-6.4",'PY1 TFR ADA'!$F$5:$AU$5,0),FALSE),0)</f>
        <v>0</v>
      </c>
      <c r="R448" s="551"/>
      <c r="S448" s="601">
        <f t="shared" si="638"/>
        <v>0</v>
      </c>
      <c r="T448" s="551"/>
      <c r="U448" s="536">
        <f t="shared" ref="U448" si="642">ROUND(IF($G452="LCFF Rate",(G448*$C448),(G448*$E448))+IF($I452="LCFF Rate",(I448*$C448),(I448*$E448))+IF($K452="LCFF Rate",(K448*$C448),(K448*$E448))+IF($M452="LCFF Rate",(M448*$C448),(M448*$E448))+IF($O452="LCFF Rate",(O448*$C448),(O448*$E448))+IF($Q452="LCFF Rate",(Q448*$C448),(Q448*$E448)),0)</f>
        <v>0</v>
      </c>
      <c r="V448" s="522"/>
      <c r="X448" s="496"/>
    </row>
    <row r="449" spans="1:24" s="8" customFormat="1" ht="8.25" customHeight="1">
      <c r="A449" s="521"/>
      <c r="B449" s="167"/>
      <c r="C449" s="165"/>
      <c r="D449" s="523"/>
      <c r="E449" s="165"/>
      <c r="F449" s="523"/>
      <c r="G449" s="520"/>
      <c r="H449" s="523"/>
      <c r="I449" s="520"/>
      <c r="J449" s="523"/>
      <c r="K449" s="520"/>
      <c r="L449" s="523"/>
      <c r="M449" s="520"/>
      <c r="N449" s="523"/>
      <c r="O449" s="520"/>
      <c r="P449" s="523"/>
      <c r="Q449" s="520"/>
      <c r="R449" s="167"/>
      <c r="S449" s="520"/>
      <c r="T449" s="167"/>
      <c r="U449" s="602"/>
      <c r="V449" s="522"/>
      <c r="X449" s="4"/>
    </row>
    <row r="450" spans="1:24" s="8" customFormat="1" ht="14.4">
      <c r="A450" s="521"/>
      <c r="B450" s="167"/>
      <c r="C450" s="165"/>
      <c r="D450" s="523"/>
      <c r="E450" s="513" t="s">
        <v>1317</v>
      </c>
      <c r="F450" s="523"/>
      <c r="G450" s="601">
        <f t="shared" ref="G450" si="643">SUM(G445:G448)</f>
        <v>0</v>
      </c>
      <c r="H450" s="527"/>
      <c r="I450" s="601">
        <f t="shared" ref="I450" si="644">SUM(I445:I448)</f>
        <v>0</v>
      </c>
      <c r="J450" s="527"/>
      <c r="K450" s="601">
        <f t="shared" ref="K450" si="645">SUM(K445:K448)</f>
        <v>0</v>
      </c>
      <c r="L450" s="527"/>
      <c r="M450" s="601">
        <f t="shared" ref="M450" si="646">SUM(M445:M448)</f>
        <v>0</v>
      </c>
      <c r="N450" s="527"/>
      <c r="O450" s="601">
        <f t="shared" ref="O450" si="647">SUM(O445:O448)</f>
        <v>0</v>
      </c>
      <c r="P450" s="527"/>
      <c r="Q450" s="601">
        <f t="shared" ref="Q450" si="648">SUM(Q445:Q448)</f>
        <v>0</v>
      </c>
      <c r="R450" s="527"/>
      <c r="S450" s="601">
        <f t="shared" ref="S450" si="649">SUM(S445:S448)</f>
        <v>0</v>
      </c>
      <c r="T450" s="527"/>
      <c r="U450" s="536">
        <f t="shared" ref="U450" si="650">SUM(U445:U448)</f>
        <v>0</v>
      </c>
      <c r="V450" s="522"/>
      <c r="X450" s="4"/>
    </row>
    <row r="451" spans="1:24" s="8" customFormat="1" ht="8.25" customHeight="1">
      <c r="A451" s="521"/>
      <c r="B451" s="167"/>
      <c r="C451" s="165"/>
      <c r="D451" s="523"/>
      <c r="E451" s="165"/>
      <c r="F451" s="523"/>
      <c r="G451" s="520"/>
      <c r="H451" s="523"/>
      <c r="I451" s="520"/>
      <c r="J451" s="523"/>
      <c r="K451" s="520"/>
      <c r="L451" s="523"/>
      <c r="M451" s="520"/>
      <c r="N451" s="523"/>
      <c r="O451" s="520"/>
      <c r="P451" s="523"/>
      <c r="Q451" s="520"/>
      <c r="R451" s="167"/>
      <c r="S451" s="520"/>
      <c r="T451" s="167"/>
      <c r="U451" s="528"/>
      <c r="V451" s="522"/>
      <c r="X451" s="4"/>
    </row>
    <row r="452" spans="1:24" s="8" customFormat="1" ht="16.5" customHeight="1">
      <c r="A452" s="521"/>
      <c r="B452" s="167"/>
      <c r="C452" s="165"/>
      <c r="E452" s="513" t="s">
        <v>1304</v>
      </c>
      <c r="F452" s="523"/>
      <c r="G452" s="977">
        <f>_xlfn.IFNA(IF(VLOOKUP($B443,'PY1 TFR ADA'!$F:$AU,MATCH("B-1.5",'PY1 TFR ADA'!$F$5:$AU$5,0),FALSE)=TRUE,IF(VLOOKUP($B443,'PY1 TFR ADA'!$F:$AU,MATCH("C-1",'PY1 TFR ADA'!$F$5:$AU$5,0),FALSE)=TRUE,"Alternative Rate","LCFF Rate"),"LCFF Rate"),0)</f>
        <v>0</v>
      </c>
      <c r="H452" s="523"/>
      <c r="I452" s="977">
        <f>_xlfn.IFNA(IF(VLOOKUP($B443,'PY1 TFR ADA'!$F:$AU,MATCH("B-2.5",'PY1 TFR ADA'!$F$5:$AU$5,0),FALSE)=TRUE,IF(VLOOKUP($B443,'PY1 TFR ADA'!$F:$AU,MATCH("C-1",'PY1 TFR ADA'!$F$5:$AU$5,0),FALSE)=TRUE,"Alternative Rate","LCFF Rate"),"LCFF Rate"),0)</f>
        <v>0</v>
      </c>
      <c r="J452" s="523"/>
      <c r="K452" s="977">
        <f>_xlfn.IFNA(IF(VLOOKUP($B443,'PY1 TFR ADA'!$F:$AU,MATCH("B-3.5",'PY1 TFR ADA'!$F$5:$AU$5,0),FALSE)=TRUE,IF(VLOOKUP($B443,'PY1 TFR ADA'!$F:$AU,MATCH("C-1",'PY1 TFR ADA'!$F$5:$AU$5,0),FALSE)=TRUE,"Alternative Rate","LCFF Rate"),"LCFF Rate"),0)</f>
        <v>0</v>
      </c>
      <c r="L452" s="523"/>
      <c r="M452" s="977">
        <f>_xlfn.IFNA(IF(VLOOKUP($B443,'PY1 TFR ADA'!$F:$AU,MATCH("B-4.5",'PY1 TFR ADA'!$F$5:$AU$5,0),FALSE)=TRUE,IF(VLOOKUP($B443,'PY1 TFR ADA'!$F:$AU,MATCH("C-1",'PY1 TFR ADA'!$F$5:$AU$5,0),FALSE)=TRUE,"Alternative Rate","LCFF Rate"),"LCFF Rate"),0)</f>
        <v>0</v>
      </c>
      <c r="N452" s="523"/>
      <c r="O452" s="977">
        <f>_xlfn.IFNA(IF(VLOOKUP($B443,'PY1 TFR ADA'!$F:$AU,MATCH("B-5.5",'PY1 TFR ADA'!$F$5:$AU$5,0),FALSE)=TRUE,IF(VLOOKUP($B443,'PY1 TFR ADA'!$F:$AU,MATCH("C-1",'PY1 TFR ADA'!$F$5:$AU$5,0),FALSE)=TRUE,"Alternative Rate","LCFF Rate"),"LCFF Rate"),0)</f>
        <v>0</v>
      </c>
      <c r="P452" s="523"/>
      <c r="Q452" s="977">
        <f>_xlfn.IFNA(IF(VLOOKUP($B443,'PY1 TFR ADA'!$F:$AU,MATCH("B-6.5",'PY1 TFR ADA'!$F$5:$AU$5,0),FALSE)=TRUE,IF(VLOOKUP($B443,'PY1 TFR ADA'!$F:$AU,MATCH("C-1",'PY1 TFR ADA'!$F$5:$AU$5,0),FALSE)=TRUE,"Alternative Rate","LCFF Rate"),"LCFF Rate"),0)</f>
        <v>0</v>
      </c>
      <c r="R452" s="167"/>
      <c r="S452" s="520"/>
      <c r="T452" s="167"/>
      <c r="U452" s="528"/>
      <c r="V452" s="522"/>
      <c r="X452" s="283"/>
    </row>
    <row r="453" spans="1:24" s="8" customFormat="1" ht="8.25" customHeight="1">
      <c r="A453" s="521"/>
      <c r="B453" s="167"/>
      <c r="C453" s="165"/>
      <c r="D453" s="523"/>
      <c r="E453" s="165"/>
      <c r="F453" s="523"/>
      <c r="G453" s="520"/>
      <c r="H453" s="523"/>
      <c r="I453" s="520"/>
      <c r="J453" s="523"/>
      <c r="K453" s="520"/>
      <c r="L453" s="523"/>
      <c r="M453" s="520"/>
      <c r="N453" s="523"/>
      <c r="O453" s="520"/>
      <c r="P453" s="523"/>
      <c r="Q453" s="520"/>
      <c r="R453" s="167"/>
      <c r="S453" s="520"/>
      <c r="T453" s="167"/>
      <c r="U453" s="528"/>
      <c r="V453" s="522"/>
      <c r="X453" s="4"/>
    </row>
    <row r="454" spans="1:24" s="8" customFormat="1" ht="16.8">
      <c r="A454" s="521"/>
      <c r="B454" s="2"/>
      <c r="F454" s="523"/>
      <c r="G454" s="535">
        <f t="shared" ref="G454" si="651">IF(G452="LCFF Rate",(G445*C445+G446*C446+G447*C447+G448*C448),(G450*E448))</f>
        <v>0</v>
      </c>
      <c r="H454" s="537"/>
      <c r="I454" s="535">
        <f t="shared" ref="I454" si="652">IF(I452="LCFF Rate",(I445*C445+I446*C446+I447*C447+I448*C448),(I450*E448))</f>
        <v>0</v>
      </c>
      <c r="J454" s="537"/>
      <c r="K454" s="535">
        <f t="shared" ref="K454" si="653">IF(K452="LCFF Rate",(K445*C445+K446*C446+K447*C447+K448*C448),(K450*E448))</f>
        <v>0</v>
      </c>
      <c r="L454" s="537"/>
      <c r="M454" s="535">
        <f t="shared" ref="M454" si="654">IF(M452="LCFF Rate",(M445*C445+M446*C446+M447*C447+M448*C448),(M450*E448))</f>
        <v>0</v>
      </c>
      <c r="N454" s="537"/>
      <c r="O454" s="535">
        <f t="shared" ref="O454" si="655">IF(O452="LCFF Rate",(O445*C445+O446*C446+O447*C447+O448*C448),(O450*E448))</f>
        <v>0</v>
      </c>
      <c r="P454" s="537"/>
      <c r="Q454" s="535">
        <f t="shared" ref="Q454" si="656">IF(Q452="LCFF Rate",(Q445*C445+Q446*C446+Q447*C447+Q448*C448),(Q450*E448))</f>
        <v>0</v>
      </c>
      <c r="R454" s="167"/>
      <c r="S454" s="538">
        <f t="shared" ref="S454" si="657">SUM(G454:Q454)</f>
        <v>0</v>
      </c>
      <c r="T454" s="167"/>
      <c r="U454" s="528"/>
      <c r="V454" s="522"/>
      <c r="X454" s="979"/>
    </row>
    <row r="455" spans="1:24" s="8" customFormat="1" ht="9" customHeight="1" thickBot="1">
      <c r="A455" s="529"/>
      <c r="B455" s="530"/>
      <c r="C455" s="531"/>
      <c r="D455" s="532"/>
      <c r="E455" s="533"/>
      <c r="F455" s="532"/>
      <c r="G455" s="530"/>
      <c r="H455" s="532"/>
      <c r="I455" s="530"/>
      <c r="J455" s="532"/>
      <c r="K455" s="530"/>
      <c r="L455" s="532"/>
      <c r="M455" s="530"/>
      <c r="N455" s="532"/>
      <c r="O455" s="530"/>
      <c r="P455" s="532"/>
      <c r="Q455" s="530"/>
      <c r="R455" s="532"/>
      <c r="S455" s="530"/>
      <c r="T455" s="532"/>
      <c r="U455" s="532"/>
      <c r="V455" s="534"/>
      <c r="X455" s="4"/>
    </row>
    <row r="456" spans="1:24" s="82" customFormat="1" ht="18" customHeight="1" thickBot="1">
      <c r="A456" s="890">
        <f>+A443+1</f>
        <v>35</v>
      </c>
      <c r="B456" s="891" t="str">
        <f>'Data Entry'!$B$3&amp;"-"&amp;C456</f>
        <v>-</v>
      </c>
      <c r="C456" s="891" t="str">
        <f>IFERROR(VLOOKUP('Data Entry'!$B$3&amp;"-"&amp;A456,'PY1 TFR ADA'!$D:$AT,2,FALSE),"")</f>
        <v/>
      </c>
      <c r="D456" s="892" t="str">
        <f>IFERROR(VLOOKUP('Data Entry'!$B$3&amp;"-"&amp;A456,'PY1 TFR ADA'!$D:$AT,4,FALSE),"")</f>
        <v/>
      </c>
      <c r="E456" s="893"/>
      <c r="F456" s="893"/>
      <c r="G456" s="893"/>
      <c r="H456" s="893"/>
      <c r="I456" s="893"/>
      <c r="J456" s="893"/>
      <c r="K456" s="893"/>
      <c r="L456" s="893"/>
      <c r="M456" s="893"/>
      <c r="N456" s="893"/>
      <c r="O456" s="893"/>
      <c r="P456" s="893"/>
      <c r="Q456" s="893"/>
      <c r="R456" s="893"/>
      <c r="S456" s="893"/>
      <c r="T456" s="893"/>
      <c r="U456" s="893"/>
      <c r="V456" s="894"/>
      <c r="X456" s="83"/>
    </row>
    <row r="457" spans="1:24" ht="75" customHeight="1">
      <c r="A457" s="521"/>
      <c r="C457" s="540" t="s">
        <v>1315</v>
      </c>
      <c r="D457" s="512"/>
      <c r="E457" s="540" t="s">
        <v>1316</v>
      </c>
      <c r="F457" s="512"/>
      <c r="G457" s="540" t="s">
        <v>1309</v>
      </c>
      <c r="H457" s="512"/>
      <c r="I457" s="540" t="s">
        <v>1310</v>
      </c>
      <c r="J457" s="512"/>
      <c r="K457" s="540" t="s">
        <v>1311</v>
      </c>
      <c r="L457" s="512"/>
      <c r="M457" s="540" t="s">
        <v>1312</v>
      </c>
      <c r="N457" s="512"/>
      <c r="O457" s="540" t="s">
        <v>1313</v>
      </c>
      <c r="P457" s="512"/>
      <c r="Q457" s="540" t="s">
        <v>1314</v>
      </c>
      <c r="R457" s="167"/>
      <c r="S457" s="540" t="s">
        <v>1308</v>
      </c>
      <c r="T457" s="167"/>
      <c r="U457" s="512" t="s">
        <v>1307</v>
      </c>
      <c r="V457" s="524"/>
      <c r="X457" s="283"/>
    </row>
    <row r="458" spans="1:24" s="8" customFormat="1" ht="14.4">
      <c r="A458" s="521"/>
      <c r="B458" s="510" t="s">
        <v>94</v>
      </c>
      <c r="C458" s="525">
        <f>IFERROR(VLOOKUP($B456,'PY1 TFR ADA'!$F:$AU,MATCH("A-1.1",'PY1 TFR ADA'!$F$5:$AU$5,0),FALSE),0)</f>
        <v>0</v>
      </c>
      <c r="D458" s="167"/>
      <c r="E458" s="525">
        <f>IFERROR(VALUE(VLOOKUP($B456,'PY1 TFR ADA'!$F:$AU,MATCH("A-2.1",'PY1 TFR ADA'!$F$5:$AU$5,0),FALSE)),0)</f>
        <v>0</v>
      </c>
      <c r="F458" s="167"/>
      <c r="G458" s="609">
        <f>IFERROR(VLOOKUP($B456,'PY1 TFR ADA'!$F:$AU,MATCH("b-1.1",'PY1 TFR ADA'!$F$5:$AU$5,0),FALSE),0)</f>
        <v>0</v>
      </c>
      <c r="H458" s="527"/>
      <c r="I458" s="609">
        <f>IFERROR(VLOOKUP($B456,'PY1 TFR ADA'!$F:$AU,MATCH("b-2.1",'PY1 TFR ADA'!$F$5:$AU$5,0),FALSE),0)</f>
        <v>0</v>
      </c>
      <c r="J458" s="527"/>
      <c r="K458" s="609">
        <f>IFERROR(VLOOKUP($B456,'PY1 TFR ADA'!$F:$AU,MATCH("b-3.1",'PY1 TFR ADA'!$F$5:$AU$5,0),FALSE),0)</f>
        <v>0</v>
      </c>
      <c r="L458" s="527"/>
      <c r="M458" s="609">
        <f>IFERROR(VLOOKUP($B456,'PY1 TFR ADA'!$F:$AU,MATCH("b-4.1",'PY1 TFR ADA'!$F$5:$AU$5,0),FALSE),0)</f>
        <v>0</v>
      </c>
      <c r="N458" s="527"/>
      <c r="O458" s="609">
        <f>IFERROR(VLOOKUP($B456,'PY1 TFR ADA'!$F:$AU,MATCH("b-5.1",'PY1 TFR ADA'!$F$5:$AU$5,0),FALSE),0)</f>
        <v>0</v>
      </c>
      <c r="P458" s="527"/>
      <c r="Q458" s="609">
        <f>IFERROR(VLOOKUP($B456,'PY1 TFR ADA'!$F:$AU,MATCH("b-6.1",'PY1 TFR ADA'!$F$5:$AU$5,0),FALSE),0)</f>
        <v>0</v>
      </c>
      <c r="R458" s="551"/>
      <c r="S458" s="601">
        <f t="shared" ref="S458:S461" si="658">SUM(G458:Q458)</f>
        <v>0</v>
      </c>
      <c r="T458" s="551"/>
      <c r="U458" s="536">
        <f t="shared" ref="U458" si="659">ROUND(IF($G465="LCFF Rate",(G458*$C458),(G458*$E458))+IF($I465="LCFF Rate",(I458*$C458),(I458*$E458))+IF($K465="LCFF Rate",(K458*$C458),(K458*$E458))+IF($M465="LCFF Rate",(M458*$C458),(M458*$E458))+IF($O465="LCFF Rate",(O458*$C458),(O458*$E458))+IF($Q465="LCFF Rate",(Q458*$C458),(Q458*$E458)),0)</f>
        <v>0</v>
      </c>
      <c r="V458" s="524"/>
      <c r="X458" s="496"/>
    </row>
    <row r="459" spans="1:24" s="8" customFormat="1" ht="14.4">
      <c r="A459" s="521"/>
      <c r="B459" s="510" t="s">
        <v>2</v>
      </c>
      <c r="C459" s="525">
        <f>IFERROR(VLOOKUP($B456,'PY1 TFR ADA'!$F:$AU,MATCH("A-1.2",'PY1 TFR ADA'!$F$5:$AU$5,0),FALSE),0)</f>
        <v>0</v>
      </c>
      <c r="D459" s="167"/>
      <c r="E459" s="525">
        <f>IFERROR(VALUE(VLOOKUP($B456,'PY1 TFR ADA'!$F:$AU,MATCH("A-2.2",'PY1 TFR ADA'!$F$5:$AU$5,0),FALSE)),0)</f>
        <v>0</v>
      </c>
      <c r="F459" s="167"/>
      <c r="G459" s="609">
        <f>IFERROR(VLOOKUP($B456,'PY1 TFR ADA'!$F:$AU,MATCH("b-1.2",'PY1 TFR ADA'!$F$5:$AU$5,0),FALSE),0)</f>
        <v>0</v>
      </c>
      <c r="H459" s="527"/>
      <c r="I459" s="609">
        <f>IFERROR(VLOOKUP($B456,'PY1 TFR ADA'!$F:$AU,MATCH("b-2.2",'PY1 TFR ADA'!$F$5:$AU$5,0),FALSE),0)</f>
        <v>0</v>
      </c>
      <c r="J459" s="527"/>
      <c r="K459" s="609">
        <f>IFERROR(VLOOKUP($B456,'PY1 TFR ADA'!$F:$AU,MATCH("b-3.2",'PY1 TFR ADA'!$F$5:$AU$5,0),FALSE),0)</f>
        <v>0</v>
      </c>
      <c r="L459" s="527"/>
      <c r="M459" s="609">
        <f>IFERROR(VLOOKUP($B456,'PY1 TFR ADA'!$F:$AU,MATCH("b-4.2",'PY1 TFR ADA'!$F$5:$AU$5,0),FALSE),0)</f>
        <v>0</v>
      </c>
      <c r="N459" s="527"/>
      <c r="O459" s="609">
        <f>IFERROR(VLOOKUP($B456,'PY1 TFR ADA'!$F:$AU,MATCH("b-5.2",'PY1 TFR ADA'!$F$5:$AU$5,0),FALSE),0)</f>
        <v>0</v>
      </c>
      <c r="P459" s="527"/>
      <c r="Q459" s="609">
        <f>IFERROR(VLOOKUP($B456,'PY1 TFR ADA'!$F:$AU,MATCH("b-6.2",'PY1 TFR ADA'!$F$5:$AU$5,0),FALSE),0)</f>
        <v>0</v>
      </c>
      <c r="R459" s="551"/>
      <c r="S459" s="601">
        <f t="shared" si="658"/>
        <v>0</v>
      </c>
      <c r="T459" s="551"/>
      <c r="U459" s="536">
        <f t="shared" ref="U459" si="660">ROUND(IF($G465="LCFF Rate",(G459*$C459),(G459*$E459))+IF($I465="LCFF Rate",(I459*$C459),(I459*$E459))+IF($K465="LCFF Rate",(K459*$C459),(K459*$E459))+IF($M465="LCFF Rate",(M459*$C459),(M459*$E459))+IF($O465="LCFF Rate",(O459*$C459),(O459*$E459))+IF($Q465="LCFF Rate",(Q459*$C459),(Q459*$E459)),0)</f>
        <v>0</v>
      </c>
      <c r="V459" s="524"/>
      <c r="X459" s="4"/>
    </row>
    <row r="460" spans="1:24" s="8" customFormat="1" ht="14.4">
      <c r="A460" s="521"/>
      <c r="B460" s="510" t="s">
        <v>3</v>
      </c>
      <c r="C460" s="525">
        <f>IFERROR(VLOOKUP($B456,'PY1 TFR ADA'!$F:$AU,MATCH("A-1.3",'PY1 TFR ADA'!$F$5:$AU$5,0),FALSE),0)</f>
        <v>0</v>
      </c>
      <c r="D460" s="167"/>
      <c r="E460" s="525">
        <f>IFERROR(VALUE(VLOOKUP($B456,'PY1 TFR ADA'!$F:$AU,MATCH("A-2.3",'PY1 TFR ADA'!$F$5:$AU$5,0),FALSE)),0)</f>
        <v>0</v>
      </c>
      <c r="F460" s="167"/>
      <c r="G460" s="609">
        <f>IFERROR(VLOOKUP($B456,'PY1 TFR ADA'!$F:$AU,MATCH("b-1.3",'PY1 TFR ADA'!$F$5:$AU$5,0),FALSE),0)</f>
        <v>0</v>
      </c>
      <c r="H460" s="527"/>
      <c r="I460" s="609">
        <f>IFERROR(VLOOKUP($B456,'PY1 TFR ADA'!$F:$AU,MATCH("b-2.3",'PY1 TFR ADA'!$F$5:$AU$5,0),FALSE),0)</f>
        <v>0</v>
      </c>
      <c r="J460" s="527"/>
      <c r="K460" s="609">
        <f>IFERROR(VLOOKUP($B456,'PY1 TFR ADA'!$F:$AU,MATCH("b-3.3",'PY1 TFR ADA'!$F$5:$AU$5,0),FALSE),0)</f>
        <v>0</v>
      </c>
      <c r="L460" s="527"/>
      <c r="M460" s="609">
        <f>IFERROR(VLOOKUP($B456,'PY1 TFR ADA'!$F:$AU,MATCH("b-4.3",'PY1 TFR ADA'!$F$5:$AU$5,0),FALSE),0)</f>
        <v>0</v>
      </c>
      <c r="N460" s="527"/>
      <c r="O460" s="609">
        <f>IFERROR(VLOOKUP($B456,'PY1 TFR ADA'!$F:$AU,MATCH("b-5.3",'PY1 TFR ADA'!$F$5:$AU$5,0),FALSE),0)</f>
        <v>0</v>
      </c>
      <c r="P460" s="527"/>
      <c r="Q460" s="609">
        <f>IFERROR(VLOOKUP($B456,'PY1 TFR ADA'!$F:$AU,MATCH("b-6.3",'PY1 TFR ADA'!$F$5:$AU$5,0),FALSE),0)</f>
        <v>0</v>
      </c>
      <c r="R460" s="551"/>
      <c r="S460" s="601">
        <f t="shared" si="658"/>
        <v>0</v>
      </c>
      <c r="T460" s="551"/>
      <c r="U460" s="536">
        <f t="shared" ref="U460" si="661">ROUND(IF($G465="LCFF Rate",(G460*$C460),(G460*$E460))+IF($I465="LCFF Rate",(I460*$C460),(I460*$E460))+IF($K465="LCFF Rate",(K460*$C460),(K460*$E460))+IF($M465="LCFF Rate",(M460*$C460),(M460*$E460))+IF($O465="LCFF Rate",(O460*$C460),(O460*$E460))+IF($Q465="LCFF Rate",(Q460*$C460),(Q460*$E460)),0)</f>
        <v>0</v>
      </c>
      <c r="V460" s="524"/>
      <c r="X460" s="4"/>
    </row>
    <row r="461" spans="1:24" s="8" customFormat="1" ht="14.4">
      <c r="A461" s="526"/>
      <c r="B461" s="510" t="s">
        <v>4</v>
      </c>
      <c r="C461" s="525">
        <f>IFERROR(VLOOKUP($B456,'PY1 TFR ADA'!$F:$AU,MATCH("A-1.4",'PY1 TFR ADA'!$F$5:$AU$5,0),FALSE),0)</f>
        <v>0</v>
      </c>
      <c r="D461" s="523"/>
      <c r="E461" s="525">
        <f>IFERROR(VALUE(VLOOKUP($B456,'PY1 TFR ADA'!$F:$AU,MATCH("A-2.4",'PY1 TFR ADA'!$F$5:$AU$5,0),FALSE)),0)</f>
        <v>0</v>
      </c>
      <c r="F461" s="523"/>
      <c r="G461" s="609">
        <f>IFERROR(VLOOKUP($B456,'PY1 TFR ADA'!$F:$AU,MATCH("b-1.4",'PY1 TFR ADA'!$F$5:$AU$5,0),FALSE),0)</f>
        <v>0</v>
      </c>
      <c r="H461" s="527"/>
      <c r="I461" s="609">
        <f>IFERROR(VLOOKUP($B456,'PY1 TFR ADA'!$F:$AU,MATCH("b-2.4",'PY1 TFR ADA'!$F$5:$AU$5,0),FALSE),0)</f>
        <v>0</v>
      </c>
      <c r="J461" s="527"/>
      <c r="K461" s="609">
        <f>IFERROR(VLOOKUP($B456,'PY1 TFR ADA'!$F:$AU,MATCH("b-3.4",'PY1 TFR ADA'!$F$5:$AU$5,0),FALSE),0)</f>
        <v>0</v>
      </c>
      <c r="L461" s="527"/>
      <c r="M461" s="609">
        <f>IFERROR(VLOOKUP($B456,'PY1 TFR ADA'!$F:$AU,MATCH("b-4.4",'PY1 TFR ADA'!$F$5:$AU$5,0),FALSE),0)</f>
        <v>0</v>
      </c>
      <c r="N461" s="527"/>
      <c r="O461" s="609">
        <f>IFERROR(VLOOKUP($B456,'PY1 TFR ADA'!$F:$AU,MATCH("b-5.4",'PY1 TFR ADA'!$F$5:$AU$5,0),FALSE),0)</f>
        <v>0</v>
      </c>
      <c r="P461" s="527"/>
      <c r="Q461" s="609">
        <f>IFERROR(VLOOKUP($B456,'PY1 TFR ADA'!$F:$AU,MATCH("b-6.4",'PY1 TFR ADA'!$F$5:$AU$5,0),FALSE),0)</f>
        <v>0</v>
      </c>
      <c r="R461" s="551"/>
      <c r="S461" s="601">
        <f t="shared" si="658"/>
        <v>0</v>
      </c>
      <c r="T461" s="551"/>
      <c r="U461" s="536">
        <f t="shared" ref="U461" si="662">ROUND(IF($G465="LCFF Rate",(G461*$C461),(G461*$E461))+IF($I465="LCFF Rate",(I461*$C461),(I461*$E461))+IF($K465="LCFF Rate",(K461*$C461),(K461*$E461))+IF($M465="LCFF Rate",(M461*$C461),(M461*$E461))+IF($O465="LCFF Rate",(O461*$C461),(O461*$E461))+IF($Q465="LCFF Rate",(Q461*$C461),(Q461*$E461)),0)</f>
        <v>0</v>
      </c>
      <c r="V461" s="522"/>
      <c r="X461" s="496"/>
    </row>
    <row r="462" spans="1:24" s="8" customFormat="1" ht="8.25" customHeight="1">
      <c r="A462" s="521"/>
      <c r="B462" s="167"/>
      <c r="C462" s="165"/>
      <c r="D462" s="523"/>
      <c r="E462" s="165"/>
      <c r="F462" s="523"/>
      <c r="G462" s="520"/>
      <c r="H462" s="523"/>
      <c r="I462" s="520"/>
      <c r="J462" s="523"/>
      <c r="K462" s="520"/>
      <c r="L462" s="523"/>
      <c r="M462" s="520"/>
      <c r="N462" s="523"/>
      <c r="O462" s="520"/>
      <c r="P462" s="523"/>
      <c r="Q462" s="520"/>
      <c r="R462" s="167"/>
      <c r="S462" s="520"/>
      <c r="T462" s="167"/>
      <c r="U462" s="602"/>
      <c r="V462" s="522"/>
      <c r="X462" s="4"/>
    </row>
    <row r="463" spans="1:24" s="8" customFormat="1" ht="14.4">
      <c r="A463" s="521"/>
      <c r="B463" s="167"/>
      <c r="C463" s="165"/>
      <c r="D463" s="523"/>
      <c r="E463" s="513" t="s">
        <v>1317</v>
      </c>
      <c r="F463" s="523"/>
      <c r="G463" s="601">
        <f t="shared" ref="G463" si="663">SUM(G458:G461)</f>
        <v>0</v>
      </c>
      <c r="H463" s="527"/>
      <c r="I463" s="601">
        <f t="shared" ref="I463" si="664">SUM(I458:I461)</f>
        <v>0</v>
      </c>
      <c r="J463" s="527"/>
      <c r="K463" s="601">
        <f t="shared" ref="K463" si="665">SUM(K458:K461)</f>
        <v>0</v>
      </c>
      <c r="L463" s="527"/>
      <c r="M463" s="601">
        <f t="shared" ref="M463" si="666">SUM(M458:M461)</f>
        <v>0</v>
      </c>
      <c r="N463" s="527"/>
      <c r="O463" s="601">
        <f t="shared" ref="O463" si="667">SUM(O458:O461)</f>
        <v>0</v>
      </c>
      <c r="P463" s="527"/>
      <c r="Q463" s="601">
        <f t="shared" ref="Q463" si="668">SUM(Q458:Q461)</f>
        <v>0</v>
      </c>
      <c r="R463" s="527"/>
      <c r="S463" s="601">
        <f t="shared" ref="S463" si="669">SUM(S458:S461)</f>
        <v>0</v>
      </c>
      <c r="T463" s="527"/>
      <c r="U463" s="536">
        <f t="shared" ref="U463" si="670">SUM(U458:U461)</f>
        <v>0</v>
      </c>
      <c r="V463" s="522"/>
      <c r="X463" s="4"/>
    </row>
    <row r="464" spans="1:24" s="8" customFormat="1" ht="8.25" customHeight="1">
      <c r="A464" s="521"/>
      <c r="B464" s="167"/>
      <c r="C464" s="165"/>
      <c r="D464" s="523"/>
      <c r="E464" s="165"/>
      <c r="F464" s="523"/>
      <c r="G464" s="520"/>
      <c r="H464" s="523"/>
      <c r="I464" s="520"/>
      <c r="J464" s="523"/>
      <c r="K464" s="520"/>
      <c r="L464" s="523"/>
      <c r="M464" s="520"/>
      <c r="N464" s="523"/>
      <c r="O464" s="520"/>
      <c r="P464" s="523"/>
      <c r="Q464" s="520"/>
      <c r="R464" s="167"/>
      <c r="S464" s="520"/>
      <c r="T464" s="167"/>
      <c r="U464" s="528"/>
      <c r="V464" s="522"/>
      <c r="X464" s="4"/>
    </row>
    <row r="465" spans="1:24" s="8" customFormat="1" ht="16.5" customHeight="1">
      <c r="A465" s="521"/>
      <c r="B465" s="167"/>
      <c r="C465" s="165"/>
      <c r="E465" s="513" t="s">
        <v>1304</v>
      </c>
      <c r="F465" s="523"/>
      <c r="G465" s="977">
        <f>_xlfn.IFNA(IF(VLOOKUP($B456,'PY1 TFR ADA'!$F:$AU,MATCH("B-1.5",'PY1 TFR ADA'!$F$5:$AU$5,0),FALSE)=TRUE,IF(VLOOKUP($B456,'PY1 TFR ADA'!$F:$AU,MATCH("C-1",'PY1 TFR ADA'!$F$5:$AU$5,0),FALSE)=TRUE,"Alternative Rate","LCFF Rate"),"LCFF Rate"),0)</f>
        <v>0</v>
      </c>
      <c r="H465" s="523"/>
      <c r="I465" s="977">
        <f>_xlfn.IFNA(IF(VLOOKUP($B456,'PY1 TFR ADA'!$F:$AU,MATCH("B-2.5",'PY1 TFR ADA'!$F$5:$AU$5,0),FALSE)=TRUE,IF(VLOOKUP($B456,'PY1 TFR ADA'!$F:$AU,MATCH("C-1",'PY1 TFR ADA'!$F$5:$AU$5,0),FALSE)=TRUE,"Alternative Rate","LCFF Rate"),"LCFF Rate"),0)</f>
        <v>0</v>
      </c>
      <c r="J465" s="523"/>
      <c r="K465" s="977">
        <f>_xlfn.IFNA(IF(VLOOKUP($B456,'PY1 TFR ADA'!$F:$AU,MATCH("B-3.5",'PY1 TFR ADA'!$F$5:$AU$5,0),FALSE)=TRUE,IF(VLOOKUP($B456,'PY1 TFR ADA'!$F:$AU,MATCH("C-1",'PY1 TFR ADA'!$F$5:$AU$5,0),FALSE)=TRUE,"Alternative Rate","LCFF Rate"),"LCFF Rate"),0)</f>
        <v>0</v>
      </c>
      <c r="L465" s="523"/>
      <c r="M465" s="977">
        <f>_xlfn.IFNA(IF(VLOOKUP($B456,'PY1 TFR ADA'!$F:$AU,MATCH("B-4.5",'PY1 TFR ADA'!$F$5:$AU$5,0),FALSE)=TRUE,IF(VLOOKUP($B456,'PY1 TFR ADA'!$F:$AU,MATCH("C-1",'PY1 TFR ADA'!$F$5:$AU$5,0),FALSE)=TRUE,"Alternative Rate","LCFF Rate"),"LCFF Rate"),0)</f>
        <v>0</v>
      </c>
      <c r="N465" s="523"/>
      <c r="O465" s="977">
        <f>_xlfn.IFNA(IF(VLOOKUP($B456,'PY1 TFR ADA'!$F:$AU,MATCH("B-5.5",'PY1 TFR ADA'!$F$5:$AU$5,0),FALSE)=TRUE,IF(VLOOKUP($B456,'PY1 TFR ADA'!$F:$AU,MATCH("C-1",'PY1 TFR ADA'!$F$5:$AU$5,0),FALSE)=TRUE,"Alternative Rate","LCFF Rate"),"LCFF Rate"),0)</f>
        <v>0</v>
      </c>
      <c r="P465" s="523"/>
      <c r="Q465" s="977">
        <f>_xlfn.IFNA(IF(VLOOKUP($B456,'PY1 TFR ADA'!$F:$AU,MATCH("B-6.5",'PY1 TFR ADA'!$F$5:$AU$5,0),FALSE)=TRUE,IF(VLOOKUP($B456,'PY1 TFR ADA'!$F:$AU,MATCH("C-1",'PY1 TFR ADA'!$F$5:$AU$5,0),FALSE)=TRUE,"Alternative Rate","LCFF Rate"),"LCFF Rate"),0)</f>
        <v>0</v>
      </c>
      <c r="R465" s="167"/>
      <c r="S465" s="520"/>
      <c r="T465" s="167"/>
      <c r="U465" s="528"/>
      <c r="V465" s="522"/>
      <c r="X465" s="283"/>
    </row>
    <row r="466" spans="1:24" s="8" customFormat="1" ht="8.25" customHeight="1">
      <c r="A466" s="521"/>
      <c r="B466" s="167"/>
      <c r="C466" s="165"/>
      <c r="D466" s="523"/>
      <c r="E466" s="165"/>
      <c r="F466" s="523"/>
      <c r="G466" s="520"/>
      <c r="H466" s="523"/>
      <c r="I466" s="520"/>
      <c r="J466" s="523"/>
      <c r="K466" s="520"/>
      <c r="L466" s="523"/>
      <c r="M466" s="520"/>
      <c r="N466" s="523"/>
      <c r="O466" s="520"/>
      <c r="P466" s="523"/>
      <c r="Q466" s="520"/>
      <c r="R466" s="167"/>
      <c r="S466" s="520"/>
      <c r="T466" s="167"/>
      <c r="U466" s="528"/>
      <c r="V466" s="522"/>
      <c r="X466" s="4"/>
    </row>
    <row r="467" spans="1:24" s="8" customFormat="1" ht="16.8">
      <c r="A467" s="521"/>
      <c r="B467" s="2"/>
      <c r="F467" s="523"/>
      <c r="G467" s="535">
        <f t="shared" ref="G467" si="671">IF(G465="LCFF Rate",(G458*C458+G459*C459+G460*C460+G461*C461),(G463*E461))</f>
        <v>0</v>
      </c>
      <c r="H467" s="537"/>
      <c r="I467" s="535">
        <f t="shared" ref="I467" si="672">IF(I465="LCFF Rate",(I458*C458+I459*C459+I460*C460+I461*C461),(I463*E461))</f>
        <v>0</v>
      </c>
      <c r="J467" s="537"/>
      <c r="K467" s="535">
        <f t="shared" ref="K467" si="673">IF(K465="LCFF Rate",(K458*C458+K459*C459+K460*C460+K461*C461),(K463*E461))</f>
        <v>0</v>
      </c>
      <c r="L467" s="537"/>
      <c r="M467" s="535">
        <f t="shared" ref="M467" si="674">IF(M465="LCFF Rate",(M458*C458+M459*C459+M460*C460+M461*C461),(M463*E461))</f>
        <v>0</v>
      </c>
      <c r="N467" s="537"/>
      <c r="O467" s="535">
        <f t="shared" ref="O467" si="675">IF(O465="LCFF Rate",(O458*C458+O459*C459+O460*C460+O461*C461),(O463*E461))</f>
        <v>0</v>
      </c>
      <c r="P467" s="537"/>
      <c r="Q467" s="535">
        <f t="shared" ref="Q467" si="676">IF(Q465="LCFF Rate",(Q458*C458+Q459*C459+Q460*C460+Q461*C461),(Q463*E461))</f>
        <v>0</v>
      </c>
      <c r="R467" s="167"/>
      <c r="S467" s="538">
        <f t="shared" ref="S467" si="677">SUM(G467:Q467)</f>
        <v>0</v>
      </c>
      <c r="T467" s="167"/>
      <c r="U467" s="528"/>
      <c r="V467" s="522"/>
      <c r="X467" s="979"/>
    </row>
    <row r="468" spans="1:24" s="8" customFormat="1" ht="9" customHeight="1" thickBot="1">
      <c r="A468" s="529"/>
      <c r="B468" s="530"/>
      <c r="C468" s="531"/>
      <c r="D468" s="532"/>
      <c r="E468" s="533"/>
      <c r="F468" s="532"/>
      <c r="G468" s="530"/>
      <c r="H468" s="532"/>
      <c r="I468" s="530"/>
      <c r="J468" s="532"/>
      <c r="K468" s="530"/>
      <c r="L468" s="532"/>
      <c r="M468" s="530"/>
      <c r="N468" s="532"/>
      <c r="O468" s="530"/>
      <c r="P468" s="532"/>
      <c r="Q468" s="530"/>
      <c r="R468" s="532"/>
      <c r="S468" s="530"/>
      <c r="T468" s="532"/>
      <c r="U468" s="532"/>
      <c r="V468" s="534"/>
      <c r="X468" s="4"/>
    </row>
    <row r="469" spans="1:24" s="82" customFormat="1" ht="18" customHeight="1" thickBot="1">
      <c r="A469" s="890">
        <f>+A456+1</f>
        <v>36</v>
      </c>
      <c r="B469" s="891" t="str">
        <f>'Data Entry'!$B$3&amp;"-"&amp;C469</f>
        <v>-</v>
      </c>
      <c r="C469" s="891" t="str">
        <f>IFERROR(VLOOKUP('Data Entry'!$B$3&amp;"-"&amp;A469,'PY1 TFR ADA'!$D:$AT,2,FALSE),"")</f>
        <v/>
      </c>
      <c r="D469" s="892" t="str">
        <f>IFERROR(VLOOKUP('Data Entry'!$B$3&amp;"-"&amp;A469,'PY1 TFR ADA'!$D:$AT,4,FALSE),"")</f>
        <v/>
      </c>
      <c r="E469" s="893"/>
      <c r="F469" s="893"/>
      <c r="G469" s="893"/>
      <c r="H469" s="893"/>
      <c r="I469" s="893"/>
      <c r="J469" s="893"/>
      <c r="K469" s="893"/>
      <c r="L469" s="893"/>
      <c r="M469" s="893"/>
      <c r="N469" s="893"/>
      <c r="O469" s="893"/>
      <c r="P469" s="893"/>
      <c r="Q469" s="893"/>
      <c r="R469" s="893"/>
      <c r="S469" s="893"/>
      <c r="T469" s="893"/>
      <c r="U469" s="893"/>
      <c r="V469" s="894"/>
      <c r="X469" s="83"/>
    </row>
    <row r="470" spans="1:24" ht="75" customHeight="1">
      <c r="A470" s="521"/>
      <c r="C470" s="540" t="s">
        <v>1315</v>
      </c>
      <c r="D470" s="512"/>
      <c r="E470" s="540" t="s">
        <v>1316</v>
      </c>
      <c r="F470" s="512"/>
      <c r="G470" s="540" t="s">
        <v>1309</v>
      </c>
      <c r="H470" s="512"/>
      <c r="I470" s="540" t="s">
        <v>1310</v>
      </c>
      <c r="J470" s="512"/>
      <c r="K470" s="540" t="s">
        <v>1311</v>
      </c>
      <c r="L470" s="512"/>
      <c r="M470" s="540" t="s">
        <v>1312</v>
      </c>
      <c r="N470" s="512"/>
      <c r="O470" s="540" t="s">
        <v>1313</v>
      </c>
      <c r="P470" s="512"/>
      <c r="Q470" s="540" t="s">
        <v>1314</v>
      </c>
      <c r="R470" s="167"/>
      <c r="S470" s="540" t="s">
        <v>1308</v>
      </c>
      <c r="T470" s="167"/>
      <c r="U470" s="512" t="s">
        <v>1307</v>
      </c>
      <c r="V470" s="524"/>
      <c r="X470" s="283"/>
    </row>
    <row r="471" spans="1:24" s="8" customFormat="1" ht="14.4">
      <c r="A471" s="521"/>
      <c r="B471" s="510" t="s">
        <v>94</v>
      </c>
      <c r="C471" s="525">
        <f>IFERROR(VLOOKUP($B469,'PY1 TFR ADA'!$F:$AU,MATCH("A-1.1",'PY1 TFR ADA'!$F$5:$AU$5,0),FALSE),0)</f>
        <v>0</v>
      </c>
      <c r="D471" s="167"/>
      <c r="E471" s="525">
        <f>IFERROR(VALUE(VLOOKUP($B469,'PY1 TFR ADA'!$F:$AU,MATCH("A-2.1",'PY1 TFR ADA'!$F$5:$AU$5,0),FALSE)),0)</f>
        <v>0</v>
      </c>
      <c r="F471" s="167"/>
      <c r="G471" s="609">
        <f>IFERROR(VLOOKUP($B469,'PY1 TFR ADA'!$F:$AU,MATCH("b-1.1",'PY1 TFR ADA'!$F$5:$AU$5,0),FALSE),0)</f>
        <v>0</v>
      </c>
      <c r="H471" s="527"/>
      <c r="I471" s="609">
        <f>IFERROR(VLOOKUP($B469,'PY1 TFR ADA'!$F:$AU,MATCH("b-2.1",'PY1 TFR ADA'!$F$5:$AU$5,0),FALSE),0)</f>
        <v>0</v>
      </c>
      <c r="J471" s="527"/>
      <c r="K471" s="609">
        <f>IFERROR(VLOOKUP($B469,'PY1 TFR ADA'!$F:$AU,MATCH("b-3.1",'PY1 TFR ADA'!$F$5:$AU$5,0),FALSE),0)</f>
        <v>0</v>
      </c>
      <c r="L471" s="527"/>
      <c r="M471" s="609">
        <f>IFERROR(VLOOKUP($B469,'PY1 TFR ADA'!$F:$AU,MATCH("b-4.1",'PY1 TFR ADA'!$F$5:$AU$5,0),FALSE),0)</f>
        <v>0</v>
      </c>
      <c r="N471" s="527"/>
      <c r="O471" s="609">
        <f>IFERROR(VLOOKUP($B469,'PY1 TFR ADA'!$F:$AU,MATCH("b-5.1",'PY1 TFR ADA'!$F$5:$AU$5,0),FALSE),0)</f>
        <v>0</v>
      </c>
      <c r="P471" s="527"/>
      <c r="Q471" s="609">
        <f>IFERROR(VLOOKUP($B469,'PY1 TFR ADA'!$F:$AU,MATCH("b-6.1",'PY1 TFR ADA'!$F$5:$AU$5,0),FALSE),0)</f>
        <v>0</v>
      </c>
      <c r="R471" s="551"/>
      <c r="S471" s="601">
        <f t="shared" ref="S471:S474" si="678">SUM(G471:Q471)</f>
        <v>0</v>
      </c>
      <c r="T471" s="551"/>
      <c r="U471" s="536">
        <f t="shared" ref="U471" si="679">ROUND(IF($G478="LCFF Rate",(G471*$C471),(G471*$E471))+IF($I478="LCFF Rate",(I471*$C471),(I471*$E471))+IF($K478="LCFF Rate",(K471*$C471),(K471*$E471))+IF($M478="LCFF Rate",(M471*$C471),(M471*$E471))+IF($O478="LCFF Rate",(O471*$C471),(O471*$E471))+IF($Q478="LCFF Rate",(Q471*$C471),(Q471*$E471)),0)</f>
        <v>0</v>
      </c>
      <c r="V471" s="524"/>
      <c r="X471" s="496"/>
    </row>
    <row r="472" spans="1:24" s="8" customFormat="1" ht="14.4">
      <c r="A472" s="521"/>
      <c r="B472" s="510" t="s">
        <v>2</v>
      </c>
      <c r="C472" s="525">
        <f>IFERROR(VLOOKUP($B469,'PY1 TFR ADA'!$F:$AU,MATCH("A-1.2",'PY1 TFR ADA'!$F$5:$AU$5,0),FALSE),0)</f>
        <v>0</v>
      </c>
      <c r="D472" s="167"/>
      <c r="E472" s="525">
        <f>IFERROR(VALUE(VLOOKUP($B469,'PY1 TFR ADA'!$F:$AU,MATCH("A-2.2",'PY1 TFR ADA'!$F$5:$AU$5,0),FALSE)),0)</f>
        <v>0</v>
      </c>
      <c r="F472" s="167"/>
      <c r="G472" s="609">
        <f>IFERROR(VLOOKUP($B469,'PY1 TFR ADA'!$F:$AU,MATCH("b-1.2",'PY1 TFR ADA'!$F$5:$AU$5,0),FALSE),0)</f>
        <v>0</v>
      </c>
      <c r="H472" s="527"/>
      <c r="I472" s="609">
        <f>IFERROR(VLOOKUP($B469,'PY1 TFR ADA'!$F:$AU,MATCH("b-2.2",'PY1 TFR ADA'!$F$5:$AU$5,0),FALSE),0)</f>
        <v>0</v>
      </c>
      <c r="J472" s="527"/>
      <c r="K472" s="609">
        <f>IFERROR(VLOOKUP($B469,'PY1 TFR ADA'!$F:$AU,MATCH("b-3.2",'PY1 TFR ADA'!$F$5:$AU$5,0),FALSE),0)</f>
        <v>0</v>
      </c>
      <c r="L472" s="527"/>
      <c r="M472" s="609">
        <f>IFERROR(VLOOKUP($B469,'PY1 TFR ADA'!$F:$AU,MATCH("b-4.2",'PY1 TFR ADA'!$F$5:$AU$5,0),FALSE),0)</f>
        <v>0</v>
      </c>
      <c r="N472" s="527"/>
      <c r="O472" s="609">
        <f>IFERROR(VLOOKUP($B469,'PY1 TFR ADA'!$F:$AU,MATCH("b-5.2",'PY1 TFR ADA'!$F$5:$AU$5,0),FALSE),0)</f>
        <v>0</v>
      </c>
      <c r="P472" s="527"/>
      <c r="Q472" s="609">
        <f>IFERROR(VLOOKUP($B469,'PY1 TFR ADA'!$F:$AU,MATCH("b-6.2",'PY1 TFR ADA'!$F$5:$AU$5,0),FALSE),0)</f>
        <v>0</v>
      </c>
      <c r="R472" s="551"/>
      <c r="S472" s="601">
        <f t="shared" si="678"/>
        <v>0</v>
      </c>
      <c r="T472" s="551"/>
      <c r="U472" s="536">
        <f t="shared" ref="U472" si="680">ROUND(IF($G478="LCFF Rate",(G472*$C472),(G472*$E472))+IF($I478="LCFF Rate",(I472*$C472),(I472*$E472))+IF($K478="LCFF Rate",(K472*$C472),(K472*$E472))+IF($M478="LCFF Rate",(M472*$C472),(M472*$E472))+IF($O478="LCFF Rate",(O472*$C472),(O472*$E472))+IF($Q478="LCFF Rate",(Q472*$C472),(Q472*$E472)),0)</f>
        <v>0</v>
      </c>
      <c r="V472" s="524"/>
      <c r="X472" s="4"/>
    </row>
    <row r="473" spans="1:24" s="8" customFormat="1" ht="14.4">
      <c r="A473" s="521"/>
      <c r="B473" s="510" t="s">
        <v>3</v>
      </c>
      <c r="C473" s="525">
        <f>IFERROR(VLOOKUP($B469,'PY1 TFR ADA'!$F:$AU,MATCH("A-1.3",'PY1 TFR ADA'!$F$5:$AU$5,0),FALSE),0)</f>
        <v>0</v>
      </c>
      <c r="D473" s="167"/>
      <c r="E473" s="525">
        <f>IFERROR(VALUE(VLOOKUP($B469,'PY1 TFR ADA'!$F:$AU,MATCH("A-2.3",'PY1 TFR ADA'!$F$5:$AU$5,0),FALSE)),0)</f>
        <v>0</v>
      </c>
      <c r="F473" s="167"/>
      <c r="G473" s="609">
        <f>IFERROR(VLOOKUP($B469,'PY1 TFR ADA'!$F:$AU,MATCH("b-1.3",'PY1 TFR ADA'!$F$5:$AU$5,0),FALSE),0)</f>
        <v>0</v>
      </c>
      <c r="H473" s="527"/>
      <c r="I473" s="609">
        <f>IFERROR(VLOOKUP($B469,'PY1 TFR ADA'!$F:$AU,MATCH("b-2.3",'PY1 TFR ADA'!$F$5:$AU$5,0),FALSE),0)</f>
        <v>0</v>
      </c>
      <c r="J473" s="527"/>
      <c r="K473" s="609">
        <f>IFERROR(VLOOKUP($B469,'PY1 TFR ADA'!$F:$AU,MATCH("b-3.3",'PY1 TFR ADA'!$F$5:$AU$5,0),FALSE),0)</f>
        <v>0</v>
      </c>
      <c r="L473" s="527"/>
      <c r="M473" s="609">
        <f>IFERROR(VLOOKUP($B469,'PY1 TFR ADA'!$F:$AU,MATCH("b-4.3",'PY1 TFR ADA'!$F$5:$AU$5,0),FALSE),0)</f>
        <v>0</v>
      </c>
      <c r="N473" s="527"/>
      <c r="O473" s="609">
        <f>IFERROR(VLOOKUP($B469,'PY1 TFR ADA'!$F:$AU,MATCH("b-5.3",'PY1 TFR ADA'!$F$5:$AU$5,0),FALSE),0)</f>
        <v>0</v>
      </c>
      <c r="P473" s="527"/>
      <c r="Q473" s="609">
        <f>IFERROR(VLOOKUP($B469,'PY1 TFR ADA'!$F:$AU,MATCH("b-6.3",'PY1 TFR ADA'!$F$5:$AU$5,0),FALSE),0)</f>
        <v>0</v>
      </c>
      <c r="R473" s="551"/>
      <c r="S473" s="601">
        <f t="shared" si="678"/>
        <v>0</v>
      </c>
      <c r="T473" s="551"/>
      <c r="U473" s="536">
        <f t="shared" ref="U473" si="681">ROUND(IF($G478="LCFF Rate",(G473*$C473),(G473*$E473))+IF($I478="LCFF Rate",(I473*$C473),(I473*$E473))+IF($K478="LCFF Rate",(K473*$C473),(K473*$E473))+IF($M478="LCFF Rate",(M473*$C473),(M473*$E473))+IF($O478="LCFF Rate",(O473*$C473),(O473*$E473))+IF($Q478="LCFF Rate",(Q473*$C473),(Q473*$E473)),0)</f>
        <v>0</v>
      </c>
      <c r="V473" s="524"/>
      <c r="X473" s="4"/>
    </row>
    <row r="474" spans="1:24" s="8" customFormat="1" ht="14.4">
      <c r="A474" s="526"/>
      <c r="B474" s="510" t="s">
        <v>4</v>
      </c>
      <c r="C474" s="525">
        <f>IFERROR(VLOOKUP($B469,'PY1 TFR ADA'!$F:$AU,MATCH("A-1.4",'PY1 TFR ADA'!$F$5:$AU$5,0),FALSE),0)</f>
        <v>0</v>
      </c>
      <c r="D474" s="523"/>
      <c r="E474" s="525">
        <f>IFERROR(VALUE(VLOOKUP($B469,'PY1 TFR ADA'!$F:$AU,MATCH("A-2.4",'PY1 TFR ADA'!$F$5:$AU$5,0),FALSE)),0)</f>
        <v>0</v>
      </c>
      <c r="F474" s="523"/>
      <c r="G474" s="609">
        <f>IFERROR(VLOOKUP($B469,'PY1 TFR ADA'!$F:$AU,MATCH("b-1.4",'PY1 TFR ADA'!$F$5:$AU$5,0),FALSE),0)</f>
        <v>0</v>
      </c>
      <c r="H474" s="527"/>
      <c r="I474" s="609">
        <f>IFERROR(VLOOKUP($B469,'PY1 TFR ADA'!$F:$AU,MATCH("b-2.4",'PY1 TFR ADA'!$F$5:$AU$5,0),FALSE),0)</f>
        <v>0</v>
      </c>
      <c r="J474" s="527"/>
      <c r="K474" s="609">
        <f>IFERROR(VLOOKUP($B469,'PY1 TFR ADA'!$F:$AU,MATCH("b-3.4",'PY1 TFR ADA'!$F$5:$AU$5,0),FALSE),0)</f>
        <v>0</v>
      </c>
      <c r="L474" s="527"/>
      <c r="M474" s="609">
        <f>IFERROR(VLOOKUP($B469,'PY1 TFR ADA'!$F:$AU,MATCH("b-4.4",'PY1 TFR ADA'!$F$5:$AU$5,0),FALSE),0)</f>
        <v>0</v>
      </c>
      <c r="N474" s="527"/>
      <c r="O474" s="609">
        <f>IFERROR(VLOOKUP($B469,'PY1 TFR ADA'!$F:$AU,MATCH("b-5.4",'PY1 TFR ADA'!$F$5:$AU$5,0),FALSE),0)</f>
        <v>0</v>
      </c>
      <c r="P474" s="527"/>
      <c r="Q474" s="609">
        <f>IFERROR(VLOOKUP($B469,'PY1 TFR ADA'!$F:$AU,MATCH("b-6.4",'PY1 TFR ADA'!$F$5:$AU$5,0),FALSE),0)</f>
        <v>0</v>
      </c>
      <c r="R474" s="551"/>
      <c r="S474" s="601">
        <f t="shared" si="678"/>
        <v>0</v>
      </c>
      <c r="T474" s="551"/>
      <c r="U474" s="536">
        <f t="shared" ref="U474" si="682">ROUND(IF($G478="LCFF Rate",(G474*$C474),(G474*$E474))+IF($I478="LCFF Rate",(I474*$C474),(I474*$E474))+IF($K478="LCFF Rate",(K474*$C474),(K474*$E474))+IF($M478="LCFF Rate",(M474*$C474),(M474*$E474))+IF($O478="LCFF Rate",(O474*$C474),(O474*$E474))+IF($Q478="LCFF Rate",(Q474*$C474),(Q474*$E474)),0)</f>
        <v>0</v>
      </c>
      <c r="V474" s="522"/>
      <c r="X474" s="496"/>
    </row>
    <row r="475" spans="1:24" s="8" customFormat="1" ht="8.25" customHeight="1">
      <c r="A475" s="521"/>
      <c r="B475" s="167"/>
      <c r="C475" s="165"/>
      <c r="D475" s="523"/>
      <c r="E475" s="165"/>
      <c r="F475" s="523"/>
      <c r="G475" s="520"/>
      <c r="H475" s="523"/>
      <c r="I475" s="520"/>
      <c r="J475" s="523"/>
      <c r="K475" s="520"/>
      <c r="L475" s="523"/>
      <c r="M475" s="520"/>
      <c r="N475" s="523"/>
      <c r="O475" s="520"/>
      <c r="P475" s="523"/>
      <c r="Q475" s="520"/>
      <c r="R475" s="167"/>
      <c r="S475" s="520"/>
      <c r="T475" s="167"/>
      <c r="U475" s="602"/>
      <c r="V475" s="522"/>
      <c r="X475" s="4"/>
    </row>
    <row r="476" spans="1:24" s="8" customFormat="1" ht="14.4">
      <c r="A476" s="521"/>
      <c r="B476" s="167"/>
      <c r="C476" s="165"/>
      <c r="D476" s="523"/>
      <c r="E476" s="513" t="s">
        <v>1317</v>
      </c>
      <c r="F476" s="523"/>
      <c r="G476" s="601">
        <f t="shared" ref="G476" si="683">SUM(G471:G474)</f>
        <v>0</v>
      </c>
      <c r="H476" s="527"/>
      <c r="I476" s="601">
        <f t="shared" ref="I476" si="684">SUM(I471:I474)</f>
        <v>0</v>
      </c>
      <c r="J476" s="527"/>
      <c r="K476" s="601">
        <f t="shared" ref="K476" si="685">SUM(K471:K474)</f>
        <v>0</v>
      </c>
      <c r="L476" s="527"/>
      <c r="M476" s="601">
        <f t="shared" ref="M476" si="686">SUM(M471:M474)</f>
        <v>0</v>
      </c>
      <c r="N476" s="527"/>
      <c r="O476" s="601">
        <f t="shared" ref="O476" si="687">SUM(O471:O474)</f>
        <v>0</v>
      </c>
      <c r="P476" s="527"/>
      <c r="Q476" s="601">
        <f t="shared" ref="Q476" si="688">SUM(Q471:Q474)</f>
        <v>0</v>
      </c>
      <c r="R476" s="527"/>
      <c r="S476" s="601">
        <f t="shared" ref="S476" si="689">SUM(S471:S474)</f>
        <v>0</v>
      </c>
      <c r="T476" s="527"/>
      <c r="U476" s="536">
        <f t="shared" ref="U476" si="690">SUM(U471:U474)</f>
        <v>0</v>
      </c>
      <c r="V476" s="522"/>
      <c r="X476" s="4"/>
    </row>
    <row r="477" spans="1:24" s="8" customFormat="1" ht="8.25" customHeight="1">
      <c r="A477" s="521"/>
      <c r="B477" s="167"/>
      <c r="C477" s="165"/>
      <c r="D477" s="523"/>
      <c r="E477" s="165"/>
      <c r="F477" s="523"/>
      <c r="G477" s="520"/>
      <c r="H477" s="523"/>
      <c r="I477" s="520"/>
      <c r="J477" s="523"/>
      <c r="K477" s="520"/>
      <c r="L477" s="523"/>
      <c r="M477" s="520"/>
      <c r="N477" s="523"/>
      <c r="O477" s="520"/>
      <c r="P477" s="523"/>
      <c r="Q477" s="520"/>
      <c r="R477" s="167"/>
      <c r="S477" s="520"/>
      <c r="T477" s="167"/>
      <c r="U477" s="528"/>
      <c r="V477" s="522"/>
      <c r="X477" s="4"/>
    </row>
    <row r="478" spans="1:24" s="8" customFormat="1" ht="16.5" customHeight="1">
      <c r="A478" s="521"/>
      <c r="B478" s="167"/>
      <c r="C478" s="165"/>
      <c r="E478" s="513" t="s">
        <v>1304</v>
      </c>
      <c r="F478" s="523"/>
      <c r="G478" s="977">
        <f>_xlfn.IFNA(IF(VLOOKUP($B469,'PY1 TFR ADA'!$F:$AU,MATCH("B-1.5",'PY1 TFR ADA'!$F$5:$AU$5,0),FALSE)=TRUE,IF(VLOOKUP($B469,'PY1 TFR ADA'!$F:$AU,MATCH("C-1",'PY1 TFR ADA'!$F$5:$AU$5,0),FALSE)=TRUE,"Alternative Rate","LCFF Rate"),"LCFF Rate"),0)</f>
        <v>0</v>
      </c>
      <c r="H478" s="523"/>
      <c r="I478" s="977">
        <f>_xlfn.IFNA(IF(VLOOKUP($B469,'PY1 TFR ADA'!$F:$AU,MATCH("B-2.5",'PY1 TFR ADA'!$F$5:$AU$5,0),FALSE)=TRUE,IF(VLOOKUP($B469,'PY1 TFR ADA'!$F:$AU,MATCH("C-1",'PY1 TFR ADA'!$F$5:$AU$5,0),FALSE)=TRUE,"Alternative Rate","LCFF Rate"),"LCFF Rate"),0)</f>
        <v>0</v>
      </c>
      <c r="J478" s="523"/>
      <c r="K478" s="977">
        <f>_xlfn.IFNA(IF(VLOOKUP($B469,'PY1 TFR ADA'!$F:$AU,MATCH("B-3.5",'PY1 TFR ADA'!$F$5:$AU$5,0),FALSE)=TRUE,IF(VLOOKUP($B469,'PY1 TFR ADA'!$F:$AU,MATCH("C-1",'PY1 TFR ADA'!$F$5:$AU$5,0),FALSE)=TRUE,"Alternative Rate","LCFF Rate"),"LCFF Rate"),0)</f>
        <v>0</v>
      </c>
      <c r="L478" s="523"/>
      <c r="M478" s="977">
        <f>_xlfn.IFNA(IF(VLOOKUP($B469,'PY1 TFR ADA'!$F:$AU,MATCH("B-4.5",'PY1 TFR ADA'!$F$5:$AU$5,0),FALSE)=TRUE,IF(VLOOKUP($B469,'PY1 TFR ADA'!$F:$AU,MATCH("C-1",'PY1 TFR ADA'!$F$5:$AU$5,0),FALSE)=TRUE,"Alternative Rate","LCFF Rate"),"LCFF Rate"),0)</f>
        <v>0</v>
      </c>
      <c r="N478" s="523"/>
      <c r="O478" s="977">
        <f>_xlfn.IFNA(IF(VLOOKUP($B469,'PY1 TFR ADA'!$F:$AU,MATCH("B-5.5",'PY1 TFR ADA'!$F$5:$AU$5,0),FALSE)=TRUE,IF(VLOOKUP($B469,'PY1 TFR ADA'!$F:$AU,MATCH("C-1",'PY1 TFR ADA'!$F$5:$AU$5,0),FALSE)=TRUE,"Alternative Rate","LCFF Rate"),"LCFF Rate"),0)</f>
        <v>0</v>
      </c>
      <c r="P478" s="523"/>
      <c r="Q478" s="977">
        <f>_xlfn.IFNA(IF(VLOOKUP($B469,'PY1 TFR ADA'!$F:$AU,MATCH("B-6.5",'PY1 TFR ADA'!$F$5:$AU$5,0),FALSE)=TRUE,IF(VLOOKUP($B469,'PY1 TFR ADA'!$F:$AU,MATCH("C-1",'PY1 TFR ADA'!$F$5:$AU$5,0),FALSE)=TRUE,"Alternative Rate","LCFF Rate"),"LCFF Rate"),0)</f>
        <v>0</v>
      </c>
      <c r="R478" s="167"/>
      <c r="S478" s="520"/>
      <c r="T478" s="167"/>
      <c r="U478" s="528"/>
      <c r="V478" s="522"/>
      <c r="X478" s="283"/>
    </row>
    <row r="479" spans="1:24" s="8" customFormat="1" ht="8.25" customHeight="1">
      <c r="A479" s="521"/>
      <c r="B479" s="167"/>
      <c r="C479" s="165"/>
      <c r="D479" s="523"/>
      <c r="E479" s="165"/>
      <c r="F479" s="523"/>
      <c r="G479" s="520"/>
      <c r="H479" s="523"/>
      <c r="I479" s="520"/>
      <c r="J479" s="523"/>
      <c r="K479" s="520"/>
      <c r="L479" s="523"/>
      <c r="M479" s="520"/>
      <c r="N479" s="523"/>
      <c r="O479" s="520"/>
      <c r="P479" s="523"/>
      <c r="Q479" s="520"/>
      <c r="R479" s="167"/>
      <c r="S479" s="520"/>
      <c r="T479" s="167"/>
      <c r="U479" s="528"/>
      <c r="V479" s="522"/>
      <c r="X479" s="4"/>
    </row>
    <row r="480" spans="1:24" s="8" customFormat="1" ht="16.8">
      <c r="A480" s="521"/>
      <c r="B480" s="2"/>
      <c r="F480" s="523"/>
      <c r="G480" s="535">
        <f t="shared" ref="G480" si="691">IF(G478="LCFF Rate",(G471*C471+G472*C472+G473*C473+G474*C474),(G476*E474))</f>
        <v>0</v>
      </c>
      <c r="H480" s="537"/>
      <c r="I480" s="535">
        <f t="shared" ref="I480" si="692">IF(I478="LCFF Rate",(I471*C471+I472*C472+I473*C473+I474*C474),(I476*E474))</f>
        <v>0</v>
      </c>
      <c r="J480" s="537"/>
      <c r="K480" s="535">
        <f t="shared" ref="K480" si="693">IF(K478="LCFF Rate",(K471*C471+K472*C472+K473*C473+K474*C474),(K476*E474))</f>
        <v>0</v>
      </c>
      <c r="L480" s="537"/>
      <c r="M480" s="535">
        <f t="shared" ref="M480" si="694">IF(M478="LCFF Rate",(M471*C471+M472*C472+M473*C473+M474*C474),(M476*E474))</f>
        <v>0</v>
      </c>
      <c r="N480" s="537"/>
      <c r="O480" s="535">
        <f t="shared" ref="O480" si="695">IF(O478="LCFF Rate",(O471*C471+O472*C472+O473*C473+O474*C474),(O476*E474))</f>
        <v>0</v>
      </c>
      <c r="P480" s="537"/>
      <c r="Q480" s="535">
        <f t="shared" ref="Q480" si="696">IF(Q478="LCFF Rate",(Q471*C471+Q472*C472+Q473*C473+Q474*C474),(Q476*E474))</f>
        <v>0</v>
      </c>
      <c r="R480" s="167"/>
      <c r="S480" s="538">
        <f t="shared" ref="S480" si="697">SUM(G480:Q480)</f>
        <v>0</v>
      </c>
      <c r="T480" s="167"/>
      <c r="U480" s="528"/>
      <c r="V480" s="522"/>
      <c r="X480" s="979"/>
    </row>
    <row r="481" spans="1:24" s="8" customFormat="1" ht="9" customHeight="1" thickBot="1">
      <c r="A481" s="529"/>
      <c r="B481" s="530"/>
      <c r="C481" s="531"/>
      <c r="D481" s="532"/>
      <c r="E481" s="533"/>
      <c r="F481" s="532"/>
      <c r="G481" s="530"/>
      <c r="H481" s="532"/>
      <c r="I481" s="530"/>
      <c r="J481" s="532"/>
      <c r="K481" s="530"/>
      <c r="L481" s="532"/>
      <c r="M481" s="530"/>
      <c r="N481" s="532"/>
      <c r="O481" s="530"/>
      <c r="P481" s="532"/>
      <c r="Q481" s="530"/>
      <c r="R481" s="532"/>
      <c r="S481" s="530"/>
      <c r="T481" s="532"/>
      <c r="U481" s="532"/>
      <c r="V481" s="534"/>
      <c r="X481" s="4"/>
    </row>
    <row r="482" spans="1:24" s="82" customFormat="1" ht="18" customHeight="1" thickBot="1">
      <c r="A482" s="890">
        <f>+A469+1</f>
        <v>37</v>
      </c>
      <c r="B482" s="891" t="str">
        <f>'Data Entry'!$B$3&amp;"-"&amp;C482</f>
        <v>-</v>
      </c>
      <c r="C482" s="891" t="str">
        <f>IFERROR(VLOOKUP('Data Entry'!$B$3&amp;"-"&amp;A482,'PY1 TFR ADA'!$D:$AT,2,FALSE),"")</f>
        <v/>
      </c>
      <c r="D482" s="892" t="str">
        <f>IFERROR(VLOOKUP('Data Entry'!$B$3&amp;"-"&amp;A482,'PY1 TFR ADA'!$D:$AT,4,FALSE),"")</f>
        <v/>
      </c>
      <c r="E482" s="893"/>
      <c r="F482" s="893"/>
      <c r="G482" s="893"/>
      <c r="H482" s="893"/>
      <c r="I482" s="893"/>
      <c r="J482" s="893"/>
      <c r="K482" s="893"/>
      <c r="L482" s="893"/>
      <c r="M482" s="893"/>
      <c r="N482" s="893"/>
      <c r="O482" s="893"/>
      <c r="P482" s="893"/>
      <c r="Q482" s="893"/>
      <c r="R482" s="893"/>
      <c r="S482" s="893"/>
      <c r="T482" s="893"/>
      <c r="U482" s="893"/>
      <c r="V482" s="894"/>
      <c r="X482" s="83"/>
    </row>
    <row r="483" spans="1:24" ht="75" customHeight="1">
      <c r="A483" s="521"/>
      <c r="C483" s="540" t="s">
        <v>1315</v>
      </c>
      <c r="D483" s="512"/>
      <c r="E483" s="540" t="s">
        <v>1316</v>
      </c>
      <c r="F483" s="512"/>
      <c r="G483" s="540" t="s">
        <v>1309</v>
      </c>
      <c r="H483" s="512"/>
      <c r="I483" s="540" t="s">
        <v>1310</v>
      </c>
      <c r="J483" s="512"/>
      <c r="K483" s="540" t="s">
        <v>1311</v>
      </c>
      <c r="L483" s="512"/>
      <c r="M483" s="540" t="s">
        <v>1312</v>
      </c>
      <c r="N483" s="512"/>
      <c r="O483" s="540" t="s">
        <v>1313</v>
      </c>
      <c r="P483" s="512"/>
      <c r="Q483" s="540" t="s">
        <v>1314</v>
      </c>
      <c r="R483" s="167"/>
      <c r="S483" s="540" t="s">
        <v>1308</v>
      </c>
      <c r="T483" s="167"/>
      <c r="U483" s="512" t="s">
        <v>1307</v>
      </c>
      <c r="V483" s="524"/>
      <c r="X483" s="283"/>
    </row>
    <row r="484" spans="1:24" s="8" customFormat="1" ht="14.4">
      <c r="A484" s="521"/>
      <c r="B484" s="510" t="s">
        <v>94</v>
      </c>
      <c r="C484" s="525">
        <f>IFERROR(VLOOKUP($B482,'PY1 TFR ADA'!$F:$AU,MATCH("A-1.1",'PY1 TFR ADA'!$F$5:$AU$5,0),FALSE),0)</f>
        <v>0</v>
      </c>
      <c r="D484" s="167"/>
      <c r="E484" s="525">
        <f>IFERROR(VALUE(VLOOKUP($B482,'PY1 TFR ADA'!$F:$AU,MATCH("A-2.1",'PY1 TFR ADA'!$F$5:$AU$5,0),FALSE)),0)</f>
        <v>0</v>
      </c>
      <c r="F484" s="167"/>
      <c r="G484" s="609">
        <f>IFERROR(VLOOKUP($B482,'PY1 TFR ADA'!$F:$AU,MATCH("b-1.1",'PY1 TFR ADA'!$F$5:$AU$5,0),FALSE),0)</f>
        <v>0</v>
      </c>
      <c r="H484" s="527"/>
      <c r="I484" s="609">
        <f>IFERROR(VLOOKUP($B482,'PY1 TFR ADA'!$F:$AU,MATCH("b-2.1",'PY1 TFR ADA'!$F$5:$AU$5,0),FALSE),0)</f>
        <v>0</v>
      </c>
      <c r="J484" s="527"/>
      <c r="K484" s="609">
        <f>IFERROR(VLOOKUP($B482,'PY1 TFR ADA'!$F:$AU,MATCH("b-3.1",'PY1 TFR ADA'!$F$5:$AU$5,0),FALSE),0)</f>
        <v>0</v>
      </c>
      <c r="L484" s="527"/>
      <c r="M484" s="609">
        <f>IFERROR(VLOOKUP($B482,'PY1 TFR ADA'!$F:$AU,MATCH("b-4.1",'PY1 TFR ADA'!$F$5:$AU$5,0),FALSE),0)</f>
        <v>0</v>
      </c>
      <c r="N484" s="527"/>
      <c r="O484" s="609">
        <f>IFERROR(VLOOKUP($B482,'PY1 TFR ADA'!$F:$AU,MATCH("b-5.1",'PY1 TFR ADA'!$F$5:$AU$5,0),FALSE),0)</f>
        <v>0</v>
      </c>
      <c r="P484" s="527"/>
      <c r="Q484" s="609">
        <f>IFERROR(VLOOKUP($B482,'PY1 TFR ADA'!$F:$AU,MATCH("b-6.1",'PY1 TFR ADA'!$F$5:$AU$5,0),FALSE),0)</f>
        <v>0</v>
      </c>
      <c r="R484" s="551"/>
      <c r="S484" s="601">
        <f t="shared" ref="S484:S487" si="698">SUM(G484:Q484)</f>
        <v>0</v>
      </c>
      <c r="T484" s="551"/>
      <c r="U484" s="536">
        <f t="shared" ref="U484" si="699">ROUND(IF($G491="LCFF Rate",(G484*$C484),(G484*$E484))+IF($I491="LCFF Rate",(I484*$C484),(I484*$E484))+IF($K491="LCFF Rate",(K484*$C484),(K484*$E484))+IF($M491="LCFF Rate",(M484*$C484),(M484*$E484))+IF($O491="LCFF Rate",(O484*$C484),(O484*$E484))+IF($Q491="LCFF Rate",(Q484*$C484),(Q484*$E484)),0)</f>
        <v>0</v>
      </c>
      <c r="V484" s="524"/>
      <c r="X484" s="496"/>
    </row>
    <row r="485" spans="1:24" s="8" customFormat="1" ht="14.4">
      <c r="A485" s="521"/>
      <c r="B485" s="510" t="s">
        <v>2</v>
      </c>
      <c r="C485" s="525">
        <f>IFERROR(VLOOKUP($B482,'PY1 TFR ADA'!$F:$AU,MATCH("A-1.2",'PY1 TFR ADA'!$F$5:$AU$5,0),FALSE),0)</f>
        <v>0</v>
      </c>
      <c r="D485" s="167"/>
      <c r="E485" s="525">
        <f>IFERROR(VALUE(VLOOKUP($B482,'PY1 TFR ADA'!$F:$AU,MATCH("A-2.2",'PY1 TFR ADA'!$F$5:$AU$5,0),FALSE)),0)</f>
        <v>0</v>
      </c>
      <c r="F485" s="167"/>
      <c r="G485" s="609">
        <f>IFERROR(VLOOKUP($B482,'PY1 TFR ADA'!$F:$AU,MATCH("b-1.2",'PY1 TFR ADA'!$F$5:$AU$5,0),FALSE),0)</f>
        <v>0</v>
      </c>
      <c r="H485" s="527"/>
      <c r="I485" s="609">
        <f>IFERROR(VLOOKUP($B482,'PY1 TFR ADA'!$F:$AU,MATCH("b-2.2",'PY1 TFR ADA'!$F$5:$AU$5,0),FALSE),0)</f>
        <v>0</v>
      </c>
      <c r="J485" s="527"/>
      <c r="K485" s="609">
        <f>IFERROR(VLOOKUP($B482,'PY1 TFR ADA'!$F:$AU,MATCH("b-3.2",'PY1 TFR ADA'!$F$5:$AU$5,0),FALSE),0)</f>
        <v>0</v>
      </c>
      <c r="L485" s="527"/>
      <c r="M485" s="609">
        <f>IFERROR(VLOOKUP($B482,'PY1 TFR ADA'!$F:$AU,MATCH("b-4.2",'PY1 TFR ADA'!$F$5:$AU$5,0),FALSE),0)</f>
        <v>0</v>
      </c>
      <c r="N485" s="527"/>
      <c r="O485" s="609">
        <f>IFERROR(VLOOKUP($B482,'PY1 TFR ADA'!$F:$AU,MATCH("b-5.2",'PY1 TFR ADA'!$F$5:$AU$5,0),FALSE),0)</f>
        <v>0</v>
      </c>
      <c r="P485" s="527"/>
      <c r="Q485" s="609">
        <f>IFERROR(VLOOKUP($B482,'PY1 TFR ADA'!$F:$AU,MATCH("b-6.2",'PY1 TFR ADA'!$F$5:$AU$5,0),FALSE),0)</f>
        <v>0</v>
      </c>
      <c r="R485" s="551"/>
      <c r="S485" s="601">
        <f t="shared" si="698"/>
        <v>0</v>
      </c>
      <c r="T485" s="551"/>
      <c r="U485" s="536">
        <f t="shared" ref="U485" si="700">ROUND(IF($G491="LCFF Rate",(G485*$C485),(G485*$E485))+IF($I491="LCFF Rate",(I485*$C485),(I485*$E485))+IF($K491="LCFF Rate",(K485*$C485),(K485*$E485))+IF($M491="LCFF Rate",(M485*$C485),(M485*$E485))+IF($O491="LCFF Rate",(O485*$C485),(O485*$E485))+IF($Q491="LCFF Rate",(Q485*$C485),(Q485*$E485)),0)</f>
        <v>0</v>
      </c>
      <c r="V485" s="524"/>
      <c r="X485" s="4"/>
    </row>
    <row r="486" spans="1:24" s="8" customFormat="1" ht="14.4">
      <c r="A486" s="521"/>
      <c r="B486" s="510" t="s">
        <v>3</v>
      </c>
      <c r="C486" s="525">
        <f>IFERROR(VLOOKUP($B482,'PY1 TFR ADA'!$F:$AU,MATCH("A-1.3",'PY1 TFR ADA'!$F$5:$AU$5,0),FALSE),0)</f>
        <v>0</v>
      </c>
      <c r="D486" s="167"/>
      <c r="E486" s="525">
        <f>IFERROR(VALUE(VLOOKUP($B482,'PY1 TFR ADA'!$F:$AU,MATCH("A-2.3",'PY1 TFR ADA'!$F$5:$AU$5,0),FALSE)),0)</f>
        <v>0</v>
      </c>
      <c r="F486" s="167"/>
      <c r="G486" s="609">
        <f>IFERROR(VLOOKUP($B482,'PY1 TFR ADA'!$F:$AU,MATCH("b-1.3",'PY1 TFR ADA'!$F$5:$AU$5,0),FALSE),0)</f>
        <v>0</v>
      </c>
      <c r="H486" s="527"/>
      <c r="I486" s="609">
        <f>IFERROR(VLOOKUP($B482,'PY1 TFR ADA'!$F:$AU,MATCH("b-2.3",'PY1 TFR ADA'!$F$5:$AU$5,0),FALSE),0)</f>
        <v>0</v>
      </c>
      <c r="J486" s="527"/>
      <c r="K486" s="609">
        <f>IFERROR(VLOOKUP($B482,'PY1 TFR ADA'!$F:$AU,MATCH("b-3.3",'PY1 TFR ADA'!$F$5:$AU$5,0),FALSE),0)</f>
        <v>0</v>
      </c>
      <c r="L486" s="527"/>
      <c r="M486" s="609">
        <f>IFERROR(VLOOKUP($B482,'PY1 TFR ADA'!$F:$AU,MATCH("b-4.3",'PY1 TFR ADA'!$F$5:$AU$5,0),FALSE),0)</f>
        <v>0</v>
      </c>
      <c r="N486" s="527"/>
      <c r="O486" s="609">
        <f>IFERROR(VLOOKUP($B482,'PY1 TFR ADA'!$F:$AU,MATCH("b-5.3",'PY1 TFR ADA'!$F$5:$AU$5,0),FALSE),0)</f>
        <v>0</v>
      </c>
      <c r="P486" s="527"/>
      <c r="Q486" s="609">
        <f>IFERROR(VLOOKUP($B482,'PY1 TFR ADA'!$F:$AU,MATCH("b-6.3",'PY1 TFR ADA'!$F$5:$AU$5,0),FALSE),0)</f>
        <v>0</v>
      </c>
      <c r="R486" s="551"/>
      <c r="S486" s="601">
        <f t="shared" si="698"/>
        <v>0</v>
      </c>
      <c r="T486" s="551"/>
      <c r="U486" s="536">
        <f t="shared" ref="U486" si="701">ROUND(IF($G491="LCFF Rate",(G486*$C486),(G486*$E486))+IF($I491="LCFF Rate",(I486*$C486),(I486*$E486))+IF($K491="LCFF Rate",(K486*$C486),(K486*$E486))+IF($M491="LCFF Rate",(M486*$C486),(M486*$E486))+IF($O491="LCFF Rate",(O486*$C486),(O486*$E486))+IF($Q491="LCFF Rate",(Q486*$C486),(Q486*$E486)),0)</f>
        <v>0</v>
      </c>
      <c r="V486" s="524"/>
      <c r="X486" s="4"/>
    </row>
    <row r="487" spans="1:24" s="8" customFormat="1" ht="14.4">
      <c r="A487" s="526"/>
      <c r="B487" s="510" t="s">
        <v>4</v>
      </c>
      <c r="C487" s="525">
        <f>IFERROR(VLOOKUP($B482,'PY1 TFR ADA'!$F:$AU,MATCH("A-1.4",'PY1 TFR ADA'!$F$5:$AU$5,0),FALSE),0)</f>
        <v>0</v>
      </c>
      <c r="D487" s="523"/>
      <c r="E487" s="525">
        <f>IFERROR(VALUE(VLOOKUP($B482,'PY1 TFR ADA'!$F:$AU,MATCH("A-2.4",'PY1 TFR ADA'!$F$5:$AU$5,0),FALSE)),0)</f>
        <v>0</v>
      </c>
      <c r="F487" s="523"/>
      <c r="G487" s="609">
        <f>IFERROR(VLOOKUP($B482,'PY1 TFR ADA'!$F:$AU,MATCH("b-1.4",'PY1 TFR ADA'!$F$5:$AU$5,0),FALSE),0)</f>
        <v>0</v>
      </c>
      <c r="H487" s="527"/>
      <c r="I487" s="609">
        <f>IFERROR(VLOOKUP($B482,'PY1 TFR ADA'!$F:$AU,MATCH("b-2.4",'PY1 TFR ADA'!$F$5:$AU$5,0),FALSE),0)</f>
        <v>0</v>
      </c>
      <c r="J487" s="527"/>
      <c r="K487" s="609">
        <f>IFERROR(VLOOKUP($B482,'PY1 TFR ADA'!$F:$AU,MATCH("b-3.4",'PY1 TFR ADA'!$F$5:$AU$5,0),FALSE),0)</f>
        <v>0</v>
      </c>
      <c r="L487" s="527"/>
      <c r="M487" s="609">
        <f>IFERROR(VLOOKUP($B482,'PY1 TFR ADA'!$F:$AU,MATCH("b-4.4",'PY1 TFR ADA'!$F$5:$AU$5,0),FALSE),0)</f>
        <v>0</v>
      </c>
      <c r="N487" s="527"/>
      <c r="O487" s="609">
        <f>IFERROR(VLOOKUP($B482,'PY1 TFR ADA'!$F:$AU,MATCH("b-5.4",'PY1 TFR ADA'!$F$5:$AU$5,0),FALSE),0)</f>
        <v>0</v>
      </c>
      <c r="P487" s="527"/>
      <c r="Q487" s="609">
        <f>IFERROR(VLOOKUP($B482,'PY1 TFR ADA'!$F:$AU,MATCH("b-6.4",'PY1 TFR ADA'!$F$5:$AU$5,0),FALSE),0)</f>
        <v>0</v>
      </c>
      <c r="R487" s="551"/>
      <c r="S487" s="601">
        <f t="shared" si="698"/>
        <v>0</v>
      </c>
      <c r="T487" s="551"/>
      <c r="U487" s="536">
        <f t="shared" ref="U487" si="702">ROUND(IF($G491="LCFF Rate",(G487*$C487),(G487*$E487))+IF($I491="LCFF Rate",(I487*$C487),(I487*$E487))+IF($K491="LCFF Rate",(K487*$C487),(K487*$E487))+IF($M491="LCFF Rate",(M487*$C487),(M487*$E487))+IF($O491="LCFF Rate",(O487*$C487),(O487*$E487))+IF($Q491="LCFF Rate",(Q487*$C487),(Q487*$E487)),0)</f>
        <v>0</v>
      </c>
      <c r="V487" s="522"/>
      <c r="X487" s="496"/>
    </row>
    <row r="488" spans="1:24" s="8" customFormat="1" ht="8.25" customHeight="1">
      <c r="A488" s="521"/>
      <c r="B488" s="167"/>
      <c r="C488" s="165"/>
      <c r="D488" s="523"/>
      <c r="E488" s="165"/>
      <c r="F488" s="523"/>
      <c r="G488" s="520"/>
      <c r="H488" s="523"/>
      <c r="I488" s="520"/>
      <c r="J488" s="523"/>
      <c r="K488" s="520"/>
      <c r="L488" s="523"/>
      <c r="M488" s="520"/>
      <c r="N488" s="523"/>
      <c r="O488" s="520"/>
      <c r="P488" s="523"/>
      <c r="Q488" s="520"/>
      <c r="R488" s="167"/>
      <c r="S488" s="520"/>
      <c r="T488" s="167"/>
      <c r="U488" s="602"/>
      <c r="V488" s="522"/>
      <c r="X488" s="4"/>
    </row>
    <row r="489" spans="1:24" s="8" customFormat="1" ht="14.4">
      <c r="A489" s="521"/>
      <c r="B489" s="167"/>
      <c r="C489" s="165"/>
      <c r="D489" s="523"/>
      <c r="E489" s="513" t="s">
        <v>1317</v>
      </c>
      <c r="F489" s="523"/>
      <c r="G489" s="601">
        <f t="shared" ref="G489" si="703">SUM(G484:G487)</f>
        <v>0</v>
      </c>
      <c r="H489" s="527"/>
      <c r="I489" s="601">
        <f t="shared" ref="I489" si="704">SUM(I484:I487)</f>
        <v>0</v>
      </c>
      <c r="J489" s="527"/>
      <c r="K489" s="601">
        <f t="shared" ref="K489" si="705">SUM(K484:K487)</f>
        <v>0</v>
      </c>
      <c r="L489" s="527"/>
      <c r="M489" s="601">
        <f t="shared" ref="M489" si="706">SUM(M484:M487)</f>
        <v>0</v>
      </c>
      <c r="N489" s="527"/>
      <c r="O489" s="601">
        <f t="shared" ref="O489" si="707">SUM(O484:O487)</f>
        <v>0</v>
      </c>
      <c r="P489" s="527"/>
      <c r="Q489" s="601">
        <f t="shared" ref="Q489" si="708">SUM(Q484:Q487)</f>
        <v>0</v>
      </c>
      <c r="R489" s="527"/>
      <c r="S489" s="601">
        <f t="shared" ref="S489" si="709">SUM(S484:S487)</f>
        <v>0</v>
      </c>
      <c r="T489" s="527"/>
      <c r="U489" s="536">
        <f t="shared" ref="U489" si="710">SUM(U484:U487)</f>
        <v>0</v>
      </c>
      <c r="V489" s="522"/>
      <c r="X489" s="4"/>
    </row>
    <row r="490" spans="1:24" s="8" customFormat="1" ht="8.25" customHeight="1">
      <c r="A490" s="521"/>
      <c r="B490" s="167"/>
      <c r="C490" s="165"/>
      <c r="D490" s="523"/>
      <c r="E490" s="165"/>
      <c r="F490" s="523"/>
      <c r="G490" s="520"/>
      <c r="H490" s="523"/>
      <c r="I490" s="520"/>
      <c r="J490" s="523"/>
      <c r="K490" s="520"/>
      <c r="L490" s="523"/>
      <c r="M490" s="520"/>
      <c r="N490" s="523"/>
      <c r="O490" s="520"/>
      <c r="P490" s="523"/>
      <c r="Q490" s="520"/>
      <c r="R490" s="167"/>
      <c r="S490" s="520"/>
      <c r="T490" s="167"/>
      <c r="U490" s="528"/>
      <c r="V490" s="522"/>
      <c r="X490" s="4"/>
    </row>
    <row r="491" spans="1:24" s="8" customFormat="1" ht="16.5" customHeight="1">
      <c r="A491" s="521"/>
      <c r="B491" s="167"/>
      <c r="C491" s="165"/>
      <c r="E491" s="513" t="s">
        <v>1304</v>
      </c>
      <c r="F491" s="523"/>
      <c r="G491" s="977">
        <f>_xlfn.IFNA(IF(VLOOKUP($B482,'PY1 TFR ADA'!$F:$AU,MATCH("B-1.5",'PY1 TFR ADA'!$F$5:$AU$5,0),FALSE)=TRUE,IF(VLOOKUP($B482,'PY1 TFR ADA'!$F:$AU,MATCH("C-1",'PY1 TFR ADA'!$F$5:$AU$5,0),FALSE)=TRUE,"Alternative Rate","LCFF Rate"),"LCFF Rate"),0)</f>
        <v>0</v>
      </c>
      <c r="H491" s="523"/>
      <c r="I491" s="977">
        <f>_xlfn.IFNA(IF(VLOOKUP($B482,'PY1 TFR ADA'!$F:$AU,MATCH("B-2.5",'PY1 TFR ADA'!$F$5:$AU$5,0),FALSE)=TRUE,IF(VLOOKUP($B482,'PY1 TFR ADA'!$F:$AU,MATCH("C-1",'PY1 TFR ADA'!$F$5:$AU$5,0),FALSE)=TRUE,"Alternative Rate","LCFF Rate"),"LCFF Rate"),0)</f>
        <v>0</v>
      </c>
      <c r="J491" s="523"/>
      <c r="K491" s="977">
        <f>_xlfn.IFNA(IF(VLOOKUP($B482,'PY1 TFR ADA'!$F:$AU,MATCH("B-3.5",'PY1 TFR ADA'!$F$5:$AU$5,0),FALSE)=TRUE,IF(VLOOKUP($B482,'PY1 TFR ADA'!$F:$AU,MATCH("C-1",'PY1 TFR ADA'!$F$5:$AU$5,0),FALSE)=TRUE,"Alternative Rate","LCFF Rate"),"LCFF Rate"),0)</f>
        <v>0</v>
      </c>
      <c r="L491" s="523"/>
      <c r="M491" s="977">
        <f>_xlfn.IFNA(IF(VLOOKUP($B482,'PY1 TFR ADA'!$F:$AU,MATCH("B-4.5",'PY1 TFR ADA'!$F$5:$AU$5,0),FALSE)=TRUE,IF(VLOOKUP($B482,'PY1 TFR ADA'!$F:$AU,MATCH("C-1",'PY1 TFR ADA'!$F$5:$AU$5,0),FALSE)=TRUE,"Alternative Rate","LCFF Rate"),"LCFF Rate"),0)</f>
        <v>0</v>
      </c>
      <c r="N491" s="523"/>
      <c r="O491" s="977">
        <f>_xlfn.IFNA(IF(VLOOKUP($B482,'PY1 TFR ADA'!$F:$AU,MATCH("B-5.5",'PY1 TFR ADA'!$F$5:$AU$5,0),FALSE)=TRUE,IF(VLOOKUP($B482,'PY1 TFR ADA'!$F:$AU,MATCH("C-1",'PY1 TFR ADA'!$F$5:$AU$5,0),FALSE)=TRUE,"Alternative Rate","LCFF Rate"),"LCFF Rate"),0)</f>
        <v>0</v>
      </c>
      <c r="P491" s="523"/>
      <c r="Q491" s="977">
        <f>_xlfn.IFNA(IF(VLOOKUP($B482,'PY1 TFR ADA'!$F:$AU,MATCH("B-6.5",'PY1 TFR ADA'!$F$5:$AU$5,0),FALSE)=TRUE,IF(VLOOKUP($B482,'PY1 TFR ADA'!$F:$AU,MATCH("C-1",'PY1 TFR ADA'!$F$5:$AU$5,0),FALSE)=TRUE,"Alternative Rate","LCFF Rate"),"LCFF Rate"),0)</f>
        <v>0</v>
      </c>
      <c r="R491" s="167"/>
      <c r="S491" s="520"/>
      <c r="T491" s="167"/>
      <c r="U491" s="528"/>
      <c r="V491" s="522"/>
      <c r="X491" s="283"/>
    </row>
    <row r="492" spans="1:24" s="8" customFormat="1" ht="8.25" customHeight="1">
      <c r="A492" s="521"/>
      <c r="B492" s="167"/>
      <c r="C492" s="165"/>
      <c r="D492" s="523"/>
      <c r="E492" s="165"/>
      <c r="F492" s="523"/>
      <c r="G492" s="520"/>
      <c r="H492" s="523"/>
      <c r="I492" s="520"/>
      <c r="J492" s="523"/>
      <c r="K492" s="520"/>
      <c r="L492" s="523"/>
      <c r="M492" s="520"/>
      <c r="N492" s="523"/>
      <c r="O492" s="520"/>
      <c r="P492" s="523"/>
      <c r="Q492" s="520"/>
      <c r="R492" s="167"/>
      <c r="S492" s="520"/>
      <c r="T492" s="167"/>
      <c r="U492" s="528"/>
      <c r="V492" s="522"/>
      <c r="X492" s="4"/>
    </row>
    <row r="493" spans="1:24" s="8" customFormat="1" ht="16.8">
      <c r="A493" s="521"/>
      <c r="B493" s="2"/>
      <c r="F493" s="523"/>
      <c r="G493" s="535">
        <f t="shared" ref="G493" si="711">IF(G491="LCFF Rate",(G484*C484+G485*C485+G486*C486+G487*C487),(G489*E487))</f>
        <v>0</v>
      </c>
      <c r="H493" s="537"/>
      <c r="I493" s="535">
        <f t="shared" ref="I493" si="712">IF(I491="LCFF Rate",(I484*C484+I485*C485+I486*C486+I487*C487),(I489*E487))</f>
        <v>0</v>
      </c>
      <c r="J493" s="537"/>
      <c r="K493" s="535">
        <f t="shared" ref="K493" si="713">IF(K491="LCFF Rate",(K484*C484+K485*C485+K486*C486+K487*C487),(K489*E487))</f>
        <v>0</v>
      </c>
      <c r="L493" s="537"/>
      <c r="M493" s="535">
        <f t="shared" ref="M493" si="714">IF(M491="LCFF Rate",(M484*C484+M485*C485+M486*C486+M487*C487),(M489*E487))</f>
        <v>0</v>
      </c>
      <c r="N493" s="537"/>
      <c r="O493" s="535">
        <f t="shared" ref="O493" si="715">IF(O491="LCFF Rate",(O484*C484+O485*C485+O486*C486+O487*C487),(O489*E487))</f>
        <v>0</v>
      </c>
      <c r="P493" s="537"/>
      <c r="Q493" s="535">
        <f t="shared" ref="Q493" si="716">IF(Q491="LCFF Rate",(Q484*C484+Q485*C485+Q486*C486+Q487*C487),(Q489*E487))</f>
        <v>0</v>
      </c>
      <c r="R493" s="167"/>
      <c r="S493" s="538">
        <f t="shared" ref="S493" si="717">SUM(G493:Q493)</f>
        <v>0</v>
      </c>
      <c r="T493" s="167"/>
      <c r="U493" s="528"/>
      <c r="V493" s="522"/>
      <c r="X493" s="979"/>
    </row>
    <row r="494" spans="1:24" s="8" customFormat="1" ht="9" customHeight="1" thickBot="1">
      <c r="A494" s="529"/>
      <c r="B494" s="530"/>
      <c r="C494" s="531"/>
      <c r="D494" s="532"/>
      <c r="E494" s="533"/>
      <c r="F494" s="532"/>
      <c r="G494" s="530"/>
      <c r="H494" s="532"/>
      <c r="I494" s="530"/>
      <c r="J494" s="532"/>
      <c r="K494" s="530"/>
      <c r="L494" s="532"/>
      <c r="M494" s="530"/>
      <c r="N494" s="532"/>
      <c r="O494" s="530"/>
      <c r="P494" s="532"/>
      <c r="Q494" s="530"/>
      <c r="R494" s="532"/>
      <c r="S494" s="530"/>
      <c r="T494" s="532"/>
      <c r="U494" s="532"/>
      <c r="V494" s="534"/>
      <c r="X494" s="4"/>
    </row>
    <row r="495" spans="1:24" s="82" customFormat="1" ht="18" customHeight="1" thickBot="1">
      <c r="A495" s="890">
        <f>+A482+1</f>
        <v>38</v>
      </c>
      <c r="B495" s="891" t="str">
        <f>'Data Entry'!$B$3&amp;"-"&amp;C495</f>
        <v>-</v>
      </c>
      <c r="C495" s="891" t="str">
        <f>IFERROR(VLOOKUP('Data Entry'!$B$3&amp;"-"&amp;A495,'PY1 TFR ADA'!$D:$AT,2,FALSE),"")</f>
        <v/>
      </c>
      <c r="D495" s="892" t="str">
        <f>IFERROR(VLOOKUP('Data Entry'!$B$3&amp;"-"&amp;A495,'PY1 TFR ADA'!$D:$AT,4,FALSE),"")</f>
        <v/>
      </c>
      <c r="E495" s="893"/>
      <c r="F495" s="893"/>
      <c r="G495" s="893"/>
      <c r="H495" s="893"/>
      <c r="I495" s="893"/>
      <c r="J495" s="893"/>
      <c r="K495" s="893"/>
      <c r="L495" s="893"/>
      <c r="M495" s="893"/>
      <c r="N495" s="893"/>
      <c r="O495" s="893"/>
      <c r="P495" s="893"/>
      <c r="Q495" s="893"/>
      <c r="R495" s="893"/>
      <c r="S495" s="893"/>
      <c r="T495" s="893"/>
      <c r="U495" s="893"/>
      <c r="V495" s="894"/>
      <c r="X495" s="83"/>
    </row>
    <row r="496" spans="1:24" ht="75" customHeight="1">
      <c r="A496" s="521"/>
      <c r="C496" s="540" t="s">
        <v>1315</v>
      </c>
      <c r="D496" s="512"/>
      <c r="E496" s="540" t="s">
        <v>1316</v>
      </c>
      <c r="F496" s="512"/>
      <c r="G496" s="540" t="s">
        <v>1309</v>
      </c>
      <c r="H496" s="512"/>
      <c r="I496" s="540" t="s">
        <v>1310</v>
      </c>
      <c r="J496" s="512"/>
      <c r="K496" s="540" t="s">
        <v>1311</v>
      </c>
      <c r="L496" s="512"/>
      <c r="M496" s="540" t="s">
        <v>1312</v>
      </c>
      <c r="N496" s="512"/>
      <c r="O496" s="540" t="s">
        <v>1313</v>
      </c>
      <c r="P496" s="512"/>
      <c r="Q496" s="540" t="s">
        <v>1314</v>
      </c>
      <c r="R496" s="167"/>
      <c r="S496" s="540" t="s">
        <v>1308</v>
      </c>
      <c r="T496" s="167"/>
      <c r="U496" s="512" t="s">
        <v>1307</v>
      </c>
      <c r="V496" s="524"/>
      <c r="X496" s="283"/>
    </row>
    <row r="497" spans="1:24" s="8" customFormat="1" ht="14.4">
      <c r="A497" s="521"/>
      <c r="B497" s="510" t="s">
        <v>94</v>
      </c>
      <c r="C497" s="525">
        <f>IFERROR(VLOOKUP($B495,'PY1 TFR ADA'!$F:$AU,MATCH("A-1.1",'PY1 TFR ADA'!$F$5:$AU$5,0),FALSE),0)</f>
        <v>0</v>
      </c>
      <c r="D497" s="167"/>
      <c r="E497" s="525">
        <f>IFERROR(VALUE(VLOOKUP($B495,'PY1 TFR ADA'!$F:$AU,MATCH("A-2.1",'PY1 TFR ADA'!$F$5:$AU$5,0),FALSE)),0)</f>
        <v>0</v>
      </c>
      <c r="F497" s="167"/>
      <c r="G497" s="609">
        <f>IFERROR(VLOOKUP($B495,'PY1 TFR ADA'!$F:$AU,MATCH("b-1.1",'PY1 TFR ADA'!$F$5:$AU$5,0),FALSE),0)</f>
        <v>0</v>
      </c>
      <c r="H497" s="527"/>
      <c r="I497" s="609">
        <f>IFERROR(VLOOKUP($B495,'PY1 TFR ADA'!$F:$AU,MATCH("b-2.1",'PY1 TFR ADA'!$F$5:$AU$5,0),FALSE),0)</f>
        <v>0</v>
      </c>
      <c r="J497" s="527"/>
      <c r="K497" s="609">
        <f>IFERROR(VLOOKUP($B495,'PY1 TFR ADA'!$F:$AU,MATCH("b-3.1",'PY1 TFR ADA'!$F$5:$AU$5,0),FALSE),0)</f>
        <v>0</v>
      </c>
      <c r="L497" s="527"/>
      <c r="M497" s="609">
        <f>IFERROR(VLOOKUP($B495,'PY1 TFR ADA'!$F:$AU,MATCH("b-4.1",'PY1 TFR ADA'!$F$5:$AU$5,0),FALSE),0)</f>
        <v>0</v>
      </c>
      <c r="N497" s="527"/>
      <c r="O497" s="609">
        <f>IFERROR(VLOOKUP($B495,'PY1 TFR ADA'!$F:$AU,MATCH("b-5.1",'PY1 TFR ADA'!$F$5:$AU$5,0),FALSE),0)</f>
        <v>0</v>
      </c>
      <c r="P497" s="527"/>
      <c r="Q497" s="609">
        <f>IFERROR(VLOOKUP($B495,'PY1 TFR ADA'!$F:$AU,MATCH("b-6.1",'PY1 TFR ADA'!$F$5:$AU$5,0),FALSE),0)</f>
        <v>0</v>
      </c>
      <c r="R497" s="551"/>
      <c r="S497" s="601">
        <f t="shared" ref="S497:S500" si="718">SUM(G497:Q497)</f>
        <v>0</v>
      </c>
      <c r="T497" s="551"/>
      <c r="U497" s="536">
        <f t="shared" ref="U497" si="719">ROUND(IF($G504="LCFF Rate",(G497*$C497),(G497*$E497))+IF($I504="LCFF Rate",(I497*$C497),(I497*$E497))+IF($K504="LCFF Rate",(K497*$C497),(K497*$E497))+IF($M504="LCFF Rate",(M497*$C497),(M497*$E497))+IF($O504="LCFF Rate",(O497*$C497),(O497*$E497))+IF($Q504="LCFF Rate",(Q497*$C497),(Q497*$E497)),0)</f>
        <v>0</v>
      </c>
      <c r="V497" s="524"/>
      <c r="X497" s="496"/>
    </row>
    <row r="498" spans="1:24" s="8" customFormat="1" ht="14.4">
      <c r="A498" s="521"/>
      <c r="B498" s="510" t="s">
        <v>2</v>
      </c>
      <c r="C498" s="525">
        <f>IFERROR(VLOOKUP($B495,'PY1 TFR ADA'!$F:$AU,MATCH("A-1.2",'PY1 TFR ADA'!$F$5:$AU$5,0),FALSE),0)</f>
        <v>0</v>
      </c>
      <c r="D498" s="167"/>
      <c r="E498" s="525">
        <f>IFERROR(VALUE(VLOOKUP($B495,'PY1 TFR ADA'!$F:$AU,MATCH("A-2.2",'PY1 TFR ADA'!$F$5:$AU$5,0),FALSE)),0)</f>
        <v>0</v>
      </c>
      <c r="F498" s="167"/>
      <c r="G498" s="609">
        <f>IFERROR(VLOOKUP($B495,'PY1 TFR ADA'!$F:$AU,MATCH("b-1.2",'PY1 TFR ADA'!$F$5:$AU$5,0),FALSE),0)</f>
        <v>0</v>
      </c>
      <c r="H498" s="527"/>
      <c r="I498" s="609">
        <f>IFERROR(VLOOKUP($B495,'PY1 TFR ADA'!$F:$AU,MATCH("b-2.2",'PY1 TFR ADA'!$F$5:$AU$5,0),FALSE),0)</f>
        <v>0</v>
      </c>
      <c r="J498" s="527"/>
      <c r="K498" s="609">
        <f>IFERROR(VLOOKUP($B495,'PY1 TFR ADA'!$F:$AU,MATCH("b-3.2",'PY1 TFR ADA'!$F$5:$AU$5,0),FALSE),0)</f>
        <v>0</v>
      </c>
      <c r="L498" s="527"/>
      <c r="M498" s="609">
        <f>IFERROR(VLOOKUP($B495,'PY1 TFR ADA'!$F:$AU,MATCH("b-4.2",'PY1 TFR ADA'!$F$5:$AU$5,0),FALSE),0)</f>
        <v>0</v>
      </c>
      <c r="N498" s="527"/>
      <c r="O498" s="609">
        <f>IFERROR(VLOOKUP($B495,'PY1 TFR ADA'!$F:$AU,MATCH("b-5.2",'PY1 TFR ADA'!$F$5:$AU$5,0),FALSE),0)</f>
        <v>0</v>
      </c>
      <c r="P498" s="527"/>
      <c r="Q498" s="609">
        <f>IFERROR(VLOOKUP($B495,'PY1 TFR ADA'!$F:$AU,MATCH("b-6.2",'PY1 TFR ADA'!$F$5:$AU$5,0),FALSE),0)</f>
        <v>0</v>
      </c>
      <c r="R498" s="551"/>
      <c r="S498" s="601">
        <f t="shared" si="718"/>
        <v>0</v>
      </c>
      <c r="T498" s="551"/>
      <c r="U498" s="536">
        <f t="shared" ref="U498" si="720">ROUND(IF($G504="LCFF Rate",(G498*$C498),(G498*$E498))+IF($I504="LCFF Rate",(I498*$C498),(I498*$E498))+IF($K504="LCFF Rate",(K498*$C498),(K498*$E498))+IF($M504="LCFF Rate",(M498*$C498),(M498*$E498))+IF($O504="LCFF Rate",(O498*$C498),(O498*$E498))+IF($Q504="LCFF Rate",(Q498*$C498),(Q498*$E498)),0)</f>
        <v>0</v>
      </c>
      <c r="V498" s="524"/>
      <c r="X498" s="4"/>
    </row>
    <row r="499" spans="1:24" s="8" customFormat="1" ht="14.4">
      <c r="A499" s="521"/>
      <c r="B499" s="510" t="s">
        <v>3</v>
      </c>
      <c r="C499" s="525">
        <f>IFERROR(VLOOKUP($B495,'PY1 TFR ADA'!$F:$AU,MATCH("A-1.3",'PY1 TFR ADA'!$F$5:$AU$5,0),FALSE),0)</f>
        <v>0</v>
      </c>
      <c r="D499" s="167"/>
      <c r="E499" s="525">
        <f>IFERROR(VALUE(VLOOKUP($B495,'PY1 TFR ADA'!$F:$AU,MATCH("A-2.3",'PY1 TFR ADA'!$F$5:$AU$5,0),FALSE)),0)</f>
        <v>0</v>
      </c>
      <c r="F499" s="167"/>
      <c r="G499" s="609">
        <f>IFERROR(VLOOKUP($B495,'PY1 TFR ADA'!$F:$AU,MATCH("b-1.3",'PY1 TFR ADA'!$F$5:$AU$5,0),FALSE),0)</f>
        <v>0</v>
      </c>
      <c r="H499" s="527"/>
      <c r="I499" s="609">
        <f>IFERROR(VLOOKUP($B495,'PY1 TFR ADA'!$F:$AU,MATCH("b-2.3",'PY1 TFR ADA'!$F$5:$AU$5,0),FALSE),0)</f>
        <v>0</v>
      </c>
      <c r="J499" s="527"/>
      <c r="K499" s="609">
        <f>IFERROR(VLOOKUP($B495,'PY1 TFR ADA'!$F:$AU,MATCH("b-3.3",'PY1 TFR ADA'!$F$5:$AU$5,0),FALSE),0)</f>
        <v>0</v>
      </c>
      <c r="L499" s="527"/>
      <c r="M499" s="609">
        <f>IFERROR(VLOOKUP($B495,'PY1 TFR ADA'!$F:$AU,MATCH("b-4.3",'PY1 TFR ADA'!$F$5:$AU$5,0),FALSE),0)</f>
        <v>0</v>
      </c>
      <c r="N499" s="527"/>
      <c r="O499" s="609">
        <f>IFERROR(VLOOKUP($B495,'PY1 TFR ADA'!$F:$AU,MATCH("b-5.3",'PY1 TFR ADA'!$F$5:$AU$5,0),FALSE),0)</f>
        <v>0</v>
      </c>
      <c r="P499" s="527"/>
      <c r="Q499" s="609">
        <f>IFERROR(VLOOKUP($B495,'PY1 TFR ADA'!$F:$AU,MATCH("b-6.3",'PY1 TFR ADA'!$F$5:$AU$5,0),FALSE),0)</f>
        <v>0</v>
      </c>
      <c r="R499" s="551"/>
      <c r="S499" s="601">
        <f t="shared" si="718"/>
        <v>0</v>
      </c>
      <c r="T499" s="551"/>
      <c r="U499" s="536">
        <f t="shared" ref="U499" si="721">ROUND(IF($G504="LCFF Rate",(G499*$C499),(G499*$E499))+IF($I504="LCFF Rate",(I499*$C499),(I499*$E499))+IF($K504="LCFF Rate",(K499*$C499),(K499*$E499))+IF($M504="LCFF Rate",(M499*$C499),(M499*$E499))+IF($O504="LCFF Rate",(O499*$C499),(O499*$E499))+IF($Q504="LCFF Rate",(Q499*$C499),(Q499*$E499)),0)</f>
        <v>0</v>
      </c>
      <c r="V499" s="524"/>
      <c r="X499" s="4"/>
    </row>
    <row r="500" spans="1:24" s="8" customFormat="1" ht="14.4">
      <c r="A500" s="526"/>
      <c r="B500" s="510" t="s">
        <v>4</v>
      </c>
      <c r="C500" s="525">
        <f>IFERROR(VLOOKUP($B495,'PY1 TFR ADA'!$F:$AU,MATCH("A-1.4",'PY1 TFR ADA'!$F$5:$AU$5,0),FALSE),0)</f>
        <v>0</v>
      </c>
      <c r="D500" s="523"/>
      <c r="E500" s="525">
        <f>IFERROR(VALUE(VLOOKUP($B495,'PY1 TFR ADA'!$F:$AU,MATCH("A-2.4",'PY1 TFR ADA'!$F$5:$AU$5,0),FALSE)),0)</f>
        <v>0</v>
      </c>
      <c r="F500" s="523"/>
      <c r="G500" s="609">
        <f>IFERROR(VLOOKUP($B495,'PY1 TFR ADA'!$F:$AU,MATCH("b-1.4",'PY1 TFR ADA'!$F$5:$AU$5,0),FALSE),0)</f>
        <v>0</v>
      </c>
      <c r="H500" s="527"/>
      <c r="I500" s="609">
        <f>IFERROR(VLOOKUP($B495,'PY1 TFR ADA'!$F:$AU,MATCH("b-2.4",'PY1 TFR ADA'!$F$5:$AU$5,0),FALSE),0)</f>
        <v>0</v>
      </c>
      <c r="J500" s="527"/>
      <c r="K500" s="609">
        <f>IFERROR(VLOOKUP($B495,'PY1 TFR ADA'!$F:$AU,MATCH("b-3.4",'PY1 TFR ADA'!$F$5:$AU$5,0),FALSE),0)</f>
        <v>0</v>
      </c>
      <c r="L500" s="527"/>
      <c r="M500" s="609">
        <f>IFERROR(VLOOKUP($B495,'PY1 TFR ADA'!$F:$AU,MATCH("b-4.4",'PY1 TFR ADA'!$F$5:$AU$5,0),FALSE),0)</f>
        <v>0</v>
      </c>
      <c r="N500" s="527"/>
      <c r="O500" s="609">
        <f>IFERROR(VLOOKUP($B495,'PY1 TFR ADA'!$F:$AU,MATCH("b-5.4",'PY1 TFR ADA'!$F$5:$AU$5,0),FALSE),0)</f>
        <v>0</v>
      </c>
      <c r="P500" s="527"/>
      <c r="Q500" s="609">
        <f>IFERROR(VLOOKUP($B495,'PY1 TFR ADA'!$F:$AU,MATCH("b-6.4",'PY1 TFR ADA'!$F$5:$AU$5,0),FALSE),0)</f>
        <v>0</v>
      </c>
      <c r="R500" s="551"/>
      <c r="S500" s="601">
        <f t="shared" si="718"/>
        <v>0</v>
      </c>
      <c r="T500" s="551"/>
      <c r="U500" s="536">
        <f t="shared" ref="U500" si="722">ROUND(IF($G504="LCFF Rate",(G500*$C500),(G500*$E500))+IF($I504="LCFF Rate",(I500*$C500),(I500*$E500))+IF($K504="LCFF Rate",(K500*$C500),(K500*$E500))+IF($M504="LCFF Rate",(M500*$C500),(M500*$E500))+IF($O504="LCFF Rate",(O500*$C500),(O500*$E500))+IF($Q504="LCFF Rate",(Q500*$C500),(Q500*$E500)),0)</f>
        <v>0</v>
      </c>
      <c r="V500" s="522"/>
      <c r="X500" s="496"/>
    </row>
    <row r="501" spans="1:24" s="8" customFormat="1" ht="8.25" customHeight="1">
      <c r="A501" s="521"/>
      <c r="B501" s="167"/>
      <c r="C501" s="165"/>
      <c r="D501" s="523"/>
      <c r="E501" s="165"/>
      <c r="F501" s="523"/>
      <c r="G501" s="520"/>
      <c r="H501" s="523"/>
      <c r="I501" s="520"/>
      <c r="J501" s="523"/>
      <c r="K501" s="520"/>
      <c r="L501" s="523"/>
      <c r="M501" s="520"/>
      <c r="N501" s="523"/>
      <c r="O501" s="520"/>
      <c r="P501" s="523"/>
      <c r="Q501" s="520"/>
      <c r="R501" s="167"/>
      <c r="S501" s="520"/>
      <c r="T501" s="167"/>
      <c r="U501" s="602"/>
      <c r="V501" s="522"/>
      <c r="X501" s="4"/>
    </row>
    <row r="502" spans="1:24" s="8" customFormat="1" ht="14.4">
      <c r="A502" s="521"/>
      <c r="B502" s="167"/>
      <c r="C502" s="165"/>
      <c r="D502" s="523"/>
      <c r="E502" s="513" t="s">
        <v>1317</v>
      </c>
      <c r="F502" s="523"/>
      <c r="G502" s="601">
        <f t="shared" ref="G502" si="723">SUM(G497:G500)</f>
        <v>0</v>
      </c>
      <c r="H502" s="527"/>
      <c r="I502" s="601">
        <f t="shared" ref="I502" si="724">SUM(I497:I500)</f>
        <v>0</v>
      </c>
      <c r="J502" s="527"/>
      <c r="K502" s="601">
        <f t="shared" ref="K502" si="725">SUM(K497:K500)</f>
        <v>0</v>
      </c>
      <c r="L502" s="527"/>
      <c r="M502" s="601">
        <f t="shared" ref="M502" si="726">SUM(M497:M500)</f>
        <v>0</v>
      </c>
      <c r="N502" s="527"/>
      <c r="O502" s="601">
        <f t="shared" ref="O502" si="727">SUM(O497:O500)</f>
        <v>0</v>
      </c>
      <c r="P502" s="527"/>
      <c r="Q502" s="601">
        <f t="shared" ref="Q502" si="728">SUM(Q497:Q500)</f>
        <v>0</v>
      </c>
      <c r="R502" s="527"/>
      <c r="S502" s="601">
        <f t="shared" ref="S502" si="729">SUM(S497:S500)</f>
        <v>0</v>
      </c>
      <c r="T502" s="527"/>
      <c r="U502" s="536">
        <f t="shared" ref="U502" si="730">SUM(U497:U500)</f>
        <v>0</v>
      </c>
      <c r="V502" s="522"/>
      <c r="X502" s="4"/>
    </row>
    <row r="503" spans="1:24" s="8" customFormat="1" ht="8.25" customHeight="1">
      <c r="A503" s="521"/>
      <c r="B503" s="167"/>
      <c r="C503" s="165"/>
      <c r="D503" s="523"/>
      <c r="E503" s="165"/>
      <c r="F503" s="523"/>
      <c r="G503" s="520"/>
      <c r="H503" s="523"/>
      <c r="I503" s="520"/>
      <c r="J503" s="523"/>
      <c r="K503" s="520"/>
      <c r="L503" s="523"/>
      <c r="M503" s="520"/>
      <c r="N503" s="523"/>
      <c r="O503" s="520"/>
      <c r="P503" s="523"/>
      <c r="Q503" s="520"/>
      <c r="R503" s="167"/>
      <c r="S503" s="520"/>
      <c r="T503" s="167"/>
      <c r="U503" s="528"/>
      <c r="V503" s="522"/>
      <c r="X503" s="4"/>
    </row>
    <row r="504" spans="1:24" s="8" customFormat="1" ht="16.5" customHeight="1">
      <c r="A504" s="521"/>
      <c r="B504" s="167"/>
      <c r="C504" s="165"/>
      <c r="E504" s="513" t="s">
        <v>1304</v>
      </c>
      <c r="F504" s="523"/>
      <c r="G504" s="977">
        <f>_xlfn.IFNA(IF(VLOOKUP($B495,'PY1 TFR ADA'!$F:$AU,MATCH("B-1.5",'PY1 TFR ADA'!$F$5:$AU$5,0),FALSE)=TRUE,IF(VLOOKUP($B495,'PY1 TFR ADA'!$F:$AU,MATCH("C-1",'PY1 TFR ADA'!$F$5:$AU$5,0),FALSE)=TRUE,"Alternative Rate","LCFF Rate"),"LCFF Rate"),0)</f>
        <v>0</v>
      </c>
      <c r="H504" s="523"/>
      <c r="I504" s="977">
        <f>_xlfn.IFNA(IF(VLOOKUP($B495,'PY1 TFR ADA'!$F:$AU,MATCH("B-2.5",'PY1 TFR ADA'!$F$5:$AU$5,0),FALSE)=TRUE,IF(VLOOKUP($B495,'PY1 TFR ADA'!$F:$AU,MATCH("C-1",'PY1 TFR ADA'!$F$5:$AU$5,0),FALSE)=TRUE,"Alternative Rate","LCFF Rate"),"LCFF Rate"),0)</f>
        <v>0</v>
      </c>
      <c r="J504" s="523"/>
      <c r="K504" s="977">
        <f>_xlfn.IFNA(IF(VLOOKUP($B495,'PY1 TFR ADA'!$F:$AU,MATCH("B-3.5",'PY1 TFR ADA'!$F$5:$AU$5,0),FALSE)=TRUE,IF(VLOOKUP($B495,'PY1 TFR ADA'!$F:$AU,MATCH("C-1",'PY1 TFR ADA'!$F$5:$AU$5,0),FALSE)=TRUE,"Alternative Rate","LCFF Rate"),"LCFF Rate"),0)</f>
        <v>0</v>
      </c>
      <c r="L504" s="523"/>
      <c r="M504" s="977">
        <f>_xlfn.IFNA(IF(VLOOKUP($B495,'PY1 TFR ADA'!$F:$AU,MATCH("B-4.5",'PY1 TFR ADA'!$F$5:$AU$5,0),FALSE)=TRUE,IF(VLOOKUP($B495,'PY1 TFR ADA'!$F:$AU,MATCH("C-1",'PY1 TFR ADA'!$F$5:$AU$5,0),FALSE)=TRUE,"Alternative Rate","LCFF Rate"),"LCFF Rate"),0)</f>
        <v>0</v>
      </c>
      <c r="N504" s="523"/>
      <c r="O504" s="977">
        <f>_xlfn.IFNA(IF(VLOOKUP($B495,'PY1 TFR ADA'!$F:$AU,MATCH("B-5.5",'PY1 TFR ADA'!$F$5:$AU$5,0),FALSE)=TRUE,IF(VLOOKUP($B495,'PY1 TFR ADA'!$F:$AU,MATCH("C-1",'PY1 TFR ADA'!$F$5:$AU$5,0),FALSE)=TRUE,"Alternative Rate","LCFF Rate"),"LCFF Rate"),0)</f>
        <v>0</v>
      </c>
      <c r="P504" s="523"/>
      <c r="Q504" s="977">
        <f>_xlfn.IFNA(IF(VLOOKUP($B495,'PY1 TFR ADA'!$F:$AU,MATCH("B-6.5",'PY1 TFR ADA'!$F$5:$AU$5,0),FALSE)=TRUE,IF(VLOOKUP($B495,'PY1 TFR ADA'!$F:$AU,MATCH("C-1",'PY1 TFR ADA'!$F$5:$AU$5,0),FALSE)=TRUE,"Alternative Rate","LCFF Rate"),"LCFF Rate"),0)</f>
        <v>0</v>
      </c>
      <c r="R504" s="167"/>
      <c r="S504" s="520"/>
      <c r="T504" s="167"/>
      <c r="U504" s="528"/>
      <c r="V504" s="522"/>
      <c r="X504" s="283"/>
    </row>
    <row r="505" spans="1:24" s="8" customFormat="1" ht="8.25" customHeight="1">
      <c r="A505" s="521"/>
      <c r="B505" s="167"/>
      <c r="C505" s="165"/>
      <c r="D505" s="523"/>
      <c r="E505" s="165"/>
      <c r="F505" s="523"/>
      <c r="G505" s="520"/>
      <c r="H505" s="523"/>
      <c r="I505" s="520"/>
      <c r="J505" s="523"/>
      <c r="K505" s="520"/>
      <c r="L505" s="523"/>
      <c r="M505" s="520"/>
      <c r="N505" s="523"/>
      <c r="O505" s="520"/>
      <c r="P505" s="523"/>
      <c r="Q505" s="520"/>
      <c r="R505" s="167"/>
      <c r="S505" s="520"/>
      <c r="T505" s="167"/>
      <c r="U505" s="528"/>
      <c r="V505" s="522"/>
      <c r="X505" s="4"/>
    </row>
    <row r="506" spans="1:24" s="8" customFormat="1" ht="16.8">
      <c r="A506" s="521"/>
      <c r="B506" s="2"/>
      <c r="F506" s="523"/>
      <c r="G506" s="535">
        <f t="shared" ref="G506" si="731">IF(G504="LCFF Rate",(G497*C497+G498*C498+G499*C499+G500*C500),(G502*E500))</f>
        <v>0</v>
      </c>
      <c r="H506" s="537"/>
      <c r="I506" s="535">
        <f t="shared" ref="I506" si="732">IF(I504="LCFF Rate",(I497*C497+I498*C498+I499*C499+I500*C500),(I502*E500))</f>
        <v>0</v>
      </c>
      <c r="J506" s="537"/>
      <c r="K506" s="535">
        <f t="shared" ref="K506" si="733">IF(K504="LCFF Rate",(K497*C497+K498*C498+K499*C499+K500*C500),(K502*E500))</f>
        <v>0</v>
      </c>
      <c r="L506" s="537"/>
      <c r="M506" s="535">
        <f t="shared" ref="M506" si="734">IF(M504="LCFF Rate",(M497*C497+M498*C498+M499*C499+M500*C500),(M502*E500))</f>
        <v>0</v>
      </c>
      <c r="N506" s="537"/>
      <c r="O506" s="535">
        <f t="shared" ref="O506" si="735">IF(O504="LCFF Rate",(O497*C497+O498*C498+O499*C499+O500*C500),(O502*E500))</f>
        <v>0</v>
      </c>
      <c r="P506" s="537"/>
      <c r="Q506" s="535">
        <f t="shared" ref="Q506" si="736">IF(Q504="LCFF Rate",(Q497*C497+Q498*C498+Q499*C499+Q500*C500),(Q502*E500))</f>
        <v>0</v>
      </c>
      <c r="R506" s="167"/>
      <c r="S506" s="538">
        <f t="shared" ref="S506" si="737">SUM(G506:Q506)</f>
        <v>0</v>
      </c>
      <c r="T506" s="167"/>
      <c r="U506" s="528"/>
      <c r="V506" s="522"/>
      <c r="X506" s="979"/>
    </row>
    <row r="507" spans="1:24" s="8" customFormat="1" ht="9" customHeight="1" thickBot="1">
      <c r="A507" s="529"/>
      <c r="B507" s="530"/>
      <c r="C507" s="531"/>
      <c r="D507" s="532"/>
      <c r="E507" s="533"/>
      <c r="F507" s="532"/>
      <c r="G507" s="530"/>
      <c r="H507" s="532"/>
      <c r="I507" s="530"/>
      <c r="J507" s="532"/>
      <c r="K507" s="530"/>
      <c r="L507" s="532"/>
      <c r="M507" s="530"/>
      <c r="N507" s="532"/>
      <c r="O507" s="530"/>
      <c r="P507" s="532"/>
      <c r="Q507" s="530"/>
      <c r="R507" s="532"/>
      <c r="S507" s="530"/>
      <c r="T507" s="532"/>
      <c r="U507" s="532"/>
      <c r="V507" s="534"/>
      <c r="X507" s="4"/>
    </row>
    <row r="508" spans="1:24" s="82" customFormat="1" ht="18" customHeight="1" thickBot="1">
      <c r="A508" s="890">
        <f>+A495+1</f>
        <v>39</v>
      </c>
      <c r="B508" s="891" t="str">
        <f>'Data Entry'!$B$3&amp;"-"&amp;C508</f>
        <v>-</v>
      </c>
      <c r="C508" s="891" t="str">
        <f>IFERROR(VLOOKUP('Data Entry'!$B$3&amp;"-"&amp;A508,'PY1 TFR ADA'!$D:$AT,2,FALSE),"")</f>
        <v/>
      </c>
      <c r="D508" s="892" t="str">
        <f>IFERROR(VLOOKUP('Data Entry'!$B$3&amp;"-"&amp;A508,'PY1 TFR ADA'!$D:$AT,4,FALSE),"")</f>
        <v/>
      </c>
      <c r="E508" s="893"/>
      <c r="F508" s="893"/>
      <c r="G508" s="893"/>
      <c r="H508" s="893"/>
      <c r="I508" s="893"/>
      <c r="J508" s="893"/>
      <c r="K508" s="893"/>
      <c r="L508" s="893"/>
      <c r="M508" s="893"/>
      <c r="N508" s="893"/>
      <c r="O508" s="893"/>
      <c r="P508" s="893"/>
      <c r="Q508" s="893"/>
      <c r="R508" s="893"/>
      <c r="S508" s="893"/>
      <c r="T508" s="893"/>
      <c r="U508" s="893"/>
      <c r="V508" s="894"/>
      <c r="X508" s="83"/>
    </row>
    <row r="509" spans="1:24" ht="75" customHeight="1">
      <c r="A509" s="521"/>
      <c r="C509" s="540" t="s">
        <v>1315</v>
      </c>
      <c r="D509" s="512"/>
      <c r="E509" s="540" t="s">
        <v>1316</v>
      </c>
      <c r="F509" s="512"/>
      <c r="G509" s="540" t="s">
        <v>1309</v>
      </c>
      <c r="H509" s="512"/>
      <c r="I509" s="540" t="s">
        <v>1310</v>
      </c>
      <c r="J509" s="512"/>
      <c r="K509" s="540" t="s">
        <v>1311</v>
      </c>
      <c r="L509" s="512"/>
      <c r="M509" s="540" t="s">
        <v>1312</v>
      </c>
      <c r="N509" s="512"/>
      <c r="O509" s="540" t="s">
        <v>1313</v>
      </c>
      <c r="P509" s="512"/>
      <c r="Q509" s="540" t="s">
        <v>1314</v>
      </c>
      <c r="R509" s="167"/>
      <c r="S509" s="540" t="s">
        <v>1308</v>
      </c>
      <c r="T509" s="167"/>
      <c r="U509" s="512" t="s">
        <v>1307</v>
      </c>
      <c r="V509" s="524"/>
      <c r="X509" s="283"/>
    </row>
    <row r="510" spans="1:24" s="8" customFormat="1" ht="14.4">
      <c r="A510" s="521"/>
      <c r="B510" s="510" t="s">
        <v>94</v>
      </c>
      <c r="C510" s="525">
        <f>IFERROR(VLOOKUP($B508,'PY1 TFR ADA'!$F:$AU,MATCH("A-1.1",'PY1 TFR ADA'!$F$5:$AU$5,0),FALSE),0)</f>
        <v>0</v>
      </c>
      <c r="D510" s="167"/>
      <c r="E510" s="525">
        <f>IFERROR(VALUE(VLOOKUP($B508,'PY1 TFR ADA'!$F:$AU,MATCH("A-2.1",'PY1 TFR ADA'!$F$5:$AU$5,0),FALSE)),0)</f>
        <v>0</v>
      </c>
      <c r="F510" s="167"/>
      <c r="G510" s="609">
        <f>IFERROR(VLOOKUP($B508,'PY1 TFR ADA'!$F:$AU,MATCH("b-1.1",'PY1 TFR ADA'!$F$5:$AU$5,0),FALSE),0)</f>
        <v>0</v>
      </c>
      <c r="H510" s="527"/>
      <c r="I510" s="609">
        <f>IFERROR(VLOOKUP($B508,'PY1 TFR ADA'!$F:$AU,MATCH("b-2.1",'PY1 TFR ADA'!$F$5:$AU$5,0),FALSE),0)</f>
        <v>0</v>
      </c>
      <c r="J510" s="527"/>
      <c r="K510" s="609">
        <f>IFERROR(VLOOKUP($B508,'PY1 TFR ADA'!$F:$AU,MATCH("b-3.1",'PY1 TFR ADA'!$F$5:$AU$5,0),FALSE),0)</f>
        <v>0</v>
      </c>
      <c r="L510" s="527"/>
      <c r="M510" s="609">
        <f>IFERROR(VLOOKUP($B508,'PY1 TFR ADA'!$F:$AU,MATCH("b-4.1",'PY1 TFR ADA'!$F$5:$AU$5,0),FALSE),0)</f>
        <v>0</v>
      </c>
      <c r="N510" s="527"/>
      <c r="O510" s="609">
        <f>IFERROR(VLOOKUP($B508,'PY1 TFR ADA'!$F:$AU,MATCH("b-5.1",'PY1 TFR ADA'!$F$5:$AU$5,0),FALSE),0)</f>
        <v>0</v>
      </c>
      <c r="P510" s="527"/>
      <c r="Q510" s="609">
        <f>IFERROR(VLOOKUP($B508,'PY1 TFR ADA'!$F:$AU,MATCH("b-6.1",'PY1 TFR ADA'!$F$5:$AU$5,0),FALSE),0)</f>
        <v>0</v>
      </c>
      <c r="R510" s="551"/>
      <c r="S510" s="601">
        <f t="shared" ref="S510:S513" si="738">SUM(G510:Q510)</f>
        <v>0</v>
      </c>
      <c r="T510" s="551"/>
      <c r="U510" s="536">
        <f t="shared" ref="U510" si="739">ROUND(IF($G517="LCFF Rate",(G510*$C510),(G510*$E510))+IF($I517="LCFF Rate",(I510*$C510),(I510*$E510))+IF($K517="LCFF Rate",(K510*$C510),(K510*$E510))+IF($M517="LCFF Rate",(M510*$C510),(M510*$E510))+IF($O517="LCFF Rate",(O510*$C510),(O510*$E510))+IF($Q517="LCFF Rate",(Q510*$C510),(Q510*$E510)),0)</f>
        <v>0</v>
      </c>
      <c r="V510" s="524"/>
      <c r="X510" s="496"/>
    </row>
    <row r="511" spans="1:24" s="8" customFormat="1" ht="14.4">
      <c r="A511" s="521"/>
      <c r="B511" s="510" t="s">
        <v>2</v>
      </c>
      <c r="C511" s="525">
        <f>IFERROR(VLOOKUP($B508,'PY1 TFR ADA'!$F:$AU,MATCH("A-1.2",'PY1 TFR ADA'!$F$5:$AU$5,0),FALSE),0)</f>
        <v>0</v>
      </c>
      <c r="D511" s="167"/>
      <c r="E511" s="525">
        <f>IFERROR(VALUE(VLOOKUP($B508,'PY1 TFR ADA'!$F:$AU,MATCH("A-2.2",'PY1 TFR ADA'!$F$5:$AU$5,0),FALSE)),0)</f>
        <v>0</v>
      </c>
      <c r="F511" s="167"/>
      <c r="G511" s="609">
        <f>IFERROR(VLOOKUP($B508,'PY1 TFR ADA'!$F:$AU,MATCH("b-1.2",'PY1 TFR ADA'!$F$5:$AU$5,0),FALSE),0)</f>
        <v>0</v>
      </c>
      <c r="H511" s="527"/>
      <c r="I511" s="609">
        <f>IFERROR(VLOOKUP($B508,'PY1 TFR ADA'!$F:$AU,MATCH("b-2.2",'PY1 TFR ADA'!$F$5:$AU$5,0),FALSE),0)</f>
        <v>0</v>
      </c>
      <c r="J511" s="527"/>
      <c r="K511" s="609">
        <f>IFERROR(VLOOKUP($B508,'PY1 TFR ADA'!$F:$AU,MATCH("b-3.2",'PY1 TFR ADA'!$F$5:$AU$5,0),FALSE),0)</f>
        <v>0</v>
      </c>
      <c r="L511" s="527"/>
      <c r="M511" s="609">
        <f>IFERROR(VLOOKUP($B508,'PY1 TFR ADA'!$F:$AU,MATCH("b-4.2",'PY1 TFR ADA'!$F$5:$AU$5,0),FALSE),0)</f>
        <v>0</v>
      </c>
      <c r="N511" s="527"/>
      <c r="O511" s="609">
        <f>IFERROR(VLOOKUP($B508,'PY1 TFR ADA'!$F:$AU,MATCH("b-5.2",'PY1 TFR ADA'!$F$5:$AU$5,0),FALSE),0)</f>
        <v>0</v>
      </c>
      <c r="P511" s="527"/>
      <c r="Q511" s="609">
        <f>IFERROR(VLOOKUP($B508,'PY1 TFR ADA'!$F:$AU,MATCH("b-6.2",'PY1 TFR ADA'!$F$5:$AU$5,0),FALSE),0)</f>
        <v>0</v>
      </c>
      <c r="R511" s="551"/>
      <c r="S511" s="601">
        <f t="shared" si="738"/>
        <v>0</v>
      </c>
      <c r="T511" s="551"/>
      <c r="U511" s="536">
        <f t="shared" ref="U511" si="740">ROUND(IF($G517="LCFF Rate",(G511*$C511),(G511*$E511))+IF($I517="LCFF Rate",(I511*$C511),(I511*$E511))+IF($K517="LCFF Rate",(K511*$C511),(K511*$E511))+IF($M517="LCFF Rate",(M511*$C511),(M511*$E511))+IF($O517="LCFF Rate",(O511*$C511),(O511*$E511))+IF($Q517="LCFF Rate",(Q511*$C511),(Q511*$E511)),0)</f>
        <v>0</v>
      </c>
      <c r="V511" s="524"/>
      <c r="X511" s="4"/>
    </row>
    <row r="512" spans="1:24" s="8" customFormat="1" ht="14.4">
      <c r="A512" s="521"/>
      <c r="B512" s="510" t="s">
        <v>3</v>
      </c>
      <c r="C512" s="525">
        <f>IFERROR(VLOOKUP($B508,'PY1 TFR ADA'!$F:$AU,MATCH("A-1.3",'PY1 TFR ADA'!$F$5:$AU$5,0),FALSE),0)</f>
        <v>0</v>
      </c>
      <c r="D512" s="167"/>
      <c r="E512" s="525">
        <f>IFERROR(VALUE(VLOOKUP($B508,'PY1 TFR ADA'!$F:$AU,MATCH("A-2.3",'PY1 TFR ADA'!$F$5:$AU$5,0),FALSE)),0)</f>
        <v>0</v>
      </c>
      <c r="F512" s="167"/>
      <c r="G512" s="609">
        <f>IFERROR(VLOOKUP($B508,'PY1 TFR ADA'!$F:$AU,MATCH("b-1.3",'PY1 TFR ADA'!$F$5:$AU$5,0),FALSE),0)</f>
        <v>0</v>
      </c>
      <c r="H512" s="527"/>
      <c r="I512" s="609">
        <f>IFERROR(VLOOKUP($B508,'PY1 TFR ADA'!$F:$AU,MATCH("b-2.3",'PY1 TFR ADA'!$F$5:$AU$5,0),FALSE),0)</f>
        <v>0</v>
      </c>
      <c r="J512" s="527"/>
      <c r="K512" s="609">
        <f>IFERROR(VLOOKUP($B508,'PY1 TFR ADA'!$F:$AU,MATCH("b-3.3",'PY1 TFR ADA'!$F$5:$AU$5,0),FALSE),0)</f>
        <v>0</v>
      </c>
      <c r="L512" s="527"/>
      <c r="M512" s="609">
        <f>IFERROR(VLOOKUP($B508,'PY1 TFR ADA'!$F:$AU,MATCH("b-4.3",'PY1 TFR ADA'!$F$5:$AU$5,0),FALSE),0)</f>
        <v>0</v>
      </c>
      <c r="N512" s="527"/>
      <c r="O512" s="609">
        <f>IFERROR(VLOOKUP($B508,'PY1 TFR ADA'!$F:$AU,MATCH("b-5.3",'PY1 TFR ADA'!$F$5:$AU$5,0),FALSE),0)</f>
        <v>0</v>
      </c>
      <c r="P512" s="527"/>
      <c r="Q512" s="609">
        <f>IFERROR(VLOOKUP($B508,'PY1 TFR ADA'!$F:$AU,MATCH("b-6.3",'PY1 TFR ADA'!$F$5:$AU$5,0),FALSE),0)</f>
        <v>0</v>
      </c>
      <c r="R512" s="551"/>
      <c r="S512" s="601">
        <f t="shared" si="738"/>
        <v>0</v>
      </c>
      <c r="T512" s="551"/>
      <c r="U512" s="536">
        <f t="shared" ref="U512" si="741">ROUND(IF($G517="LCFF Rate",(G512*$C512),(G512*$E512))+IF($I517="LCFF Rate",(I512*$C512),(I512*$E512))+IF($K517="LCFF Rate",(K512*$C512),(K512*$E512))+IF($M517="LCFF Rate",(M512*$C512),(M512*$E512))+IF($O517="LCFF Rate",(O512*$C512),(O512*$E512))+IF($Q517="LCFF Rate",(Q512*$C512),(Q512*$E512)),0)</f>
        <v>0</v>
      </c>
      <c r="V512" s="524"/>
      <c r="X512" s="4"/>
    </row>
    <row r="513" spans="1:24" s="8" customFormat="1" ht="14.4">
      <c r="A513" s="526"/>
      <c r="B513" s="510" t="s">
        <v>4</v>
      </c>
      <c r="C513" s="525">
        <f>IFERROR(VLOOKUP($B508,'PY1 TFR ADA'!$F:$AU,MATCH("A-1.4",'PY1 TFR ADA'!$F$5:$AU$5,0),FALSE),0)</f>
        <v>0</v>
      </c>
      <c r="D513" s="523"/>
      <c r="E513" s="525">
        <f>IFERROR(VALUE(VLOOKUP($B508,'PY1 TFR ADA'!$F:$AU,MATCH("A-2.4",'PY1 TFR ADA'!$F$5:$AU$5,0),FALSE)),0)</f>
        <v>0</v>
      </c>
      <c r="F513" s="523"/>
      <c r="G513" s="609">
        <f>IFERROR(VLOOKUP($B508,'PY1 TFR ADA'!$F:$AU,MATCH("b-1.4",'PY1 TFR ADA'!$F$5:$AU$5,0),FALSE),0)</f>
        <v>0</v>
      </c>
      <c r="H513" s="527"/>
      <c r="I513" s="609">
        <f>IFERROR(VLOOKUP($B508,'PY1 TFR ADA'!$F:$AU,MATCH("b-2.4",'PY1 TFR ADA'!$F$5:$AU$5,0),FALSE),0)</f>
        <v>0</v>
      </c>
      <c r="J513" s="527"/>
      <c r="K513" s="609">
        <f>IFERROR(VLOOKUP($B508,'PY1 TFR ADA'!$F:$AU,MATCH("b-3.4",'PY1 TFR ADA'!$F$5:$AU$5,0),FALSE),0)</f>
        <v>0</v>
      </c>
      <c r="L513" s="527"/>
      <c r="M513" s="609">
        <f>IFERROR(VLOOKUP($B508,'PY1 TFR ADA'!$F:$AU,MATCH("b-4.4",'PY1 TFR ADA'!$F$5:$AU$5,0),FALSE),0)</f>
        <v>0</v>
      </c>
      <c r="N513" s="527"/>
      <c r="O513" s="609">
        <f>IFERROR(VLOOKUP($B508,'PY1 TFR ADA'!$F:$AU,MATCH("b-5.4",'PY1 TFR ADA'!$F$5:$AU$5,0),FALSE),0)</f>
        <v>0</v>
      </c>
      <c r="P513" s="527"/>
      <c r="Q513" s="609">
        <f>IFERROR(VLOOKUP($B508,'PY1 TFR ADA'!$F:$AU,MATCH("b-6.4",'PY1 TFR ADA'!$F$5:$AU$5,0),FALSE),0)</f>
        <v>0</v>
      </c>
      <c r="R513" s="551"/>
      <c r="S513" s="601">
        <f t="shared" si="738"/>
        <v>0</v>
      </c>
      <c r="T513" s="551"/>
      <c r="U513" s="536">
        <f t="shared" ref="U513" si="742">ROUND(IF($G517="LCFF Rate",(G513*$C513),(G513*$E513))+IF($I517="LCFF Rate",(I513*$C513),(I513*$E513))+IF($K517="LCFF Rate",(K513*$C513),(K513*$E513))+IF($M517="LCFF Rate",(M513*$C513),(M513*$E513))+IF($O517="LCFF Rate",(O513*$C513),(O513*$E513))+IF($Q517="LCFF Rate",(Q513*$C513),(Q513*$E513)),0)</f>
        <v>0</v>
      </c>
      <c r="V513" s="522"/>
      <c r="X513" s="496"/>
    </row>
    <row r="514" spans="1:24" s="8" customFormat="1" ht="8.25" customHeight="1">
      <c r="A514" s="521"/>
      <c r="B514" s="167"/>
      <c r="C514" s="165"/>
      <c r="D514" s="523"/>
      <c r="E514" s="165"/>
      <c r="F514" s="523"/>
      <c r="G514" s="520"/>
      <c r="H514" s="523"/>
      <c r="I514" s="520"/>
      <c r="J514" s="523"/>
      <c r="K514" s="520"/>
      <c r="L514" s="523"/>
      <c r="M514" s="520"/>
      <c r="N514" s="523"/>
      <c r="O514" s="520"/>
      <c r="P514" s="523"/>
      <c r="Q514" s="520"/>
      <c r="R514" s="167"/>
      <c r="S514" s="520"/>
      <c r="T514" s="167"/>
      <c r="U514" s="602"/>
      <c r="V514" s="522"/>
      <c r="X514" s="4"/>
    </row>
    <row r="515" spans="1:24" s="8" customFormat="1" ht="14.4">
      <c r="A515" s="521"/>
      <c r="B515" s="167"/>
      <c r="C515" s="165"/>
      <c r="D515" s="523"/>
      <c r="E515" s="513" t="s">
        <v>1317</v>
      </c>
      <c r="F515" s="523"/>
      <c r="G515" s="601">
        <f t="shared" ref="G515" si="743">SUM(G510:G513)</f>
        <v>0</v>
      </c>
      <c r="H515" s="527"/>
      <c r="I515" s="601">
        <f t="shared" ref="I515" si="744">SUM(I510:I513)</f>
        <v>0</v>
      </c>
      <c r="J515" s="527"/>
      <c r="K515" s="601">
        <f t="shared" ref="K515" si="745">SUM(K510:K513)</f>
        <v>0</v>
      </c>
      <c r="L515" s="527"/>
      <c r="M515" s="601">
        <f t="shared" ref="M515" si="746">SUM(M510:M513)</f>
        <v>0</v>
      </c>
      <c r="N515" s="527"/>
      <c r="O515" s="601">
        <f t="shared" ref="O515" si="747">SUM(O510:O513)</f>
        <v>0</v>
      </c>
      <c r="P515" s="527"/>
      <c r="Q515" s="601">
        <f t="shared" ref="Q515" si="748">SUM(Q510:Q513)</f>
        <v>0</v>
      </c>
      <c r="R515" s="527"/>
      <c r="S515" s="601">
        <f t="shared" ref="S515" si="749">SUM(S510:S513)</f>
        <v>0</v>
      </c>
      <c r="T515" s="527"/>
      <c r="U515" s="536">
        <f t="shared" ref="U515" si="750">SUM(U510:U513)</f>
        <v>0</v>
      </c>
      <c r="V515" s="522"/>
      <c r="X515" s="4"/>
    </row>
    <row r="516" spans="1:24" s="8" customFormat="1" ht="8.25" customHeight="1">
      <c r="A516" s="521"/>
      <c r="B516" s="167"/>
      <c r="C516" s="165"/>
      <c r="D516" s="523"/>
      <c r="E516" s="165"/>
      <c r="F516" s="523"/>
      <c r="G516" s="520"/>
      <c r="H516" s="523"/>
      <c r="I516" s="520"/>
      <c r="J516" s="523"/>
      <c r="K516" s="520"/>
      <c r="L516" s="523"/>
      <c r="M516" s="520"/>
      <c r="N516" s="523"/>
      <c r="O516" s="520"/>
      <c r="P516" s="523"/>
      <c r="Q516" s="520"/>
      <c r="R516" s="167"/>
      <c r="S516" s="520"/>
      <c r="T516" s="167"/>
      <c r="U516" s="528"/>
      <c r="V516" s="522"/>
      <c r="X516" s="4"/>
    </row>
    <row r="517" spans="1:24" s="8" customFormat="1" ht="16.5" customHeight="1">
      <c r="A517" s="521"/>
      <c r="B517" s="167"/>
      <c r="C517" s="165"/>
      <c r="E517" s="513" t="s">
        <v>1304</v>
      </c>
      <c r="F517" s="523"/>
      <c r="G517" s="977">
        <f>_xlfn.IFNA(IF(VLOOKUP($B508,'PY1 TFR ADA'!$F:$AU,MATCH("B-1.5",'PY1 TFR ADA'!$F$5:$AU$5,0),FALSE)=TRUE,IF(VLOOKUP($B508,'PY1 TFR ADA'!$F:$AU,MATCH("C-1",'PY1 TFR ADA'!$F$5:$AU$5,0),FALSE)=TRUE,"Alternative Rate","LCFF Rate"),"LCFF Rate"),0)</f>
        <v>0</v>
      </c>
      <c r="H517" s="523"/>
      <c r="I517" s="977">
        <f>_xlfn.IFNA(IF(VLOOKUP($B508,'PY1 TFR ADA'!$F:$AU,MATCH("B-2.5",'PY1 TFR ADA'!$F$5:$AU$5,0),FALSE)=TRUE,IF(VLOOKUP($B508,'PY1 TFR ADA'!$F:$AU,MATCH("C-1",'PY1 TFR ADA'!$F$5:$AU$5,0),FALSE)=TRUE,"Alternative Rate","LCFF Rate"),"LCFF Rate"),0)</f>
        <v>0</v>
      </c>
      <c r="J517" s="523"/>
      <c r="K517" s="977">
        <f>_xlfn.IFNA(IF(VLOOKUP($B508,'PY1 TFR ADA'!$F:$AU,MATCH("B-3.5",'PY1 TFR ADA'!$F$5:$AU$5,0),FALSE)=TRUE,IF(VLOOKUP($B508,'PY1 TFR ADA'!$F:$AU,MATCH("C-1",'PY1 TFR ADA'!$F$5:$AU$5,0),FALSE)=TRUE,"Alternative Rate","LCFF Rate"),"LCFF Rate"),0)</f>
        <v>0</v>
      </c>
      <c r="L517" s="523"/>
      <c r="M517" s="977">
        <f>_xlfn.IFNA(IF(VLOOKUP($B508,'PY1 TFR ADA'!$F:$AU,MATCH("B-4.5",'PY1 TFR ADA'!$F$5:$AU$5,0),FALSE)=TRUE,IF(VLOOKUP($B508,'PY1 TFR ADA'!$F:$AU,MATCH("C-1",'PY1 TFR ADA'!$F$5:$AU$5,0),FALSE)=TRUE,"Alternative Rate","LCFF Rate"),"LCFF Rate"),0)</f>
        <v>0</v>
      </c>
      <c r="N517" s="523"/>
      <c r="O517" s="977">
        <f>_xlfn.IFNA(IF(VLOOKUP($B508,'PY1 TFR ADA'!$F:$AU,MATCH("B-5.5",'PY1 TFR ADA'!$F$5:$AU$5,0),FALSE)=TRUE,IF(VLOOKUP($B508,'PY1 TFR ADA'!$F:$AU,MATCH("C-1",'PY1 TFR ADA'!$F$5:$AU$5,0),FALSE)=TRUE,"Alternative Rate","LCFF Rate"),"LCFF Rate"),0)</f>
        <v>0</v>
      </c>
      <c r="P517" s="523"/>
      <c r="Q517" s="977">
        <f>_xlfn.IFNA(IF(VLOOKUP($B508,'PY1 TFR ADA'!$F:$AU,MATCH("B-6.5",'PY1 TFR ADA'!$F$5:$AU$5,0),FALSE)=TRUE,IF(VLOOKUP($B508,'PY1 TFR ADA'!$F:$AU,MATCH("C-1",'PY1 TFR ADA'!$F$5:$AU$5,0),FALSE)=TRUE,"Alternative Rate","LCFF Rate"),"LCFF Rate"),0)</f>
        <v>0</v>
      </c>
      <c r="R517" s="167"/>
      <c r="S517" s="520"/>
      <c r="T517" s="167"/>
      <c r="U517" s="528"/>
      <c r="V517" s="522"/>
      <c r="X517" s="283"/>
    </row>
    <row r="518" spans="1:24" s="8" customFormat="1" ht="8.25" customHeight="1">
      <c r="A518" s="521"/>
      <c r="B518" s="167"/>
      <c r="C518" s="165"/>
      <c r="D518" s="523"/>
      <c r="E518" s="165"/>
      <c r="F518" s="523"/>
      <c r="G518" s="520"/>
      <c r="H518" s="523"/>
      <c r="I518" s="520"/>
      <c r="J518" s="523"/>
      <c r="K518" s="520"/>
      <c r="L518" s="523"/>
      <c r="M518" s="520"/>
      <c r="N518" s="523"/>
      <c r="O518" s="520"/>
      <c r="P518" s="523"/>
      <c r="Q518" s="520"/>
      <c r="R518" s="167"/>
      <c r="S518" s="520"/>
      <c r="T518" s="167"/>
      <c r="U518" s="528"/>
      <c r="V518" s="522"/>
      <c r="X518" s="4"/>
    </row>
    <row r="519" spans="1:24" s="8" customFormat="1" ht="16.8">
      <c r="A519" s="521"/>
      <c r="B519" s="2"/>
      <c r="F519" s="523"/>
      <c r="G519" s="535">
        <f t="shared" ref="G519" si="751">IF(G517="LCFF Rate",(G510*C510+G511*C511+G512*C512+G513*C513),(G515*E513))</f>
        <v>0</v>
      </c>
      <c r="H519" s="537"/>
      <c r="I519" s="535">
        <f t="shared" ref="I519" si="752">IF(I517="LCFF Rate",(I510*C510+I511*C511+I512*C512+I513*C513),(I515*E513))</f>
        <v>0</v>
      </c>
      <c r="J519" s="537"/>
      <c r="K519" s="535">
        <f t="shared" ref="K519" si="753">IF(K517="LCFF Rate",(K510*C510+K511*C511+K512*C512+K513*C513),(K515*E513))</f>
        <v>0</v>
      </c>
      <c r="L519" s="537"/>
      <c r="M519" s="535">
        <f t="shared" ref="M519" si="754">IF(M517="LCFF Rate",(M510*C510+M511*C511+M512*C512+M513*C513),(M515*E513))</f>
        <v>0</v>
      </c>
      <c r="N519" s="537"/>
      <c r="O519" s="535">
        <f t="shared" ref="O519" si="755">IF(O517="LCFF Rate",(O510*C510+O511*C511+O512*C512+O513*C513),(O515*E513))</f>
        <v>0</v>
      </c>
      <c r="P519" s="537"/>
      <c r="Q519" s="535">
        <f t="shared" ref="Q519" si="756">IF(Q517="LCFF Rate",(Q510*C510+Q511*C511+Q512*C512+Q513*C513),(Q515*E513))</f>
        <v>0</v>
      </c>
      <c r="R519" s="167"/>
      <c r="S519" s="538">
        <f t="shared" ref="S519" si="757">SUM(G519:Q519)</f>
        <v>0</v>
      </c>
      <c r="T519" s="167"/>
      <c r="U519" s="528"/>
      <c r="V519" s="522"/>
      <c r="X519" s="979"/>
    </row>
    <row r="520" spans="1:24" s="8" customFormat="1" ht="9" customHeight="1" thickBot="1">
      <c r="A520" s="529"/>
      <c r="B520" s="530"/>
      <c r="C520" s="531"/>
      <c r="D520" s="532"/>
      <c r="E520" s="533"/>
      <c r="F520" s="532"/>
      <c r="G520" s="530"/>
      <c r="H520" s="532"/>
      <c r="I520" s="530"/>
      <c r="J520" s="532"/>
      <c r="K520" s="530"/>
      <c r="L520" s="532"/>
      <c r="M520" s="530"/>
      <c r="N520" s="532"/>
      <c r="O520" s="530"/>
      <c r="P520" s="532"/>
      <c r="Q520" s="530"/>
      <c r="R520" s="532"/>
      <c r="S520" s="530"/>
      <c r="T520" s="532"/>
      <c r="U520" s="532"/>
      <c r="V520" s="534"/>
      <c r="X520" s="4"/>
    </row>
    <row r="521" spans="1:24" s="82" customFormat="1" ht="18" customHeight="1" thickBot="1">
      <c r="A521" s="890">
        <f>+A508+1</f>
        <v>40</v>
      </c>
      <c r="B521" s="891" t="str">
        <f>'Data Entry'!$B$3&amp;"-"&amp;C521</f>
        <v>-</v>
      </c>
      <c r="C521" s="891" t="str">
        <f>IFERROR(VLOOKUP('Data Entry'!$B$3&amp;"-"&amp;A521,'PY1 TFR ADA'!$D:$AT,2,FALSE),"")</f>
        <v/>
      </c>
      <c r="D521" s="892" t="str">
        <f>IFERROR(VLOOKUP('Data Entry'!$B$3&amp;"-"&amp;A521,'PY1 TFR ADA'!$D:$AT,4,FALSE),"")</f>
        <v/>
      </c>
      <c r="E521" s="893"/>
      <c r="F521" s="893"/>
      <c r="G521" s="893"/>
      <c r="H521" s="893"/>
      <c r="I521" s="893"/>
      <c r="J521" s="893"/>
      <c r="K521" s="893"/>
      <c r="L521" s="893"/>
      <c r="M521" s="893"/>
      <c r="N521" s="893"/>
      <c r="O521" s="893"/>
      <c r="P521" s="893"/>
      <c r="Q521" s="893"/>
      <c r="R521" s="893"/>
      <c r="S521" s="893"/>
      <c r="T521" s="893"/>
      <c r="U521" s="893"/>
      <c r="V521" s="894"/>
      <c r="X521" s="83"/>
    </row>
    <row r="522" spans="1:24" ht="75" customHeight="1">
      <c r="A522" s="521"/>
      <c r="C522" s="540" t="s">
        <v>1315</v>
      </c>
      <c r="D522" s="512"/>
      <c r="E522" s="540" t="s">
        <v>1316</v>
      </c>
      <c r="F522" s="512"/>
      <c r="G522" s="540" t="s">
        <v>1309</v>
      </c>
      <c r="H522" s="512"/>
      <c r="I522" s="540" t="s">
        <v>1310</v>
      </c>
      <c r="J522" s="512"/>
      <c r="K522" s="540" t="s">
        <v>1311</v>
      </c>
      <c r="L522" s="512"/>
      <c r="M522" s="540" t="s">
        <v>1312</v>
      </c>
      <c r="N522" s="512"/>
      <c r="O522" s="540" t="s">
        <v>1313</v>
      </c>
      <c r="P522" s="512"/>
      <c r="Q522" s="540" t="s">
        <v>1314</v>
      </c>
      <c r="R522" s="167"/>
      <c r="S522" s="540" t="s">
        <v>1308</v>
      </c>
      <c r="T522" s="167"/>
      <c r="U522" s="512" t="s">
        <v>1307</v>
      </c>
      <c r="V522" s="524"/>
      <c r="X522" s="283"/>
    </row>
    <row r="523" spans="1:24" s="8" customFormat="1" ht="14.4">
      <c r="A523" s="521"/>
      <c r="B523" s="510" t="s">
        <v>94</v>
      </c>
      <c r="C523" s="525">
        <f>IFERROR(VLOOKUP($B521,'PY1 TFR ADA'!$F:$AU,MATCH("A-1.1",'PY1 TFR ADA'!$F$5:$AU$5,0),FALSE),0)</f>
        <v>0</v>
      </c>
      <c r="D523" s="167"/>
      <c r="E523" s="525">
        <f>IFERROR(VALUE(VLOOKUP($B521,'PY1 TFR ADA'!$F:$AU,MATCH("A-2.1",'PY1 TFR ADA'!$F$5:$AU$5,0),FALSE)),0)</f>
        <v>0</v>
      </c>
      <c r="F523" s="167"/>
      <c r="G523" s="609">
        <f>IFERROR(VLOOKUP($B521,'PY1 TFR ADA'!$F:$AU,MATCH("b-1.1",'PY1 TFR ADA'!$F$5:$AU$5,0),FALSE),0)</f>
        <v>0</v>
      </c>
      <c r="H523" s="527"/>
      <c r="I523" s="609">
        <f>IFERROR(VLOOKUP($B521,'PY1 TFR ADA'!$F:$AU,MATCH("b-2.1",'PY1 TFR ADA'!$F$5:$AU$5,0),FALSE),0)</f>
        <v>0</v>
      </c>
      <c r="J523" s="527"/>
      <c r="K523" s="609">
        <f>IFERROR(VLOOKUP($B521,'PY1 TFR ADA'!$F:$AU,MATCH("b-3.1",'PY1 TFR ADA'!$F$5:$AU$5,0),FALSE),0)</f>
        <v>0</v>
      </c>
      <c r="L523" s="527"/>
      <c r="M523" s="609">
        <f>IFERROR(VLOOKUP($B521,'PY1 TFR ADA'!$F:$AU,MATCH("b-4.1",'PY1 TFR ADA'!$F$5:$AU$5,0),FALSE),0)</f>
        <v>0</v>
      </c>
      <c r="N523" s="527"/>
      <c r="O523" s="609">
        <f>IFERROR(VLOOKUP($B521,'PY1 TFR ADA'!$F:$AU,MATCH("b-5.1",'PY1 TFR ADA'!$F$5:$AU$5,0),FALSE),0)</f>
        <v>0</v>
      </c>
      <c r="P523" s="527"/>
      <c r="Q523" s="609">
        <f>IFERROR(VLOOKUP($B521,'PY1 TFR ADA'!$F:$AU,MATCH("b-6.1",'PY1 TFR ADA'!$F$5:$AU$5,0),FALSE),0)</f>
        <v>0</v>
      </c>
      <c r="R523" s="551"/>
      <c r="S523" s="601">
        <f t="shared" ref="S523:S526" si="758">SUM(G523:Q523)</f>
        <v>0</v>
      </c>
      <c r="T523" s="551"/>
      <c r="U523" s="536">
        <f t="shared" ref="U523" si="759">ROUND(IF($G530="LCFF Rate",(G523*$C523),(G523*$E523))+IF($I530="LCFF Rate",(I523*$C523),(I523*$E523))+IF($K530="LCFF Rate",(K523*$C523),(K523*$E523))+IF($M530="LCFF Rate",(M523*$C523),(M523*$E523))+IF($O530="LCFF Rate",(O523*$C523),(O523*$E523))+IF($Q530="LCFF Rate",(Q523*$C523),(Q523*$E523)),0)</f>
        <v>0</v>
      </c>
      <c r="V523" s="524"/>
      <c r="X523" s="496"/>
    </row>
    <row r="524" spans="1:24" s="8" customFormat="1" ht="14.4">
      <c r="A524" s="521"/>
      <c r="B524" s="510" t="s">
        <v>2</v>
      </c>
      <c r="C524" s="525">
        <f>IFERROR(VLOOKUP($B521,'PY1 TFR ADA'!$F:$AU,MATCH("A-1.2",'PY1 TFR ADA'!$F$5:$AU$5,0),FALSE),0)</f>
        <v>0</v>
      </c>
      <c r="D524" s="167"/>
      <c r="E524" s="525">
        <f>IFERROR(VALUE(VLOOKUP($B521,'PY1 TFR ADA'!$F:$AU,MATCH("A-2.2",'PY1 TFR ADA'!$F$5:$AU$5,0),FALSE)),0)</f>
        <v>0</v>
      </c>
      <c r="F524" s="167"/>
      <c r="G524" s="609">
        <f>IFERROR(VLOOKUP($B521,'PY1 TFR ADA'!$F:$AU,MATCH("b-1.2",'PY1 TFR ADA'!$F$5:$AU$5,0),FALSE),0)</f>
        <v>0</v>
      </c>
      <c r="H524" s="527"/>
      <c r="I524" s="609">
        <f>IFERROR(VLOOKUP($B521,'PY1 TFR ADA'!$F:$AU,MATCH("b-2.2",'PY1 TFR ADA'!$F$5:$AU$5,0),FALSE),0)</f>
        <v>0</v>
      </c>
      <c r="J524" s="527"/>
      <c r="K524" s="609">
        <f>IFERROR(VLOOKUP($B521,'PY1 TFR ADA'!$F:$AU,MATCH("b-3.2",'PY1 TFR ADA'!$F$5:$AU$5,0),FALSE),0)</f>
        <v>0</v>
      </c>
      <c r="L524" s="527"/>
      <c r="M524" s="609">
        <f>IFERROR(VLOOKUP($B521,'PY1 TFR ADA'!$F:$AU,MATCH("b-4.2",'PY1 TFR ADA'!$F$5:$AU$5,0),FALSE),0)</f>
        <v>0</v>
      </c>
      <c r="N524" s="527"/>
      <c r="O524" s="609">
        <f>IFERROR(VLOOKUP($B521,'PY1 TFR ADA'!$F:$AU,MATCH("b-5.2",'PY1 TFR ADA'!$F$5:$AU$5,0),FALSE),0)</f>
        <v>0</v>
      </c>
      <c r="P524" s="527"/>
      <c r="Q524" s="609">
        <f>IFERROR(VLOOKUP($B521,'PY1 TFR ADA'!$F:$AU,MATCH("b-6.2",'PY1 TFR ADA'!$F$5:$AU$5,0),FALSE),0)</f>
        <v>0</v>
      </c>
      <c r="R524" s="551"/>
      <c r="S524" s="601">
        <f t="shared" si="758"/>
        <v>0</v>
      </c>
      <c r="T524" s="551"/>
      <c r="U524" s="536">
        <f t="shared" ref="U524" si="760">ROUND(IF($G530="LCFF Rate",(G524*$C524),(G524*$E524))+IF($I530="LCFF Rate",(I524*$C524),(I524*$E524))+IF($K530="LCFF Rate",(K524*$C524),(K524*$E524))+IF($M530="LCFF Rate",(M524*$C524),(M524*$E524))+IF($O530="LCFF Rate",(O524*$C524),(O524*$E524))+IF($Q530="LCFF Rate",(Q524*$C524),(Q524*$E524)),0)</f>
        <v>0</v>
      </c>
      <c r="V524" s="524"/>
      <c r="X524" s="4"/>
    </row>
    <row r="525" spans="1:24" s="8" customFormat="1" ht="14.4">
      <c r="A525" s="521"/>
      <c r="B525" s="510" t="s">
        <v>3</v>
      </c>
      <c r="C525" s="525">
        <f>IFERROR(VLOOKUP($B521,'PY1 TFR ADA'!$F:$AU,MATCH("A-1.3",'PY1 TFR ADA'!$F$5:$AU$5,0),FALSE),0)</f>
        <v>0</v>
      </c>
      <c r="D525" s="167"/>
      <c r="E525" s="525">
        <f>IFERROR(VALUE(VLOOKUP($B521,'PY1 TFR ADA'!$F:$AU,MATCH("A-2.3",'PY1 TFR ADA'!$F$5:$AU$5,0),FALSE)),0)</f>
        <v>0</v>
      </c>
      <c r="F525" s="167"/>
      <c r="G525" s="609">
        <f>IFERROR(VLOOKUP($B521,'PY1 TFR ADA'!$F:$AU,MATCH("b-1.3",'PY1 TFR ADA'!$F$5:$AU$5,0),FALSE),0)</f>
        <v>0</v>
      </c>
      <c r="H525" s="527"/>
      <c r="I525" s="609">
        <f>IFERROR(VLOOKUP($B521,'PY1 TFR ADA'!$F:$AU,MATCH("b-2.3",'PY1 TFR ADA'!$F$5:$AU$5,0),FALSE),0)</f>
        <v>0</v>
      </c>
      <c r="J525" s="527"/>
      <c r="K525" s="609">
        <f>IFERROR(VLOOKUP($B521,'PY1 TFR ADA'!$F:$AU,MATCH("b-3.3",'PY1 TFR ADA'!$F$5:$AU$5,0),FALSE),0)</f>
        <v>0</v>
      </c>
      <c r="L525" s="527"/>
      <c r="M525" s="609">
        <f>IFERROR(VLOOKUP($B521,'PY1 TFR ADA'!$F:$AU,MATCH("b-4.3",'PY1 TFR ADA'!$F$5:$AU$5,0),FALSE),0)</f>
        <v>0</v>
      </c>
      <c r="N525" s="527"/>
      <c r="O525" s="609">
        <f>IFERROR(VLOOKUP($B521,'PY1 TFR ADA'!$F:$AU,MATCH("b-5.3",'PY1 TFR ADA'!$F$5:$AU$5,0),FALSE),0)</f>
        <v>0</v>
      </c>
      <c r="P525" s="527"/>
      <c r="Q525" s="609">
        <f>IFERROR(VLOOKUP($B521,'PY1 TFR ADA'!$F:$AU,MATCH("b-6.3",'PY1 TFR ADA'!$F$5:$AU$5,0),FALSE),0)</f>
        <v>0</v>
      </c>
      <c r="R525" s="551"/>
      <c r="S525" s="601">
        <f t="shared" si="758"/>
        <v>0</v>
      </c>
      <c r="T525" s="551"/>
      <c r="U525" s="536">
        <f t="shared" ref="U525" si="761">ROUND(IF($G530="LCFF Rate",(G525*$C525),(G525*$E525))+IF($I530="LCFF Rate",(I525*$C525),(I525*$E525))+IF($K530="LCFF Rate",(K525*$C525),(K525*$E525))+IF($M530="LCFF Rate",(M525*$C525),(M525*$E525))+IF($O530="LCFF Rate",(O525*$C525),(O525*$E525))+IF($Q530="LCFF Rate",(Q525*$C525),(Q525*$E525)),0)</f>
        <v>0</v>
      </c>
      <c r="V525" s="524"/>
      <c r="X525" s="4"/>
    </row>
    <row r="526" spans="1:24" s="8" customFormat="1" ht="14.4">
      <c r="A526" s="526"/>
      <c r="B526" s="510" t="s">
        <v>4</v>
      </c>
      <c r="C526" s="525">
        <f>IFERROR(VLOOKUP($B521,'PY1 TFR ADA'!$F:$AU,MATCH("A-1.4",'PY1 TFR ADA'!$F$5:$AU$5,0),FALSE),0)</f>
        <v>0</v>
      </c>
      <c r="D526" s="523"/>
      <c r="E526" s="525">
        <f>IFERROR(VALUE(VLOOKUP($B521,'PY1 TFR ADA'!$F:$AU,MATCH("A-2.4",'PY1 TFR ADA'!$F$5:$AU$5,0),FALSE)),0)</f>
        <v>0</v>
      </c>
      <c r="F526" s="523"/>
      <c r="G526" s="609">
        <f>IFERROR(VLOOKUP($B521,'PY1 TFR ADA'!$F:$AU,MATCH("b-1.4",'PY1 TFR ADA'!$F$5:$AU$5,0),FALSE),0)</f>
        <v>0</v>
      </c>
      <c r="H526" s="527"/>
      <c r="I526" s="609">
        <f>IFERROR(VLOOKUP($B521,'PY1 TFR ADA'!$F:$AU,MATCH("b-2.4",'PY1 TFR ADA'!$F$5:$AU$5,0),FALSE),0)</f>
        <v>0</v>
      </c>
      <c r="J526" s="527"/>
      <c r="K526" s="609">
        <f>IFERROR(VLOOKUP($B521,'PY1 TFR ADA'!$F:$AU,MATCH("b-3.4",'PY1 TFR ADA'!$F$5:$AU$5,0),FALSE),0)</f>
        <v>0</v>
      </c>
      <c r="L526" s="527"/>
      <c r="M526" s="609">
        <f>IFERROR(VLOOKUP($B521,'PY1 TFR ADA'!$F:$AU,MATCH("b-4.4",'PY1 TFR ADA'!$F$5:$AU$5,0),FALSE),0)</f>
        <v>0</v>
      </c>
      <c r="N526" s="527"/>
      <c r="O526" s="609">
        <f>IFERROR(VLOOKUP($B521,'PY1 TFR ADA'!$F:$AU,MATCH("b-5.4",'PY1 TFR ADA'!$F$5:$AU$5,0),FALSE),0)</f>
        <v>0</v>
      </c>
      <c r="P526" s="527"/>
      <c r="Q526" s="609">
        <f>IFERROR(VLOOKUP($B521,'PY1 TFR ADA'!$F:$AU,MATCH("b-6.4",'PY1 TFR ADA'!$F$5:$AU$5,0),FALSE),0)</f>
        <v>0</v>
      </c>
      <c r="R526" s="551"/>
      <c r="S526" s="601">
        <f t="shared" si="758"/>
        <v>0</v>
      </c>
      <c r="T526" s="551"/>
      <c r="U526" s="536">
        <f t="shared" ref="U526" si="762">ROUND(IF($G530="LCFF Rate",(G526*$C526),(G526*$E526))+IF($I530="LCFF Rate",(I526*$C526),(I526*$E526))+IF($K530="LCFF Rate",(K526*$C526),(K526*$E526))+IF($M530="LCFF Rate",(M526*$C526),(M526*$E526))+IF($O530="LCFF Rate",(O526*$C526),(O526*$E526))+IF($Q530="LCFF Rate",(Q526*$C526),(Q526*$E526)),0)</f>
        <v>0</v>
      </c>
      <c r="V526" s="522"/>
      <c r="X526" s="496"/>
    </row>
    <row r="527" spans="1:24" s="8" customFormat="1" ht="8.25" customHeight="1">
      <c r="A527" s="521"/>
      <c r="B527" s="167"/>
      <c r="C527" s="165"/>
      <c r="D527" s="523"/>
      <c r="E527" s="165"/>
      <c r="F527" s="523"/>
      <c r="G527" s="520"/>
      <c r="H527" s="523"/>
      <c r="I527" s="520"/>
      <c r="J527" s="523"/>
      <c r="K527" s="520"/>
      <c r="L527" s="523"/>
      <c r="M527" s="520"/>
      <c r="N527" s="523"/>
      <c r="O527" s="520"/>
      <c r="P527" s="523"/>
      <c r="Q527" s="520"/>
      <c r="R527" s="167"/>
      <c r="S527" s="520"/>
      <c r="T527" s="167"/>
      <c r="U527" s="602"/>
      <c r="V527" s="522"/>
      <c r="X527" s="4"/>
    </row>
    <row r="528" spans="1:24" s="8" customFormat="1" ht="14.4">
      <c r="A528" s="521"/>
      <c r="B528" s="167"/>
      <c r="C528" s="165"/>
      <c r="D528" s="523"/>
      <c r="E528" s="513" t="s">
        <v>1317</v>
      </c>
      <c r="F528" s="523"/>
      <c r="G528" s="601">
        <f t="shared" ref="G528" si="763">SUM(G523:G526)</f>
        <v>0</v>
      </c>
      <c r="H528" s="527"/>
      <c r="I528" s="601">
        <f t="shared" ref="I528" si="764">SUM(I523:I526)</f>
        <v>0</v>
      </c>
      <c r="J528" s="527"/>
      <c r="K528" s="601">
        <f t="shared" ref="K528" si="765">SUM(K523:K526)</f>
        <v>0</v>
      </c>
      <c r="L528" s="527"/>
      <c r="M528" s="601">
        <f t="shared" ref="M528" si="766">SUM(M523:M526)</f>
        <v>0</v>
      </c>
      <c r="N528" s="527"/>
      <c r="O528" s="601">
        <f t="shared" ref="O528" si="767">SUM(O523:O526)</f>
        <v>0</v>
      </c>
      <c r="P528" s="527"/>
      <c r="Q528" s="601">
        <f t="shared" ref="Q528" si="768">SUM(Q523:Q526)</f>
        <v>0</v>
      </c>
      <c r="R528" s="527"/>
      <c r="S528" s="601">
        <f t="shared" ref="S528" si="769">SUM(S523:S526)</f>
        <v>0</v>
      </c>
      <c r="T528" s="527"/>
      <c r="U528" s="536">
        <f t="shared" ref="U528" si="770">SUM(U523:U526)</f>
        <v>0</v>
      </c>
      <c r="V528" s="522"/>
      <c r="X528" s="4"/>
    </row>
    <row r="529" spans="1:24" s="8" customFormat="1" ht="8.25" customHeight="1">
      <c r="A529" s="521"/>
      <c r="B529" s="167"/>
      <c r="C529" s="165"/>
      <c r="D529" s="523"/>
      <c r="E529" s="165"/>
      <c r="F529" s="523"/>
      <c r="G529" s="520"/>
      <c r="H529" s="523"/>
      <c r="I529" s="520"/>
      <c r="J529" s="523"/>
      <c r="K529" s="520"/>
      <c r="L529" s="523"/>
      <c r="M529" s="520"/>
      <c r="N529" s="523"/>
      <c r="O529" s="520"/>
      <c r="P529" s="523"/>
      <c r="Q529" s="520"/>
      <c r="R529" s="167"/>
      <c r="S529" s="520"/>
      <c r="T529" s="167"/>
      <c r="U529" s="528"/>
      <c r="V529" s="522"/>
      <c r="X529" s="4"/>
    </row>
    <row r="530" spans="1:24" s="8" customFormat="1" ht="16.5" customHeight="1">
      <c r="A530" s="521"/>
      <c r="B530" s="167"/>
      <c r="C530" s="165"/>
      <c r="E530" s="513" t="s">
        <v>1304</v>
      </c>
      <c r="F530" s="523"/>
      <c r="G530" s="977">
        <f>_xlfn.IFNA(IF(VLOOKUP($B521,'PY1 TFR ADA'!$F:$AU,MATCH("B-1.5",'PY1 TFR ADA'!$F$5:$AU$5,0),FALSE)=TRUE,IF(VLOOKUP($B521,'PY1 TFR ADA'!$F:$AU,MATCH("C-1",'PY1 TFR ADA'!$F$5:$AU$5,0),FALSE)=TRUE,"Alternative Rate","LCFF Rate"),"LCFF Rate"),0)</f>
        <v>0</v>
      </c>
      <c r="H530" s="523"/>
      <c r="I530" s="977">
        <f>_xlfn.IFNA(IF(VLOOKUP($B521,'PY1 TFR ADA'!$F:$AU,MATCH("B-2.5",'PY1 TFR ADA'!$F$5:$AU$5,0),FALSE)=TRUE,IF(VLOOKUP($B521,'PY1 TFR ADA'!$F:$AU,MATCH("C-1",'PY1 TFR ADA'!$F$5:$AU$5,0),FALSE)=TRUE,"Alternative Rate","LCFF Rate"),"LCFF Rate"),0)</f>
        <v>0</v>
      </c>
      <c r="J530" s="523"/>
      <c r="K530" s="977">
        <f>_xlfn.IFNA(IF(VLOOKUP($B521,'PY1 TFR ADA'!$F:$AU,MATCH("B-3.5",'PY1 TFR ADA'!$F$5:$AU$5,0),FALSE)=TRUE,IF(VLOOKUP($B521,'PY1 TFR ADA'!$F:$AU,MATCH("C-1",'PY1 TFR ADA'!$F$5:$AU$5,0),FALSE)=TRUE,"Alternative Rate","LCFF Rate"),"LCFF Rate"),0)</f>
        <v>0</v>
      </c>
      <c r="L530" s="523"/>
      <c r="M530" s="977">
        <f>_xlfn.IFNA(IF(VLOOKUP($B521,'PY1 TFR ADA'!$F:$AU,MATCH("B-4.5",'PY1 TFR ADA'!$F$5:$AU$5,0),FALSE)=TRUE,IF(VLOOKUP($B521,'PY1 TFR ADA'!$F:$AU,MATCH("C-1",'PY1 TFR ADA'!$F$5:$AU$5,0),FALSE)=TRUE,"Alternative Rate","LCFF Rate"),"LCFF Rate"),0)</f>
        <v>0</v>
      </c>
      <c r="N530" s="523"/>
      <c r="O530" s="977">
        <f>_xlfn.IFNA(IF(VLOOKUP($B521,'PY1 TFR ADA'!$F:$AU,MATCH("B-5.5",'PY1 TFR ADA'!$F$5:$AU$5,0),FALSE)=TRUE,IF(VLOOKUP($B521,'PY1 TFR ADA'!$F:$AU,MATCH("C-1",'PY1 TFR ADA'!$F$5:$AU$5,0),FALSE)=TRUE,"Alternative Rate","LCFF Rate"),"LCFF Rate"),0)</f>
        <v>0</v>
      </c>
      <c r="P530" s="523"/>
      <c r="Q530" s="977">
        <f>_xlfn.IFNA(IF(VLOOKUP($B521,'PY1 TFR ADA'!$F:$AU,MATCH("B-6.5",'PY1 TFR ADA'!$F$5:$AU$5,0),FALSE)=TRUE,IF(VLOOKUP($B521,'PY1 TFR ADA'!$F:$AU,MATCH("C-1",'PY1 TFR ADA'!$F$5:$AU$5,0),FALSE)=TRUE,"Alternative Rate","LCFF Rate"),"LCFF Rate"),0)</f>
        <v>0</v>
      </c>
      <c r="R530" s="167"/>
      <c r="S530" s="520"/>
      <c r="T530" s="167"/>
      <c r="U530" s="528"/>
      <c r="V530" s="522"/>
      <c r="X530" s="283"/>
    </row>
    <row r="531" spans="1:24" s="8" customFormat="1" ht="8.25" customHeight="1">
      <c r="A531" s="521"/>
      <c r="B531" s="167"/>
      <c r="C531" s="165"/>
      <c r="D531" s="523"/>
      <c r="E531" s="165"/>
      <c r="F531" s="523"/>
      <c r="G531" s="520"/>
      <c r="H531" s="523"/>
      <c r="I531" s="520"/>
      <c r="J531" s="523"/>
      <c r="K531" s="520"/>
      <c r="L531" s="523"/>
      <c r="M531" s="520"/>
      <c r="N531" s="523"/>
      <c r="O531" s="520"/>
      <c r="P531" s="523"/>
      <c r="Q531" s="520"/>
      <c r="R531" s="167"/>
      <c r="S531" s="520"/>
      <c r="T531" s="167"/>
      <c r="U531" s="528"/>
      <c r="V531" s="522"/>
      <c r="X531" s="4"/>
    </row>
    <row r="532" spans="1:24" s="8" customFormat="1" ht="16.8">
      <c r="A532" s="521"/>
      <c r="B532" s="2"/>
      <c r="F532" s="523"/>
      <c r="G532" s="535">
        <f t="shared" ref="G532" si="771">IF(G530="LCFF Rate",(G523*C523+G524*C524+G525*C525+G526*C526),(G528*E526))</f>
        <v>0</v>
      </c>
      <c r="H532" s="537"/>
      <c r="I532" s="535">
        <f t="shared" ref="I532" si="772">IF(I530="LCFF Rate",(I523*C523+I524*C524+I525*C525+I526*C526),(I528*E526))</f>
        <v>0</v>
      </c>
      <c r="J532" s="537"/>
      <c r="K532" s="535">
        <f t="shared" ref="K532" si="773">IF(K530="LCFF Rate",(K523*C523+K524*C524+K525*C525+K526*C526),(K528*E526))</f>
        <v>0</v>
      </c>
      <c r="L532" s="537"/>
      <c r="M532" s="535">
        <f t="shared" ref="M532" si="774">IF(M530="LCFF Rate",(M523*C523+M524*C524+M525*C525+M526*C526),(M528*E526))</f>
        <v>0</v>
      </c>
      <c r="N532" s="537"/>
      <c r="O532" s="535">
        <f t="shared" ref="O532" si="775">IF(O530="LCFF Rate",(O523*C523+O524*C524+O525*C525+O526*C526),(O528*E526))</f>
        <v>0</v>
      </c>
      <c r="P532" s="537"/>
      <c r="Q532" s="535">
        <f t="shared" ref="Q532" si="776">IF(Q530="LCFF Rate",(Q523*C523+Q524*C524+Q525*C525+Q526*C526),(Q528*E526))</f>
        <v>0</v>
      </c>
      <c r="R532" s="167"/>
      <c r="S532" s="538">
        <f t="shared" ref="S532" si="777">SUM(G532:Q532)</f>
        <v>0</v>
      </c>
      <c r="T532" s="167"/>
      <c r="U532" s="528"/>
      <c r="V532" s="522"/>
      <c r="X532" s="979"/>
    </row>
    <row r="533" spans="1:24" s="8" customFormat="1" ht="9" customHeight="1" thickBot="1">
      <c r="A533" s="529"/>
      <c r="B533" s="530"/>
      <c r="C533" s="531"/>
      <c r="D533" s="532"/>
      <c r="E533" s="533"/>
      <c r="F533" s="532"/>
      <c r="G533" s="530"/>
      <c r="H533" s="532"/>
      <c r="I533" s="530"/>
      <c r="J533" s="532"/>
      <c r="K533" s="530"/>
      <c r="L533" s="532"/>
      <c r="M533" s="530"/>
      <c r="N533" s="532"/>
      <c r="O533" s="530"/>
      <c r="P533" s="532"/>
      <c r="Q533" s="530"/>
      <c r="R533" s="532"/>
      <c r="S533" s="530"/>
      <c r="T533" s="532"/>
      <c r="U533" s="532"/>
      <c r="V533" s="534"/>
      <c r="X533" s="4"/>
    </row>
    <row r="534" spans="1:24" s="82" customFormat="1" ht="18" customHeight="1" thickBot="1">
      <c r="A534" s="890">
        <f>+A521+1</f>
        <v>41</v>
      </c>
      <c r="B534" s="891" t="str">
        <f>'Data Entry'!$B$3&amp;"-"&amp;C534</f>
        <v>-</v>
      </c>
      <c r="C534" s="891" t="str">
        <f>IFERROR(VLOOKUP('Data Entry'!$B$3&amp;"-"&amp;A534,'PY1 TFR ADA'!$D:$AT,2,FALSE),"")</f>
        <v/>
      </c>
      <c r="D534" s="892" t="str">
        <f>IFERROR(VLOOKUP('Data Entry'!$B$3&amp;"-"&amp;A534,'PY1 TFR ADA'!$D:$AT,4,FALSE),"")</f>
        <v/>
      </c>
      <c r="E534" s="893"/>
      <c r="F534" s="893"/>
      <c r="G534" s="893"/>
      <c r="H534" s="893"/>
      <c r="I534" s="893"/>
      <c r="J534" s="893"/>
      <c r="K534" s="893"/>
      <c r="L534" s="893"/>
      <c r="M534" s="893"/>
      <c r="N534" s="893"/>
      <c r="O534" s="893"/>
      <c r="P534" s="893"/>
      <c r="Q534" s="893"/>
      <c r="R534" s="893"/>
      <c r="S534" s="893"/>
      <c r="T534" s="893"/>
      <c r="U534" s="893"/>
      <c r="V534" s="894"/>
      <c r="X534" s="83"/>
    </row>
    <row r="535" spans="1:24" ht="75" customHeight="1">
      <c r="A535" s="521"/>
      <c r="C535" s="540" t="s">
        <v>1315</v>
      </c>
      <c r="D535" s="512"/>
      <c r="E535" s="540" t="s">
        <v>1316</v>
      </c>
      <c r="F535" s="512"/>
      <c r="G535" s="540" t="s">
        <v>1309</v>
      </c>
      <c r="H535" s="512"/>
      <c r="I535" s="540" t="s">
        <v>1310</v>
      </c>
      <c r="J535" s="512"/>
      <c r="K535" s="540" t="s">
        <v>1311</v>
      </c>
      <c r="L535" s="512"/>
      <c r="M535" s="540" t="s">
        <v>1312</v>
      </c>
      <c r="N535" s="512"/>
      <c r="O535" s="540" t="s">
        <v>1313</v>
      </c>
      <c r="P535" s="512"/>
      <c r="Q535" s="540" t="s">
        <v>1314</v>
      </c>
      <c r="R535" s="167"/>
      <c r="S535" s="540" t="s">
        <v>1308</v>
      </c>
      <c r="T535" s="167"/>
      <c r="U535" s="512" t="s">
        <v>1307</v>
      </c>
      <c r="V535" s="524"/>
      <c r="X535" s="283"/>
    </row>
    <row r="536" spans="1:24" s="8" customFormat="1" ht="14.4">
      <c r="A536" s="521"/>
      <c r="B536" s="510" t="s">
        <v>94</v>
      </c>
      <c r="C536" s="525">
        <f>IFERROR(VLOOKUP($B534,'PY1 TFR ADA'!$F:$AU,MATCH("A-1.1",'PY1 TFR ADA'!$F$5:$AU$5,0),FALSE),0)</f>
        <v>0</v>
      </c>
      <c r="D536" s="167"/>
      <c r="E536" s="525">
        <f>IFERROR(VALUE(VLOOKUP($B534,'PY1 TFR ADA'!$F:$AU,MATCH("A-2.1",'PY1 TFR ADA'!$F$5:$AU$5,0),FALSE)),0)</f>
        <v>0</v>
      </c>
      <c r="F536" s="167"/>
      <c r="G536" s="609">
        <f>IFERROR(VLOOKUP($B534,'PY1 TFR ADA'!$F:$AU,MATCH("b-1.1",'PY1 TFR ADA'!$F$5:$AU$5,0),FALSE),0)</f>
        <v>0</v>
      </c>
      <c r="H536" s="527"/>
      <c r="I536" s="609">
        <f>IFERROR(VLOOKUP($B534,'PY1 TFR ADA'!$F:$AU,MATCH("b-2.1",'PY1 TFR ADA'!$F$5:$AU$5,0),FALSE),0)</f>
        <v>0</v>
      </c>
      <c r="J536" s="527"/>
      <c r="K536" s="609">
        <f>IFERROR(VLOOKUP($B534,'PY1 TFR ADA'!$F:$AU,MATCH("b-3.1",'PY1 TFR ADA'!$F$5:$AU$5,0),FALSE),0)</f>
        <v>0</v>
      </c>
      <c r="L536" s="527"/>
      <c r="M536" s="609">
        <f>IFERROR(VLOOKUP($B534,'PY1 TFR ADA'!$F:$AU,MATCH("b-4.1",'PY1 TFR ADA'!$F$5:$AU$5,0),FALSE),0)</f>
        <v>0</v>
      </c>
      <c r="N536" s="527"/>
      <c r="O536" s="609">
        <f>IFERROR(VLOOKUP($B534,'PY1 TFR ADA'!$F:$AU,MATCH("b-5.1",'PY1 TFR ADA'!$F$5:$AU$5,0),FALSE),0)</f>
        <v>0</v>
      </c>
      <c r="P536" s="527"/>
      <c r="Q536" s="609">
        <f>IFERROR(VLOOKUP($B534,'PY1 TFR ADA'!$F:$AU,MATCH("b-6.1",'PY1 TFR ADA'!$F$5:$AU$5,0),FALSE),0)</f>
        <v>0</v>
      </c>
      <c r="R536" s="551"/>
      <c r="S536" s="601">
        <f t="shared" ref="S536:S539" si="778">SUM(G536:Q536)</f>
        <v>0</v>
      </c>
      <c r="T536" s="551"/>
      <c r="U536" s="536">
        <f t="shared" ref="U536" si="779">ROUND(IF($G543="LCFF Rate",(G536*$C536),(G536*$E536))+IF($I543="LCFF Rate",(I536*$C536),(I536*$E536))+IF($K543="LCFF Rate",(K536*$C536),(K536*$E536))+IF($M543="LCFF Rate",(M536*$C536),(M536*$E536))+IF($O543="LCFF Rate",(O536*$C536),(O536*$E536))+IF($Q543="LCFF Rate",(Q536*$C536),(Q536*$E536)),0)</f>
        <v>0</v>
      </c>
      <c r="V536" s="524"/>
      <c r="X536" s="496"/>
    </row>
    <row r="537" spans="1:24" s="8" customFormat="1" ht="14.4">
      <c r="A537" s="521"/>
      <c r="B537" s="510" t="s">
        <v>2</v>
      </c>
      <c r="C537" s="525">
        <f>IFERROR(VLOOKUP($B534,'PY1 TFR ADA'!$F:$AU,MATCH("A-1.2",'PY1 TFR ADA'!$F$5:$AU$5,0),FALSE),0)</f>
        <v>0</v>
      </c>
      <c r="D537" s="167"/>
      <c r="E537" s="525">
        <f>IFERROR(VALUE(VLOOKUP($B534,'PY1 TFR ADA'!$F:$AU,MATCH("A-2.2",'PY1 TFR ADA'!$F$5:$AU$5,0),FALSE)),0)</f>
        <v>0</v>
      </c>
      <c r="F537" s="167"/>
      <c r="G537" s="609">
        <f>IFERROR(VLOOKUP($B534,'PY1 TFR ADA'!$F:$AU,MATCH("b-1.2",'PY1 TFR ADA'!$F$5:$AU$5,0),FALSE),0)</f>
        <v>0</v>
      </c>
      <c r="H537" s="527"/>
      <c r="I537" s="609">
        <f>IFERROR(VLOOKUP($B534,'PY1 TFR ADA'!$F:$AU,MATCH("b-2.2",'PY1 TFR ADA'!$F$5:$AU$5,0),FALSE),0)</f>
        <v>0</v>
      </c>
      <c r="J537" s="527"/>
      <c r="K537" s="609">
        <f>IFERROR(VLOOKUP($B534,'PY1 TFR ADA'!$F:$AU,MATCH("b-3.2",'PY1 TFR ADA'!$F$5:$AU$5,0),FALSE),0)</f>
        <v>0</v>
      </c>
      <c r="L537" s="527"/>
      <c r="M537" s="609">
        <f>IFERROR(VLOOKUP($B534,'PY1 TFR ADA'!$F:$AU,MATCH("b-4.2",'PY1 TFR ADA'!$F$5:$AU$5,0),FALSE),0)</f>
        <v>0</v>
      </c>
      <c r="N537" s="527"/>
      <c r="O537" s="609">
        <f>IFERROR(VLOOKUP($B534,'PY1 TFR ADA'!$F:$AU,MATCH("b-5.2",'PY1 TFR ADA'!$F$5:$AU$5,0),FALSE),0)</f>
        <v>0</v>
      </c>
      <c r="P537" s="527"/>
      <c r="Q537" s="609">
        <f>IFERROR(VLOOKUP($B534,'PY1 TFR ADA'!$F:$AU,MATCH("b-6.2",'PY1 TFR ADA'!$F$5:$AU$5,0),FALSE),0)</f>
        <v>0</v>
      </c>
      <c r="R537" s="551"/>
      <c r="S537" s="601">
        <f t="shared" si="778"/>
        <v>0</v>
      </c>
      <c r="T537" s="551"/>
      <c r="U537" s="536">
        <f t="shared" ref="U537" si="780">ROUND(IF($G543="LCFF Rate",(G537*$C537),(G537*$E537))+IF($I543="LCFF Rate",(I537*$C537),(I537*$E537))+IF($K543="LCFF Rate",(K537*$C537),(K537*$E537))+IF($M543="LCFF Rate",(M537*$C537),(M537*$E537))+IF($O543="LCFF Rate",(O537*$C537),(O537*$E537))+IF($Q543="LCFF Rate",(Q537*$C537),(Q537*$E537)),0)</f>
        <v>0</v>
      </c>
      <c r="V537" s="524"/>
      <c r="X537" s="4"/>
    </row>
    <row r="538" spans="1:24" s="8" customFormat="1" ht="14.4">
      <c r="A538" s="521"/>
      <c r="B538" s="510" t="s">
        <v>3</v>
      </c>
      <c r="C538" s="525">
        <f>IFERROR(VLOOKUP($B534,'PY1 TFR ADA'!$F:$AU,MATCH("A-1.3",'PY1 TFR ADA'!$F$5:$AU$5,0),FALSE),0)</f>
        <v>0</v>
      </c>
      <c r="D538" s="167"/>
      <c r="E538" s="525">
        <f>IFERROR(VALUE(VLOOKUP($B534,'PY1 TFR ADA'!$F:$AU,MATCH("A-2.3",'PY1 TFR ADA'!$F$5:$AU$5,0),FALSE)),0)</f>
        <v>0</v>
      </c>
      <c r="F538" s="167"/>
      <c r="G538" s="609">
        <f>IFERROR(VLOOKUP($B534,'PY1 TFR ADA'!$F:$AU,MATCH("b-1.3",'PY1 TFR ADA'!$F$5:$AU$5,0),FALSE),0)</f>
        <v>0</v>
      </c>
      <c r="H538" s="527"/>
      <c r="I538" s="609">
        <f>IFERROR(VLOOKUP($B534,'PY1 TFR ADA'!$F:$AU,MATCH("b-2.3",'PY1 TFR ADA'!$F$5:$AU$5,0),FALSE),0)</f>
        <v>0</v>
      </c>
      <c r="J538" s="527"/>
      <c r="K538" s="609">
        <f>IFERROR(VLOOKUP($B534,'PY1 TFR ADA'!$F:$AU,MATCH("b-3.3",'PY1 TFR ADA'!$F$5:$AU$5,0),FALSE),0)</f>
        <v>0</v>
      </c>
      <c r="L538" s="527"/>
      <c r="M538" s="609">
        <f>IFERROR(VLOOKUP($B534,'PY1 TFR ADA'!$F:$AU,MATCH("b-4.3",'PY1 TFR ADA'!$F$5:$AU$5,0),FALSE),0)</f>
        <v>0</v>
      </c>
      <c r="N538" s="527"/>
      <c r="O538" s="609">
        <f>IFERROR(VLOOKUP($B534,'PY1 TFR ADA'!$F:$AU,MATCH("b-5.3",'PY1 TFR ADA'!$F$5:$AU$5,0),FALSE),0)</f>
        <v>0</v>
      </c>
      <c r="P538" s="527"/>
      <c r="Q538" s="609">
        <f>IFERROR(VLOOKUP($B534,'PY1 TFR ADA'!$F:$AU,MATCH("b-6.3",'PY1 TFR ADA'!$F$5:$AU$5,0),FALSE),0)</f>
        <v>0</v>
      </c>
      <c r="R538" s="551"/>
      <c r="S538" s="601">
        <f t="shared" si="778"/>
        <v>0</v>
      </c>
      <c r="T538" s="551"/>
      <c r="U538" s="536">
        <f t="shared" ref="U538" si="781">ROUND(IF($G543="LCFF Rate",(G538*$C538),(G538*$E538))+IF($I543="LCFF Rate",(I538*$C538),(I538*$E538))+IF($K543="LCFF Rate",(K538*$C538),(K538*$E538))+IF($M543="LCFF Rate",(M538*$C538),(M538*$E538))+IF($O543="LCFF Rate",(O538*$C538),(O538*$E538))+IF($Q543="LCFF Rate",(Q538*$C538),(Q538*$E538)),0)</f>
        <v>0</v>
      </c>
      <c r="V538" s="524"/>
      <c r="X538" s="4"/>
    </row>
    <row r="539" spans="1:24" s="8" customFormat="1" ht="14.4">
      <c r="A539" s="526"/>
      <c r="B539" s="510" t="s">
        <v>4</v>
      </c>
      <c r="C539" s="525">
        <f>IFERROR(VLOOKUP($B534,'PY1 TFR ADA'!$F:$AU,MATCH("A-1.4",'PY1 TFR ADA'!$F$5:$AU$5,0),FALSE),0)</f>
        <v>0</v>
      </c>
      <c r="D539" s="523"/>
      <c r="E539" s="525">
        <f>IFERROR(VALUE(VLOOKUP($B534,'PY1 TFR ADA'!$F:$AU,MATCH("A-2.4",'PY1 TFR ADA'!$F$5:$AU$5,0),FALSE)),0)</f>
        <v>0</v>
      </c>
      <c r="F539" s="523"/>
      <c r="G539" s="609">
        <f>IFERROR(VLOOKUP($B534,'PY1 TFR ADA'!$F:$AU,MATCH("b-1.4",'PY1 TFR ADA'!$F$5:$AU$5,0),FALSE),0)</f>
        <v>0</v>
      </c>
      <c r="H539" s="527"/>
      <c r="I539" s="609">
        <f>IFERROR(VLOOKUP($B534,'PY1 TFR ADA'!$F:$AU,MATCH("b-2.4",'PY1 TFR ADA'!$F$5:$AU$5,0),FALSE),0)</f>
        <v>0</v>
      </c>
      <c r="J539" s="527"/>
      <c r="K539" s="609">
        <f>IFERROR(VLOOKUP($B534,'PY1 TFR ADA'!$F:$AU,MATCH("b-3.4",'PY1 TFR ADA'!$F$5:$AU$5,0),FALSE),0)</f>
        <v>0</v>
      </c>
      <c r="L539" s="527"/>
      <c r="M539" s="609">
        <f>IFERROR(VLOOKUP($B534,'PY1 TFR ADA'!$F:$AU,MATCH("b-4.4",'PY1 TFR ADA'!$F$5:$AU$5,0),FALSE),0)</f>
        <v>0</v>
      </c>
      <c r="N539" s="527"/>
      <c r="O539" s="609">
        <f>IFERROR(VLOOKUP($B534,'PY1 TFR ADA'!$F:$AU,MATCH("b-5.4",'PY1 TFR ADA'!$F$5:$AU$5,0),FALSE),0)</f>
        <v>0</v>
      </c>
      <c r="P539" s="527"/>
      <c r="Q539" s="609">
        <f>IFERROR(VLOOKUP($B534,'PY1 TFR ADA'!$F:$AU,MATCH("b-6.4",'PY1 TFR ADA'!$F$5:$AU$5,0),FALSE),0)</f>
        <v>0</v>
      </c>
      <c r="R539" s="551"/>
      <c r="S539" s="601">
        <f t="shared" si="778"/>
        <v>0</v>
      </c>
      <c r="T539" s="551"/>
      <c r="U539" s="536">
        <f t="shared" ref="U539" si="782">ROUND(IF($G543="LCFF Rate",(G539*$C539),(G539*$E539))+IF($I543="LCFF Rate",(I539*$C539),(I539*$E539))+IF($K543="LCFF Rate",(K539*$C539),(K539*$E539))+IF($M543="LCFF Rate",(M539*$C539),(M539*$E539))+IF($O543="LCFF Rate",(O539*$C539),(O539*$E539))+IF($Q543="LCFF Rate",(Q539*$C539),(Q539*$E539)),0)</f>
        <v>0</v>
      </c>
      <c r="V539" s="522"/>
      <c r="X539" s="496"/>
    </row>
    <row r="540" spans="1:24" s="8" customFormat="1" ht="8.25" customHeight="1">
      <c r="A540" s="521"/>
      <c r="B540" s="167"/>
      <c r="C540" s="165"/>
      <c r="D540" s="523"/>
      <c r="E540" s="165"/>
      <c r="F540" s="523"/>
      <c r="G540" s="520"/>
      <c r="H540" s="523"/>
      <c r="I540" s="520"/>
      <c r="J540" s="523"/>
      <c r="K540" s="520"/>
      <c r="L540" s="523"/>
      <c r="M540" s="520"/>
      <c r="N540" s="523"/>
      <c r="O540" s="520"/>
      <c r="P540" s="523"/>
      <c r="Q540" s="520"/>
      <c r="R540" s="167"/>
      <c r="S540" s="520"/>
      <c r="T540" s="167"/>
      <c r="U540" s="602"/>
      <c r="V540" s="522"/>
      <c r="X540" s="4"/>
    </row>
    <row r="541" spans="1:24" s="8" customFormat="1" ht="14.4">
      <c r="A541" s="521"/>
      <c r="B541" s="167"/>
      <c r="C541" s="165"/>
      <c r="D541" s="523"/>
      <c r="E541" s="513" t="s">
        <v>1317</v>
      </c>
      <c r="F541" s="523"/>
      <c r="G541" s="601">
        <f t="shared" ref="G541" si="783">SUM(G536:G539)</f>
        <v>0</v>
      </c>
      <c r="H541" s="527"/>
      <c r="I541" s="601">
        <f t="shared" ref="I541" si="784">SUM(I536:I539)</f>
        <v>0</v>
      </c>
      <c r="J541" s="527"/>
      <c r="K541" s="601">
        <f t="shared" ref="K541" si="785">SUM(K536:K539)</f>
        <v>0</v>
      </c>
      <c r="L541" s="527"/>
      <c r="M541" s="601">
        <f t="shared" ref="M541" si="786">SUM(M536:M539)</f>
        <v>0</v>
      </c>
      <c r="N541" s="527"/>
      <c r="O541" s="601">
        <f t="shared" ref="O541" si="787">SUM(O536:O539)</f>
        <v>0</v>
      </c>
      <c r="P541" s="527"/>
      <c r="Q541" s="601">
        <f t="shared" ref="Q541" si="788">SUM(Q536:Q539)</f>
        <v>0</v>
      </c>
      <c r="R541" s="527"/>
      <c r="S541" s="601">
        <f t="shared" ref="S541" si="789">SUM(S536:S539)</f>
        <v>0</v>
      </c>
      <c r="T541" s="527"/>
      <c r="U541" s="536">
        <f t="shared" ref="U541" si="790">SUM(U536:U539)</f>
        <v>0</v>
      </c>
      <c r="V541" s="522"/>
      <c r="X541" s="4"/>
    </row>
    <row r="542" spans="1:24" s="8" customFormat="1" ht="8.25" customHeight="1">
      <c r="A542" s="521"/>
      <c r="B542" s="167"/>
      <c r="C542" s="165"/>
      <c r="D542" s="523"/>
      <c r="E542" s="165"/>
      <c r="F542" s="523"/>
      <c r="G542" s="520"/>
      <c r="H542" s="523"/>
      <c r="I542" s="520"/>
      <c r="J542" s="523"/>
      <c r="K542" s="520"/>
      <c r="L542" s="523"/>
      <c r="M542" s="520"/>
      <c r="N542" s="523"/>
      <c r="O542" s="520"/>
      <c r="P542" s="523"/>
      <c r="Q542" s="520"/>
      <c r="R542" s="167"/>
      <c r="S542" s="520"/>
      <c r="T542" s="167"/>
      <c r="U542" s="528"/>
      <c r="V542" s="522"/>
      <c r="X542" s="4"/>
    </row>
    <row r="543" spans="1:24" s="8" customFormat="1" ht="16.5" customHeight="1">
      <c r="A543" s="521"/>
      <c r="B543" s="167"/>
      <c r="C543" s="165"/>
      <c r="E543" s="513" t="s">
        <v>1304</v>
      </c>
      <c r="F543" s="523"/>
      <c r="G543" s="977">
        <f>_xlfn.IFNA(IF(VLOOKUP($B534,'PY1 TFR ADA'!$F:$AU,MATCH("B-1.5",'PY1 TFR ADA'!$F$5:$AU$5,0),FALSE)=TRUE,IF(VLOOKUP($B534,'PY1 TFR ADA'!$F:$AU,MATCH("C-1",'PY1 TFR ADA'!$F$5:$AU$5,0),FALSE)=TRUE,"Alternative Rate","LCFF Rate"),"LCFF Rate"),0)</f>
        <v>0</v>
      </c>
      <c r="H543" s="523"/>
      <c r="I543" s="977">
        <f>_xlfn.IFNA(IF(VLOOKUP($B534,'PY1 TFR ADA'!$F:$AU,MATCH("B-2.5",'PY1 TFR ADA'!$F$5:$AU$5,0),FALSE)=TRUE,IF(VLOOKUP($B534,'PY1 TFR ADA'!$F:$AU,MATCH("C-1",'PY1 TFR ADA'!$F$5:$AU$5,0),FALSE)=TRUE,"Alternative Rate","LCFF Rate"),"LCFF Rate"),0)</f>
        <v>0</v>
      </c>
      <c r="J543" s="523"/>
      <c r="K543" s="977">
        <f>_xlfn.IFNA(IF(VLOOKUP($B534,'PY1 TFR ADA'!$F:$AU,MATCH("B-3.5",'PY1 TFR ADA'!$F$5:$AU$5,0),FALSE)=TRUE,IF(VLOOKUP($B534,'PY1 TFR ADA'!$F:$AU,MATCH("C-1",'PY1 TFR ADA'!$F$5:$AU$5,0),FALSE)=TRUE,"Alternative Rate","LCFF Rate"),"LCFF Rate"),0)</f>
        <v>0</v>
      </c>
      <c r="L543" s="523"/>
      <c r="M543" s="977">
        <f>_xlfn.IFNA(IF(VLOOKUP($B534,'PY1 TFR ADA'!$F:$AU,MATCH("B-4.5",'PY1 TFR ADA'!$F$5:$AU$5,0),FALSE)=TRUE,IF(VLOOKUP($B534,'PY1 TFR ADA'!$F:$AU,MATCH("C-1",'PY1 TFR ADA'!$F$5:$AU$5,0),FALSE)=TRUE,"Alternative Rate","LCFF Rate"),"LCFF Rate"),0)</f>
        <v>0</v>
      </c>
      <c r="N543" s="523"/>
      <c r="O543" s="977">
        <f>_xlfn.IFNA(IF(VLOOKUP($B534,'PY1 TFR ADA'!$F:$AU,MATCH("B-5.5",'PY1 TFR ADA'!$F$5:$AU$5,0),FALSE)=TRUE,IF(VLOOKUP($B534,'PY1 TFR ADA'!$F:$AU,MATCH("C-1",'PY1 TFR ADA'!$F$5:$AU$5,0),FALSE)=TRUE,"Alternative Rate","LCFF Rate"),"LCFF Rate"),0)</f>
        <v>0</v>
      </c>
      <c r="P543" s="523"/>
      <c r="Q543" s="977">
        <f>_xlfn.IFNA(IF(VLOOKUP($B534,'PY1 TFR ADA'!$F:$AU,MATCH("B-6.5",'PY1 TFR ADA'!$F$5:$AU$5,0),FALSE)=TRUE,IF(VLOOKUP($B534,'PY1 TFR ADA'!$F:$AU,MATCH("C-1",'PY1 TFR ADA'!$F$5:$AU$5,0),FALSE)=TRUE,"Alternative Rate","LCFF Rate"),"LCFF Rate"),0)</f>
        <v>0</v>
      </c>
      <c r="R543" s="167"/>
      <c r="S543" s="520"/>
      <c r="T543" s="167"/>
      <c r="U543" s="528"/>
      <c r="V543" s="522"/>
      <c r="X543" s="283"/>
    </row>
    <row r="544" spans="1:24" s="8" customFormat="1" ht="8.25" customHeight="1">
      <c r="A544" s="521"/>
      <c r="B544" s="167"/>
      <c r="C544" s="165"/>
      <c r="D544" s="523"/>
      <c r="E544" s="165"/>
      <c r="F544" s="523"/>
      <c r="G544" s="520"/>
      <c r="H544" s="523"/>
      <c r="I544" s="520"/>
      <c r="J544" s="523"/>
      <c r="K544" s="520"/>
      <c r="L544" s="523"/>
      <c r="M544" s="520"/>
      <c r="N544" s="523"/>
      <c r="O544" s="520"/>
      <c r="P544" s="523"/>
      <c r="Q544" s="520"/>
      <c r="R544" s="167"/>
      <c r="S544" s="520"/>
      <c r="T544" s="167"/>
      <c r="U544" s="528"/>
      <c r="V544" s="522"/>
      <c r="X544" s="4"/>
    </row>
    <row r="545" spans="1:24" s="8" customFormat="1" ht="16.8">
      <c r="A545" s="521"/>
      <c r="B545" s="2"/>
      <c r="F545" s="523"/>
      <c r="G545" s="535">
        <f t="shared" ref="G545" si="791">IF(G543="LCFF Rate",(G536*C536+G537*C537+G538*C538+G539*C539),(G541*E539))</f>
        <v>0</v>
      </c>
      <c r="H545" s="537"/>
      <c r="I545" s="535">
        <f t="shared" ref="I545" si="792">IF(I543="LCFF Rate",(I536*C536+I537*C537+I538*C538+I539*C539),(I541*E539))</f>
        <v>0</v>
      </c>
      <c r="J545" s="537"/>
      <c r="K545" s="535">
        <f t="shared" ref="K545" si="793">IF(K543="LCFF Rate",(K536*C536+K537*C537+K538*C538+K539*C539),(K541*E539))</f>
        <v>0</v>
      </c>
      <c r="L545" s="537"/>
      <c r="M545" s="535">
        <f t="shared" ref="M545" si="794">IF(M543="LCFF Rate",(M536*C536+M537*C537+M538*C538+M539*C539),(M541*E539))</f>
        <v>0</v>
      </c>
      <c r="N545" s="537"/>
      <c r="O545" s="535">
        <f t="shared" ref="O545" si="795">IF(O543="LCFF Rate",(O536*C536+O537*C537+O538*C538+O539*C539),(O541*E539))</f>
        <v>0</v>
      </c>
      <c r="P545" s="537"/>
      <c r="Q545" s="535">
        <f t="shared" ref="Q545" si="796">IF(Q543="LCFF Rate",(Q536*C536+Q537*C537+Q538*C538+Q539*C539),(Q541*E539))</f>
        <v>0</v>
      </c>
      <c r="R545" s="167"/>
      <c r="S545" s="538">
        <f t="shared" ref="S545" si="797">SUM(G545:Q545)</f>
        <v>0</v>
      </c>
      <c r="T545" s="167"/>
      <c r="U545" s="528"/>
      <c r="V545" s="522"/>
      <c r="X545" s="979"/>
    </row>
    <row r="546" spans="1:24" s="8" customFormat="1" ht="9" customHeight="1" thickBot="1">
      <c r="A546" s="529"/>
      <c r="B546" s="530"/>
      <c r="C546" s="531"/>
      <c r="D546" s="532"/>
      <c r="E546" s="533"/>
      <c r="F546" s="532"/>
      <c r="G546" s="530"/>
      <c r="H546" s="532"/>
      <c r="I546" s="530"/>
      <c r="J546" s="532"/>
      <c r="K546" s="530"/>
      <c r="L546" s="532"/>
      <c r="M546" s="530"/>
      <c r="N546" s="532"/>
      <c r="O546" s="530"/>
      <c r="P546" s="532"/>
      <c r="Q546" s="530"/>
      <c r="R546" s="532"/>
      <c r="S546" s="530"/>
      <c r="T546" s="532"/>
      <c r="U546" s="532"/>
      <c r="V546" s="534"/>
      <c r="X546" s="4"/>
    </row>
    <row r="547" spans="1:24" s="82" customFormat="1" ht="18" customHeight="1" thickBot="1">
      <c r="A547" s="890">
        <f>+A534+1</f>
        <v>42</v>
      </c>
      <c r="B547" s="891" t="str">
        <f>'Data Entry'!$B$3&amp;"-"&amp;C547</f>
        <v>-</v>
      </c>
      <c r="C547" s="891" t="str">
        <f>IFERROR(VLOOKUP('Data Entry'!$B$3&amp;"-"&amp;A547,'PY1 TFR ADA'!$D:$AT,2,FALSE),"")</f>
        <v/>
      </c>
      <c r="D547" s="892" t="str">
        <f>IFERROR(VLOOKUP('Data Entry'!$B$3&amp;"-"&amp;A547,'PY1 TFR ADA'!$D:$AT,4,FALSE),"")</f>
        <v/>
      </c>
      <c r="E547" s="893"/>
      <c r="F547" s="893"/>
      <c r="G547" s="893"/>
      <c r="H547" s="893"/>
      <c r="I547" s="893"/>
      <c r="J547" s="893"/>
      <c r="K547" s="893"/>
      <c r="L547" s="893"/>
      <c r="M547" s="893"/>
      <c r="N547" s="893"/>
      <c r="O547" s="893"/>
      <c r="P547" s="893"/>
      <c r="Q547" s="893"/>
      <c r="R547" s="893"/>
      <c r="S547" s="893"/>
      <c r="T547" s="893"/>
      <c r="U547" s="893"/>
      <c r="V547" s="894"/>
      <c r="X547" s="83"/>
    </row>
    <row r="548" spans="1:24" ht="75" customHeight="1">
      <c r="A548" s="521"/>
      <c r="C548" s="540" t="s">
        <v>1315</v>
      </c>
      <c r="D548" s="512"/>
      <c r="E548" s="540" t="s">
        <v>1316</v>
      </c>
      <c r="F548" s="512"/>
      <c r="G548" s="540" t="s">
        <v>1309</v>
      </c>
      <c r="H548" s="512"/>
      <c r="I548" s="540" t="s">
        <v>1310</v>
      </c>
      <c r="J548" s="512"/>
      <c r="K548" s="540" t="s">
        <v>1311</v>
      </c>
      <c r="L548" s="512"/>
      <c r="M548" s="540" t="s">
        <v>1312</v>
      </c>
      <c r="N548" s="512"/>
      <c r="O548" s="540" t="s">
        <v>1313</v>
      </c>
      <c r="P548" s="512"/>
      <c r="Q548" s="540" t="s">
        <v>1314</v>
      </c>
      <c r="R548" s="167"/>
      <c r="S548" s="540" t="s">
        <v>1308</v>
      </c>
      <c r="T548" s="167"/>
      <c r="U548" s="512" t="s">
        <v>1307</v>
      </c>
      <c r="V548" s="524"/>
      <c r="X548" s="283"/>
    </row>
    <row r="549" spans="1:24" s="8" customFormat="1" ht="14.4">
      <c r="A549" s="521"/>
      <c r="B549" s="510" t="s">
        <v>94</v>
      </c>
      <c r="C549" s="525">
        <f>IFERROR(VLOOKUP($B547,'PY1 TFR ADA'!$F:$AU,MATCH("A-1.1",'PY1 TFR ADA'!$F$5:$AU$5,0),FALSE),0)</f>
        <v>0</v>
      </c>
      <c r="D549" s="167"/>
      <c r="E549" s="525">
        <f>IFERROR(VALUE(VLOOKUP($B547,'PY1 TFR ADA'!$F:$AU,MATCH("A-2.1",'PY1 TFR ADA'!$F$5:$AU$5,0),FALSE)),0)</f>
        <v>0</v>
      </c>
      <c r="F549" s="167"/>
      <c r="G549" s="609">
        <f>IFERROR(VLOOKUP($B547,'PY1 TFR ADA'!$F:$AU,MATCH("b-1.1",'PY1 TFR ADA'!$F$5:$AU$5,0),FALSE),0)</f>
        <v>0</v>
      </c>
      <c r="H549" s="527"/>
      <c r="I549" s="609">
        <f>IFERROR(VLOOKUP($B547,'PY1 TFR ADA'!$F:$AU,MATCH("b-2.1",'PY1 TFR ADA'!$F$5:$AU$5,0),FALSE),0)</f>
        <v>0</v>
      </c>
      <c r="J549" s="527"/>
      <c r="K549" s="609">
        <f>IFERROR(VLOOKUP($B547,'PY1 TFR ADA'!$F:$AU,MATCH("b-3.1",'PY1 TFR ADA'!$F$5:$AU$5,0),FALSE),0)</f>
        <v>0</v>
      </c>
      <c r="L549" s="527"/>
      <c r="M549" s="609">
        <f>IFERROR(VLOOKUP($B547,'PY1 TFR ADA'!$F:$AU,MATCH("b-4.1",'PY1 TFR ADA'!$F$5:$AU$5,0),FALSE),0)</f>
        <v>0</v>
      </c>
      <c r="N549" s="527"/>
      <c r="O549" s="609">
        <f>IFERROR(VLOOKUP($B547,'PY1 TFR ADA'!$F:$AU,MATCH("b-5.1",'PY1 TFR ADA'!$F$5:$AU$5,0),FALSE),0)</f>
        <v>0</v>
      </c>
      <c r="P549" s="527"/>
      <c r="Q549" s="609">
        <f>IFERROR(VLOOKUP($B547,'PY1 TFR ADA'!$F:$AU,MATCH("b-6.1",'PY1 TFR ADA'!$F$5:$AU$5,0),FALSE),0)</f>
        <v>0</v>
      </c>
      <c r="R549" s="551"/>
      <c r="S549" s="601">
        <f t="shared" ref="S549:S552" si="798">SUM(G549:Q549)</f>
        <v>0</v>
      </c>
      <c r="T549" s="551"/>
      <c r="U549" s="536">
        <f t="shared" ref="U549" si="799">ROUND(IF($G556="LCFF Rate",(G549*$C549),(G549*$E549))+IF($I556="LCFF Rate",(I549*$C549),(I549*$E549))+IF($K556="LCFF Rate",(K549*$C549),(K549*$E549))+IF($M556="LCFF Rate",(M549*$C549),(M549*$E549))+IF($O556="LCFF Rate",(O549*$C549),(O549*$E549))+IF($Q556="LCFF Rate",(Q549*$C549),(Q549*$E549)),0)</f>
        <v>0</v>
      </c>
      <c r="V549" s="524"/>
      <c r="X549" s="496"/>
    </row>
    <row r="550" spans="1:24" s="8" customFormat="1" ht="14.4">
      <c r="A550" s="521"/>
      <c r="B550" s="510" t="s">
        <v>2</v>
      </c>
      <c r="C550" s="525">
        <f>IFERROR(VLOOKUP($B547,'PY1 TFR ADA'!$F:$AU,MATCH("A-1.2",'PY1 TFR ADA'!$F$5:$AU$5,0),FALSE),0)</f>
        <v>0</v>
      </c>
      <c r="D550" s="167"/>
      <c r="E550" s="525">
        <f>IFERROR(VALUE(VLOOKUP($B547,'PY1 TFR ADA'!$F:$AU,MATCH("A-2.2",'PY1 TFR ADA'!$F$5:$AU$5,0),FALSE)),0)</f>
        <v>0</v>
      </c>
      <c r="F550" s="167"/>
      <c r="G550" s="609">
        <f>IFERROR(VLOOKUP($B547,'PY1 TFR ADA'!$F:$AU,MATCH("b-1.2",'PY1 TFR ADA'!$F$5:$AU$5,0),FALSE),0)</f>
        <v>0</v>
      </c>
      <c r="H550" s="527"/>
      <c r="I550" s="609">
        <f>IFERROR(VLOOKUP($B547,'PY1 TFR ADA'!$F:$AU,MATCH("b-2.2",'PY1 TFR ADA'!$F$5:$AU$5,0),FALSE),0)</f>
        <v>0</v>
      </c>
      <c r="J550" s="527"/>
      <c r="K550" s="609">
        <f>IFERROR(VLOOKUP($B547,'PY1 TFR ADA'!$F:$AU,MATCH("b-3.2",'PY1 TFR ADA'!$F$5:$AU$5,0),FALSE),0)</f>
        <v>0</v>
      </c>
      <c r="L550" s="527"/>
      <c r="M550" s="609">
        <f>IFERROR(VLOOKUP($B547,'PY1 TFR ADA'!$F:$AU,MATCH("b-4.2",'PY1 TFR ADA'!$F$5:$AU$5,0),FALSE),0)</f>
        <v>0</v>
      </c>
      <c r="N550" s="527"/>
      <c r="O550" s="609">
        <f>IFERROR(VLOOKUP($B547,'PY1 TFR ADA'!$F:$AU,MATCH("b-5.2",'PY1 TFR ADA'!$F$5:$AU$5,0),FALSE),0)</f>
        <v>0</v>
      </c>
      <c r="P550" s="527"/>
      <c r="Q550" s="609">
        <f>IFERROR(VLOOKUP($B547,'PY1 TFR ADA'!$F:$AU,MATCH("b-6.2",'PY1 TFR ADA'!$F$5:$AU$5,0),FALSE),0)</f>
        <v>0</v>
      </c>
      <c r="R550" s="551"/>
      <c r="S550" s="601">
        <f t="shared" si="798"/>
        <v>0</v>
      </c>
      <c r="T550" s="551"/>
      <c r="U550" s="536">
        <f t="shared" ref="U550" si="800">ROUND(IF($G556="LCFF Rate",(G550*$C550),(G550*$E550))+IF($I556="LCFF Rate",(I550*$C550),(I550*$E550))+IF($K556="LCFF Rate",(K550*$C550),(K550*$E550))+IF($M556="LCFF Rate",(M550*$C550),(M550*$E550))+IF($O556="LCFF Rate",(O550*$C550),(O550*$E550))+IF($Q556="LCFF Rate",(Q550*$C550),(Q550*$E550)),0)</f>
        <v>0</v>
      </c>
      <c r="V550" s="524"/>
      <c r="X550" s="4"/>
    </row>
    <row r="551" spans="1:24" s="8" customFormat="1" ht="14.4">
      <c r="A551" s="521"/>
      <c r="B551" s="510" t="s">
        <v>3</v>
      </c>
      <c r="C551" s="525">
        <f>IFERROR(VLOOKUP($B547,'PY1 TFR ADA'!$F:$AU,MATCH("A-1.3",'PY1 TFR ADA'!$F$5:$AU$5,0),FALSE),0)</f>
        <v>0</v>
      </c>
      <c r="D551" s="167"/>
      <c r="E551" s="525">
        <f>IFERROR(VALUE(VLOOKUP($B547,'PY1 TFR ADA'!$F:$AU,MATCH("A-2.3",'PY1 TFR ADA'!$F$5:$AU$5,0),FALSE)),0)</f>
        <v>0</v>
      </c>
      <c r="F551" s="167"/>
      <c r="G551" s="609">
        <f>IFERROR(VLOOKUP($B547,'PY1 TFR ADA'!$F:$AU,MATCH("b-1.3",'PY1 TFR ADA'!$F$5:$AU$5,0),FALSE),0)</f>
        <v>0</v>
      </c>
      <c r="H551" s="527"/>
      <c r="I551" s="609">
        <f>IFERROR(VLOOKUP($B547,'PY1 TFR ADA'!$F:$AU,MATCH("b-2.3",'PY1 TFR ADA'!$F$5:$AU$5,0),FALSE),0)</f>
        <v>0</v>
      </c>
      <c r="J551" s="527"/>
      <c r="K551" s="609">
        <f>IFERROR(VLOOKUP($B547,'PY1 TFR ADA'!$F:$AU,MATCH("b-3.3",'PY1 TFR ADA'!$F$5:$AU$5,0),FALSE),0)</f>
        <v>0</v>
      </c>
      <c r="L551" s="527"/>
      <c r="M551" s="609">
        <f>IFERROR(VLOOKUP($B547,'PY1 TFR ADA'!$F:$AU,MATCH("b-4.3",'PY1 TFR ADA'!$F$5:$AU$5,0),FALSE),0)</f>
        <v>0</v>
      </c>
      <c r="N551" s="527"/>
      <c r="O551" s="609">
        <f>IFERROR(VLOOKUP($B547,'PY1 TFR ADA'!$F:$AU,MATCH("b-5.3",'PY1 TFR ADA'!$F$5:$AU$5,0),FALSE),0)</f>
        <v>0</v>
      </c>
      <c r="P551" s="527"/>
      <c r="Q551" s="609">
        <f>IFERROR(VLOOKUP($B547,'PY1 TFR ADA'!$F:$AU,MATCH("b-6.3",'PY1 TFR ADA'!$F$5:$AU$5,0),FALSE),0)</f>
        <v>0</v>
      </c>
      <c r="R551" s="551"/>
      <c r="S551" s="601">
        <f t="shared" si="798"/>
        <v>0</v>
      </c>
      <c r="T551" s="551"/>
      <c r="U551" s="536">
        <f t="shared" ref="U551" si="801">ROUND(IF($G556="LCFF Rate",(G551*$C551),(G551*$E551))+IF($I556="LCFF Rate",(I551*$C551),(I551*$E551))+IF($K556="LCFF Rate",(K551*$C551),(K551*$E551))+IF($M556="LCFF Rate",(M551*$C551),(M551*$E551))+IF($O556="LCFF Rate",(O551*$C551),(O551*$E551))+IF($Q556="LCFF Rate",(Q551*$C551),(Q551*$E551)),0)</f>
        <v>0</v>
      </c>
      <c r="V551" s="524"/>
      <c r="X551" s="4"/>
    </row>
    <row r="552" spans="1:24" s="8" customFormat="1" ht="14.4">
      <c r="A552" s="526"/>
      <c r="B552" s="510" t="s">
        <v>4</v>
      </c>
      <c r="C552" s="525">
        <f>IFERROR(VLOOKUP($B547,'PY1 TFR ADA'!$F:$AU,MATCH("A-1.4",'PY1 TFR ADA'!$F$5:$AU$5,0),FALSE),0)</f>
        <v>0</v>
      </c>
      <c r="D552" s="523"/>
      <c r="E552" s="525">
        <f>IFERROR(VALUE(VLOOKUP($B547,'PY1 TFR ADA'!$F:$AU,MATCH("A-2.4",'PY1 TFR ADA'!$F$5:$AU$5,0),FALSE)),0)</f>
        <v>0</v>
      </c>
      <c r="F552" s="523"/>
      <c r="G552" s="609">
        <f>IFERROR(VLOOKUP($B547,'PY1 TFR ADA'!$F:$AU,MATCH("b-1.4",'PY1 TFR ADA'!$F$5:$AU$5,0),FALSE),0)</f>
        <v>0</v>
      </c>
      <c r="H552" s="527"/>
      <c r="I552" s="609">
        <f>IFERROR(VLOOKUP($B547,'PY1 TFR ADA'!$F:$AU,MATCH("b-2.4",'PY1 TFR ADA'!$F$5:$AU$5,0),FALSE),0)</f>
        <v>0</v>
      </c>
      <c r="J552" s="527"/>
      <c r="K552" s="609">
        <f>IFERROR(VLOOKUP($B547,'PY1 TFR ADA'!$F:$AU,MATCH("b-3.4",'PY1 TFR ADA'!$F$5:$AU$5,0),FALSE),0)</f>
        <v>0</v>
      </c>
      <c r="L552" s="527"/>
      <c r="M552" s="609">
        <f>IFERROR(VLOOKUP($B547,'PY1 TFR ADA'!$F:$AU,MATCH("b-4.4",'PY1 TFR ADA'!$F$5:$AU$5,0),FALSE),0)</f>
        <v>0</v>
      </c>
      <c r="N552" s="527"/>
      <c r="O552" s="609">
        <f>IFERROR(VLOOKUP($B547,'PY1 TFR ADA'!$F:$AU,MATCH("b-5.4",'PY1 TFR ADA'!$F$5:$AU$5,0),FALSE),0)</f>
        <v>0</v>
      </c>
      <c r="P552" s="527"/>
      <c r="Q552" s="609">
        <f>IFERROR(VLOOKUP($B547,'PY1 TFR ADA'!$F:$AU,MATCH("b-6.4",'PY1 TFR ADA'!$F$5:$AU$5,0),FALSE),0)</f>
        <v>0</v>
      </c>
      <c r="R552" s="551"/>
      <c r="S552" s="601">
        <f t="shared" si="798"/>
        <v>0</v>
      </c>
      <c r="T552" s="551"/>
      <c r="U552" s="536">
        <f t="shared" ref="U552" si="802">ROUND(IF($G556="LCFF Rate",(G552*$C552),(G552*$E552))+IF($I556="LCFF Rate",(I552*$C552),(I552*$E552))+IF($K556="LCFF Rate",(K552*$C552),(K552*$E552))+IF($M556="LCFF Rate",(M552*$C552),(M552*$E552))+IF($O556="LCFF Rate",(O552*$C552),(O552*$E552))+IF($Q556="LCFF Rate",(Q552*$C552),(Q552*$E552)),0)</f>
        <v>0</v>
      </c>
      <c r="V552" s="522"/>
      <c r="X552" s="496"/>
    </row>
    <row r="553" spans="1:24" s="8" customFormat="1" ht="8.25" customHeight="1">
      <c r="A553" s="521"/>
      <c r="B553" s="167"/>
      <c r="C553" s="165"/>
      <c r="D553" s="523"/>
      <c r="E553" s="165"/>
      <c r="F553" s="523"/>
      <c r="G553" s="520"/>
      <c r="H553" s="523"/>
      <c r="I553" s="520"/>
      <c r="J553" s="523"/>
      <c r="K553" s="520"/>
      <c r="L553" s="523"/>
      <c r="M553" s="520"/>
      <c r="N553" s="523"/>
      <c r="O553" s="520"/>
      <c r="P553" s="523"/>
      <c r="Q553" s="520"/>
      <c r="R553" s="167"/>
      <c r="S553" s="520"/>
      <c r="T553" s="167"/>
      <c r="U553" s="602"/>
      <c r="V553" s="522"/>
      <c r="X553" s="4"/>
    </row>
    <row r="554" spans="1:24" s="8" customFormat="1" ht="14.4">
      <c r="A554" s="521"/>
      <c r="B554" s="167"/>
      <c r="C554" s="165"/>
      <c r="D554" s="523"/>
      <c r="E554" s="513" t="s">
        <v>1317</v>
      </c>
      <c r="F554" s="523"/>
      <c r="G554" s="601">
        <f t="shared" ref="G554" si="803">SUM(G549:G552)</f>
        <v>0</v>
      </c>
      <c r="H554" s="527"/>
      <c r="I554" s="601">
        <f t="shared" ref="I554" si="804">SUM(I549:I552)</f>
        <v>0</v>
      </c>
      <c r="J554" s="527"/>
      <c r="K554" s="601">
        <f t="shared" ref="K554" si="805">SUM(K549:K552)</f>
        <v>0</v>
      </c>
      <c r="L554" s="527"/>
      <c r="M554" s="601">
        <f t="shared" ref="M554" si="806">SUM(M549:M552)</f>
        <v>0</v>
      </c>
      <c r="N554" s="527"/>
      <c r="O554" s="601">
        <f t="shared" ref="O554" si="807">SUM(O549:O552)</f>
        <v>0</v>
      </c>
      <c r="P554" s="527"/>
      <c r="Q554" s="601">
        <f t="shared" ref="Q554" si="808">SUM(Q549:Q552)</f>
        <v>0</v>
      </c>
      <c r="R554" s="527"/>
      <c r="S554" s="601">
        <f t="shared" ref="S554" si="809">SUM(S549:S552)</f>
        <v>0</v>
      </c>
      <c r="T554" s="527"/>
      <c r="U554" s="536">
        <f t="shared" ref="U554" si="810">SUM(U549:U552)</f>
        <v>0</v>
      </c>
      <c r="V554" s="522"/>
      <c r="X554" s="4"/>
    </row>
    <row r="555" spans="1:24" s="8" customFormat="1" ht="8.25" customHeight="1">
      <c r="A555" s="521"/>
      <c r="B555" s="167"/>
      <c r="C555" s="165"/>
      <c r="D555" s="523"/>
      <c r="E555" s="165"/>
      <c r="F555" s="523"/>
      <c r="G555" s="520"/>
      <c r="H555" s="523"/>
      <c r="I555" s="520"/>
      <c r="J555" s="523"/>
      <c r="K555" s="520"/>
      <c r="L555" s="523"/>
      <c r="M555" s="520"/>
      <c r="N555" s="523"/>
      <c r="O555" s="520"/>
      <c r="P555" s="523"/>
      <c r="Q555" s="520"/>
      <c r="R555" s="167"/>
      <c r="S555" s="520"/>
      <c r="T555" s="167"/>
      <c r="U555" s="528"/>
      <c r="V555" s="522"/>
      <c r="X555" s="4"/>
    </row>
    <row r="556" spans="1:24" s="8" customFormat="1" ht="16.5" customHeight="1">
      <c r="A556" s="521"/>
      <c r="B556" s="167"/>
      <c r="C556" s="165"/>
      <c r="E556" s="513" t="s">
        <v>1304</v>
      </c>
      <c r="F556" s="523"/>
      <c r="G556" s="977">
        <f>_xlfn.IFNA(IF(VLOOKUP($B547,'PY1 TFR ADA'!$F:$AU,MATCH("B-1.5",'PY1 TFR ADA'!$F$5:$AU$5,0),FALSE)=TRUE,IF(VLOOKUP($B547,'PY1 TFR ADA'!$F:$AU,MATCH("C-1",'PY1 TFR ADA'!$F$5:$AU$5,0),FALSE)=TRUE,"Alternative Rate","LCFF Rate"),"LCFF Rate"),0)</f>
        <v>0</v>
      </c>
      <c r="H556" s="523"/>
      <c r="I556" s="977">
        <f>_xlfn.IFNA(IF(VLOOKUP($B547,'PY1 TFR ADA'!$F:$AU,MATCH("B-2.5",'PY1 TFR ADA'!$F$5:$AU$5,0),FALSE)=TRUE,IF(VLOOKUP($B547,'PY1 TFR ADA'!$F:$AU,MATCH("C-1",'PY1 TFR ADA'!$F$5:$AU$5,0),FALSE)=TRUE,"Alternative Rate","LCFF Rate"),"LCFF Rate"),0)</f>
        <v>0</v>
      </c>
      <c r="J556" s="523"/>
      <c r="K556" s="977">
        <f>_xlfn.IFNA(IF(VLOOKUP($B547,'PY1 TFR ADA'!$F:$AU,MATCH("B-3.5",'PY1 TFR ADA'!$F$5:$AU$5,0),FALSE)=TRUE,IF(VLOOKUP($B547,'PY1 TFR ADA'!$F:$AU,MATCH("C-1",'PY1 TFR ADA'!$F$5:$AU$5,0),FALSE)=TRUE,"Alternative Rate","LCFF Rate"),"LCFF Rate"),0)</f>
        <v>0</v>
      </c>
      <c r="L556" s="523"/>
      <c r="M556" s="977">
        <f>_xlfn.IFNA(IF(VLOOKUP($B547,'PY1 TFR ADA'!$F:$AU,MATCH("B-4.5",'PY1 TFR ADA'!$F$5:$AU$5,0),FALSE)=TRUE,IF(VLOOKUP($B547,'PY1 TFR ADA'!$F:$AU,MATCH("C-1",'PY1 TFR ADA'!$F$5:$AU$5,0),FALSE)=TRUE,"Alternative Rate","LCFF Rate"),"LCFF Rate"),0)</f>
        <v>0</v>
      </c>
      <c r="N556" s="523"/>
      <c r="O556" s="977">
        <f>_xlfn.IFNA(IF(VLOOKUP($B547,'PY1 TFR ADA'!$F:$AU,MATCH("B-5.5",'PY1 TFR ADA'!$F$5:$AU$5,0),FALSE)=TRUE,IF(VLOOKUP($B547,'PY1 TFR ADA'!$F:$AU,MATCH("C-1",'PY1 TFR ADA'!$F$5:$AU$5,0),FALSE)=TRUE,"Alternative Rate","LCFF Rate"),"LCFF Rate"),0)</f>
        <v>0</v>
      </c>
      <c r="P556" s="523"/>
      <c r="Q556" s="977">
        <f>_xlfn.IFNA(IF(VLOOKUP($B547,'PY1 TFR ADA'!$F:$AU,MATCH("B-6.5",'PY1 TFR ADA'!$F$5:$AU$5,0),FALSE)=TRUE,IF(VLOOKUP($B547,'PY1 TFR ADA'!$F:$AU,MATCH("C-1",'PY1 TFR ADA'!$F$5:$AU$5,0),FALSE)=TRUE,"Alternative Rate","LCFF Rate"),"LCFF Rate"),0)</f>
        <v>0</v>
      </c>
      <c r="R556" s="167"/>
      <c r="S556" s="520"/>
      <c r="T556" s="167"/>
      <c r="U556" s="528"/>
      <c r="V556" s="522"/>
      <c r="X556" s="283"/>
    </row>
    <row r="557" spans="1:24" s="8" customFormat="1" ht="8.25" customHeight="1">
      <c r="A557" s="521"/>
      <c r="B557" s="167"/>
      <c r="C557" s="165"/>
      <c r="D557" s="523"/>
      <c r="E557" s="165"/>
      <c r="F557" s="523"/>
      <c r="G557" s="520"/>
      <c r="H557" s="523"/>
      <c r="I557" s="520"/>
      <c r="J557" s="523"/>
      <c r="K557" s="520"/>
      <c r="L557" s="523"/>
      <c r="M557" s="520"/>
      <c r="N557" s="523"/>
      <c r="O557" s="520"/>
      <c r="P557" s="523"/>
      <c r="Q557" s="520"/>
      <c r="R557" s="167"/>
      <c r="S557" s="520"/>
      <c r="T557" s="167"/>
      <c r="U557" s="528"/>
      <c r="V557" s="522"/>
      <c r="X557" s="4"/>
    </row>
    <row r="558" spans="1:24" s="8" customFormat="1" ht="16.8">
      <c r="A558" s="521"/>
      <c r="B558" s="2"/>
      <c r="F558" s="523"/>
      <c r="G558" s="535">
        <f t="shared" ref="G558" si="811">IF(G556="LCFF Rate",(G549*C549+G550*C550+G551*C551+G552*C552),(G554*E552))</f>
        <v>0</v>
      </c>
      <c r="H558" s="537"/>
      <c r="I558" s="535">
        <f t="shared" ref="I558" si="812">IF(I556="LCFF Rate",(I549*C549+I550*C550+I551*C551+I552*C552),(I554*E552))</f>
        <v>0</v>
      </c>
      <c r="J558" s="537"/>
      <c r="K558" s="535">
        <f t="shared" ref="K558" si="813">IF(K556="LCFF Rate",(K549*C549+K550*C550+K551*C551+K552*C552),(K554*E552))</f>
        <v>0</v>
      </c>
      <c r="L558" s="537"/>
      <c r="M558" s="535">
        <f t="shared" ref="M558" si="814">IF(M556="LCFF Rate",(M549*C549+M550*C550+M551*C551+M552*C552),(M554*E552))</f>
        <v>0</v>
      </c>
      <c r="N558" s="537"/>
      <c r="O558" s="535">
        <f t="shared" ref="O558" si="815">IF(O556="LCFF Rate",(O549*C549+O550*C550+O551*C551+O552*C552),(O554*E552))</f>
        <v>0</v>
      </c>
      <c r="P558" s="537"/>
      <c r="Q558" s="535">
        <f t="shared" ref="Q558" si="816">IF(Q556="LCFF Rate",(Q549*C549+Q550*C550+Q551*C551+Q552*C552),(Q554*E552))</f>
        <v>0</v>
      </c>
      <c r="R558" s="167"/>
      <c r="S558" s="538">
        <f t="shared" ref="S558" si="817">SUM(G558:Q558)</f>
        <v>0</v>
      </c>
      <c r="T558" s="167"/>
      <c r="U558" s="528"/>
      <c r="V558" s="522"/>
      <c r="X558" s="979"/>
    </row>
    <row r="559" spans="1:24" s="8" customFormat="1" ht="9" customHeight="1" thickBot="1">
      <c r="A559" s="529"/>
      <c r="B559" s="530"/>
      <c r="C559" s="531"/>
      <c r="D559" s="532"/>
      <c r="E559" s="533"/>
      <c r="F559" s="532"/>
      <c r="G559" s="530"/>
      <c r="H559" s="532"/>
      <c r="I559" s="530"/>
      <c r="J559" s="532"/>
      <c r="K559" s="530"/>
      <c r="L559" s="532"/>
      <c r="M559" s="530"/>
      <c r="N559" s="532"/>
      <c r="O559" s="530"/>
      <c r="P559" s="532"/>
      <c r="Q559" s="530"/>
      <c r="R559" s="532"/>
      <c r="S559" s="530"/>
      <c r="T559" s="532"/>
      <c r="U559" s="532"/>
      <c r="V559" s="534"/>
      <c r="X559" s="4"/>
    </row>
    <row r="560" spans="1:24" s="82" customFormat="1" ht="18" customHeight="1" thickBot="1">
      <c r="A560" s="890">
        <f>+A547+1</f>
        <v>43</v>
      </c>
      <c r="B560" s="891" t="str">
        <f>'Data Entry'!$B$3&amp;"-"&amp;C560</f>
        <v>-</v>
      </c>
      <c r="C560" s="891" t="str">
        <f>IFERROR(VLOOKUP('Data Entry'!$B$3&amp;"-"&amp;A560,'PY1 TFR ADA'!$D:$AT,2,FALSE),"")</f>
        <v/>
      </c>
      <c r="D560" s="892" t="str">
        <f>IFERROR(VLOOKUP('Data Entry'!$B$3&amp;"-"&amp;A560,'PY1 TFR ADA'!$D:$AT,4,FALSE),"")</f>
        <v/>
      </c>
      <c r="E560" s="893"/>
      <c r="F560" s="893"/>
      <c r="G560" s="893"/>
      <c r="H560" s="893"/>
      <c r="I560" s="893"/>
      <c r="J560" s="893"/>
      <c r="K560" s="893"/>
      <c r="L560" s="893"/>
      <c r="M560" s="893"/>
      <c r="N560" s="893"/>
      <c r="O560" s="893"/>
      <c r="P560" s="893"/>
      <c r="Q560" s="893"/>
      <c r="R560" s="893"/>
      <c r="S560" s="893"/>
      <c r="T560" s="893"/>
      <c r="U560" s="893"/>
      <c r="V560" s="894"/>
      <c r="X560" s="83"/>
    </row>
    <row r="561" spans="1:24" ht="75" customHeight="1">
      <c r="A561" s="521"/>
      <c r="C561" s="540" t="s">
        <v>1315</v>
      </c>
      <c r="D561" s="512"/>
      <c r="E561" s="540" t="s">
        <v>1316</v>
      </c>
      <c r="F561" s="512"/>
      <c r="G561" s="540" t="s">
        <v>1309</v>
      </c>
      <c r="H561" s="512"/>
      <c r="I561" s="540" t="s">
        <v>1310</v>
      </c>
      <c r="J561" s="512"/>
      <c r="K561" s="540" t="s">
        <v>1311</v>
      </c>
      <c r="L561" s="512"/>
      <c r="M561" s="540" t="s">
        <v>1312</v>
      </c>
      <c r="N561" s="512"/>
      <c r="O561" s="540" t="s">
        <v>1313</v>
      </c>
      <c r="P561" s="512"/>
      <c r="Q561" s="540" t="s">
        <v>1314</v>
      </c>
      <c r="R561" s="167"/>
      <c r="S561" s="540" t="s">
        <v>1308</v>
      </c>
      <c r="T561" s="167"/>
      <c r="U561" s="512" t="s">
        <v>1307</v>
      </c>
      <c r="V561" s="524"/>
      <c r="X561" s="283"/>
    </row>
    <row r="562" spans="1:24" s="8" customFormat="1" ht="14.4">
      <c r="A562" s="521"/>
      <c r="B562" s="510" t="s">
        <v>94</v>
      </c>
      <c r="C562" s="525">
        <f>IFERROR(VLOOKUP($B560,'PY1 TFR ADA'!$F:$AU,MATCH("A-1.1",'PY1 TFR ADA'!$F$5:$AU$5,0),FALSE),0)</f>
        <v>0</v>
      </c>
      <c r="D562" s="167"/>
      <c r="E562" s="525">
        <f>IFERROR(VALUE(VLOOKUP($B560,'PY1 TFR ADA'!$F:$AU,MATCH("A-2.1",'PY1 TFR ADA'!$F$5:$AU$5,0),FALSE)),0)</f>
        <v>0</v>
      </c>
      <c r="F562" s="167"/>
      <c r="G562" s="609">
        <f>IFERROR(VLOOKUP($B560,'PY1 TFR ADA'!$F:$AU,MATCH("b-1.1",'PY1 TFR ADA'!$F$5:$AU$5,0),FALSE),0)</f>
        <v>0</v>
      </c>
      <c r="H562" s="527"/>
      <c r="I562" s="609">
        <f>IFERROR(VLOOKUP($B560,'PY1 TFR ADA'!$F:$AU,MATCH("b-2.1",'PY1 TFR ADA'!$F$5:$AU$5,0),FALSE),0)</f>
        <v>0</v>
      </c>
      <c r="J562" s="527"/>
      <c r="K562" s="609">
        <f>IFERROR(VLOOKUP($B560,'PY1 TFR ADA'!$F:$AU,MATCH("b-3.1",'PY1 TFR ADA'!$F$5:$AU$5,0),FALSE),0)</f>
        <v>0</v>
      </c>
      <c r="L562" s="527"/>
      <c r="M562" s="609">
        <f>IFERROR(VLOOKUP($B560,'PY1 TFR ADA'!$F:$AU,MATCH("b-4.1",'PY1 TFR ADA'!$F$5:$AU$5,0),FALSE),0)</f>
        <v>0</v>
      </c>
      <c r="N562" s="527"/>
      <c r="O562" s="609">
        <f>IFERROR(VLOOKUP($B560,'PY1 TFR ADA'!$F:$AU,MATCH("b-5.1",'PY1 TFR ADA'!$F$5:$AU$5,0),FALSE),0)</f>
        <v>0</v>
      </c>
      <c r="P562" s="527"/>
      <c r="Q562" s="609">
        <f>IFERROR(VLOOKUP($B560,'PY1 TFR ADA'!$F:$AU,MATCH("b-6.1",'PY1 TFR ADA'!$F$5:$AU$5,0),FALSE),0)</f>
        <v>0</v>
      </c>
      <c r="R562" s="551"/>
      <c r="S562" s="601">
        <f t="shared" ref="S562:S565" si="818">SUM(G562:Q562)</f>
        <v>0</v>
      </c>
      <c r="T562" s="551"/>
      <c r="U562" s="536">
        <f t="shared" ref="U562" si="819">ROUND(IF($G569="LCFF Rate",(G562*$C562),(G562*$E562))+IF($I569="LCFF Rate",(I562*$C562),(I562*$E562))+IF($K569="LCFF Rate",(K562*$C562),(K562*$E562))+IF($M569="LCFF Rate",(M562*$C562),(M562*$E562))+IF($O569="LCFF Rate",(O562*$C562),(O562*$E562))+IF($Q569="LCFF Rate",(Q562*$C562),(Q562*$E562)),0)</f>
        <v>0</v>
      </c>
      <c r="V562" s="524"/>
      <c r="X562" s="496"/>
    </row>
    <row r="563" spans="1:24" s="8" customFormat="1" ht="14.4">
      <c r="A563" s="521"/>
      <c r="B563" s="510" t="s">
        <v>2</v>
      </c>
      <c r="C563" s="525">
        <f>IFERROR(VLOOKUP($B560,'PY1 TFR ADA'!$F:$AU,MATCH("A-1.2",'PY1 TFR ADA'!$F$5:$AU$5,0),FALSE),0)</f>
        <v>0</v>
      </c>
      <c r="D563" s="167"/>
      <c r="E563" s="525">
        <f>IFERROR(VALUE(VLOOKUP($B560,'PY1 TFR ADA'!$F:$AU,MATCH("A-2.2",'PY1 TFR ADA'!$F$5:$AU$5,0),FALSE)),0)</f>
        <v>0</v>
      </c>
      <c r="F563" s="167"/>
      <c r="G563" s="609">
        <f>IFERROR(VLOOKUP($B560,'PY1 TFR ADA'!$F:$AU,MATCH("b-1.2",'PY1 TFR ADA'!$F$5:$AU$5,0),FALSE),0)</f>
        <v>0</v>
      </c>
      <c r="H563" s="527"/>
      <c r="I563" s="609">
        <f>IFERROR(VLOOKUP($B560,'PY1 TFR ADA'!$F:$AU,MATCH("b-2.2",'PY1 TFR ADA'!$F$5:$AU$5,0),FALSE),0)</f>
        <v>0</v>
      </c>
      <c r="J563" s="527"/>
      <c r="K563" s="609">
        <f>IFERROR(VLOOKUP($B560,'PY1 TFR ADA'!$F:$AU,MATCH("b-3.2",'PY1 TFR ADA'!$F$5:$AU$5,0),FALSE),0)</f>
        <v>0</v>
      </c>
      <c r="L563" s="527"/>
      <c r="M563" s="609">
        <f>IFERROR(VLOOKUP($B560,'PY1 TFR ADA'!$F:$AU,MATCH("b-4.2",'PY1 TFR ADA'!$F$5:$AU$5,0),FALSE),0)</f>
        <v>0</v>
      </c>
      <c r="N563" s="527"/>
      <c r="O563" s="609">
        <f>IFERROR(VLOOKUP($B560,'PY1 TFR ADA'!$F:$AU,MATCH("b-5.2",'PY1 TFR ADA'!$F$5:$AU$5,0),FALSE),0)</f>
        <v>0</v>
      </c>
      <c r="P563" s="527"/>
      <c r="Q563" s="609">
        <f>IFERROR(VLOOKUP($B560,'PY1 TFR ADA'!$F:$AU,MATCH("b-6.2",'PY1 TFR ADA'!$F$5:$AU$5,0),FALSE),0)</f>
        <v>0</v>
      </c>
      <c r="R563" s="551"/>
      <c r="S563" s="601">
        <f t="shared" si="818"/>
        <v>0</v>
      </c>
      <c r="T563" s="551"/>
      <c r="U563" s="536">
        <f t="shared" ref="U563" si="820">ROUND(IF($G569="LCFF Rate",(G563*$C563),(G563*$E563))+IF($I569="LCFF Rate",(I563*$C563),(I563*$E563))+IF($K569="LCFF Rate",(K563*$C563),(K563*$E563))+IF($M569="LCFF Rate",(M563*$C563),(M563*$E563))+IF($O569="LCFF Rate",(O563*$C563),(O563*$E563))+IF($Q569="LCFF Rate",(Q563*$C563),(Q563*$E563)),0)</f>
        <v>0</v>
      </c>
      <c r="V563" s="524"/>
      <c r="X563" s="4"/>
    </row>
    <row r="564" spans="1:24" s="8" customFormat="1" ht="14.4">
      <c r="A564" s="521"/>
      <c r="B564" s="510" t="s">
        <v>3</v>
      </c>
      <c r="C564" s="525">
        <f>IFERROR(VLOOKUP($B560,'PY1 TFR ADA'!$F:$AU,MATCH("A-1.3",'PY1 TFR ADA'!$F$5:$AU$5,0),FALSE),0)</f>
        <v>0</v>
      </c>
      <c r="D564" s="167"/>
      <c r="E564" s="525">
        <f>IFERROR(VALUE(VLOOKUP($B560,'PY1 TFR ADA'!$F:$AU,MATCH("A-2.3",'PY1 TFR ADA'!$F$5:$AU$5,0),FALSE)),0)</f>
        <v>0</v>
      </c>
      <c r="F564" s="167"/>
      <c r="G564" s="609">
        <f>IFERROR(VLOOKUP($B560,'PY1 TFR ADA'!$F:$AU,MATCH("b-1.3",'PY1 TFR ADA'!$F$5:$AU$5,0),FALSE),0)</f>
        <v>0</v>
      </c>
      <c r="H564" s="527"/>
      <c r="I564" s="609">
        <f>IFERROR(VLOOKUP($B560,'PY1 TFR ADA'!$F:$AU,MATCH("b-2.3",'PY1 TFR ADA'!$F$5:$AU$5,0),FALSE),0)</f>
        <v>0</v>
      </c>
      <c r="J564" s="527"/>
      <c r="K564" s="609">
        <f>IFERROR(VLOOKUP($B560,'PY1 TFR ADA'!$F:$AU,MATCH("b-3.3",'PY1 TFR ADA'!$F$5:$AU$5,0),FALSE),0)</f>
        <v>0</v>
      </c>
      <c r="L564" s="527"/>
      <c r="M564" s="609">
        <f>IFERROR(VLOOKUP($B560,'PY1 TFR ADA'!$F:$AU,MATCH("b-4.3",'PY1 TFR ADA'!$F$5:$AU$5,0),FALSE),0)</f>
        <v>0</v>
      </c>
      <c r="N564" s="527"/>
      <c r="O564" s="609">
        <f>IFERROR(VLOOKUP($B560,'PY1 TFR ADA'!$F:$AU,MATCH("b-5.3",'PY1 TFR ADA'!$F$5:$AU$5,0),FALSE),0)</f>
        <v>0</v>
      </c>
      <c r="P564" s="527"/>
      <c r="Q564" s="609">
        <f>IFERROR(VLOOKUP($B560,'PY1 TFR ADA'!$F:$AU,MATCH("b-6.3",'PY1 TFR ADA'!$F$5:$AU$5,0),FALSE),0)</f>
        <v>0</v>
      </c>
      <c r="R564" s="551"/>
      <c r="S564" s="601">
        <f t="shared" si="818"/>
        <v>0</v>
      </c>
      <c r="T564" s="551"/>
      <c r="U564" s="536">
        <f t="shared" ref="U564" si="821">ROUND(IF($G569="LCFF Rate",(G564*$C564),(G564*$E564))+IF($I569="LCFF Rate",(I564*$C564),(I564*$E564))+IF($K569="LCFF Rate",(K564*$C564),(K564*$E564))+IF($M569="LCFF Rate",(M564*$C564),(M564*$E564))+IF($O569="LCFF Rate",(O564*$C564),(O564*$E564))+IF($Q569="LCFF Rate",(Q564*$C564),(Q564*$E564)),0)</f>
        <v>0</v>
      </c>
      <c r="V564" s="524"/>
      <c r="X564" s="4"/>
    </row>
    <row r="565" spans="1:24" s="8" customFormat="1" ht="14.4">
      <c r="A565" s="526"/>
      <c r="B565" s="510" t="s">
        <v>4</v>
      </c>
      <c r="C565" s="525">
        <f>IFERROR(VLOOKUP($B560,'PY1 TFR ADA'!$F:$AU,MATCH("A-1.4",'PY1 TFR ADA'!$F$5:$AU$5,0),FALSE),0)</f>
        <v>0</v>
      </c>
      <c r="D565" s="523"/>
      <c r="E565" s="525">
        <f>IFERROR(VALUE(VLOOKUP($B560,'PY1 TFR ADA'!$F:$AU,MATCH("A-2.4",'PY1 TFR ADA'!$F$5:$AU$5,0),FALSE)),0)</f>
        <v>0</v>
      </c>
      <c r="F565" s="523"/>
      <c r="G565" s="609">
        <f>IFERROR(VLOOKUP($B560,'PY1 TFR ADA'!$F:$AU,MATCH("b-1.4",'PY1 TFR ADA'!$F$5:$AU$5,0),FALSE),0)</f>
        <v>0</v>
      </c>
      <c r="H565" s="527"/>
      <c r="I565" s="609">
        <f>IFERROR(VLOOKUP($B560,'PY1 TFR ADA'!$F:$AU,MATCH("b-2.4",'PY1 TFR ADA'!$F$5:$AU$5,0),FALSE),0)</f>
        <v>0</v>
      </c>
      <c r="J565" s="527"/>
      <c r="K565" s="609">
        <f>IFERROR(VLOOKUP($B560,'PY1 TFR ADA'!$F:$AU,MATCH("b-3.4",'PY1 TFR ADA'!$F$5:$AU$5,0),FALSE),0)</f>
        <v>0</v>
      </c>
      <c r="L565" s="527"/>
      <c r="M565" s="609">
        <f>IFERROR(VLOOKUP($B560,'PY1 TFR ADA'!$F:$AU,MATCH("b-4.4",'PY1 TFR ADA'!$F$5:$AU$5,0),FALSE),0)</f>
        <v>0</v>
      </c>
      <c r="N565" s="527"/>
      <c r="O565" s="609">
        <f>IFERROR(VLOOKUP($B560,'PY1 TFR ADA'!$F:$AU,MATCH("b-5.4",'PY1 TFR ADA'!$F$5:$AU$5,0),FALSE),0)</f>
        <v>0</v>
      </c>
      <c r="P565" s="527"/>
      <c r="Q565" s="609">
        <f>IFERROR(VLOOKUP($B560,'PY1 TFR ADA'!$F:$AU,MATCH("b-6.4",'PY1 TFR ADA'!$F$5:$AU$5,0),FALSE),0)</f>
        <v>0</v>
      </c>
      <c r="R565" s="551"/>
      <c r="S565" s="601">
        <f t="shared" si="818"/>
        <v>0</v>
      </c>
      <c r="T565" s="551"/>
      <c r="U565" s="536">
        <f t="shared" ref="U565" si="822">ROUND(IF($G569="LCFF Rate",(G565*$C565),(G565*$E565))+IF($I569="LCFF Rate",(I565*$C565),(I565*$E565))+IF($K569="LCFF Rate",(K565*$C565),(K565*$E565))+IF($M569="LCFF Rate",(M565*$C565),(M565*$E565))+IF($O569="LCFF Rate",(O565*$C565),(O565*$E565))+IF($Q569="LCFF Rate",(Q565*$C565),(Q565*$E565)),0)</f>
        <v>0</v>
      </c>
      <c r="V565" s="522"/>
      <c r="X565" s="496"/>
    </row>
    <row r="566" spans="1:24" s="8" customFormat="1" ht="8.25" customHeight="1">
      <c r="A566" s="521"/>
      <c r="B566" s="167"/>
      <c r="C566" s="165"/>
      <c r="D566" s="523"/>
      <c r="E566" s="165"/>
      <c r="F566" s="523"/>
      <c r="G566" s="520"/>
      <c r="H566" s="523"/>
      <c r="I566" s="520"/>
      <c r="J566" s="523"/>
      <c r="K566" s="520"/>
      <c r="L566" s="523"/>
      <c r="M566" s="520"/>
      <c r="N566" s="523"/>
      <c r="O566" s="520"/>
      <c r="P566" s="523"/>
      <c r="Q566" s="520"/>
      <c r="R566" s="167"/>
      <c r="S566" s="520"/>
      <c r="T566" s="167"/>
      <c r="U566" s="602"/>
      <c r="V566" s="522"/>
      <c r="X566" s="4"/>
    </row>
    <row r="567" spans="1:24" s="8" customFormat="1" ht="14.4">
      <c r="A567" s="521"/>
      <c r="B567" s="167"/>
      <c r="C567" s="165"/>
      <c r="D567" s="523"/>
      <c r="E567" s="513" t="s">
        <v>1317</v>
      </c>
      <c r="F567" s="523"/>
      <c r="G567" s="601">
        <f t="shared" ref="G567" si="823">SUM(G562:G565)</f>
        <v>0</v>
      </c>
      <c r="H567" s="527"/>
      <c r="I567" s="601">
        <f t="shared" ref="I567" si="824">SUM(I562:I565)</f>
        <v>0</v>
      </c>
      <c r="J567" s="527"/>
      <c r="K567" s="601">
        <f t="shared" ref="K567" si="825">SUM(K562:K565)</f>
        <v>0</v>
      </c>
      <c r="L567" s="527"/>
      <c r="M567" s="601">
        <f t="shared" ref="M567" si="826">SUM(M562:M565)</f>
        <v>0</v>
      </c>
      <c r="N567" s="527"/>
      <c r="O567" s="601">
        <f t="shared" ref="O567" si="827">SUM(O562:O565)</f>
        <v>0</v>
      </c>
      <c r="P567" s="527"/>
      <c r="Q567" s="601">
        <f t="shared" ref="Q567" si="828">SUM(Q562:Q565)</f>
        <v>0</v>
      </c>
      <c r="R567" s="527"/>
      <c r="S567" s="601">
        <f t="shared" ref="S567" si="829">SUM(S562:S565)</f>
        <v>0</v>
      </c>
      <c r="T567" s="527"/>
      <c r="U567" s="536">
        <f t="shared" ref="U567" si="830">SUM(U562:U565)</f>
        <v>0</v>
      </c>
      <c r="V567" s="522"/>
      <c r="X567" s="4"/>
    </row>
    <row r="568" spans="1:24" s="8" customFormat="1" ht="8.25" customHeight="1">
      <c r="A568" s="521"/>
      <c r="B568" s="167"/>
      <c r="C568" s="165"/>
      <c r="D568" s="523"/>
      <c r="E568" s="165"/>
      <c r="F568" s="523"/>
      <c r="G568" s="520"/>
      <c r="H568" s="523"/>
      <c r="I568" s="520"/>
      <c r="J568" s="523"/>
      <c r="K568" s="520"/>
      <c r="L568" s="523"/>
      <c r="M568" s="520"/>
      <c r="N568" s="523"/>
      <c r="O568" s="520"/>
      <c r="P568" s="523"/>
      <c r="Q568" s="520"/>
      <c r="R568" s="167"/>
      <c r="S568" s="520"/>
      <c r="T568" s="167"/>
      <c r="U568" s="528"/>
      <c r="V568" s="522"/>
      <c r="X568" s="4"/>
    </row>
    <row r="569" spans="1:24" s="8" customFormat="1" ht="16.5" customHeight="1">
      <c r="A569" s="521"/>
      <c r="B569" s="167"/>
      <c r="C569" s="165"/>
      <c r="E569" s="513" t="s">
        <v>1304</v>
      </c>
      <c r="F569" s="523"/>
      <c r="G569" s="977">
        <f>_xlfn.IFNA(IF(VLOOKUP($B560,'PY1 TFR ADA'!$F:$AU,MATCH("B-1.5",'PY1 TFR ADA'!$F$5:$AU$5,0),FALSE)=TRUE,IF(VLOOKUP($B560,'PY1 TFR ADA'!$F:$AU,MATCH("C-1",'PY1 TFR ADA'!$F$5:$AU$5,0),FALSE)=TRUE,"Alternative Rate","LCFF Rate"),"LCFF Rate"),0)</f>
        <v>0</v>
      </c>
      <c r="H569" s="523"/>
      <c r="I569" s="977">
        <f>_xlfn.IFNA(IF(VLOOKUP($B560,'PY1 TFR ADA'!$F:$AU,MATCH("B-2.5",'PY1 TFR ADA'!$F$5:$AU$5,0),FALSE)=TRUE,IF(VLOOKUP($B560,'PY1 TFR ADA'!$F:$AU,MATCH("C-1",'PY1 TFR ADA'!$F$5:$AU$5,0),FALSE)=TRUE,"Alternative Rate","LCFF Rate"),"LCFF Rate"),0)</f>
        <v>0</v>
      </c>
      <c r="J569" s="523"/>
      <c r="K569" s="977">
        <f>_xlfn.IFNA(IF(VLOOKUP($B560,'PY1 TFR ADA'!$F:$AU,MATCH("B-3.5",'PY1 TFR ADA'!$F$5:$AU$5,0),FALSE)=TRUE,IF(VLOOKUP($B560,'PY1 TFR ADA'!$F:$AU,MATCH("C-1",'PY1 TFR ADA'!$F$5:$AU$5,0),FALSE)=TRUE,"Alternative Rate","LCFF Rate"),"LCFF Rate"),0)</f>
        <v>0</v>
      </c>
      <c r="L569" s="523"/>
      <c r="M569" s="977">
        <f>_xlfn.IFNA(IF(VLOOKUP($B560,'PY1 TFR ADA'!$F:$AU,MATCH("B-4.5",'PY1 TFR ADA'!$F$5:$AU$5,0),FALSE)=TRUE,IF(VLOOKUP($B560,'PY1 TFR ADA'!$F:$AU,MATCH("C-1",'PY1 TFR ADA'!$F$5:$AU$5,0),FALSE)=TRUE,"Alternative Rate","LCFF Rate"),"LCFF Rate"),0)</f>
        <v>0</v>
      </c>
      <c r="N569" s="523"/>
      <c r="O569" s="977">
        <f>_xlfn.IFNA(IF(VLOOKUP($B560,'PY1 TFR ADA'!$F:$AU,MATCH("B-5.5",'PY1 TFR ADA'!$F$5:$AU$5,0),FALSE)=TRUE,IF(VLOOKUP($B560,'PY1 TFR ADA'!$F:$AU,MATCH("C-1",'PY1 TFR ADA'!$F$5:$AU$5,0),FALSE)=TRUE,"Alternative Rate","LCFF Rate"),"LCFF Rate"),0)</f>
        <v>0</v>
      </c>
      <c r="P569" s="523"/>
      <c r="Q569" s="977">
        <f>_xlfn.IFNA(IF(VLOOKUP($B560,'PY1 TFR ADA'!$F:$AU,MATCH("B-6.5",'PY1 TFR ADA'!$F$5:$AU$5,0),FALSE)=TRUE,IF(VLOOKUP($B560,'PY1 TFR ADA'!$F:$AU,MATCH("C-1",'PY1 TFR ADA'!$F$5:$AU$5,0),FALSE)=TRUE,"Alternative Rate","LCFF Rate"),"LCFF Rate"),0)</f>
        <v>0</v>
      </c>
      <c r="R569" s="167"/>
      <c r="S569" s="520"/>
      <c r="T569" s="167"/>
      <c r="U569" s="528"/>
      <c r="V569" s="522"/>
      <c r="X569" s="283"/>
    </row>
    <row r="570" spans="1:24" s="8" customFormat="1" ht="8.25" customHeight="1">
      <c r="A570" s="521"/>
      <c r="B570" s="167"/>
      <c r="C570" s="165"/>
      <c r="D570" s="523"/>
      <c r="E570" s="165"/>
      <c r="F570" s="523"/>
      <c r="G570" s="520"/>
      <c r="H570" s="523"/>
      <c r="I570" s="520"/>
      <c r="J570" s="523"/>
      <c r="K570" s="520"/>
      <c r="L570" s="523"/>
      <c r="M570" s="520"/>
      <c r="N570" s="523"/>
      <c r="O570" s="520"/>
      <c r="P570" s="523"/>
      <c r="Q570" s="520"/>
      <c r="R570" s="167"/>
      <c r="S570" s="520"/>
      <c r="T570" s="167"/>
      <c r="U570" s="528"/>
      <c r="V570" s="522"/>
      <c r="X570" s="4"/>
    </row>
    <row r="571" spans="1:24" s="8" customFormat="1" ht="16.8">
      <c r="A571" s="521"/>
      <c r="B571" s="2"/>
      <c r="F571" s="523"/>
      <c r="G571" s="535">
        <f t="shared" ref="G571" si="831">IF(G569="LCFF Rate",(G562*C562+G563*C563+G564*C564+G565*C565),(G567*E565))</f>
        <v>0</v>
      </c>
      <c r="H571" s="537"/>
      <c r="I571" s="535">
        <f t="shared" ref="I571" si="832">IF(I569="LCFF Rate",(I562*C562+I563*C563+I564*C564+I565*C565),(I567*E565))</f>
        <v>0</v>
      </c>
      <c r="J571" s="537"/>
      <c r="K571" s="535">
        <f t="shared" ref="K571" si="833">IF(K569="LCFF Rate",(K562*C562+K563*C563+K564*C564+K565*C565),(K567*E565))</f>
        <v>0</v>
      </c>
      <c r="L571" s="537"/>
      <c r="M571" s="535">
        <f t="shared" ref="M571" si="834">IF(M569="LCFF Rate",(M562*C562+M563*C563+M564*C564+M565*C565),(M567*E565))</f>
        <v>0</v>
      </c>
      <c r="N571" s="537"/>
      <c r="O571" s="535">
        <f t="shared" ref="O571" si="835">IF(O569="LCFF Rate",(O562*C562+O563*C563+O564*C564+O565*C565),(O567*E565))</f>
        <v>0</v>
      </c>
      <c r="P571" s="537"/>
      <c r="Q571" s="535">
        <f t="shared" ref="Q571" si="836">IF(Q569="LCFF Rate",(Q562*C562+Q563*C563+Q564*C564+Q565*C565),(Q567*E565))</f>
        <v>0</v>
      </c>
      <c r="R571" s="167"/>
      <c r="S571" s="538">
        <f t="shared" ref="S571" si="837">SUM(G571:Q571)</f>
        <v>0</v>
      </c>
      <c r="T571" s="167"/>
      <c r="U571" s="528"/>
      <c r="V571" s="522"/>
      <c r="X571" s="979"/>
    </row>
    <row r="572" spans="1:24" s="8" customFormat="1" ht="9" customHeight="1" thickBot="1">
      <c r="A572" s="529"/>
      <c r="B572" s="530"/>
      <c r="C572" s="531"/>
      <c r="D572" s="532"/>
      <c r="E572" s="533"/>
      <c r="F572" s="532"/>
      <c r="G572" s="530"/>
      <c r="H572" s="532"/>
      <c r="I572" s="530"/>
      <c r="J572" s="532"/>
      <c r="K572" s="530"/>
      <c r="L572" s="532"/>
      <c r="M572" s="530"/>
      <c r="N572" s="532"/>
      <c r="O572" s="530"/>
      <c r="P572" s="532"/>
      <c r="Q572" s="530"/>
      <c r="R572" s="532"/>
      <c r="S572" s="530"/>
      <c r="T572" s="532"/>
      <c r="U572" s="532"/>
      <c r="V572" s="534"/>
      <c r="X572" s="4"/>
    </row>
    <row r="573" spans="1:24" s="82" customFormat="1" ht="18" customHeight="1" thickBot="1">
      <c r="A573" s="890">
        <f>+A560+1</f>
        <v>44</v>
      </c>
      <c r="B573" s="891" t="str">
        <f>'Data Entry'!$B$3&amp;"-"&amp;C573</f>
        <v>-</v>
      </c>
      <c r="C573" s="891" t="str">
        <f>IFERROR(VLOOKUP('Data Entry'!$B$3&amp;"-"&amp;A573,'PY1 TFR ADA'!$D:$AT,2,FALSE),"")</f>
        <v/>
      </c>
      <c r="D573" s="892" t="str">
        <f>IFERROR(VLOOKUP('Data Entry'!$B$3&amp;"-"&amp;A573,'PY1 TFR ADA'!$D:$AT,4,FALSE),"")</f>
        <v/>
      </c>
      <c r="E573" s="893"/>
      <c r="F573" s="893"/>
      <c r="G573" s="893"/>
      <c r="H573" s="893"/>
      <c r="I573" s="893"/>
      <c r="J573" s="893"/>
      <c r="K573" s="893"/>
      <c r="L573" s="893"/>
      <c r="M573" s="893"/>
      <c r="N573" s="893"/>
      <c r="O573" s="893"/>
      <c r="P573" s="893"/>
      <c r="Q573" s="893"/>
      <c r="R573" s="893"/>
      <c r="S573" s="893"/>
      <c r="T573" s="893"/>
      <c r="U573" s="893"/>
      <c r="V573" s="894"/>
      <c r="X573" s="83"/>
    </row>
    <row r="574" spans="1:24" ht="75" customHeight="1">
      <c r="A574" s="521"/>
      <c r="C574" s="540" t="s">
        <v>1315</v>
      </c>
      <c r="D574" s="512"/>
      <c r="E574" s="540" t="s">
        <v>1316</v>
      </c>
      <c r="F574" s="512"/>
      <c r="G574" s="540" t="s">
        <v>1309</v>
      </c>
      <c r="H574" s="512"/>
      <c r="I574" s="540" t="s">
        <v>1310</v>
      </c>
      <c r="J574" s="512"/>
      <c r="K574" s="540" t="s">
        <v>1311</v>
      </c>
      <c r="L574" s="512"/>
      <c r="M574" s="540" t="s">
        <v>1312</v>
      </c>
      <c r="N574" s="512"/>
      <c r="O574" s="540" t="s">
        <v>1313</v>
      </c>
      <c r="P574" s="512"/>
      <c r="Q574" s="540" t="s">
        <v>1314</v>
      </c>
      <c r="R574" s="167"/>
      <c r="S574" s="540" t="s">
        <v>1308</v>
      </c>
      <c r="T574" s="167"/>
      <c r="U574" s="512" t="s">
        <v>1307</v>
      </c>
      <c r="V574" s="524"/>
      <c r="X574" s="283"/>
    </row>
    <row r="575" spans="1:24" s="8" customFormat="1" ht="14.4">
      <c r="A575" s="521"/>
      <c r="B575" s="510" t="s">
        <v>94</v>
      </c>
      <c r="C575" s="525">
        <f>IFERROR(VLOOKUP($B573,'PY1 TFR ADA'!$F:$AU,MATCH("A-1.1",'PY1 TFR ADA'!$F$5:$AU$5,0),FALSE),0)</f>
        <v>0</v>
      </c>
      <c r="D575" s="167"/>
      <c r="E575" s="525">
        <f>IFERROR(VALUE(VLOOKUP($B573,'PY1 TFR ADA'!$F:$AU,MATCH("A-2.1",'PY1 TFR ADA'!$F$5:$AU$5,0),FALSE)),0)</f>
        <v>0</v>
      </c>
      <c r="F575" s="167"/>
      <c r="G575" s="609">
        <f>IFERROR(VLOOKUP($B573,'PY1 TFR ADA'!$F:$AU,MATCH("b-1.1",'PY1 TFR ADA'!$F$5:$AU$5,0),FALSE),0)</f>
        <v>0</v>
      </c>
      <c r="H575" s="527"/>
      <c r="I575" s="609">
        <f>IFERROR(VLOOKUP($B573,'PY1 TFR ADA'!$F:$AU,MATCH("b-2.1",'PY1 TFR ADA'!$F$5:$AU$5,0),FALSE),0)</f>
        <v>0</v>
      </c>
      <c r="J575" s="527"/>
      <c r="K575" s="609">
        <f>IFERROR(VLOOKUP($B573,'PY1 TFR ADA'!$F:$AU,MATCH("b-3.1",'PY1 TFR ADA'!$F$5:$AU$5,0),FALSE),0)</f>
        <v>0</v>
      </c>
      <c r="L575" s="527"/>
      <c r="M575" s="609">
        <f>IFERROR(VLOOKUP($B573,'PY1 TFR ADA'!$F:$AU,MATCH("b-4.1",'PY1 TFR ADA'!$F$5:$AU$5,0),FALSE),0)</f>
        <v>0</v>
      </c>
      <c r="N575" s="527"/>
      <c r="O575" s="609">
        <f>IFERROR(VLOOKUP($B573,'PY1 TFR ADA'!$F:$AU,MATCH("b-5.1",'PY1 TFR ADA'!$F$5:$AU$5,0),FALSE),0)</f>
        <v>0</v>
      </c>
      <c r="P575" s="527"/>
      <c r="Q575" s="609">
        <f>IFERROR(VLOOKUP($B573,'PY1 TFR ADA'!$F:$AU,MATCH("b-6.1",'PY1 TFR ADA'!$F$5:$AU$5,0),FALSE),0)</f>
        <v>0</v>
      </c>
      <c r="R575" s="551"/>
      <c r="S575" s="601">
        <f t="shared" ref="S575:S578" si="838">SUM(G575:Q575)</f>
        <v>0</v>
      </c>
      <c r="T575" s="551"/>
      <c r="U575" s="536">
        <f t="shared" ref="U575" si="839">ROUND(IF($G582="LCFF Rate",(G575*$C575),(G575*$E575))+IF($I582="LCFF Rate",(I575*$C575),(I575*$E575))+IF($K582="LCFF Rate",(K575*$C575),(K575*$E575))+IF($M582="LCFF Rate",(M575*$C575),(M575*$E575))+IF($O582="LCFF Rate",(O575*$C575),(O575*$E575))+IF($Q582="LCFF Rate",(Q575*$C575),(Q575*$E575)),0)</f>
        <v>0</v>
      </c>
      <c r="V575" s="524"/>
      <c r="X575" s="496"/>
    </row>
    <row r="576" spans="1:24" s="8" customFormat="1" ht="14.4">
      <c r="A576" s="521"/>
      <c r="B576" s="510" t="s">
        <v>2</v>
      </c>
      <c r="C576" s="525">
        <f>IFERROR(VLOOKUP($B573,'PY1 TFR ADA'!$F:$AU,MATCH("A-1.2",'PY1 TFR ADA'!$F$5:$AU$5,0),FALSE),0)</f>
        <v>0</v>
      </c>
      <c r="D576" s="167"/>
      <c r="E576" s="525">
        <f>IFERROR(VALUE(VLOOKUP($B573,'PY1 TFR ADA'!$F:$AU,MATCH("A-2.2",'PY1 TFR ADA'!$F$5:$AU$5,0),FALSE)),0)</f>
        <v>0</v>
      </c>
      <c r="F576" s="167"/>
      <c r="G576" s="609">
        <f>IFERROR(VLOOKUP($B573,'PY1 TFR ADA'!$F:$AU,MATCH("b-1.2",'PY1 TFR ADA'!$F$5:$AU$5,0),FALSE),0)</f>
        <v>0</v>
      </c>
      <c r="H576" s="527"/>
      <c r="I576" s="609">
        <f>IFERROR(VLOOKUP($B573,'PY1 TFR ADA'!$F:$AU,MATCH("b-2.2",'PY1 TFR ADA'!$F$5:$AU$5,0),FALSE),0)</f>
        <v>0</v>
      </c>
      <c r="J576" s="527"/>
      <c r="K576" s="609">
        <f>IFERROR(VLOOKUP($B573,'PY1 TFR ADA'!$F:$AU,MATCH("b-3.2",'PY1 TFR ADA'!$F$5:$AU$5,0),FALSE),0)</f>
        <v>0</v>
      </c>
      <c r="L576" s="527"/>
      <c r="M576" s="609">
        <f>IFERROR(VLOOKUP($B573,'PY1 TFR ADA'!$F:$AU,MATCH("b-4.2",'PY1 TFR ADA'!$F$5:$AU$5,0),FALSE),0)</f>
        <v>0</v>
      </c>
      <c r="N576" s="527"/>
      <c r="O576" s="609">
        <f>IFERROR(VLOOKUP($B573,'PY1 TFR ADA'!$F:$AU,MATCH("b-5.2",'PY1 TFR ADA'!$F$5:$AU$5,0),FALSE),0)</f>
        <v>0</v>
      </c>
      <c r="P576" s="527"/>
      <c r="Q576" s="609">
        <f>IFERROR(VLOOKUP($B573,'PY1 TFR ADA'!$F:$AU,MATCH("b-6.2",'PY1 TFR ADA'!$F$5:$AU$5,0),FALSE),0)</f>
        <v>0</v>
      </c>
      <c r="R576" s="551"/>
      <c r="S576" s="601">
        <f t="shared" si="838"/>
        <v>0</v>
      </c>
      <c r="T576" s="551"/>
      <c r="U576" s="536">
        <f t="shared" ref="U576" si="840">ROUND(IF($G582="LCFF Rate",(G576*$C576),(G576*$E576))+IF($I582="LCFF Rate",(I576*$C576),(I576*$E576))+IF($K582="LCFF Rate",(K576*$C576),(K576*$E576))+IF($M582="LCFF Rate",(M576*$C576),(M576*$E576))+IF($O582="LCFF Rate",(O576*$C576),(O576*$E576))+IF($Q582="LCFF Rate",(Q576*$C576),(Q576*$E576)),0)</f>
        <v>0</v>
      </c>
      <c r="V576" s="524"/>
      <c r="X576" s="4"/>
    </row>
    <row r="577" spans="1:24" s="8" customFormat="1" ht="14.4">
      <c r="A577" s="521"/>
      <c r="B577" s="510" t="s">
        <v>3</v>
      </c>
      <c r="C577" s="525">
        <f>IFERROR(VLOOKUP($B573,'PY1 TFR ADA'!$F:$AU,MATCH("A-1.3",'PY1 TFR ADA'!$F$5:$AU$5,0),FALSE),0)</f>
        <v>0</v>
      </c>
      <c r="D577" s="167"/>
      <c r="E577" s="525">
        <f>IFERROR(VALUE(VLOOKUP($B573,'PY1 TFR ADA'!$F:$AU,MATCH("A-2.3",'PY1 TFR ADA'!$F$5:$AU$5,0),FALSE)),0)</f>
        <v>0</v>
      </c>
      <c r="F577" s="167"/>
      <c r="G577" s="609">
        <f>IFERROR(VLOOKUP($B573,'PY1 TFR ADA'!$F:$AU,MATCH("b-1.3",'PY1 TFR ADA'!$F$5:$AU$5,0),FALSE),0)</f>
        <v>0</v>
      </c>
      <c r="H577" s="527"/>
      <c r="I577" s="609">
        <f>IFERROR(VLOOKUP($B573,'PY1 TFR ADA'!$F:$AU,MATCH("b-2.3",'PY1 TFR ADA'!$F$5:$AU$5,0),FALSE),0)</f>
        <v>0</v>
      </c>
      <c r="J577" s="527"/>
      <c r="K577" s="609">
        <f>IFERROR(VLOOKUP($B573,'PY1 TFR ADA'!$F:$AU,MATCH("b-3.3",'PY1 TFR ADA'!$F$5:$AU$5,0),FALSE),0)</f>
        <v>0</v>
      </c>
      <c r="L577" s="527"/>
      <c r="M577" s="609">
        <f>IFERROR(VLOOKUP($B573,'PY1 TFR ADA'!$F:$AU,MATCH("b-4.3",'PY1 TFR ADA'!$F$5:$AU$5,0),FALSE),0)</f>
        <v>0</v>
      </c>
      <c r="N577" s="527"/>
      <c r="O577" s="609">
        <f>IFERROR(VLOOKUP($B573,'PY1 TFR ADA'!$F:$AU,MATCH("b-5.3",'PY1 TFR ADA'!$F$5:$AU$5,0),FALSE),0)</f>
        <v>0</v>
      </c>
      <c r="P577" s="527"/>
      <c r="Q577" s="609">
        <f>IFERROR(VLOOKUP($B573,'PY1 TFR ADA'!$F:$AU,MATCH("b-6.3",'PY1 TFR ADA'!$F$5:$AU$5,0),FALSE),0)</f>
        <v>0</v>
      </c>
      <c r="R577" s="551"/>
      <c r="S577" s="601">
        <f t="shared" si="838"/>
        <v>0</v>
      </c>
      <c r="T577" s="551"/>
      <c r="U577" s="536">
        <f t="shared" ref="U577" si="841">ROUND(IF($G582="LCFF Rate",(G577*$C577),(G577*$E577))+IF($I582="LCFF Rate",(I577*$C577),(I577*$E577))+IF($K582="LCFF Rate",(K577*$C577),(K577*$E577))+IF($M582="LCFF Rate",(M577*$C577),(M577*$E577))+IF($O582="LCFF Rate",(O577*$C577),(O577*$E577))+IF($Q582="LCFF Rate",(Q577*$C577),(Q577*$E577)),0)</f>
        <v>0</v>
      </c>
      <c r="V577" s="524"/>
      <c r="X577" s="4"/>
    </row>
    <row r="578" spans="1:24" s="8" customFormat="1" ht="14.4">
      <c r="A578" s="526"/>
      <c r="B578" s="510" t="s">
        <v>4</v>
      </c>
      <c r="C578" s="525">
        <f>IFERROR(VLOOKUP($B573,'PY1 TFR ADA'!$F:$AU,MATCH("A-1.4",'PY1 TFR ADA'!$F$5:$AU$5,0),FALSE),0)</f>
        <v>0</v>
      </c>
      <c r="D578" s="523"/>
      <c r="E578" s="525">
        <f>IFERROR(VALUE(VLOOKUP($B573,'PY1 TFR ADA'!$F:$AU,MATCH("A-2.4",'PY1 TFR ADA'!$F$5:$AU$5,0),FALSE)),0)</f>
        <v>0</v>
      </c>
      <c r="F578" s="523"/>
      <c r="G578" s="609">
        <f>IFERROR(VLOOKUP($B573,'PY1 TFR ADA'!$F:$AU,MATCH("b-1.4",'PY1 TFR ADA'!$F$5:$AU$5,0),FALSE),0)</f>
        <v>0</v>
      </c>
      <c r="H578" s="527"/>
      <c r="I578" s="609">
        <f>IFERROR(VLOOKUP($B573,'PY1 TFR ADA'!$F:$AU,MATCH("b-2.4",'PY1 TFR ADA'!$F$5:$AU$5,0),FALSE),0)</f>
        <v>0</v>
      </c>
      <c r="J578" s="527"/>
      <c r="K578" s="609">
        <f>IFERROR(VLOOKUP($B573,'PY1 TFR ADA'!$F:$AU,MATCH("b-3.4",'PY1 TFR ADA'!$F$5:$AU$5,0),FALSE),0)</f>
        <v>0</v>
      </c>
      <c r="L578" s="527"/>
      <c r="M578" s="609">
        <f>IFERROR(VLOOKUP($B573,'PY1 TFR ADA'!$F:$AU,MATCH("b-4.4",'PY1 TFR ADA'!$F$5:$AU$5,0),FALSE),0)</f>
        <v>0</v>
      </c>
      <c r="N578" s="527"/>
      <c r="O578" s="609">
        <f>IFERROR(VLOOKUP($B573,'PY1 TFR ADA'!$F:$AU,MATCH("b-5.4",'PY1 TFR ADA'!$F$5:$AU$5,0),FALSE),0)</f>
        <v>0</v>
      </c>
      <c r="P578" s="527"/>
      <c r="Q578" s="609">
        <f>IFERROR(VLOOKUP($B573,'PY1 TFR ADA'!$F:$AU,MATCH("b-6.4",'PY1 TFR ADA'!$F$5:$AU$5,0),FALSE),0)</f>
        <v>0</v>
      </c>
      <c r="R578" s="551"/>
      <c r="S578" s="601">
        <f t="shared" si="838"/>
        <v>0</v>
      </c>
      <c r="T578" s="551"/>
      <c r="U578" s="536">
        <f t="shared" ref="U578" si="842">ROUND(IF($G582="LCFF Rate",(G578*$C578),(G578*$E578))+IF($I582="LCFF Rate",(I578*$C578),(I578*$E578))+IF($K582="LCFF Rate",(K578*$C578),(K578*$E578))+IF($M582="LCFF Rate",(M578*$C578),(M578*$E578))+IF($O582="LCFF Rate",(O578*$C578),(O578*$E578))+IF($Q582="LCFF Rate",(Q578*$C578),(Q578*$E578)),0)</f>
        <v>0</v>
      </c>
      <c r="V578" s="522"/>
      <c r="X578" s="496"/>
    </row>
    <row r="579" spans="1:24" s="8" customFormat="1" ht="8.25" customHeight="1">
      <c r="A579" s="521"/>
      <c r="B579" s="167"/>
      <c r="C579" s="165"/>
      <c r="D579" s="523"/>
      <c r="E579" s="165"/>
      <c r="F579" s="523"/>
      <c r="G579" s="520"/>
      <c r="H579" s="523"/>
      <c r="I579" s="520"/>
      <c r="J579" s="523"/>
      <c r="K579" s="520"/>
      <c r="L579" s="523"/>
      <c r="M579" s="520"/>
      <c r="N579" s="523"/>
      <c r="O579" s="520"/>
      <c r="P579" s="523"/>
      <c r="Q579" s="520"/>
      <c r="R579" s="167"/>
      <c r="S579" s="520"/>
      <c r="T579" s="167"/>
      <c r="U579" s="602"/>
      <c r="V579" s="522"/>
      <c r="X579" s="4"/>
    </row>
    <row r="580" spans="1:24" s="8" customFormat="1" ht="14.4">
      <c r="A580" s="521"/>
      <c r="B580" s="167"/>
      <c r="C580" s="165"/>
      <c r="D580" s="523"/>
      <c r="E580" s="513" t="s">
        <v>1317</v>
      </c>
      <c r="F580" s="523"/>
      <c r="G580" s="601">
        <f t="shared" ref="G580" si="843">SUM(G575:G578)</f>
        <v>0</v>
      </c>
      <c r="H580" s="527"/>
      <c r="I580" s="601">
        <f t="shared" ref="I580" si="844">SUM(I575:I578)</f>
        <v>0</v>
      </c>
      <c r="J580" s="527"/>
      <c r="K580" s="601">
        <f t="shared" ref="K580" si="845">SUM(K575:K578)</f>
        <v>0</v>
      </c>
      <c r="L580" s="527"/>
      <c r="M580" s="601">
        <f t="shared" ref="M580" si="846">SUM(M575:M578)</f>
        <v>0</v>
      </c>
      <c r="N580" s="527"/>
      <c r="O580" s="601">
        <f t="shared" ref="O580" si="847">SUM(O575:O578)</f>
        <v>0</v>
      </c>
      <c r="P580" s="527"/>
      <c r="Q580" s="601">
        <f t="shared" ref="Q580" si="848">SUM(Q575:Q578)</f>
        <v>0</v>
      </c>
      <c r="R580" s="527"/>
      <c r="S580" s="601">
        <f t="shared" ref="S580" si="849">SUM(S575:S578)</f>
        <v>0</v>
      </c>
      <c r="T580" s="527"/>
      <c r="U580" s="536">
        <f t="shared" ref="U580" si="850">SUM(U575:U578)</f>
        <v>0</v>
      </c>
      <c r="V580" s="522"/>
      <c r="X580" s="4"/>
    </row>
    <row r="581" spans="1:24" s="8" customFormat="1" ht="8.25" customHeight="1">
      <c r="A581" s="521"/>
      <c r="B581" s="167"/>
      <c r="C581" s="165"/>
      <c r="D581" s="523"/>
      <c r="E581" s="165"/>
      <c r="F581" s="523"/>
      <c r="G581" s="520"/>
      <c r="H581" s="523"/>
      <c r="I581" s="520"/>
      <c r="J581" s="523"/>
      <c r="K581" s="520"/>
      <c r="L581" s="523"/>
      <c r="M581" s="520"/>
      <c r="N581" s="523"/>
      <c r="O581" s="520"/>
      <c r="P581" s="523"/>
      <c r="Q581" s="520"/>
      <c r="R581" s="167"/>
      <c r="S581" s="520"/>
      <c r="T581" s="167"/>
      <c r="U581" s="528"/>
      <c r="V581" s="522"/>
      <c r="X581" s="4"/>
    </row>
    <row r="582" spans="1:24" s="8" customFormat="1" ht="16.5" customHeight="1">
      <c r="A582" s="521"/>
      <c r="B582" s="167"/>
      <c r="C582" s="165"/>
      <c r="E582" s="513" t="s">
        <v>1304</v>
      </c>
      <c r="F582" s="523"/>
      <c r="G582" s="977">
        <f>_xlfn.IFNA(IF(VLOOKUP($B573,'PY1 TFR ADA'!$F:$AU,MATCH("B-1.5",'PY1 TFR ADA'!$F$5:$AU$5,0),FALSE)=TRUE,IF(VLOOKUP($B573,'PY1 TFR ADA'!$F:$AU,MATCH("C-1",'PY1 TFR ADA'!$F$5:$AU$5,0),FALSE)=TRUE,"Alternative Rate","LCFF Rate"),"LCFF Rate"),0)</f>
        <v>0</v>
      </c>
      <c r="H582" s="523"/>
      <c r="I582" s="977">
        <f>_xlfn.IFNA(IF(VLOOKUP($B573,'PY1 TFR ADA'!$F:$AU,MATCH("B-2.5",'PY1 TFR ADA'!$F$5:$AU$5,0),FALSE)=TRUE,IF(VLOOKUP($B573,'PY1 TFR ADA'!$F:$AU,MATCH("C-1",'PY1 TFR ADA'!$F$5:$AU$5,0),FALSE)=TRUE,"Alternative Rate","LCFF Rate"),"LCFF Rate"),0)</f>
        <v>0</v>
      </c>
      <c r="J582" s="523"/>
      <c r="K582" s="977">
        <f>_xlfn.IFNA(IF(VLOOKUP($B573,'PY1 TFR ADA'!$F:$AU,MATCH("B-3.5",'PY1 TFR ADA'!$F$5:$AU$5,0),FALSE)=TRUE,IF(VLOOKUP($B573,'PY1 TFR ADA'!$F:$AU,MATCH("C-1",'PY1 TFR ADA'!$F$5:$AU$5,0),FALSE)=TRUE,"Alternative Rate","LCFF Rate"),"LCFF Rate"),0)</f>
        <v>0</v>
      </c>
      <c r="L582" s="523"/>
      <c r="M582" s="977">
        <f>_xlfn.IFNA(IF(VLOOKUP($B573,'PY1 TFR ADA'!$F:$AU,MATCH("B-4.5",'PY1 TFR ADA'!$F$5:$AU$5,0),FALSE)=TRUE,IF(VLOOKUP($B573,'PY1 TFR ADA'!$F:$AU,MATCH("C-1",'PY1 TFR ADA'!$F$5:$AU$5,0),FALSE)=TRUE,"Alternative Rate","LCFF Rate"),"LCFF Rate"),0)</f>
        <v>0</v>
      </c>
      <c r="N582" s="523"/>
      <c r="O582" s="977">
        <f>_xlfn.IFNA(IF(VLOOKUP($B573,'PY1 TFR ADA'!$F:$AU,MATCH("B-5.5",'PY1 TFR ADA'!$F$5:$AU$5,0),FALSE)=TRUE,IF(VLOOKUP($B573,'PY1 TFR ADA'!$F:$AU,MATCH("C-1",'PY1 TFR ADA'!$F$5:$AU$5,0),FALSE)=TRUE,"Alternative Rate","LCFF Rate"),"LCFF Rate"),0)</f>
        <v>0</v>
      </c>
      <c r="P582" s="523"/>
      <c r="Q582" s="977">
        <f>_xlfn.IFNA(IF(VLOOKUP($B573,'PY1 TFR ADA'!$F:$AU,MATCH("B-6.5",'PY1 TFR ADA'!$F$5:$AU$5,0),FALSE)=TRUE,IF(VLOOKUP($B573,'PY1 TFR ADA'!$F:$AU,MATCH("C-1",'PY1 TFR ADA'!$F$5:$AU$5,0),FALSE)=TRUE,"Alternative Rate","LCFF Rate"),"LCFF Rate"),0)</f>
        <v>0</v>
      </c>
      <c r="R582" s="167"/>
      <c r="S582" s="520"/>
      <c r="T582" s="167"/>
      <c r="U582" s="528"/>
      <c r="V582" s="522"/>
      <c r="X582" s="283"/>
    </row>
    <row r="583" spans="1:24" s="8" customFormat="1" ht="8.25" customHeight="1">
      <c r="A583" s="521"/>
      <c r="B583" s="167"/>
      <c r="C583" s="165"/>
      <c r="D583" s="523"/>
      <c r="E583" s="165"/>
      <c r="F583" s="523"/>
      <c r="G583" s="520"/>
      <c r="H583" s="523"/>
      <c r="I583" s="520"/>
      <c r="J583" s="523"/>
      <c r="K583" s="520"/>
      <c r="L583" s="523"/>
      <c r="M583" s="520"/>
      <c r="N583" s="523"/>
      <c r="O583" s="520"/>
      <c r="P583" s="523"/>
      <c r="Q583" s="520"/>
      <c r="R583" s="167"/>
      <c r="S583" s="520"/>
      <c r="T583" s="167"/>
      <c r="U583" s="528"/>
      <c r="V583" s="522"/>
      <c r="X583" s="4"/>
    </row>
    <row r="584" spans="1:24" s="8" customFormat="1" ht="16.8">
      <c r="A584" s="521"/>
      <c r="B584" s="2"/>
      <c r="F584" s="523"/>
      <c r="G584" s="535">
        <f t="shared" ref="G584" si="851">IF(G582="LCFF Rate",(G575*C575+G576*C576+G577*C577+G578*C578),(G580*E578))</f>
        <v>0</v>
      </c>
      <c r="H584" s="537"/>
      <c r="I584" s="535">
        <f t="shared" ref="I584" si="852">IF(I582="LCFF Rate",(I575*C575+I576*C576+I577*C577+I578*C578),(I580*E578))</f>
        <v>0</v>
      </c>
      <c r="J584" s="537"/>
      <c r="K584" s="535">
        <f t="shared" ref="K584" si="853">IF(K582="LCFF Rate",(K575*C575+K576*C576+K577*C577+K578*C578),(K580*E578))</f>
        <v>0</v>
      </c>
      <c r="L584" s="537"/>
      <c r="M584" s="535">
        <f t="shared" ref="M584" si="854">IF(M582="LCFF Rate",(M575*C575+M576*C576+M577*C577+M578*C578),(M580*E578))</f>
        <v>0</v>
      </c>
      <c r="N584" s="537"/>
      <c r="O584" s="535">
        <f t="shared" ref="O584" si="855">IF(O582="LCFF Rate",(O575*C575+O576*C576+O577*C577+O578*C578),(O580*E578))</f>
        <v>0</v>
      </c>
      <c r="P584" s="537"/>
      <c r="Q584" s="535">
        <f t="shared" ref="Q584" si="856">IF(Q582="LCFF Rate",(Q575*C575+Q576*C576+Q577*C577+Q578*C578),(Q580*E578))</f>
        <v>0</v>
      </c>
      <c r="R584" s="167"/>
      <c r="S584" s="538">
        <f t="shared" ref="S584" si="857">SUM(G584:Q584)</f>
        <v>0</v>
      </c>
      <c r="T584" s="167"/>
      <c r="U584" s="528"/>
      <c r="V584" s="522"/>
      <c r="X584" s="979"/>
    </row>
    <row r="585" spans="1:24" s="8" customFormat="1" ht="9" customHeight="1" thickBot="1">
      <c r="A585" s="529"/>
      <c r="B585" s="530"/>
      <c r="C585" s="531"/>
      <c r="D585" s="532"/>
      <c r="E585" s="533"/>
      <c r="F585" s="532"/>
      <c r="G585" s="530"/>
      <c r="H585" s="532"/>
      <c r="I585" s="530"/>
      <c r="J585" s="532"/>
      <c r="K585" s="530"/>
      <c r="L585" s="532"/>
      <c r="M585" s="530"/>
      <c r="N585" s="532"/>
      <c r="O585" s="530"/>
      <c r="P585" s="532"/>
      <c r="Q585" s="530"/>
      <c r="R585" s="532"/>
      <c r="S585" s="530"/>
      <c r="T585" s="532"/>
      <c r="U585" s="532"/>
      <c r="V585" s="534"/>
      <c r="X585" s="4"/>
    </row>
    <row r="586" spans="1:24" s="82" customFormat="1" ht="18" customHeight="1" thickBot="1">
      <c r="A586" s="890">
        <f>+A573+1</f>
        <v>45</v>
      </c>
      <c r="B586" s="891" t="str">
        <f>'Data Entry'!$B$3&amp;"-"&amp;C586</f>
        <v>-</v>
      </c>
      <c r="C586" s="891" t="str">
        <f>IFERROR(VLOOKUP('Data Entry'!$B$3&amp;"-"&amp;A586,'PY1 TFR ADA'!$D:$AT,2,FALSE),"")</f>
        <v/>
      </c>
      <c r="D586" s="892" t="str">
        <f>IFERROR(VLOOKUP('Data Entry'!$B$3&amp;"-"&amp;A586,'PY1 TFR ADA'!$D:$AT,4,FALSE),"")</f>
        <v/>
      </c>
      <c r="E586" s="893"/>
      <c r="F586" s="893"/>
      <c r="G586" s="893"/>
      <c r="H586" s="893"/>
      <c r="I586" s="893"/>
      <c r="J586" s="893"/>
      <c r="K586" s="893"/>
      <c r="L586" s="893"/>
      <c r="M586" s="893"/>
      <c r="N586" s="893"/>
      <c r="O586" s="893"/>
      <c r="P586" s="893"/>
      <c r="Q586" s="893"/>
      <c r="R586" s="893"/>
      <c r="S586" s="893"/>
      <c r="T586" s="893"/>
      <c r="U586" s="893"/>
      <c r="V586" s="894"/>
      <c r="X586" s="83"/>
    </row>
    <row r="587" spans="1:24" ht="75" customHeight="1">
      <c r="A587" s="521"/>
      <c r="C587" s="540" t="s">
        <v>1315</v>
      </c>
      <c r="D587" s="512"/>
      <c r="E587" s="540" t="s">
        <v>1316</v>
      </c>
      <c r="F587" s="512"/>
      <c r="G587" s="540" t="s">
        <v>1309</v>
      </c>
      <c r="H587" s="512"/>
      <c r="I587" s="540" t="s">
        <v>1310</v>
      </c>
      <c r="J587" s="512"/>
      <c r="K587" s="540" t="s">
        <v>1311</v>
      </c>
      <c r="L587" s="512"/>
      <c r="M587" s="540" t="s">
        <v>1312</v>
      </c>
      <c r="N587" s="512"/>
      <c r="O587" s="540" t="s">
        <v>1313</v>
      </c>
      <c r="P587" s="512"/>
      <c r="Q587" s="540" t="s">
        <v>1314</v>
      </c>
      <c r="R587" s="167"/>
      <c r="S587" s="540" t="s">
        <v>1308</v>
      </c>
      <c r="T587" s="167"/>
      <c r="U587" s="512" t="s">
        <v>1307</v>
      </c>
      <c r="V587" s="524"/>
      <c r="X587" s="283"/>
    </row>
    <row r="588" spans="1:24" s="8" customFormat="1" ht="14.4">
      <c r="A588" s="521"/>
      <c r="B588" s="510" t="s">
        <v>94</v>
      </c>
      <c r="C588" s="525">
        <f>IFERROR(VLOOKUP($B586,'PY1 TFR ADA'!$F:$AU,MATCH("A-1.1",'PY1 TFR ADA'!$F$5:$AU$5,0),FALSE),0)</f>
        <v>0</v>
      </c>
      <c r="D588" s="167"/>
      <c r="E588" s="525">
        <f>IFERROR(VALUE(VLOOKUP($B586,'PY1 TFR ADA'!$F:$AU,MATCH("A-2.1",'PY1 TFR ADA'!$F$5:$AU$5,0),FALSE)),0)</f>
        <v>0</v>
      </c>
      <c r="F588" s="167"/>
      <c r="G588" s="609">
        <f>IFERROR(VLOOKUP($B586,'PY1 TFR ADA'!$F:$AU,MATCH("b-1.1",'PY1 TFR ADA'!$F$5:$AU$5,0),FALSE),0)</f>
        <v>0</v>
      </c>
      <c r="H588" s="527"/>
      <c r="I588" s="609">
        <f>IFERROR(VLOOKUP($B586,'PY1 TFR ADA'!$F:$AU,MATCH("b-2.1",'PY1 TFR ADA'!$F$5:$AU$5,0),FALSE),0)</f>
        <v>0</v>
      </c>
      <c r="J588" s="527"/>
      <c r="K588" s="609">
        <f>IFERROR(VLOOKUP($B586,'PY1 TFR ADA'!$F:$AU,MATCH("b-3.1",'PY1 TFR ADA'!$F$5:$AU$5,0),FALSE),0)</f>
        <v>0</v>
      </c>
      <c r="L588" s="527"/>
      <c r="M588" s="609">
        <f>IFERROR(VLOOKUP($B586,'PY1 TFR ADA'!$F:$AU,MATCH("b-4.1",'PY1 TFR ADA'!$F$5:$AU$5,0),FALSE),0)</f>
        <v>0</v>
      </c>
      <c r="N588" s="527"/>
      <c r="O588" s="609">
        <f>IFERROR(VLOOKUP($B586,'PY1 TFR ADA'!$F:$AU,MATCH("b-5.1",'PY1 TFR ADA'!$F$5:$AU$5,0),FALSE),0)</f>
        <v>0</v>
      </c>
      <c r="P588" s="527"/>
      <c r="Q588" s="609">
        <f>IFERROR(VLOOKUP($B586,'PY1 TFR ADA'!$F:$AU,MATCH("b-6.1",'PY1 TFR ADA'!$F$5:$AU$5,0),FALSE),0)</f>
        <v>0</v>
      </c>
      <c r="R588" s="551"/>
      <c r="S588" s="601">
        <f t="shared" ref="S588:S591" si="858">SUM(G588:Q588)</f>
        <v>0</v>
      </c>
      <c r="T588" s="551"/>
      <c r="U588" s="536">
        <f t="shared" ref="U588" si="859">ROUND(IF($G595="LCFF Rate",(G588*$C588),(G588*$E588))+IF($I595="LCFF Rate",(I588*$C588),(I588*$E588))+IF($K595="LCFF Rate",(K588*$C588),(K588*$E588))+IF($M595="LCFF Rate",(M588*$C588),(M588*$E588))+IF($O595="LCFF Rate",(O588*$C588),(O588*$E588))+IF($Q595="LCFF Rate",(Q588*$C588),(Q588*$E588)),0)</f>
        <v>0</v>
      </c>
      <c r="V588" s="524"/>
      <c r="X588" s="496"/>
    </row>
    <row r="589" spans="1:24" s="8" customFormat="1" ht="14.4">
      <c r="A589" s="521"/>
      <c r="B589" s="510" t="s">
        <v>2</v>
      </c>
      <c r="C589" s="525">
        <f>IFERROR(VLOOKUP($B586,'PY1 TFR ADA'!$F:$AU,MATCH("A-1.2",'PY1 TFR ADA'!$F$5:$AU$5,0),FALSE),0)</f>
        <v>0</v>
      </c>
      <c r="D589" s="167"/>
      <c r="E589" s="525">
        <f>IFERROR(VALUE(VLOOKUP($B586,'PY1 TFR ADA'!$F:$AU,MATCH("A-2.2",'PY1 TFR ADA'!$F$5:$AU$5,0),FALSE)),0)</f>
        <v>0</v>
      </c>
      <c r="F589" s="167"/>
      <c r="G589" s="609">
        <f>IFERROR(VLOOKUP($B586,'PY1 TFR ADA'!$F:$AU,MATCH("b-1.2",'PY1 TFR ADA'!$F$5:$AU$5,0),FALSE),0)</f>
        <v>0</v>
      </c>
      <c r="H589" s="527"/>
      <c r="I589" s="609">
        <f>IFERROR(VLOOKUP($B586,'PY1 TFR ADA'!$F:$AU,MATCH("b-2.2",'PY1 TFR ADA'!$F$5:$AU$5,0),FALSE),0)</f>
        <v>0</v>
      </c>
      <c r="J589" s="527"/>
      <c r="K589" s="609">
        <f>IFERROR(VLOOKUP($B586,'PY1 TFR ADA'!$F:$AU,MATCH("b-3.2",'PY1 TFR ADA'!$F$5:$AU$5,0),FALSE),0)</f>
        <v>0</v>
      </c>
      <c r="L589" s="527"/>
      <c r="M589" s="609">
        <f>IFERROR(VLOOKUP($B586,'PY1 TFR ADA'!$F:$AU,MATCH("b-4.2",'PY1 TFR ADA'!$F$5:$AU$5,0),FALSE),0)</f>
        <v>0</v>
      </c>
      <c r="N589" s="527"/>
      <c r="O589" s="609">
        <f>IFERROR(VLOOKUP($B586,'PY1 TFR ADA'!$F:$AU,MATCH("b-5.2",'PY1 TFR ADA'!$F$5:$AU$5,0),FALSE),0)</f>
        <v>0</v>
      </c>
      <c r="P589" s="527"/>
      <c r="Q589" s="609">
        <f>IFERROR(VLOOKUP($B586,'PY1 TFR ADA'!$F:$AU,MATCH("b-6.2",'PY1 TFR ADA'!$F$5:$AU$5,0),FALSE),0)</f>
        <v>0</v>
      </c>
      <c r="R589" s="551"/>
      <c r="S589" s="601">
        <f t="shared" si="858"/>
        <v>0</v>
      </c>
      <c r="T589" s="551"/>
      <c r="U589" s="536">
        <f t="shared" ref="U589" si="860">ROUND(IF($G595="LCFF Rate",(G589*$C589),(G589*$E589))+IF($I595="LCFF Rate",(I589*$C589),(I589*$E589))+IF($K595="LCFF Rate",(K589*$C589),(K589*$E589))+IF($M595="LCFF Rate",(M589*$C589),(M589*$E589))+IF($O595="LCFF Rate",(O589*$C589),(O589*$E589))+IF($Q595="LCFF Rate",(Q589*$C589),(Q589*$E589)),0)</f>
        <v>0</v>
      </c>
      <c r="V589" s="524"/>
      <c r="X589" s="4"/>
    </row>
    <row r="590" spans="1:24" s="8" customFormat="1" ht="14.4">
      <c r="A590" s="521"/>
      <c r="B590" s="510" t="s">
        <v>3</v>
      </c>
      <c r="C590" s="525">
        <f>IFERROR(VLOOKUP($B586,'PY1 TFR ADA'!$F:$AU,MATCH("A-1.3",'PY1 TFR ADA'!$F$5:$AU$5,0),FALSE),0)</f>
        <v>0</v>
      </c>
      <c r="D590" s="167"/>
      <c r="E590" s="525">
        <f>IFERROR(VALUE(VLOOKUP($B586,'PY1 TFR ADA'!$F:$AU,MATCH("A-2.3",'PY1 TFR ADA'!$F$5:$AU$5,0),FALSE)),0)</f>
        <v>0</v>
      </c>
      <c r="F590" s="167"/>
      <c r="G590" s="609">
        <f>IFERROR(VLOOKUP($B586,'PY1 TFR ADA'!$F:$AU,MATCH("b-1.3",'PY1 TFR ADA'!$F$5:$AU$5,0),FALSE),0)</f>
        <v>0</v>
      </c>
      <c r="H590" s="527"/>
      <c r="I590" s="609">
        <f>IFERROR(VLOOKUP($B586,'PY1 TFR ADA'!$F:$AU,MATCH("b-2.3",'PY1 TFR ADA'!$F$5:$AU$5,0),FALSE),0)</f>
        <v>0</v>
      </c>
      <c r="J590" s="527"/>
      <c r="K590" s="609">
        <f>IFERROR(VLOOKUP($B586,'PY1 TFR ADA'!$F:$AU,MATCH("b-3.3",'PY1 TFR ADA'!$F$5:$AU$5,0),FALSE),0)</f>
        <v>0</v>
      </c>
      <c r="L590" s="527"/>
      <c r="M590" s="609">
        <f>IFERROR(VLOOKUP($B586,'PY1 TFR ADA'!$F:$AU,MATCH("b-4.3",'PY1 TFR ADA'!$F$5:$AU$5,0),FALSE),0)</f>
        <v>0</v>
      </c>
      <c r="N590" s="527"/>
      <c r="O590" s="609">
        <f>IFERROR(VLOOKUP($B586,'PY1 TFR ADA'!$F:$AU,MATCH("b-5.3",'PY1 TFR ADA'!$F$5:$AU$5,0),FALSE),0)</f>
        <v>0</v>
      </c>
      <c r="P590" s="527"/>
      <c r="Q590" s="609">
        <f>IFERROR(VLOOKUP($B586,'PY1 TFR ADA'!$F:$AU,MATCH("b-6.3",'PY1 TFR ADA'!$F$5:$AU$5,0),FALSE),0)</f>
        <v>0</v>
      </c>
      <c r="R590" s="551"/>
      <c r="S590" s="601">
        <f t="shared" si="858"/>
        <v>0</v>
      </c>
      <c r="T590" s="551"/>
      <c r="U590" s="536">
        <f t="shared" ref="U590" si="861">ROUND(IF($G595="LCFF Rate",(G590*$C590),(G590*$E590))+IF($I595="LCFF Rate",(I590*$C590),(I590*$E590))+IF($K595="LCFF Rate",(K590*$C590),(K590*$E590))+IF($M595="LCFF Rate",(M590*$C590),(M590*$E590))+IF($O595="LCFF Rate",(O590*$C590),(O590*$E590))+IF($Q595="LCFF Rate",(Q590*$C590),(Q590*$E590)),0)</f>
        <v>0</v>
      </c>
      <c r="V590" s="524"/>
      <c r="X590" s="4"/>
    </row>
    <row r="591" spans="1:24" s="8" customFormat="1" ht="14.4">
      <c r="A591" s="526"/>
      <c r="B591" s="510" t="s">
        <v>4</v>
      </c>
      <c r="C591" s="525">
        <f>IFERROR(VLOOKUP($B586,'PY1 TFR ADA'!$F:$AU,MATCH("A-1.4",'PY1 TFR ADA'!$F$5:$AU$5,0),FALSE),0)</f>
        <v>0</v>
      </c>
      <c r="D591" s="523"/>
      <c r="E591" s="525">
        <f>IFERROR(VALUE(VLOOKUP($B586,'PY1 TFR ADA'!$F:$AU,MATCH("A-2.4",'PY1 TFR ADA'!$F$5:$AU$5,0),FALSE)),0)</f>
        <v>0</v>
      </c>
      <c r="F591" s="523"/>
      <c r="G591" s="609">
        <f>IFERROR(VLOOKUP($B586,'PY1 TFR ADA'!$F:$AU,MATCH("b-1.4",'PY1 TFR ADA'!$F$5:$AU$5,0),FALSE),0)</f>
        <v>0</v>
      </c>
      <c r="H591" s="527"/>
      <c r="I591" s="609">
        <f>IFERROR(VLOOKUP($B586,'PY1 TFR ADA'!$F:$AU,MATCH("b-2.4",'PY1 TFR ADA'!$F$5:$AU$5,0),FALSE),0)</f>
        <v>0</v>
      </c>
      <c r="J591" s="527"/>
      <c r="K591" s="609">
        <f>IFERROR(VLOOKUP($B586,'PY1 TFR ADA'!$F:$AU,MATCH("b-3.4",'PY1 TFR ADA'!$F$5:$AU$5,0),FALSE),0)</f>
        <v>0</v>
      </c>
      <c r="L591" s="527"/>
      <c r="M591" s="609">
        <f>IFERROR(VLOOKUP($B586,'PY1 TFR ADA'!$F:$AU,MATCH("b-4.4",'PY1 TFR ADA'!$F$5:$AU$5,0),FALSE),0)</f>
        <v>0</v>
      </c>
      <c r="N591" s="527"/>
      <c r="O591" s="609">
        <f>IFERROR(VLOOKUP($B586,'PY1 TFR ADA'!$F:$AU,MATCH("b-5.4",'PY1 TFR ADA'!$F$5:$AU$5,0),FALSE),0)</f>
        <v>0</v>
      </c>
      <c r="P591" s="527"/>
      <c r="Q591" s="609">
        <f>IFERROR(VLOOKUP($B586,'PY1 TFR ADA'!$F:$AU,MATCH("b-6.4",'PY1 TFR ADA'!$F$5:$AU$5,0),FALSE),0)</f>
        <v>0</v>
      </c>
      <c r="R591" s="551"/>
      <c r="S591" s="601">
        <f t="shared" si="858"/>
        <v>0</v>
      </c>
      <c r="T591" s="551"/>
      <c r="U591" s="536">
        <f t="shared" ref="U591" si="862">ROUND(IF($G595="LCFF Rate",(G591*$C591),(G591*$E591))+IF($I595="LCFF Rate",(I591*$C591),(I591*$E591))+IF($K595="LCFF Rate",(K591*$C591),(K591*$E591))+IF($M595="LCFF Rate",(M591*$C591),(M591*$E591))+IF($O595="LCFF Rate",(O591*$C591),(O591*$E591))+IF($Q595="LCFF Rate",(Q591*$C591),(Q591*$E591)),0)</f>
        <v>0</v>
      </c>
      <c r="V591" s="522"/>
      <c r="X591" s="496"/>
    </row>
    <row r="592" spans="1:24" s="8" customFormat="1" ht="8.25" customHeight="1">
      <c r="A592" s="521"/>
      <c r="B592" s="167"/>
      <c r="C592" s="165"/>
      <c r="D592" s="523"/>
      <c r="E592" s="165"/>
      <c r="F592" s="523"/>
      <c r="G592" s="520"/>
      <c r="H592" s="523"/>
      <c r="I592" s="520"/>
      <c r="J592" s="523"/>
      <c r="K592" s="520"/>
      <c r="L592" s="523"/>
      <c r="M592" s="520"/>
      <c r="N592" s="523"/>
      <c r="O592" s="520"/>
      <c r="P592" s="523"/>
      <c r="Q592" s="520"/>
      <c r="R592" s="167"/>
      <c r="S592" s="520"/>
      <c r="T592" s="167"/>
      <c r="U592" s="602"/>
      <c r="V592" s="522"/>
      <c r="X592" s="4"/>
    </row>
    <row r="593" spans="1:24" s="8" customFormat="1" ht="14.4">
      <c r="A593" s="521"/>
      <c r="B593" s="167"/>
      <c r="C593" s="165"/>
      <c r="D593" s="523"/>
      <c r="E593" s="513" t="s">
        <v>1317</v>
      </c>
      <c r="F593" s="523"/>
      <c r="G593" s="601">
        <f t="shared" ref="G593" si="863">SUM(G588:G591)</f>
        <v>0</v>
      </c>
      <c r="H593" s="527"/>
      <c r="I593" s="601">
        <f t="shared" ref="I593" si="864">SUM(I588:I591)</f>
        <v>0</v>
      </c>
      <c r="J593" s="527"/>
      <c r="K593" s="601">
        <f t="shared" ref="K593" si="865">SUM(K588:K591)</f>
        <v>0</v>
      </c>
      <c r="L593" s="527"/>
      <c r="M593" s="601">
        <f t="shared" ref="M593" si="866">SUM(M588:M591)</f>
        <v>0</v>
      </c>
      <c r="N593" s="527"/>
      <c r="O593" s="601">
        <f t="shared" ref="O593" si="867">SUM(O588:O591)</f>
        <v>0</v>
      </c>
      <c r="P593" s="527"/>
      <c r="Q593" s="601">
        <f t="shared" ref="Q593" si="868">SUM(Q588:Q591)</f>
        <v>0</v>
      </c>
      <c r="R593" s="527"/>
      <c r="S593" s="601">
        <f t="shared" ref="S593" si="869">SUM(S588:S591)</f>
        <v>0</v>
      </c>
      <c r="T593" s="527"/>
      <c r="U593" s="536">
        <f t="shared" ref="U593" si="870">SUM(U588:U591)</f>
        <v>0</v>
      </c>
      <c r="V593" s="522"/>
      <c r="X593" s="4"/>
    </row>
    <row r="594" spans="1:24" s="8" customFormat="1" ht="8.25" customHeight="1">
      <c r="A594" s="521"/>
      <c r="B594" s="167"/>
      <c r="C594" s="165"/>
      <c r="D594" s="523"/>
      <c r="E594" s="165"/>
      <c r="F594" s="523"/>
      <c r="G594" s="520"/>
      <c r="H594" s="523"/>
      <c r="I594" s="520"/>
      <c r="J594" s="523"/>
      <c r="K594" s="520"/>
      <c r="L594" s="523"/>
      <c r="M594" s="520"/>
      <c r="N594" s="523"/>
      <c r="O594" s="520"/>
      <c r="P594" s="523"/>
      <c r="Q594" s="520"/>
      <c r="R594" s="167"/>
      <c r="S594" s="520"/>
      <c r="T594" s="167"/>
      <c r="U594" s="528"/>
      <c r="V594" s="522"/>
      <c r="X594" s="4"/>
    </row>
    <row r="595" spans="1:24" s="8" customFormat="1" ht="16.5" customHeight="1">
      <c r="A595" s="521"/>
      <c r="B595" s="167"/>
      <c r="C595" s="165"/>
      <c r="E595" s="513" t="s">
        <v>1304</v>
      </c>
      <c r="F595" s="523"/>
      <c r="G595" s="977">
        <f>_xlfn.IFNA(IF(VLOOKUP($B586,'PY1 TFR ADA'!$F:$AU,MATCH("B-1.5",'PY1 TFR ADA'!$F$5:$AU$5,0),FALSE)=TRUE,IF(VLOOKUP($B586,'PY1 TFR ADA'!$F:$AU,MATCH("C-1",'PY1 TFR ADA'!$F$5:$AU$5,0),FALSE)=TRUE,"Alternative Rate","LCFF Rate"),"LCFF Rate"),0)</f>
        <v>0</v>
      </c>
      <c r="H595" s="523"/>
      <c r="I595" s="977">
        <f>_xlfn.IFNA(IF(VLOOKUP($B586,'PY1 TFR ADA'!$F:$AU,MATCH("B-2.5",'PY1 TFR ADA'!$F$5:$AU$5,0),FALSE)=TRUE,IF(VLOOKUP($B586,'PY1 TFR ADA'!$F:$AU,MATCH("C-1",'PY1 TFR ADA'!$F$5:$AU$5,0),FALSE)=TRUE,"Alternative Rate","LCFF Rate"),"LCFF Rate"),0)</f>
        <v>0</v>
      </c>
      <c r="J595" s="523"/>
      <c r="K595" s="977">
        <f>_xlfn.IFNA(IF(VLOOKUP($B586,'PY1 TFR ADA'!$F:$AU,MATCH("B-3.5",'PY1 TFR ADA'!$F$5:$AU$5,0),FALSE)=TRUE,IF(VLOOKUP($B586,'PY1 TFR ADA'!$F:$AU,MATCH("C-1",'PY1 TFR ADA'!$F$5:$AU$5,0),FALSE)=TRUE,"Alternative Rate","LCFF Rate"),"LCFF Rate"),0)</f>
        <v>0</v>
      </c>
      <c r="L595" s="523"/>
      <c r="M595" s="977">
        <f>_xlfn.IFNA(IF(VLOOKUP($B586,'PY1 TFR ADA'!$F:$AU,MATCH("B-4.5",'PY1 TFR ADA'!$F$5:$AU$5,0),FALSE)=TRUE,IF(VLOOKUP($B586,'PY1 TFR ADA'!$F:$AU,MATCH("C-1",'PY1 TFR ADA'!$F$5:$AU$5,0),FALSE)=TRUE,"Alternative Rate","LCFF Rate"),"LCFF Rate"),0)</f>
        <v>0</v>
      </c>
      <c r="N595" s="523"/>
      <c r="O595" s="977">
        <f>_xlfn.IFNA(IF(VLOOKUP($B586,'PY1 TFR ADA'!$F:$AU,MATCH("B-5.5",'PY1 TFR ADA'!$F$5:$AU$5,0),FALSE)=TRUE,IF(VLOOKUP($B586,'PY1 TFR ADA'!$F:$AU,MATCH("C-1",'PY1 TFR ADA'!$F$5:$AU$5,0),FALSE)=TRUE,"Alternative Rate","LCFF Rate"),"LCFF Rate"),0)</f>
        <v>0</v>
      </c>
      <c r="P595" s="523"/>
      <c r="Q595" s="977">
        <f>_xlfn.IFNA(IF(VLOOKUP($B586,'PY1 TFR ADA'!$F:$AU,MATCH("B-6.5",'PY1 TFR ADA'!$F$5:$AU$5,0),FALSE)=TRUE,IF(VLOOKUP($B586,'PY1 TFR ADA'!$F:$AU,MATCH("C-1",'PY1 TFR ADA'!$F$5:$AU$5,0),FALSE)=TRUE,"Alternative Rate","LCFF Rate"),"LCFF Rate"),0)</f>
        <v>0</v>
      </c>
      <c r="R595" s="167"/>
      <c r="S595" s="520"/>
      <c r="T595" s="167"/>
      <c r="U595" s="528"/>
      <c r="V595" s="522"/>
      <c r="X595" s="283"/>
    </row>
    <row r="596" spans="1:24" s="8" customFormat="1" ht="8.25" customHeight="1">
      <c r="A596" s="521"/>
      <c r="B596" s="167"/>
      <c r="C596" s="165"/>
      <c r="D596" s="523"/>
      <c r="E596" s="165"/>
      <c r="F596" s="523"/>
      <c r="G596" s="520"/>
      <c r="H596" s="523"/>
      <c r="I596" s="520"/>
      <c r="J596" s="523"/>
      <c r="K596" s="520"/>
      <c r="L596" s="523"/>
      <c r="M596" s="520"/>
      <c r="N596" s="523"/>
      <c r="O596" s="520"/>
      <c r="P596" s="523"/>
      <c r="Q596" s="520"/>
      <c r="R596" s="167"/>
      <c r="S596" s="520"/>
      <c r="T596" s="167"/>
      <c r="U596" s="528"/>
      <c r="V596" s="522"/>
      <c r="X596" s="4"/>
    </row>
    <row r="597" spans="1:24" s="8" customFormat="1" ht="16.8">
      <c r="A597" s="521"/>
      <c r="B597" s="2"/>
      <c r="F597" s="523"/>
      <c r="G597" s="535">
        <f t="shared" ref="G597" si="871">IF(G595="LCFF Rate",(G588*C588+G589*C589+G590*C590+G591*C591),(G593*E591))</f>
        <v>0</v>
      </c>
      <c r="H597" s="537"/>
      <c r="I597" s="535">
        <f t="shared" ref="I597" si="872">IF(I595="LCFF Rate",(I588*C588+I589*C589+I590*C590+I591*C591),(I593*E591))</f>
        <v>0</v>
      </c>
      <c r="J597" s="537"/>
      <c r="K597" s="535">
        <f t="shared" ref="K597" si="873">IF(K595="LCFF Rate",(K588*C588+K589*C589+K590*C590+K591*C591),(K593*E591))</f>
        <v>0</v>
      </c>
      <c r="L597" s="537"/>
      <c r="M597" s="535">
        <f t="shared" ref="M597" si="874">IF(M595="LCFF Rate",(M588*C588+M589*C589+M590*C590+M591*C591),(M593*E591))</f>
        <v>0</v>
      </c>
      <c r="N597" s="537"/>
      <c r="O597" s="535">
        <f t="shared" ref="O597" si="875">IF(O595="LCFF Rate",(O588*C588+O589*C589+O590*C590+O591*C591),(O593*E591))</f>
        <v>0</v>
      </c>
      <c r="P597" s="537"/>
      <c r="Q597" s="535">
        <f t="shared" ref="Q597" si="876">IF(Q595="LCFF Rate",(Q588*C588+Q589*C589+Q590*C590+Q591*C591),(Q593*E591))</f>
        <v>0</v>
      </c>
      <c r="R597" s="167"/>
      <c r="S597" s="538">
        <f t="shared" ref="S597" si="877">SUM(G597:Q597)</f>
        <v>0</v>
      </c>
      <c r="T597" s="167"/>
      <c r="U597" s="528"/>
      <c r="V597" s="522"/>
      <c r="X597" s="979"/>
    </row>
    <row r="598" spans="1:24" s="8" customFormat="1" ht="9" customHeight="1" thickBot="1">
      <c r="A598" s="529"/>
      <c r="B598" s="530"/>
      <c r="C598" s="531"/>
      <c r="D598" s="532"/>
      <c r="E598" s="533"/>
      <c r="F598" s="532"/>
      <c r="G598" s="530"/>
      <c r="H598" s="532"/>
      <c r="I598" s="530"/>
      <c r="J598" s="532"/>
      <c r="K598" s="530"/>
      <c r="L598" s="532"/>
      <c r="M598" s="530"/>
      <c r="N598" s="532"/>
      <c r="O598" s="530"/>
      <c r="P598" s="532"/>
      <c r="Q598" s="530"/>
      <c r="R598" s="532"/>
      <c r="S598" s="530"/>
      <c r="T598" s="532"/>
      <c r="U598" s="532"/>
      <c r="V598" s="534"/>
      <c r="X598" s="4"/>
    </row>
    <row r="599" spans="1:24" s="82" customFormat="1" ht="18" customHeight="1" thickBot="1">
      <c r="A599" s="890">
        <f>+A586+1</f>
        <v>46</v>
      </c>
      <c r="B599" s="891" t="str">
        <f>'Data Entry'!$B$3&amp;"-"&amp;C599</f>
        <v>-</v>
      </c>
      <c r="C599" s="891" t="str">
        <f>IFERROR(VLOOKUP('Data Entry'!$B$3&amp;"-"&amp;A599,'PY1 TFR ADA'!$D:$AT,2,FALSE),"")</f>
        <v/>
      </c>
      <c r="D599" s="892" t="str">
        <f>IFERROR(VLOOKUP('Data Entry'!$B$3&amp;"-"&amp;A599,'PY1 TFR ADA'!$D:$AT,4,FALSE),"")</f>
        <v/>
      </c>
      <c r="E599" s="893"/>
      <c r="F599" s="893"/>
      <c r="G599" s="893"/>
      <c r="H599" s="893"/>
      <c r="I599" s="893"/>
      <c r="J599" s="893"/>
      <c r="K599" s="893"/>
      <c r="L599" s="893"/>
      <c r="M599" s="893"/>
      <c r="N599" s="893"/>
      <c r="O599" s="893"/>
      <c r="P599" s="893"/>
      <c r="Q599" s="893"/>
      <c r="R599" s="893"/>
      <c r="S599" s="893"/>
      <c r="T599" s="893"/>
      <c r="U599" s="893"/>
      <c r="V599" s="894"/>
      <c r="X599" s="83"/>
    </row>
    <row r="600" spans="1:24" ht="75" customHeight="1">
      <c r="A600" s="521"/>
      <c r="C600" s="540" t="s">
        <v>1315</v>
      </c>
      <c r="D600" s="512"/>
      <c r="E600" s="540" t="s">
        <v>1316</v>
      </c>
      <c r="F600" s="512"/>
      <c r="G600" s="540" t="s">
        <v>1309</v>
      </c>
      <c r="H600" s="512"/>
      <c r="I600" s="540" t="s">
        <v>1310</v>
      </c>
      <c r="J600" s="512"/>
      <c r="K600" s="540" t="s">
        <v>1311</v>
      </c>
      <c r="L600" s="512"/>
      <c r="M600" s="540" t="s">
        <v>1312</v>
      </c>
      <c r="N600" s="512"/>
      <c r="O600" s="540" t="s">
        <v>1313</v>
      </c>
      <c r="P600" s="512"/>
      <c r="Q600" s="540" t="s">
        <v>1314</v>
      </c>
      <c r="R600" s="167"/>
      <c r="S600" s="540" t="s">
        <v>1308</v>
      </c>
      <c r="T600" s="167"/>
      <c r="U600" s="512" t="s">
        <v>1307</v>
      </c>
      <c r="V600" s="524"/>
      <c r="X600" s="283"/>
    </row>
    <row r="601" spans="1:24" s="8" customFormat="1" ht="14.4">
      <c r="A601" s="521"/>
      <c r="B601" s="510" t="s">
        <v>94</v>
      </c>
      <c r="C601" s="525">
        <f>IFERROR(VLOOKUP($B599,'PY1 TFR ADA'!$F:$AU,MATCH("A-1.1",'PY1 TFR ADA'!$F$5:$AU$5,0),FALSE),0)</f>
        <v>0</v>
      </c>
      <c r="D601" s="167"/>
      <c r="E601" s="525">
        <f>IFERROR(VALUE(VLOOKUP($B599,'PY1 TFR ADA'!$F:$AU,MATCH("A-2.1",'PY1 TFR ADA'!$F$5:$AU$5,0),FALSE)),0)</f>
        <v>0</v>
      </c>
      <c r="F601" s="167"/>
      <c r="G601" s="609">
        <f>IFERROR(VLOOKUP($B599,'PY1 TFR ADA'!$F:$AU,MATCH("b-1.1",'PY1 TFR ADA'!$F$5:$AU$5,0),FALSE),0)</f>
        <v>0</v>
      </c>
      <c r="H601" s="527"/>
      <c r="I601" s="609">
        <f>IFERROR(VLOOKUP($B599,'PY1 TFR ADA'!$F:$AU,MATCH("b-2.1",'PY1 TFR ADA'!$F$5:$AU$5,0),FALSE),0)</f>
        <v>0</v>
      </c>
      <c r="J601" s="527"/>
      <c r="K601" s="609">
        <f>IFERROR(VLOOKUP($B599,'PY1 TFR ADA'!$F:$AU,MATCH("b-3.1",'PY1 TFR ADA'!$F$5:$AU$5,0),FALSE),0)</f>
        <v>0</v>
      </c>
      <c r="L601" s="527"/>
      <c r="M601" s="609">
        <f>IFERROR(VLOOKUP($B599,'PY1 TFR ADA'!$F:$AU,MATCH("b-4.1",'PY1 TFR ADA'!$F$5:$AU$5,0),FALSE),0)</f>
        <v>0</v>
      </c>
      <c r="N601" s="527"/>
      <c r="O601" s="609">
        <f>IFERROR(VLOOKUP($B599,'PY1 TFR ADA'!$F:$AU,MATCH("b-5.1",'PY1 TFR ADA'!$F$5:$AU$5,0),FALSE),0)</f>
        <v>0</v>
      </c>
      <c r="P601" s="527"/>
      <c r="Q601" s="609">
        <f>IFERROR(VLOOKUP($B599,'PY1 TFR ADA'!$F:$AU,MATCH("b-6.1",'PY1 TFR ADA'!$F$5:$AU$5,0),FALSE),0)</f>
        <v>0</v>
      </c>
      <c r="R601" s="551"/>
      <c r="S601" s="601">
        <f t="shared" ref="S601:S604" si="878">SUM(G601:Q601)</f>
        <v>0</v>
      </c>
      <c r="T601" s="551"/>
      <c r="U601" s="536">
        <f t="shared" ref="U601" si="879">ROUND(IF($G608="LCFF Rate",(G601*$C601),(G601*$E601))+IF($I608="LCFF Rate",(I601*$C601),(I601*$E601))+IF($K608="LCFF Rate",(K601*$C601),(K601*$E601))+IF($M608="LCFF Rate",(M601*$C601),(M601*$E601))+IF($O608="LCFF Rate",(O601*$C601),(O601*$E601))+IF($Q608="LCFF Rate",(Q601*$C601),(Q601*$E601)),0)</f>
        <v>0</v>
      </c>
      <c r="V601" s="524"/>
      <c r="X601" s="496"/>
    </row>
    <row r="602" spans="1:24" s="8" customFormat="1" ht="14.4">
      <c r="A602" s="521"/>
      <c r="B602" s="510" t="s">
        <v>2</v>
      </c>
      <c r="C602" s="525">
        <f>IFERROR(VLOOKUP($B599,'PY1 TFR ADA'!$F:$AU,MATCH("A-1.2",'PY1 TFR ADA'!$F$5:$AU$5,0),FALSE),0)</f>
        <v>0</v>
      </c>
      <c r="D602" s="167"/>
      <c r="E602" s="525">
        <f>IFERROR(VALUE(VLOOKUP($B599,'PY1 TFR ADA'!$F:$AU,MATCH("A-2.2",'PY1 TFR ADA'!$F$5:$AU$5,0),FALSE)),0)</f>
        <v>0</v>
      </c>
      <c r="F602" s="167"/>
      <c r="G602" s="609">
        <f>IFERROR(VLOOKUP($B599,'PY1 TFR ADA'!$F:$AU,MATCH("b-1.2",'PY1 TFR ADA'!$F$5:$AU$5,0),FALSE),0)</f>
        <v>0</v>
      </c>
      <c r="H602" s="527"/>
      <c r="I602" s="609">
        <f>IFERROR(VLOOKUP($B599,'PY1 TFR ADA'!$F:$AU,MATCH("b-2.2",'PY1 TFR ADA'!$F$5:$AU$5,0),FALSE),0)</f>
        <v>0</v>
      </c>
      <c r="J602" s="527"/>
      <c r="K602" s="609">
        <f>IFERROR(VLOOKUP($B599,'PY1 TFR ADA'!$F:$AU,MATCH("b-3.2",'PY1 TFR ADA'!$F$5:$AU$5,0),FALSE),0)</f>
        <v>0</v>
      </c>
      <c r="L602" s="527"/>
      <c r="M602" s="609">
        <f>IFERROR(VLOOKUP($B599,'PY1 TFR ADA'!$F:$AU,MATCH("b-4.2",'PY1 TFR ADA'!$F$5:$AU$5,0),FALSE),0)</f>
        <v>0</v>
      </c>
      <c r="N602" s="527"/>
      <c r="O602" s="609">
        <f>IFERROR(VLOOKUP($B599,'PY1 TFR ADA'!$F:$AU,MATCH("b-5.2",'PY1 TFR ADA'!$F$5:$AU$5,0),FALSE),0)</f>
        <v>0</v>
      </c>
      <c r="P602" s="527"/>
      <c r="Q602" s="609">
        <f>IFERROR(VLOOKUP($B599,'PY1 TFR ADA'!$F:$AU,MATCH("b-6.2",'PY1 TFR ADA'!$F$5:$AU$5,0),FALSE),0)</f>
        <v>0</v>
      </c>
      <c r="R602" s="551"/>
      <c r="S602" s="601">
        <f t="shared" si="878"/>
        <v>0</v>
      </c>
      <c r="T602" s="551"/>
      <c r="U602" s="536">
        <f t="shared" ref="U602" si="880">ROUND(IF($G608="LCFF Rate",(G602*$C602),(G602*$E602))+IF($I608="LCFF Rate",(I602*$C602),(I602*$E602))+IF($K608="LCFF Rate",(K602*$C602),(K602*$E602))+IF($M608="LCFF Rate",(M602*$C602),(M602*$E602))+IF($O608="LCFF Rate",(O602*$C602),(O602*$E602))+IF($Q608="LCFF Rate",(Q602*$C602),(Q602*$E602)),0)</f>
        <v>0</v>
      </c>
      <c r="V602" s="524"/>
      <c r="X602" s="4"/>
    </row>
    <row r="603" spans="1:24" s="8" customFormat="1" ht="14.4">
      <c r="A603" s="521"/>
      <c r="B603" s="510" t="s">
        <v>3</v>
      </c>
      <c r="C603" s="525">
        <f>IFERROR(VLOOKUP($B599,'PY1 TFR ADA'!$F:$AU,MATCH("A-1.3",'PY1 TFR ADA'!$F$5:$AU$5,0),FALSE),0)</f>
        <v>0</v>
      </c>
      <c r="D603" s="167"/>
      <c r="E603" s="525">
        <f>IFERROR(VALUE(VLOOKUP($B599,'PY1 TFR ADA'!$F:$AU,MATCH("A-2.3",'PY1 TFR ADA'!$F$5:$AU$5,0),FALSE)),0)</f>
        <v>0</v>
      </c>
      <c r="F603" s="167"/>
      <c r="G603" s="609">
        <f>IFERROR(VLOOKUP($B599,'PY1 TFR ADA'!$F:$AU,MATCH("b-1.3",'PY1 TFR ADA'!$F$5:$AU$5,0),FALSE),0)</f>
        <v>0</v>
      </c>
      <c r="H603" s="527"/>
      <c r="I603" s="609">
        <f>IFERROR(VLOOKUP($B599,'PY1 TFR ADA'!$F:$AU,MATCH("b-2.3",'PY1 TFR ADA'!$F$5:$AU$5,0),FALSE),0)</f>
        <v>0</v>
      </c>
      <c r="J603" s="527"/>
      <c r="K603" s="609">
        <f>IFERROR(VLOOKUP($B599,'PY1 TFR ADA'!$F:$AU,MATCH("b-3.3",'PY1 TFR ADA'!$F$5:$AU$5,0),FALSE),0)</f>
        <v>0</v>
      </c>
      <c r="L603" s="527"/>
      <c r="M603" s="609">
        <f>IFERROR(VLOOKUP($B599,'PY1 TFR ADA'!$F:$AU,MATCH("b-4.3",'PY1 TFR ADA'!$F$5:$AU$5,0),FALSE),0)</f>
        <v>0</v>
      </c>
      <c r="N603" s="527"/>
      <c r="O603" s="609">
        <f>IFERROR(VLOOKUP($B599,'PY1 TFR ADA'!$F:$AU,MATCH("b-5.3",'PY1 TFR ADA'!$F$5:$AU$5,0),FALSE),0)</f>
        <v>0</v>
      </c>
      <c r="P603" s="527"/>
      <c r="Q603" s="609">
        <f>IFERROR(VLOOKUP($B599,'PY1 TFR ADA'!$F:$AU,MATCH("b-6.3",'PY1 TFR ADA'!$F$5:$AU$5,0),FALSE),0)</f>
        <v>0</v>
      </c>
      <c r="R603" s="551"/>
      <c r="S603" s="601">
        <f t="shared" si="878"/>
        <v>0</v>
      </c>
      <c r="T603" s="551"/>
      <c r="U603" s="536">
        <f t="shared" ref="U603" si="881">ROUND(IF($G608="LCFF Rate",(G603*$C603),(G603*$E603))+IF($I608="LCFF Rate",(I603*$C603),(I603*$E603))+IF($K608="LCFF Rate",(K603*$C603),(K603*$E603))+IF($M608="LCFF Rate",(M603*$C603),(M603*$E603))+IF($O608="LCFF Rate",(O603*$C603),(O603*$E603))+IF($Q608="LCFF Rate",(Q603*$C603),(Q603*$E603)),0)</f>
        <v>0</v>
      </c>
      <c r="V603" s="524"/>
      <c r="X603" s="4"/>
    </row>
    <row r="604" spans="1:24" s="8" customFormat="1" ht="14.4">
      <c r="A604" s="526"/>
      <c r="B604" s="510" t="s">
        <v>4</v>
      </c>
      <c r="C604" s="525">
        <f>IFERROR(VLOOKUP($B599,'PY1 TFR ADA'!$F:$AU,MATCH("A-1.4",'PY1 TFR ADA'!$F$5:$AU$5,0),FALSE),0)</f>
        <v>0</v>
      </c>
      <c r="D604" s="523"/>
      <c r="E604" s="525">
        <f>IFERROR(VALUE(VLOOKUP($B599,'PY1 TFR ADA'!$F:$AU,MATCH("A-2.4",'PY1 TFR ADA'!$F$5:$AU$5,0),FALSE)),0)</f>
        <v>0</v>
      </c>
      <c r="F604" s="523"/>
      <c r="G604" s="609">
        <f>IFERROR(VLOOKUP($B599,'PY1 TFR ADA'!$F:$AU,MATCH("b-1.4",'PY1 TFR ADA'!$F$5:$AU$5,0),FALSE),0)</f>
        <v>0</v>
      </c>
      <c r="H604" s="527"/>
      <c r="I604" s="609">
        <f>IFERROR(VLOOKUP($B599,'PY1 TFR ADA'!$F:$AU,MATCH("b-2.4",'PY1 TFR ADA'!$F$5:$AU$5,0),FALSE),0)</f>
        <v>0</v>
      </c>
      <c r="J604" s="527"/>
      <c r="K604" s="609">
        <f>IFERROR(VLOOKUP($B599,'PY1 TFR ADA'!$F:$AU,MATCH("b-3.4",'PY1 TFR ADA'!$F$5:$AU$5,0),FALSE),0)</f>
        <v>0</v>
      </c>
      <c r="L604" s="527"/>
      <c r="M604" s="609">
        <f>IFERROR(VLOOKUP($B599,'PY1 TFR ADA'!$F:$AU,MATCH("b-4.4",'PY1 TFR ADA'!$F$5:$AU$5,0),FALSE),0)</f>
        <v>0</v>
      </c>
      <c r="N604" s="527"/>
      <c r="O604" s="609">
        <f>IFERROR(VLOOKUP($B599,'PY1 TFR ADA'!$F:$AU,MATCH("b-5.4",'PY1 TFR ADA'!$F$5:$AU$5,0),FALSE),0)</f>
        <v>0</v>
      </c>
      <c r="P604" s="527"/>
      <c r="Q604" s="609">
        <f>IFERROR(VLOOKUP($B599,'PY1 TFR ADA'!$F:$AU,MATCH("b-6.4",'PY1 TFR ADA'!$F$5:$AU$5,0),FALSE),0)</f>
        <v>0</v>
      </c>
      <c r="R604" s="551"/>
      <c r="S604" s="601">
        <f t="shared" si="878"/>
        <v>0</v>
      </c>
      <c r="T604" s="551"/>
      <c r="U604" s="536">
        <f t="shared" ref="U604" si="882">ROUND(IF($G608="LCFF Rate",(G604*$C604),(G604*$E604))+IF($I608="LCFF Rate",(I604*$C604),(I604*$E604))+IF($K608="LCFF Rate",(K604*$C604),(K604*$E604))+IF($M608="LCFF Rate",(M604*$C604),(M604*$E604))+IF($O608="LCFF Rate",(O604*$C604),(O604*$E604))+IF($Q608="LCFF Rate",(Q604*$C604),(Q604*$E604)),0)</f>
        <v>0</v>
      </c>
      <c r="V604" s="522"/>
      <c r="X604" s="496"/>
    </row>
    <row r="605" spans="1:24" s="8" customFormat="1" ht="8.25" customHeight="1">
      <c r="A605" s="521"/>
      <c r="B605" s="167"/>
      <c r="C605" s="165"/>
      <c r="D605" s="523"/>
      <c r="E605" s="165"/>
      <c r="F605" s="523"/>
      <c r="G605" s="520"/>
      <c r="H605" s="523"/>
      <c r="I605" s="520"/>
      <c r="J605" s="523"/>
      <c r="K605" s="520"/>
      <c r="L605" s="523"/>
      <c r="M605" s="520"/>
      <c r="N605" s="523"/>
      <c r="O605" s="520"/>
      <c r="P605" s="523"/>
      <c r="Q605" s="520"/>
      <c r="R605" s="167"/>
      <c r="S605" s="520"/>
      <c r="T605" s="167"/>
      <c r="U605" s="602"/>
      <c r="V605" s="522"/>
      <c r="X605" s="4"/>
    </row>
    <row r="606" spans="1:24" s="8" customFormat="1" ht="14.4">
      <c r="A606" s="521"/>
      <c r="B606" s="167"/>
      <c r="C606" s="165"/>
      <c r="D606" s="523"/>
      <c r="E606" s="513" t="s">
        <v>1317</v>
      </c>
      <c r="F606" s="523"/>
      <c r="G606" s="601">
        <f t="shared" ref="G606" si="883">SUM(G601:G604)</f>
        <v>0</v>
      </c>
      <c r="H606" s="527"/>
      <c r="I606" s="601">
        <f t="shared" ref="I606" si="884">SUM(I601:I604)</f>
        <v>0</v>
      </c>
      <c r="J606" s="527"/>
      <c r="K606" s="601">
        <f t="shared" ref="K606" si="885">SUM(K601:K604)</f>
        <v>0</v>
      </c>
      <c r="L606" s="527"/>
      <c r="M606" s="601">
        <f t="shared" ref="M606" si="886">SUM(M601:M604)</f>
        <v>0</v>
      </c>
      <c r="N606" s="527"/>
      <c r="O606" s="601">
        <f t="shared" ref="O606" si="887">SUM(O601:O604)</f>
        <v>0</v>
      </c>
      <c r="P606" s="527"/>
      <c r="Q606" s="601">
        <f t="shared" ref="Q606" si="888">SUM(Q601:Q604)</f>
        <v>0</v>
      </c>
      <c r="R606" s="527"/>
      <c r="S606" s="601">
        <f t="shared" ref="S606" si="889">SUM(S601:S604)</f>
        <v>0</v>
      </c>
      <c r="T606" s="527"/>
      <c r="U606" s="536">
        <f t="shared" ref="U606" si="890">SUM(U601:U604)</f>
        <v>0</v>
      </c>
      <c r="V606" s="522"/>
      <c r="X606" s="4"/>
    </row>
    <row r="607" spans="1:24" s="8" customFormat="1" ht="8.25" customHeight="1">
      <c r="A607" s="521"/>
      <c r="B607" s="167"/>
      <c r="C607" s="165"/>
      <c r="D607" s="523"/>
      <c r="E607" s="165"/>
      <c r="F607" s="523"/>
      <c r="G607" s="520"/>
      <c r="H607" s="523"/>
      <c r="I607" s="520"/>
      <c r="J607" s="523"/>
      <c r="K607" s="520"/>
      <c r="L607" s="523"/>
      <c r="M607" s="520"/>
      <c r="N607" s="523"/>
      <c r="O607" s="520"/>
      <c r="P607" s="523"/>
      <c r="Q607" s="520"/>
      <c r="R607" s="167"/>
      <c r="S607" s="520"/>
      <c r="T607" s="167"/>
      <c r="U607" s="528"/>
      <c r="V607" s="522"/>
      <c r="X607" s="4"/>
    </row>
    <row r="608" spans="1:24" s="8" customFormat="1" ht="16.5" customHeight="1">
      <c r="A608" s="521"/>
      <c r="B608" s="167"/>
      <c r="C608" s="165"/>
      <c r="E608" s="513" t="s">
        <v>1304</v>
      </c>
      <c r="F608" s="523"/>
      <c r="G608" s="977">
        <f>_xlfn.IFNA(IF(VLOOKUP($B599,'PY1 TFR ADA'!$F:$AU,MATCH("B-1.5",'PY1 TFR ADA'!$F$5:$AU$5,0),FALSE)=TRUE,IF(VLOOKUP($B599,'PY1 TFR ADA'!$F:$AU,MATCH("C-1",'PY1 TFR ADA'!$F$5:$AU$5,0),FALSE)=TRUE,"Alternative Rate","LCFF Rate"),"LCFF Rate"),0)</f>
        <v>0</v>
      </c>
      <c r="H608" s="523"/>
      <c r="I608" s="977">
        <f>_xlfn.IFNA(IF(VLOOKUP($B599,'PY1 TFR ADA'!$F:$AU,MATCH("B-2.5",'PY1 TFR ADA'!$F$5:$AU$5,0),FALSE)=TRUE,IF(VLOOKUP($B599,'PY1 TFR ADA'!$F:$AU,MATCH("C-1",'PY1 TFR ADA'!$F$5:$AU$5,0),FALSE)=TRUE,"Alternative Rate","LCFF Rate"),"LCFF Rate"),0)</f>
        <v>0</v>
      </c>
      <c r="J608" s="523"/>
      <c r="K608" s="977">
        <f>_xlfn.IFNA(IF(VLOOKUP($B599,'PY1 TFR ADA'!$F:$AU,MATCH("B-3.5",'PY1 TFR ADA'!$F$5:$AU$5,0),FALSE)=TRUE,IF(VLOOKUP($B599,'PY1 TFR ADA'!$F:$AU,MATCH("C-1",'PY1 TFR ADA'!$F$5:$AU$5,0),FALSE)=TRUE,"Alternative Rate","LCFF Rate"),"LCFF Rate"),0)</f>
        <v>0</v>
      </c>
      <c r="L608" s="523"/>
      <c r="M608" s="977">
        <f>_xlfn.IFNA(IF(VLOOKUP($B599,'PY1 TFR ADA'!$F:$AU,MATCH("B-4.5",'PY1 TFR ADA'!$F$5:$AU$5,0),FALSE)=TRUE,IF(VLOOKUP($B599,'PY1 TFR ADA'!$F:$AU,MATCH("C-1",'PY1 TFR ADA'!$F$5:$AU$5,0),FALSE)=TRUE,"Alternative Rate","LCFF Rate"),"LCFF Rate"),0)</f>
        <v>0</v>
      </c>
      <c r="N608" s="523"/>
      <c r="O608" s="977">
        <f>_xlfn.IFNA(IF(VLOOKUP($B599,'PY1 TFR ADA'!$F:$AU,MATCH("B-5.5",'PY1 TFR ADA'!$F$5:$AU$5,0),FALSE)=TRUE,IF(VLOOKUP($B599,'PY1 TFR ADA'!$F:$AU,MATCH("C-1",'PY1 TFR ADA'!$F$5:$AU$5,0),FALSE)=TRUE,"Alternative Rate","LCFF Rate"),"LCFF Rate"),0)</f>
        <v>0</v>
      </c>
      <c r="P608" s="523"/>
      <c r="Q608" s="977">
        <f>_xlfn.IFNA(IF(VLOOKUP($B599,'PY1 TFR ADA'!$F:$AU,MATCH("B-6.5",'PY1 TFR ADA'!$F$5:$AU$5,0),FALSE)=TRUE,IF(VLOOKUP($B599,'PY1 TFR ADA'!$F:$AU,MATCH("C-1",'PY1 TFR ADA'!$F$5:$AU$5,0),FALSE)=TRUE,"Alternative Rate","LCFF Rate"),"LCFF Rate"),0)</f>
        <v>0</v>
      </c>
      <c r="R608" s="167"/>
      <c r="S608" s="520"/>
      <c r="T608" s="167"/>
      <c r="U608" s="528"/>
      <c r="V608" s="522"/>
      <c r="X608" s="283"/>
    </row>
    <row r="609" spans="1:24" s="8" customFormat="1" ht="8.25" customHeight="1">
      <c r="A609" s="521"/>
      <c r="B609" s="167"/>
      <c r="C609" s="165"/>
      <c r="D609" s="523"/>
      <c r="E609" s="165"/>
      <c r="F609" s="523"/>
      <c r="G609" s="520"/>
      <c r="H609" s="523"/>
      <c r="I609" s="520"/>
      <c r="J609" s="523"/>
      <c r="K609" s="520"/>
      <c r="L609" s="523"/>
      <c r="M609" s="520"/>
      <c r="N609" s="523"/>
      <c r="O609" s="520"/>
      <c r="P609" s="523"/>
      <c r="Q609" s="520"/>
      <c r="R609" s="167"/>
      <c r="S609" s="520"/>
      <c r="T609" s="167"/>
      <c r="U609" s="528"/>
      <c r="V609" s="522"/>
      <c r="X609" s="4"/>
    </row>
    <row r="610" spans="1:24" s="8" customFormat="1" ht="16.8">
      <c r="A610" s="521"/>
      <c r="B610" s="2"/>
      <c r="F610" s="523"/>
      <c r="G610" s="535">
        <f t="shared" ref="G610" si="891">IF(G608="LCFF Rate",(G601*C601+G602*C602+G603*C603+G604*C604),(G606*E604))</f>
        <v>0</v>
      </c>
      <c r="H610" s="537"/>
      <c r="I610" s="535">
        <f t="shared" ref="I610" si="892">IF(I608="LCFF Rate",(I601*C601+I602*C602+I603*C603+I604*C604),(I606*E604))</f>
        <v>0</v>
      </c>
      <c r="J610" s="537"/>
      <c r="K610" s="535">
        <f t="shared" ref="K610" si="893">IF(K608="LCFF Rate",(K601*C601+K602*C602+K603*C603+K604*C604),(K606*E604))</f>
        <v>0</v>
      </c>
      <c r="L610" s="537"/>
      <c r="M610" s="535">
        <f t="shared" ref="M610" si="894">IF(M608="LCFF Rate",(M601*C601+M602*C602+M603*C603+M604*C604),(M606*E604))</f>
        <v>0</v>
      </c>
      <c r="N610" s="537"/>
      <c r="O610" s="535">
        <f t="shared" ref="O610" si="895">IF(O608="LCFF Rate",(O601*C601+O602*C602+O603*C603+O604*C604),(O606*E604))</f>
        <v>0</v>
      </c>
      <c r="P610" s="537"/>
      <c r="Q610" s="535">
        <f t="shared" ref="Q610" si="896">IF(Q608="LCFF Rate",(Q601*C601+Q602*C602+Q603*C603+Q604*C604),(Q606*E604))</f>
        <v>0</v>
      </c>
      <c r="R610" s="167"/>
      <c r="S610" s="538">
        <f t="shared" ref="S610" si="897">SUM(G610:Q610)</f>
        <v>0</v>
      </c>
      <c r="T610" s="167"/>
      <c r="U610" s="528"/>
      <c r="V610" s="522"/>
      <c r="X610" s="979"/>
    </row>
    <row r="611" spans="1:24" s="8" customFormat="1" ht="9" customHeight="1" thickBot="1">
      <c r="A611" s="529"/>
      <c r="B611" s="530"/>
      <c r="C611" s="531"/>
      <c r="D611" s="532"/>
      <c r="E611" s="533"/>
      <c r="F611" s="532"/>
      <c r="G611" s="530"/>
      <c r="H611" s="532"/>
      <c r="I611" s="530"/>
      <c r="J611" s="532"/>
      <c r="K611" s="530"/>
      <c r="L611" s="532"/>
      <c r="M611" s="530"/>
      <c r="N611" s="532"/>
      <c r="O611" s="530"/>
      <c r="P611" s="532"/>
      <c r="Q611" s="530"/>
      <c r="R611" s="532"/>
      <c r="S611" s="530"/>
      <c r="T611" s="532"/>
      <c r="U611" s="532"/>
      <c r="V611" s="534"/>
      <c r="X611" s="4"/>
    </row>
    <row r="612" spans="1:24" s="82" customFormat="1" ht="18" customHeight="1" thickBot="1">
      <c r="A612" s="890">
        <f>+A599+1</f>
        <v>47</v>
      </c>
      <c r="B612" s="891" t="str">
        <f>'Data Entry'!$B$3&amp;"-"&amp;C612</f>
        <v>-</v>
      </c>
      <c r="C612" s="891" t="str">
        <f>IFERROR(VLOOKUP('Data Entry'!$B$3&amp;"-"&amp;A612,'PY1 TFR ADA'!$D:$AT,2,FALSE),"")</f>
        <v/>
      </c>
      <c r="D612" s="892" t="str">
        <f>IFERROR(VLOOKUP('Data Entry'!$B$3&amp;"-"&amp;A612,'PY1 TFR ADA'!$D:$AT,4,FALSE),"")</f>
        <v/>
      </c>
      <c r="E612" s="893"/>
      <c r="F612" s="893"/>
      <c r="G612" s="893"/>
      <c r="H612" s="893"/>
      <c r="I612" s="893"/>
      <c r="J612" s="893"/>
      <c r="K612" s="893"/>
      <c r="L612" s="893"/>
      <c r="M612" s="893"/>
      <c r="N612" s="893"/>
      <c r="O612" s="893"/>
      <c r="P612" s="893"/>
      <c r="Q612" s="893"/>
      <c r="R612" s="893"/>
      <c r="S612" s="893"/>
      <c r="T612" s="893"/>
      <c r="U612" s="893"/>
      <c r="V612" s="894"/>
      <c r="X612" s="83"/>
    </row>
    <row r="613" spans="1:24" ht="75" customHeight="1">
      <c r="A613" s="521"/>
      <c r="C613" s="540" t="s">
        <v>1315</v>
      </c>
      <c r="D613" s="512"/>
      <c r="E613" s="540" t="s">
        <v>1316</v>
      </c>
      <c r="F613" s="512"/>
      <c r="G613" s="540" t="s">
        <v>1309</v>
      </c>
      <c r="H613" s="512"/>
      <c r="I613" s="540" t="s">
        <v>1310</v>
      </c>
      <c r="J613" s="512"/>
      <c r="K613" s="540" t="s">
        <v>1311</v>
      </c>
      <c r="L613" s="512"/>
      <c r="M613" s="540" t="s">
        <v>1312</v>
      </c>
      <c r="N613" s="512"/>
      <c r="O613" s="540" t="s">
        <v>1313</v>
      </c>
      <c r="P613" s="512"/>
      <c r="Q613" s="540" t="s">
        <v>1314</v>
      </c>
      <c r="R613" s="167"/>
      <c r="S613" s="540" t="s">
        <v>1308</v>
      </c>
      <c r="T613" s="167"/>
      <c r="U613" s="512" t="s">
        <v>1307</v>
      </c>
      <c r="V613" s="524"/>
      <c r="X613" s="283"/>
    </row>
    <row r="614" spans="1:24" s="8" customFormat="1" ht="14.4">
      <c r="A614" s="521"/>
      <c r="B614" s="510" t="s">
        <v>94</v>
      </c>
      <c r="C614" s="525">
        <f>IFERROR(VLOOKUP($B612,'PY1 TFR ADA'!$F:$AU,MATCH("A-1.1",'PY1 TFR ADA'!$F$5:$AU$5,0),FALSE),0)</f>
        <v>0</v>
      </c>
      <c r="D614" s="167"/>
      <c r="E614" s="525">
        <f>IFERROR(VALUE(VLOOKUP($B612,'PY1 TFR ADA'!$F:$AU,MATCH("A-2.1",'PY1 TFR ADA'!$F$5:$AU$5,0),FALSE)),0)</f>
        <v>0</v>
      </c>
      <c r="F614" s="167"/>
      <c r="G614" s="609">
        <f>IFERROR(VLOOKUP($B612,'PY1 TFR ADA'!$F:$AU,MATCH("b-1.1",'PY1 TFR ADA'!$F$5:$AU$5,0),FALSE),0)</f>
        <v>0</v>
      </c>
      <c r="H614" s="527"/>
      <c r="I614" s="609">
        <f>IFERROR(VLOOKUP($B612,'PY1 TFR ADA'!$F:$AU,MATCH("b-2.1",'PY1 TFR ADA'!$F$5:$AU$5,0),FALSE),0)</f>
        <v>0</v>
      </c>
      <c r="J614" s="527"/>
      <c r="K614" s="609">
        <f>IFERROR(VLOOKUP($B612,'PY1 TFR ADA'!$F:$AU,MATCH("b-3.1",'PY1 TFR ADA'!$F$5:$AU$5,0),FALSE),0)</f>
        <v>0</v>
      </c>
      <c r="L614" s="527"/>
      <c r="M614" s="609">
        <f>IFERROR(VLOOKUP($B612,'PY1 TFR ADA'!$F:$AU,MATCH("b-4.1",'PY1 TFR ADA'!$F$5:$AU$5,0),FALSE),0)</f>
        <v>0</v>
      </c>
      <c r="N614" s="527"/>
      <c r="O614" s="609">
        <f>IFERROR(VLOOKUP($B612,'PY1 TFR ADA'!$F:$AU,MATCH("b-5.1",'PY1 TFR ADA'!$F$5:$AU$5,0),FALSE),0)</f>
        <v>0</v>
      </c>
      <c r="P614" s="527"/>
      <c r="Q614" s="609">
        <f>IFERROR(VLOOKUP($B612,'PY1 TFR ADA'!$F:$AU,MATCH("b-6.1",'PY1 TFR ADA'!$F$5:$AU$5,0),FALSE),0)</f>
        <v>0</v>
      </c>
      <c r="R614" s="551"/>
      <c r="S614" s="601">
        <f t="shared" ref="S614:S617" si="898">SUM(G614:Q614)</f>
        <v>0</v>
      </c>
      <c r="T614" s="551"/>
      <c r="U614" s="536">
        <f t="shared" ref="U614" si="899">ROUND(IF($G621="LCFF Rate",(G614*$C614),(G614*$E614))+IF($I621="LCFF Rate",(I614*$C614),(I614*$E614))+IF($K621="LCFF Rate",(K614*$C614),(K614*$E614))+IF($M621="LCFF Rate",(M614*$C614),(M614*$E614))+IF($O621="LCFF Rate",(O614*$C614),(O614*$E614))+IF($Q621="LCFF Rate",(Q614*$C614),(Q614*$E614)),0)</f>
        <v>0</v>
      </c>
      <c r="V614" s="524"/>
      <c r="X614" s="496"/>
    </row>
    <row r="615" spans="1:24" s="8" customFormat="1" ht="14.4">
      <c r="A615" s="521"/>
      <c r="B615" s="510" t="s">
        <v>2</v>
      </c>
      <c r="C615" s="525">
        <f>IFERROR(VLOOKUP($B612,'PY1 TFR ADA'!$F:$AU,MATCH("A-1.2",'PY1 TFR ADA'!$F$5:$AU$5,0),FALSE),0)</f>
        <v>0</v>
      </c>
      <c r="D615" s="167"/>
      <c r="E615" s="525">
        <f>IFERROR(VALUE(VLOOKUP($B612,'PY1 TFR ADA'!$F:$AU,MATCH("A-2.2",'PY1 TFR ADA'!$F$5:$AU$5,0),FALSE)),0)</f>
        <v>0</v>
      </c>
      <c r="F615" s="167"/>
      <c r="G615" s="609">
        <f>IFERROR(VLOOKUP($B612,'PY1 TFR ADA'!$F:$AU,MATCH("b-1.2",'PY1 TFR ADA'!$F$5:$AU$5,0),FALSE),0)</f>
        <v>0</v>
      </c>
      <c r="H615" s="527"/>
      <c r="I615" s="609">
        <f>IFERROR(VLOOKUP($B612,'PY1 TFR ADA'!$F:$AU,MATCH("b-2.2",'PY1 TFR ADA'!$F$5:$AU$5,0),FALSE),0)</f>
        <v>0</v>
      </c>
      <c r="J615" s="527"/>
      <c r="K615" s="609">
        <f>IFERROR(VLOOKUP($B612,'PY1 TFR ADA'!$F:$AU,MATCH("b-3.2",'PY1 TFR ADA'!$F$5:$AU$5,0),FALSE),0)</f>
        <v>0</v>
      </c>
      <c r="L615" s="527"/>
      <c r="M615" s="609">
        <f>IFERROR(VLOOKUP($B612,'PY1 TFR ADA'!$F:$AU,MATCH("b-4.2",'PY1 TFR ADA'!$F$5:$AU$5,0),FALSE),0)</f>
        <v>0</v>
      </c>
      <c r="N615" s="527"/>
      <c r="O615" s="609">
        <f>IFERROR(VLOOKUP($B612,'PY1 TFR ADA'!$F:$AU,MATCH("b-5.2",'PY1 TFR ADA'!$F$5:$AU$5,0),FALSE),0)</f>
        <v>0</v>
      </c>
      <c r="P615" s="527"/>
      <c r="Q615" s="609">
        <f>IFERROR(VLOOKUP($B612,'PY1 TFR ADA'!$F:$AU,MATCH("b-6.2",'PY1 TFR ADA'!$F$5:$AU$5,0),FALSE),0)</f>
        <v>0</v>
      </c>
      <c r="R615" s="551"/>
      <c r="S615" s="601">
        <f t="shared" si="898"/>
        <v>0</v>
      </c>
      <c r="T615" s="551"/>
      <c r="U615" s="536">
        <f t="shared" ref="U615" si="900">ROUND(IF($G621="LCFF Rate",(G615*$C615),(G615*$E615))+IF($I621="LCFF Rate",(I615*$C615),(I615*$E615))+IF($K621="LCFF Rate",(K615*$C615),(K615*$E615))+IF($M621="LCFF Rate",(M615*$C615),(M615*$E615))+IF($O621="LCFF Rate",(O615*$C615),(O615*$E615))+IF($Q621="LCFF Rate",(Q615*$C615),(Q615*$E615)),0)</f>
        <v>0</v>
      </c>
      <c r="V615" s="524"/>
      <c r="X615" s="4"/>
    </row>
    <row r="616" spans="1:24" s="8" customFormat="1" ht="14.4">
      <c r="A616" s="521"/>
      <c r="B616" s="510" t="s">
        <v>3</v>
      </c>
      <c r="C616" s="525">
        <f>IFERROR(VLOOKUP($B612,'PY1 TFR ADA'!$F:$AU,MATCH("A-1.3",'PY1 TFR ADA'!$F$5:$AU$5,0),FALSE),0)</f>
        <v>0</v>
      </c>
      <c r="D616" s="167"/>
      <c r="E616" s="525">
        <f>IFERROR(VALUE(VLOOKUP($B612,'PY1 TFR ADA'!$F:$AU,MATCH("A-2.3",'PY1 TFR ADA'!$F$5:$AU$5,0),FALSE)),0)</f>
        <v>0</v>
      </c>
      <c r="F616" s="167"/>
      <c r="G616" s="609">
        <f>IFERROR(VLOOKUP($B612,'PY1 TFR ADA'!$F:$AU,MATCH("b-1.3",'PY1 TFR ADA'!$F$5:$AU$5,0),FALSE),0)</f>
        <v>0</v>
      </c>
      <c r="H616" s="527"/>
      <c r="I616" s="609">
        <f>IFERROR(VLOOKUP($B612,'PY1 TFR ADA'!$F:$AU,MATCH("b-2.3",'PY1 TFR ADA'!$F$5:$AU$5,0),FALSE),0)</f>
        <v>0</v>
      </c>
      <c r="J616" s="527"/>
      <c r="K616" s="609">
        <f>IFERROR(VLOOKUP($B612,'PY1 TFR ADA'!$F:$AU,MATCH("b-3.3",'PY1 TFR ADA'!$F$5:$AU$5,0),FALSE),0)</f>
        <v>0</v>
      </c>
      <c r="L616" s="527"/>
      <c r="M616" s="609">
        <f>IFERROR(VLOOKUP($B612,'PY1 TFR ADA'!$F:$AU,MATCH("b-4.3",'PY1 TFR ADA'!$F$5:$AU$5,0),FALSE),0)</f>
        <v>0</v>
      </c>
      <c r="N616" s="527"/>
      <c r="O616" s="609">
        <f>IFERROR(VLOOKUP($B612,'PY1 TFR ADA'!$F:$AU,MATCH("b-5.3",'PY1 TFR ADA'!$F$5:$AU$5,0),FALSE),0)</f>
        <v>0</v>
      </c>
      <c r="P616" s="527"/>
      <c r="Q616" s="609">
        <f>IFERROR(VLOOKUP($B612,'PY1 TFR ADA'!$F:$AU,MATCH("b-6.3",'PY1 TFR ADA'!$F$5:$AU$5,0),FALSE),0)</f>
        <v>0</v>
      </c>
      <c r="R616" s="551"/>
      <c r="S616" s="601">
        <f t="shared" si="898"/>
        <v>0</v>
      </c>
      <c r="T616" s="551"/>
      <c r="U616" s="536">
        <f t="shared" ref="U616" si="901">ROUND(IF($G621="LCFF Rate",(G616*$C616),(G616*$E616))+IF($I621="LCFF Rate",(I616*$C616),(I616*$E616))+IF($K621="LCFF Rate",(K616*$C616),(K616*$E616))+IF($M621="LCFF Rate",(M616*$C616),(M616*$E616))+IF($O621="LCFF Rate",(O616*$C616),(O616*$E616))+IF($Q621="LCFF Rate",(Q616*$C616),(Q616*$E616)),0)</f>
        <v>0</v>
      </c>
      <c r="V616" s="524"/>
      <c r="X616" s="4"/>
    </row>
    <row r="617" spans="1:24" s="8" customFormat="1" ht="14.4">
      <c r="A617" s="526"/>
      <c r="B617" s="510" t="s">
        <v>4</v>
      </c>
      <c r="C617" s="525">
        <f>IFERROR(VLOOKUP($B612,'PY1 TFR ADA'!$F:$AU,MATCH("A-1.4",'PY1 TFR ADA'!$F$5:$AU$5,0),FALSE),0)</f>
        <v>0</v>
      </c>
      <c r="D617" s="523"/>
      <c r="E617" s="525">
        <f>IFERROR(VALUE(VLOOKUP($B612,'PY1 TFR ADA'!$F:$AU,MATCH("A-2.4",'PY1 TFR ADA'!$F$5:$AU$5,0),FALSE)),0)</f>
        <v>0</v>
      </c>
      <c r="F617" s="523"/>
      <c r="G617" s="609">
        <f>IFERROR(VLOOKUP($B612,'PY1 TFR ADA'!$F:$AU,MATCH("b-1.4",'PY1 TFR ADA'!$F$5:$AU$5,0),FALSE),0)</f>
        <v>0</v>
      </c>
      <c r="H617" s="527"/>
      <c r="I617" s="609">
        <f>IFERROR(VLOOKUP($B612,'PY1 TFR ADA'!$F:$AU,MATCH("b-2.4",'PY1 TFR ADA'!$F$5:$AU$5,0),FALSE),0)</f>
        <v>0</v>
      </c>
      <c r="J617" s="527"/>
      <c r="K617" s="609">
        <f>IFERROR(VLOOKUP($B612,'PY1 TFR ADA'!$F:$AU,MATCH("b-3.4",'PY1 TFR ADA'!$F$5:$AU$5,0),FALSE),0)</f>
        <v>0</v>
      </c>
      <c r="L617" s="527"/>
      <c r="M617" s="609">
        <f>IFERROR(VLOOKUP($B612,'PY1 TFR ADA'!$F:$AU,MATCH("b-4.4",'PY1 TFR ADA'!$F$5:$AU$5,0),FALSE),0)</f>
        <v>0</v>
      </c>
      <c r="N617" s="527"/>
      <c r="O617" s="609">
        <f>IFERROR(VLOOKUP($B612,'PY1 TFR ADA'!$F:$AU,MATCH("b-5.4",'PY1 TFR ADA'!$F$5:$AU$5,0),FALSE),0)</f>
        <v>0</v>
      </c>
      <c r="P617" s="527"/>
      <c r="Q617" s="609">
        <f>IFERROR(VLOOKUP($B612,'PY1 TFR ADA'!$F:$AU,MATCH("b-6.4",'PY1 TFR ADA'!$F$5:$AU$5,0),FALSE),0)</f>
        <v>0</v>
      </c>
      <c r="R617" s="551"/>
      <c r="S617" s="601">
        <f t="shared" si="898"/>
        <v>0</v>
      </c>
      <c r="T617" s="551"/>
      <c r="U617" s="536">
        <f t="shared" ref="U617" si="902">ROUND(IF($G621="LCFF Rate",(G617*$C617),(G617*$E617))+IF($I621="LCFF Rate",(I617*$C617),(I617*$E617))+IF($K621="LCFF Rate",(K617*$C617),(K617*$E617))+IF($M621="LCFF Rate",(M617*$C617),(M617*$E617))+IF($O621="LCFF Rate",(O617*$C617),(O617*$E617))+IF($Q621="LCFF Rate",(Q617*$C617),(Q617*$E617)),0)</f>
        <v>0</v>
      </c>
      <c r="V617" s="522"/>
      <c r="X617" s="496"/>
    </row>
    <row r="618" spans="1:24" s="8" customFormat="1" ht="8.25" customHeight="1">
      <c r="A618" s="521"/>
      <c r="B618" s="167"/>
      <c r="C618" s="165"/>
      <c r="D618" s="523"/>
      <c r="E618" s="165"/>
      <c r="F618" s="523"/>
      <c r="G618" s="520"/>
      <c r="H618" s="523"/>
      <c r="I618" s="520"/>
      <c r="J618" s="523"/>
      <c r="K618" s="520"/>
      <c r="L618" s="523"/>
      <c r="M618" s="520"/>
      <c r="N618" s="523"/>
      <c r="O618" s="520"/>
      <c r="P618" s="523"/>
      <c r="Q618" s="520"/>
      <c r="R618" s="167"/>
      <c r="S618" s="520"/>
      <c r="T618" s="167"/>
      <c r="U618" s="602"/>
      <c r="V618" s="522"/>
      <c r="X618" s="4"/>
    </row>
    <row r="619" spans="1:24" s="8" customFormat="1" ht="14.4">
      <c r="A619" s="521"/>
      <c r="B619" s="167"/>
      <c r="C619" s="165"/>
      <c r="D619" s="523"/>
      <c r="E619" s="513" t="s">
        <v>1317</v>
      </c>
      <c r="F619" s="523"/>
      <c r="G619" s="601">
        <f t="shared" ref="G619" si="903">SUM(G614:G617)</f>
        <v>0</v>
      </c>
      <c r="H619" s="527"/>
      <c r="I619" s="601">
        <f t="shared" ref="I619" si="904">SUM(I614:I617)</f>
        <v>0</v>
      </c>
      <c r="J619" s="527"/>
      <c r="K619" s="601">
        <f t="shared" ref="K619" si="905">SUM(K614:K617)</f>
        <v>0</v>
      </c>
      <c r="L619" s="527"/>
      <c r="M619" s="601">
        <f t="shared" ref="M619" si="906">SUM(M614:M617)</f>
        <v>0</v>
      </c>
      <c r="N619" s="527"/>
      <c r="O619" s="601">
        <f t="shared" ref="O619" si="907">SUM(O614:O617)</f>
        <v>0</v>
      </c>
      <c r="P619" s="527"/>
      <c r="Q619" s="601">
        <f t="shared" ref="Q619" si="908">SUM(Q614:Q617)</f>
        <v>0</v>
      </c>
      <c r="R619" s="527"/>
      <c r="S619" s="601">
        <f t="shared" ref="S619" si="909">SUM(S614:S617)</f>
        <v>0</v>
      </c>
      <c r="T619" s="527"/>
      <c r="U619" s="536">
        <f t="shared" ref="U619" si="910">SUM(U614:U617)</f>
        <v>0</v>
      </c>
      <c r="V619" s="522"/>
      <c r="X619" s="4"/>
    </row>
    <row r="620" spans="1:24" s="8" customFormat="1" ht="8.25" customHeight="1">
      <c r="A620" s="521"/>
      <c r="B620" s="167"/>
      <c r="C620" s="165"/>
      <c r="D620" s="523"/>
      <c r="E620" s="165"/>
      <c r="F620" s="523"/>
      <c r="G620" s="520"/>
      <c r="H620" s="523"/>
      <c r="I620" s="520"/>
      <c r="J620" s="523"/>
      <c r="K620" s="520"/>
      <c r="L620" s="523"/>
      <c r="M620" s="520"/>
      <c r="N620" s="523"/>
      <c r="O620" s="520"/>
      <c r="P620" s="523"/>
      <c r="Q620" s="520"/>
      <c r="R620" s="167"/>
      <c r="S620" s="520"/>
      <c r="T620" s="167"/>
      <c r="U620" s="528"/>
      <c r="V620" s="522"/>
      <c r="X620" s="4"/>
    </row>
    <row r="621" spans="1:24" s="8" customFormat="1" ht="16.5" customHeight="1">
      <c r="A621" s="521"/>
      <c r="B621" s="167"/>
      <c r="C621" s="165"/>
      <c r="E621" s="513" t="s">
        <v>1304</v>
      </c>
      <c r="F621" s="523"/>
      <c r="G621" s="977">
        <f>_xlfn.IFNA(IF(VLOOKUP($B612,'PY1 TFR ADA'!$F:$AU,MATCH("B-1.5",'PY1 TFR ADA'!$F$5:$AU$5,0),FALSE)=TRUE,IF(VLOOKUP($B612,'PY1 TFR ADA'!$F:$AU,MATCH("C-1",'PY1 TFR ADA'!$F$5:$AU$5,0),FALSE)=TRUE,"Alternative Rate","LCFF Rate"),"LCFF Rate"),0)</f>
        <v>0</v>
      </c>
      <c r="H621" s="523"/>
      <c r="I621" s="977">
        <f>_xlfn.IFNA(IF(VLOOKUP($B612,'PY1 TFR ADA'!$F:$AU,MATCH("B-2.5",'PY1 TFR ADA'!$F$5:$AU$5,0),FALSE)=TRUE,IF(VLOOKUP($B612,'PY1 TFR ADA'!$F:$AU,MATCH("C-1",'PY1 TFR ADA'!$F$5:$AU$5,0),FALSE)=TRUE,"Alternative Rate","LCFF Rate"),"LCFF Rate"),0)</f>
        <v>0</v>
      </c>
      <c r="J621" s="523"/>
      <c r="K621" s="977">
        <f>_xlfn.IFNA(IF(VLOOKUP($B612,'PY1 TFR ADA'!$F:$AU,MATCH("B-3.5",'PY1 TFR ADA'!$F$5:$AU$5,0),FALSE)=TRUE,IF(VLOOKUP($B612,'PY1 TFR ADA'!$F:$AU,MATCH("C-1",'PY1 TFR ADA'!$F$5:$AU$5,0),FALSE)=TRUE,"Alternative Rate","LCFF Rate"),"LCFF Rate"),0)</f>
        <v>0</v>
      </c>
      <c r="L621" s="523"/>
      <c r="M621" s="977">
        <f>_xlfn.IFNA(IF(VLOOKUP($B612,'PY1 TFR ADA'!$F:$AU,MATCH("B-4.5",'PY1 TFR ADA'!$F$5:$AU$5,0),FALSE)=TRUE,IF(VLOOKUP($B612,'PY1 TFR ADA'!$F:$AU,MATCH("C-1",'PY1 TFR ADA'!$F$5:$AU$5,0),FALSE)=TRUE,"Alternative Rate","LCFF Rate"),"LCFF Rate"),0)</f>
        <v>0</v>
      </c>
      <c r="N621" s="523"/>
      <c r="O621" s="977">
        <f>_xlfn.IFNA(IF(VLOOKUP($B612,'PY1 TFR ADA'!$F:$AU,MATCH("B-5.5",'PY1 TFR ADA'!$F$5:$AU$5,0),FALSE)=TRUE,IF(VLOOKUP($B612,'PY1 TFR ADA'!$F:$AU,MATCH("C-1",'PY1 TFR ADA'!$F$5:$AU$5,0),FALSE)=TRUE,"Alternative Rate","LCFF Rate"),"LCFF Rate"),0)</f>
        <v>0</v>
      </c>
      <c r="P621" s="523"/>
      <c r="Q621" s="977">
        <f>_xlfn.IFNA(IF(VLOOKUP($B612,'PY1 TFR ADA'!$F:$AU,MATCH("B-6.5",'PY1 TFR ADA'!$F$5:$AU$5,0),FALSE)=TRUE,IF(VLOOKUP($B612,'PY1 TFR ADA'!$F:$AU,MATCH("C-1",'PY1 TFR ADA'!$F$5:$AU$5,0),FALSE)=TRUE,"Alternative Rate","LCFF Rate"),"LCFF Rate"),0)</f>
        <v>0</v>
      </c>
      <c r="R621" s="167"/>
      <c r="S621" s="520"/>
      <c r="T621" s="167"/>
      <c r="U621" s="528"/>
      <c r="V621" s="522"/>
      <c r="X621" s="283"/>
    </row>
    <row r="622" spans="1:24" s="8" customFormat="1" ht="8.25" customHeight="1">
      <c r="A622" s="521"/>
      <c r="B622" s="167"/>
      <c r="C622" s="165"/>
      <c r="D622" s="523"/>
      <c r="E622" s="165"/>
      <c r="F622" s="523"/>
      <c r="G622" s="520"/>
      <c r="H622" s="523"/>
      <c r="I622" s="520"/>
      <c r="J622" s="523"/>
      <c r="K622" s="520"/>
      <c r="L622" s="523"/>
      <c r="M622" s="520"/>
      <c r="N622" s="523"/>
      <c r="O622" s="520"/>
      <c r="P622" s="523"/>
      <c r="Q622" s="520"/>
      <c r="R622" s="167"/>
      <c r="S622" s="520"/>
      <c r="T622" s="167"/>
      <c r="U622" s="528"/>
      <c r="V622" s="522"/>
      <c r="X622" s="4"/>
    </row>
    <row r="623" spans="1:24" s="8" customFormat="1" ht="16.8">
      <c r="A623" s="521"/>
      <c r="B623" s="2"/>
      <c r="F623" s="523"/>
      <c r="G623" s="535">
        <f t="shared" ref="G623" si="911">IF(G621="LCFF Rate",(G614*C614+G615*C615+G616*C616+G617*C617),(G619*E617))</f>
        <v>0</v>
      </c>
      <c r="H623" s="537"/>
      <c r="I623" s="535">
        <f t="shared" ref="I623" si="912">IF(I621="LCFF Rate",(I614*C614+I615*C615+I616*C616+I617*C617),(I619*E617))</f>
        <v>0</v>
      </c>
      <c r="J623" s="537"/>
      <c r="K623" s="535">
        <f t="shared" ref="K623" si="913">IF(K621="LCFF Rate",(K614*C614+K615*C615+K616*C616+K617*C617),(K619*E617))</f>
        <v>0</v>
      </c>
      <c r="L623" s="537"/>
      <c r="M623" s="535">
        <f t="shared" ref="M623" si="914">IF(M621="LCFF Rate",(M614*C614+M615*C615+M616*C616+M617*C617),(M619*E617))</f>
        <v>0</v>
      </c>
      <c r="N623" s="537"/>
      <c r="O623" s="535">
        <f t="shared" ref="O623" si="915">IF(O621="LCFF Rate",(O614*C614+O615*C615+O616*C616+O617*C617),(O619*E617))</f>
        <v>0</v>
      </c>
      <c r="P623" s="537"/>
      <c r="Q623" s="535">
        <f t="shared" ref="Q623" si="916">IF(Q621="LCFF Rate",(Q614*C614+Q615*C615+Q616*C616+Q617*C617),(Q619*E617))</f>
        <v>0</v>
      </c>
      <c r="R623" s="167"/>
      <c r="S623" s="538">
        <f t="shared" ref="S623" si="917">SUM(G623:Q623)</f>
        <v>0</v>
      </c>
      <c r="T623" s="167"/>
      <c r="U623" s="528"/>
      <c r="V623" s="522"/>
      <c r="X623" s="979"/>
    </row>
    <row r="624" spans="1:24" s="8" customFormat="1" ht="9" customHeight="1" thickBot="1">
      <c r="A624" s="529"/>
      <c r="B624" s="530"/>
      <c r="C624" s="531"/>
      <c r="D624" s="532"/>
      <c r="E624" s="533"/>
      <c r="F624" s="532"/>
      <c r="G624" s="530"/>
      <c r="H624" s="532"/>
      <c r="I624" s="530"/>
      <c r="J624" s="532"/>
      <c r="K624" s="530"/>
      <c r="L624" s="532"/>
      <c r="M624" s="530"/>
      <c r="N624" s="532"/>
      <c r="O624" s="530"/>
      <c r="P624" s="532"/>
      <c r="Q624" s="530"/>
      <c r="R624" s="532"/>
      <c r="S624" s="530"/>
      <c r="T624" s="532"/>
      <c r="U624" s="532"/>
      <c r="V624" s="534"/>
      <c r="X624" s="4"/>
    </row>
    <row r="625" spans="1:24" s="82" customFormat="1" ht="18" customHeight="1" thickBot="1">
      <c r="A625" s="890">
        <f>+A612+1</f>
        <v>48</v>
      </c>
      <c r="B625" s="891" t="str">
        <f>'Data Entry'!$B$3&amp;"-"&amp;C625</f>
        <v>-</v>
      </c>
      <c r="C625" s="891" t="str">
        <f>IFERROR(VLOOKUP('Data Entry'!$B$3&amp;"-"&amp;A625,'PY1 TFR ADA'!$D:$AT,2,FALSE),"")</f>
        <v/>
      </c>
      <c r="D625" s="892" t="str">
        <f>IFERROR(VLOOKUP('Data Entry'!$B$3&amp;"-"&amp;A625,'PY1 TFR ADA'!$D:$AT,4,FALSE),"")</f>
        <v/>
      </c>
      <c r="E625" s="893"/>
      <c r="F625" s="893"/>
      <c r="G625" s="893"/>
      <c r="H625" s="893"/>
      <c r="I625" s="893"/>
      <c r="J625" s="893"/>
      <c r="K625" s="893"/>
      <c r="L625" s="893"/>
      <c r="M625" s="893"/>
      <c r="N625" s="893"/>
      <c r="O625" s="893"/>
      <c r="P625" s="893"/>
      <c r="Q625" s="893"/>
      <c r="R625" s="893"/>
      <c r="S625" s="893"/>
      <c r="T625" s="893"/>
      <c r="U625" s="893"/>
      <c r="V625" s="894"/>
      <c r="X625" s="83"/>
    </row>
    <row r="626" spans="1:24" ht="75" customHeight="1">
      <c r="A626" s="521"/>
      <c r="C626" s="540" t="s">
        <v>1315</v>
      </c>
      <c r="D626" s="512"/>
      <c r="E626" s="540" t="s">
        <v>1316</v>
      </c>
      <c r="F626" s="512"/>
      <c r="G626" s="540" t="s">
        <v>1309</v>
      </c>
      <c r="H626" s="512"/>
      <c r="I626" s="540" t="s">
        <v>1310</v>
      </c>
      <c r="J626" s="512"/>
      <c r="K626" s="540" t="s">
        <v>1311</v>
      </c>
      <c r="L626" s="512"/>
      <c r="M626" s="540" t="s">
        <v>1312</v>
      </c>
      <c r="N626" s="512"/>
      <c r="O626" s="540" t="s">
        <v>1313</v>
      </c>
      <c r="P626" s="512"/>
      <c r="Q626" s="540" t="s">
        <v>1314</v>
      </c>
      <c r="R626" s="167"/>
      <c r="S626" s="540" t="s">
        <v>1308</v>
      </c>
      <c r="T626" s="167"/>
      <c r="U626" s="512" t="s">
        <v>1307</v>
      </c>
      <c r="V626" s="524"/>
      <c r="X626" s="283"/>
    </row>
    <row r="627" spans="1:24" s="8" customFormat="1" ht="14.4">
      <c r="A627" s="521"/>
      <c r="B627" s="510" t="s">
        <v>94</v>
      </c>
      <c r="C627" s="525">
        <f>IFERROR(VLOOKUP($B625,'PY1 TFR ADA'!$F:$AU,MATCH("A-1.1",'PY1 TFR ADA'!$F$5:$AU$5,0),FALSE),0)</f>
        <v>0</v>
      </c>
      <c r="D627" s="167"/>
      <c r="E627" s="525">
        <f>IFERROR(VALUE(VLOOKUP($B625,'PY1 TFR ADA'!$F:$AU,MATCH("A-2.1",'PY1 TFR ADA'!$F$5:$AU$5,0),FALSE)),0)</f>
        <v>0</v>
      </c>
      <c r="F627" s="167"/>
      <c r="G627" s="609">
        <f>IFERROR(VLOOKUP($B625,'PY1 TFR ADA'!$F:$AU,MATCH("b-1.1",'PY1 TFR ADA'!$F$5:$AU$5,0),FALSE),0)</f>
        <v>0</v>
      </c>
      <c r="H627" s="527"/>
      <c r="I627" s="609">
        <f>IFERROR(VLOOKUP($B625,'PY1 TFR ADA'!$F:$AU,MATCH("b-2.1",'PY1 TFR ADA'!$F$5:$AU$5,0),FALSE),0)</f>
        <v>0</v>
      </c>
      <c r="J627" s="527"/>
      <c r="K627" s="609">
        <f>IFERROR(VLOOKUP($B625,'PY1 TFR ADA'!$F:$AU,MATCH("b-3.1",'PY1 TFR ADA'!$F$5:$AU$5,0),FALSE),0)</f>
        <v>0</v>
      </c>
      <c r="L627" s="527"/>
      <c r="M627" s="609">
        <f>IFERROR(VLOOKUP($B625,'PY1 TFR ADA'!$F:$AU,MATCH("b-4.1",'PY1 TFR ADA'!$F$5:$AU$5,0),FALSE),0)</f>
        <v>0</v>
      </c>
      <c r="N627" s="527"/>
      <c r="O627" s="609">
        <f>IFERROR(VLOOKUP($B625,'PY1 TFR ADA'!$F:$AU,MATCH("b-5.1",'PY1 TFR ADA'!$F$5:$AU$5,0),FALSE),0)</f>
        <v>0</v>
      </c>
      <c r="P627" s="527"/>
      <c r="Q627" s="609">
        <f>IFERROR(VLOOKUP($B625,'PY1 TFR ADA'!$F:$AU,MATCH("b-6.1",'PY1 TFR ADA'!$F$5:$AU$5,0),FALSE),0)</f>
        <v>0</v>
      </c>
      <c r="R627" s="551"/>
      <c r="S627" s="601">
        <f t="shared" ref="S627:S630" si="918">SUM(G627:Q627)</f>
        <v>0</v>
      </c>
      <c r="T627" s="551"/>
      <c r="U627" s="536">
        <f t="shared" ref="U627" si="919">ROUND(IF($G634="LCFF Rate",(G627*$C627),(G627*$E627))+IF($I634="LCFF Rate",(I627*$C627),(I627*$E627))+IF($K634="LCFF Rate",(K627*$C627),(K627*$E627))+IF($M634="LCFF Rate",(M627*$C627),(M627*$E627))+IF($O634="LCFF Rate",(O627*$C627),(O627*$E627))+IF($Q634="LCFF Rate",(Q627*$C627),(Q627*$E627)),0)</f>
        <v>0</v>
      </c>
      <c r="V627" s="524"/>
      <c r="X627" s="496"/>
    </row>
    <row r="628" spans="1:24" s="8" customFormat="1" ht="14.4">
      <c r="A628" s="521"/>
      <c r="B628" s="510" t="s">
        <v>2</v>
      </c>
      <c r="C628" s="525">
        <f>IFERROR(VLOOKUP($B625,'PY1 TFR ADA'!$F:$AU,MATCH("A-1.2",'PY1 TFR ADA'!$F$5:$AU$5,0),FALSE),0)</f>
        <v>0</v>
      </c>
      <c r="D628" s="167"/>
      <c r="E628" s="525">
        <f>IFERROR(VALUE(VLOOKUP($B625,'PY1 TFR ADA'!$F:$AU,MATCH("A-2.2",'PY1 TFR ADA'!$F$5:$AU$5,0),FALSE)),0)</f>
        <v>0</v>
      </c>
      <c r="F628" s="167"/>
      <c r="G628" s="609">
        <f>IFERROR(VLOOKUP($B625,'PY1 TFR ADA'!$F:$AU,MATCH("b-1.2",'PY1 TFR ADA'!$F$5:$AU$5,0),FALSE),0)</f>
        <v>0</v>
      </c>
      <c r="H628" s="527"/>
      <c r="I628" s="609">
        <f>IFERROR(VLOOKUP($B625,'PY1 TFR ADA'!$F:$AU,MATCH("b-2.2",'PY1 TFR ADA'!$F$5:$AU$5,0),FALSE),0)</f>
        <v>0</v>
      </c>
      <c r="J628" s="527"/>
      <c r="K628" s="609">
        <f>IFERROR(VLOOKUP($B625,'PY1 TFR ADA'!$F:$AU,MATCH("b-3.2",'PY1 TFR ADA'!$F$5:$AU$5,0),FALSE),0)</f>
        <v>0</v>
      </c>
      <c r="L628" s="527"/>
      <c r="M628" s="609">
        <f>IFERROR(VLOOKUP($B625,'PY1 TFR ADA'!$F:$AU,MATCH("b-4.2",'PY1 TFR ADA'!$F$5:$AU$5,0),FALSE),0)</f>
        <v>0</v>
      </c>
      <c r="N628" s="527"/>
      <c r="O628" s="609">
        <f>IFERROR(VLOOKUP($B625,'PY1 TFR ADA'!$F:$AU,MATCH("b-5.2",'PY1 TFR ADA'!$F$5:$AU$5,0),FALSE),0)</f>
        <v>0</v>
      </c>
      <c r="P628" s="527"/>
      <c r="Q628" s="609">
        <f>IFERROR(VLOOKUP($B625,'PY1 TFR ADA'!$F:$AU,MATCH("b-6.2",'PY1 TFR ADA'!$F$5:$AU$5,0),FALSE),0)</f>
        <v>0</v>
      </c>
      <c r="R628" s="551"/>
      <c r="S628" s="601">
        <f t="shared" si="918"/>
        <v>0</v>
      </c>
      <c r="T628" s="551"/>
      <c r="U628" s="536">
        <f t="shared" ref="U628" si="920">ROUND(IF($G634="LCFF Rate",(G628*$C628),(G628*$E628))+IF($I634="LCFF Rate",(I628*$C628),(I628*$E628))+IF($K634="LCFF Rate",(K628*$C628),(K628*$E628))+IF($M634="LCFF Rate",(M628*$C628),(M628*$E628))+IF($O634="LCFF Rate",(O628*$C628),(O628*$E628))+IF($Q634="LCFF Rate",(Q628*$C628),(Q628*$E628)),0)</f>
        <v>0</v>
      </c>
      <c r="V628" s="524"/>
      <c r="X628" s="4"/>
    </row>
    <row r="629" spans="1:24" s="8" customFormat="1" ht="14.4">
      <c r="A629" s="521"/>
      <c r="B629" s="510" t="s">
        <v>3</v>
      </c>
      <c r="C629" s="525">
        <f>IFERROR(VLOOKUP($B625,'PY1 TFR ADA'!$F:$AU,MATCH("A-1.3",'PY1 TFR ADA'!$F$5:$AU$5,0),FALSE),0)</f>
        <v>0</v>
      </c>
      <c r="D629" s="167"/>
      <c r="E629" s="525">
        <f>IFERROR(VALUE(VLOOKUP($B625,'PY1 TFR ADA'!$F:$AU,MATCH("A-2.3",'PY1 TFR ADA'!$F$5:$AU$5,0),FALSE)),0)</f>
        <v>0</v>
      </c>
      <c r="F629" s="167"/>
      <c r="G629" s="609">
        <f>IFERROR(VLOOKUP($B625,'PY1 TFR ADA'!$F:$AU,MATCH("b-1.3",'PY1 TFR ADA'!$F$5:$AU$5,0),FALSE),0)</f>
        <v>0</v>
      </c>
      <c r="H629" s="527"/>
      <c r="I629" s="609">
        <f>IFERROR(VLOOKUP($B625,'PY1 TFR ADA'!$F:$AU,MATCH("b-2.3",'PY1 TFR ADA'!$F$5:$AU$5,0),FALSE),0)</f>
        <v>0</v>
      </c>
      <c r="J629" s="527"/>
      <c r="K629" s="609">
        <f>IFERROR(VLOOKUP($B625,'PY1 TFR ADA'!$F:$AU,MATCH("b-3.3",'PY1 TFR ADA'!$F$5:$AU$5,0),FALSE),0)</f>
        <v>0</v>
      </c>
      <c r="L629" s="527"/>
      <c r="M629" s="609">
        <f>IFERROR(VLOOKUP($B625,'PY1 TFR ADA'!$F:$AU,MATCH("b-4.3",'PY1 TFR ADA'!$F$5:$AU$5,0),FALSE),0)</f>
        <v>0</v>
      </c>
      <c r="N629" s="527"/>
      <c r="O629" s="609">
        <f>IFERROR(VLOOKUP($B625,'PY1 TFR ADA'!$F:$AU,MATCH("b-5.3",'PY1 TFR ADA'!$F$5:$AU$5,0),FALSE),0)</f>
        <v>0</v>
      </c>
      <c r="P629" s="527"/>
      <c r="Q629" s="609">
        <f>IFERROR(VLOOKUP($B625,'PY1 TFR ADA'!$F:$AU,MATCH("b-6.3",'PY1 TFR ADA'!$F$5:$AU$5,0),FALSE),0)</f>
        <v>0</v>
      </c>
      <c r="R629" s="551"/>
      <c r="S629" s="601">
        <f t="shared" si="918"/>
        <v>0</v>
      </c>
      <c r="T629" s="551"/>
      <c r="U629" s="536">
        <f t="shared" ref="U629" si="921">ROUND(IF($G634="LCFF Rate",(G629*$C629),(G629*$E629))+IF($I634="LCFF Rate",(I629*$C629),(I629*$E629))+IF($K634="LCFF Rate",(K629*$C629),(K629*$E629))+IF($M634="LCFF Rate",(M629*$C629),(M629*$E629))+IF($O634="LCFF Rate",(O629*$C629),(O629*$E629))+IF($Q634="LCFF Rate",(Q629*$C629),(Q629*$E629)),0)</f>
        <v>0</v>
      </c>
      <c r="V629" s="524"/>
      <c r="X629" s="4"/>
    </row>
    <row r="630" spans="1:24" s="8" customFormat="1" ht="14.4">
      <c r="A630" s="526"/>
      <c r="B630" s="510" t="s">
        <v>4</v>
      </c>
      <c r="C630" s="525">
        <f>IFERROR(VLOOKUP($B625,'PY1 TFR ADA'!$F:$AU,MATCH("A-1.4",'PY1 TFR ADA'!$F$5:$AU$5,0),FALSE),0)</f>
        <v>0</v>
      </c>
      <c r="D630" s="523"/>
      <c r="E630" s="525">
        <f>IFERROR(VALUE(VLOOKUP($B625,'PY1 TFR ADA'!$F:$AU,MATCH("A-2.4",'PY1 TFR ADA'!$F$5:$AU$5,0),FALSE)),0)</f>
        <v>0</v>
      </c>
      <c r="F630" s="523"/>
      <c r="G630" s="609">
        <f>IFERROR(VLOOKUP($B625,'PY1 TFR ADA'!$F:$AU,MATCH("b-1.4",'PY1 TFR ADA'!$F$5:$AU$5,0),FALSE),0)</f>
        <v>0</v>
      </c>
      <c r="H630" s="527"/>
      <c r="I630" s="609">
        <f>IFERROR(VLOOKUP($B625,'PY1 TFR ADA'!$F:$AU,MATCH("b-2.4",'PY1 TFR ADA'!$F$5:$AU$5,0),FALSE),0)</f>
        <v>0</v>
      </c>
      <c r="J630" s="527"/>
      <c r="K630" s="609">
        <f>IFERROR(VLOOKUP($B625,'PY1 TFR ADA'!$F:$AU,MATCH("b-3.4",'PY1 TFR ADA'!$F$5:$AU$5,0),FALSE),0)</f>
        <v>0</v>
      </c>
      <c r="L630" s="527"/>
      <c r="M630" s="609">
        <f>IFERROR(VLOOKUP($B625,'PY1 TFR ADA'!$F:$AU,MATCH("b-4.4",'PY1 TFR ADA'!$F$5:$AU$5,0),FALSE),0)</f>
        <v>0</v>
      </c>
      <c r="N630" s="527"/>
      <c r="O630" s="609">
        <f>IFERROR(VLOOKUP($B625,'PY1 TFR ADA'!$F:$AU,MATCH("b-5.4",'PY1 TFR ADA'!$F$5:$AU$5,0),FALSE),0)</f>
        <v>0</v>
      </c>
      <c r="P630" s="527"/>
      <c r="Q630" s="609">
        <f>IFERROR(VLOOKUP($B625,'PY1 TFR ADA'!$F:$AU,MATCH("b-6.4",'PY1 TFR ADA'!$F$5:$AU$5,0),FALSE),0)</f>
        <v>0</v>
      </c>
      <c r="R630" s="551"/>
      <c r="S630" s="601">
        <f t="shared" si="918"/>
        <v>0</v>
      </c>
      <c r="T630" s="551"/>
      <c r="U630" s="536">
        <f t="shared" ref="U630" si="922">ROUND(IF($G634="LCFF Rate",(G630*$C630),(G630*$E630))+IF($I634="LCFF Rate",(I630*$C630),(I630*$E630))+IF($K634="LCFF Rate",(K630*$C630),(K630*$E630))+IF($M634="LCFF Rate",(M630*$C630),(M630*$E630))+IF($O634="LCFF Rate",(O630*$C630),(O630*$E630))+IF($Q634="LCFF Rate",(Q630*$C630),(Q630*$E630)),0)</f>
        <v>0</v>
      </c>
      <c r="V630" s="522"/>
      <c r="X630" s="496"/>
    </row>
    <row r="631" spans="1:24" s="8" customFormat="1" ht="8.25" customHeight="1">
      <c r="A631" s="521"/>
      <c r="B631" s="167"/>
      <c r="C631" s="165"/>
      <c r="D631" s="523"/>
      <c r="E631" s="165"/>
      <c r="F631" s="523"/>
      <c r="G631" s="520"/>
      <c r="H631" s="523"/>
      <c r="I631" s="520"/>
      <c r="J631" s="523"/>
      <c r="K631" s="520"/>
      <c r="L631" s="523"/>
      <c r="M631" s="520"/>
      <c r="N631" s="523"/>
      <c r="O631" s="520"/>
      <c r="P631" s="523"/>
      <c r="Q631" s="520"/>
      <c r="R631" s="167"/>
      <c r="S631" s="520"/>
      <c r="T631" s="167"/>
      <c r="U631" s="602"/>
      <c r="V631" s="522"/>
      <c r="X631" s="4"/>
    </row>
    <row r="632" spans="1:24" s="8" customFormat="1" ht="14.4">
      <c r="A632" s="521"/>
      <c r="B632" s="167"/>
      <c r="C632" s="165"/>
      <c r="D632" s="523"/>
      <c r="E632" s="513" t="s">
        <v>1317</v>
      </c>
      <c r="F632" s="523"/>
      <c r="G632" s="601">
        <f t="shared" ref="G632" si="923">SUM(G627:G630)</f>
        <v>0</v>
      </c>
      <c r="H632" s="527"/>
      <c r="I632" s="601">
        <f t="shared" ref="I632" si="924">SUM(I627:I630)</f>
        <v>0</v>
      </c>
      <c r="J632" s="527"/>
      <c r="K632" s="601">
        <f t="shared" ref="K632" si="925">SUM(K627:K630)</f>
        <v>0</v>
      </c>
      <c r="L632" s="527"/>
      <c r="M632" s="601">
        <f t="shared" ref="M632" si="926">SUM(M627:M630)</f>
        <v>0</v>
      </c>
      <c r="N632" s="527"/>
      <c r="O632" s="601">
        <f t="shared" ref="O632" si="927">SUM(O627:O630)</f>
        <v>0</v>
      </c>
      <c r="P632" s="527"/>
      <c r="Q632" s="601">
        <f t="shared" ref="Q632" si="928">SUM(Q627:Q630)</f>
        <v>0</v>
      </c>
      <c r="R632" s="527"/>
      <c r="S632" s="601">
        <f t="shared" ref="S632" si="929">SUM(S627:S630)</f>
        <v>0</v>
      </c>
      <c r="T632" s="527"/>
      <c r="U632" s="536">
        <f t="shared" ref="U632" si="930">SUM(U627:U630)</f>
        <v>0</v>
      </c>
      <c r="V632" s="522"/>
      <c r="X632" s="4"/>
    </row>
    <row r="633" spans="1:24" s="8" customFormat="1" ht="8.25" customHeight="1">
      <c r="A633" s="521"/>
      <c r="B633" s="167"/>
      <c r="C633" s="165"/>
      <c r="D633" s="523"/>
      <c r="E633" s="165"/>
      <c r="F633" s="523"/>
      <c r="G633" s="520"/>
      <c r="H633" s="523"/>
      <c r="I633" s="520"/>
      <c r="J633" s="523"/>
      <c r="K633" s="520"/>
      <c r="L633" s="523"/>
      <c r="M633" s="520"/>
      <c r="N633" s="523"/>
      <c r="O633" s="520"/>
      <c r="P633" s="523"/>
      <c r="Q633" s="520"/>
      <c r="R633" s="167"/>
      <c r="S633" s="520"/>
      <c r="T633" s="167"/>
      <c r="U633" s="528"/>
      <c r="V633" s="522"/>
      <c r="X633" s="4"/>
    </row>
    <row r="634" spans="1:24" s="8" customFormat="1" ht="16.5" customHeight="1">
      <c r="A634" s="521"/>
      <c r="B634" s="167"/>
      <c r="C634" s="165"/>
      <c r="E634" s="513" t="s">
        <v>1304</v>
      </c>
      <c r="F634" s="523"/>
      <c r="G634" s="977">
        <f>_xlfn.IFNA(IF(VLOOKUP($B625,'PY1 TFR ADA'!$F:$AU,MATCH("B-1.5",'PY1 TFR ADA'!$F$5:$AU$5,0),FALSE)=TRUE,IF(VLOOKUP($B625,'PY1 TFR ADA'!$F:$AU,MATCH("C-1",'PY1 TFR ADA'!$F$5:$AU$5,0),FALSE)=TRUE,"Alternative Rate","LCFF Rate"),"LCFF Rate"),0)</f>
        <v>0</v>
      </c>
      <c r="H634" s="523"/>
      <c r="I634" s="977">
        <f>_xlfn.IFNA(IF(VLOOKUP($B625,'PY1 TFR ADA'!$F:$AU,MATCH("B-2.5",'PY1 TFR ADA'!$F$5:$AU$5,0),FALSE)=TRUE,IF(VLOOKUP($B625,'PY1 TFR ADA'!$F:$AU,MATCH("C-1",'PY1 TFR ADA'!$F$5:$AU$5,0),FALSE)=TRUE,"Alternative Rate","LCFF Rate"),"LCFF Rate"),0)</f>
        <v>0</v>
      </c>
      <c r="J634" s="523"/>
      <c r="K634" s="977">
        <f>_xlfn.IFNA(IF(VLOOKUP($B625,'PY1 TFR ADA'!$F:$AU,MATCH("B-3.5",'PY1 TFR ADA'!$F$5:$AU$5,0),FALSE)=TRUE,IF(VLOOKUP($B625,'PY1 TFR ADA'!$F:$AU,MATCH("C-1",'PY1 TFR ADA'!$F$5:$AU$5,0),FALSE)=TRUE,"Alternative Rate","LCFF Rate"),"LCFF Rate"),0)</f>
        <v>0</v>
      </c>
      <c r="L634" s="523"/>
      <c r="M634" s="977">
        <f>_xlfn.IFNA(IF(VLOOKUP($B625,'PY1 TFR ADA'!$F:$AU,MATCH("B-4.5",'PY1 TFR ADA'!$F$5:$AU$5,0),FALSE)=TRUE,IF(VLOOKUP($B625,'PY1 TFR ADA'!$F:$AU,MATCH("C-1",'PY1 TFR ADA'!$F$5:$AU$5,0),FALSE)=TRUE,"Alternative Rate","LCFF Rate"),"LCFF Rate"),0)</f>
        <v>0</v>
      </c>
      <c r="N634" s="523"/>
      <c r="O634" s="977">
        <f>_xlfn.IFNA(IF(VLOOKUP($B625,'PY1 TFR ADA'!$F:$AU,MATCH("B-5.5",'PY1 TFR ADA'!$F$5:$AU$5,0),FALSE)=TRUE,IF(VLOOKUP($B625,'PY1 TFR ADA'!$F:$AU,MATCH("C-1",'PY1 TFR ADA'!$F$5:$AU$5,0),FALSE)=TRUE,"Alternative Rate","LCFF Rate"),"LCFF Rate"),0)</f>
        <v>0</v>
      </c>
      <c r="P634" s="523"/>
      <c r="Q634" s="977">
        <f>_xlfn.IFNA(IF(VLOOKUP($B625,'PY1 TFR ADA'!$F:$AU,MATCH("B-6.5",'PY1 TFR ADA'!$F$5:$AU$5,0),FALSE)=TRUE,IF(VLOOKUP($B625,'PY1 TFR ADA'!$F:$AU,MATCH("C-1",'PY1 TFR ADA'!$F$5:$AU$5,0),FALSE)=TRUE,"Alternative Rate","LCFF Rate"),"LCFF Rate"),0)</f>
        <v>0</v>
      </c>
      <c r="R634" s="167"/>
      <c r="S634" s="520"/>
      <c r="T634" s="167"/>
      <c r="U634" s="528"/>
      <c r="V634" s="522"/>
      <c r="X634" s="283"/>
    </row>
    <row r="635" spans="1:24" s="8" customFormat="1" ht="8.25" customHeight="1">
      <c r="A635" s="521"/>
      <c r="B635" s="167"/>
      <c r="C635" s="165"/>
      <c r="D635" s="523"/>
      <c r="E635" s="165"/>
      <c r="F635" s="523"/>
      <c r="G635" s="520"/>
      <c r="H635" s="523"/>
      <c r="I635" s="520"/>
      <c r="J635" s="523"/>
      <c r="K635" s="520"/>
      <c r="L635" s="523"/>
      <c r="M635" s="520"/>
      <c r="N635" s="523"/>
      <c r="O635" s="520"/>
      <c r="P635" s="523"/>
      <c r="Q635" s="520"/>
      <c r="R635" s="167"/>
      <c r="S635" s="520"/>
      <c r="T635" s="167"/>
      <c r="U635" s="528"/>
      <c r="V635" s="522"/>
      <c r="X635" s="4"/>
    </row>
    <row r="636" spans="1:24" s="8" customFormat="1" ht="16.8">
      <c r="A636" s="521"/>
      <c r="B636" s="2"/>
      <c r="F636" s="523"/>
      <c r="G636" s="535">
        <f t="shared" ref="G636" si="931">IF(G634="LCFF Rate",(G627*C627+G628*C628+G629*C629+G630*C630),(G632*E630))</f>
        <v>0</v>
      </c>
      <c r="H636" s="537"/>
      <c r="I636" s="535">
        <f t="shared" ref="I636" si="932">IF(I634="LCFF Rate",(I627*C627+I628*C628+I629*C629+I630*C630),(I632*E630))</f>
        <v>0</v>
      </c>
      <c r="J636" s="537"/>
      <c r="K636" s="535">
        <f t="shared" ref="K636" si="933">IF(K634="LCFF Rate",(K627*C627+K628*C628+K629*C629+K630*C630),(K632*E630))</f>
        <v>0</v>
      </c>
      <c r="L636" s="537"/>
      <c r="M636" s="535">
        <f t="shared" ref="M636" si="934">IF(M634="LCFF Rate",(M627*C627+M628*C628+M629*C629+M630*C630),(M632*E630))</f>
        <v>0</v>
      </c>
      <c r="N636" s="537"/>
      <c r="O636" s="535">
        <f t="shared" ref="O636" si="935">IF(O634="LCFF Rate",(O627*C627+O628*C628+O629*C629+O630*C630),(O632*E630))</f>
        <v>0</v>
      </c>
      <c r="P636" s="537"/>
      <c r="Q636" s="535">
        <f t="shared" ref="Q636" si="936">IF(Q634="LCFF Rate",(Q627*C627+Q628*C628+Q629*C629+Q630*C630),(Q632*E630))</f>
        <v>0</v>
      </c>
      <c r="R636" s="167"/>
      <c r="S636" s="538">
        <f t="shared" ref="S636" si="937">SUM(G636:Q636)</f>
        <v>0</v>
      </c>
      <c r="T636" s="167"/>
      <c r="U636" s="528"/>
      <c r="V636" s="522"/>
      <c r="X636" s="979"/>
    </row>
    <row r="637" spans="1:24" s="8" customFormat="1" ht="9" customHeight="1" thickBot="1">
      <c r="A637" s="529"/>
      <c r="B637" s="530"/>
      <c r="C637" s="531"/>
      <c r="D637" s="532"/>
      <c r="E637" s="533"/>
      <c r="F637" s="532"/>
      <c r="G637" s="530"/>
      <c r="H637" s="532"/>
      <c r="I637" s="530"/>
      <c r="J637" s="532"/>
      <c r="K637" s="530"/>
      <c r="L637" s="532"/>
      <c r="M637" s="530"/>
      <c r="N637" s="532"/>
      <c r="O637" s="530"/>
      <c r="P637" s="532"/>
      <c r="Q637" s="530"/>
      <c r="R637" s="532"/>
      <c r="S637" s="530"/>
      <c r="T637" s="532"/>
      <c r="U637" s="532"/>
      <c r="V637" s="534"/>
      <c r="X637" s="4"/>
    </row>
    <row r="638" spans="1:24" s="82" customFormat="1" ht="18" customHeight="1" thickBot="1">
      <c r="A638" s="890">
        <f>+A625+1</f>
        <v>49</v>
      </c>
      <c r="B638" s="891" t="str">
        <f>'Data Entry'!$B$3&amp;"-"&amp;C638</f>
        <v>-</v>
      </c>
      <c r="C638" s="891" t="str">
        <f>IFERROR(VLOOKUP('Data Entry'!$B$3&amp;"-"&amp;A638,'PY1 TFR ADA'!$D:$AT,2,FALSE),"")</f>
        <v/>
      </c>
      <c r="D638" s="892" t="str">
        <f>IFERROR(VLOOKUP('Data Entry'!$B$3&amp;"-"&amp;A638,'PY1 TFR ADA'!$D:$AT,4,FALSE),"")</f>
        <v/>
      </c>
      <c r="E638" s="893"/>
      <c r="F638" s="893"/>
      <c r="G638" s="893"/>
      <c r="H638" s="893"/>
      <c r="I638" s="893"/>
      <c r="J638" s="893"/>
      <c r="K638" s="893"/>
      <c r="L638" s="893"/>
      <c r="M638" s="893"/>
      <c r="N638" s="893"/>
      <c r="O638" s="893"/>
      <c r="P638" s="893"/>
      <c r="Q638" s="893"/>
      <c r="R638" s="893"/>
      <c r="S638" s="893"/>
      <c r="T638" s="893"/>
      <c r="U638" s="893"/>
      <c r="V638" s="894"/>
      <c r="X638" s="83"/>
    </row>
    <row r="639" spans="1:24" ht="75" customHeight="1">
      <c r="A639" s="521"/>
      <c r="C639" s="540" t="s">
        <v>1315</v>
      </c>
      <c r="D639" s="512"/>
      <c r="E639" s="540" t="s">
        <v>1316</v>
      </c>
      <c r="F639" s="512"/>
      <c r="G639" s="540" t="s">
        <v>1309</v>
      </c>
      <c r="H639" s="512"/>
      <c r="I639" s="540" t="s">
        <v>1310</v>
      </c>
      <c r="J639" s="512"/>
      <c r="K639" s="540" t="s">
        <v>1311</v>
      </c>
      <c r="L639" s="512"/>
      <c r="M639" s="540" t="s">
        <v>1312</v>
      </c>
      <c r="N639" s="512"/>
      <c r="O639" s="540" t="s">
        <v>1313</v>
      </c>
      <c r="P639" s="512"/>
      <c r="Q639" s="540" t="s">
        <v>1314</v>
      </c>
      <c r="R639" s="167"/>
      <c r="S639" s="540" t="s">
        <v>1308</v>
      </c>
      <c r="T639" s="167"/>
      <c r="U639" s="512" t="s">
        <v>1307</v>
      </c>
      <c r="V639" s="524"/>
      <c r="X639" s="283"/>
    </row>
    <row r="640" spans="1:24" s="8" customFormat="1" ht="14.4">
      <c r="A640" s="521"/>
      <c r="B640" s="510" t="s">
        <v>94</v>
      </c>
      <c r="C640" s="525">
        <f>IFERROR(VLOOKUP($B638,'PY1 TFR ADA'!$F:$AU,MATCH("A-1.1",'PY1 TFR ADA'!$F$5:$AU$5,0),FALSE),0)</f>
        <v>0</v>
      </c>
      <c r="D640" s="167"/>
      <c r="E640" s="525">
        <f>IFERROR(VALUE(VLOOKUP($B638,'PY1 TFR ADA'!$F:$AU,MATCH("A-2.1",'PY1 TFR ADA'!$F$5:$AU$5,0),FALSE)),0)</f>
        <v>0</v>
      </c>
      <c r="F640" s="167"/>
      <c r="G640" s="609">
        <f>IFERROR(VLOOKUP($B638,'PY1 TFR ADA'!$F:$AU,MATCH("b-1.1",'PY1 TFR ADA'!$F$5:$AU$5,0),FALSE),0)</f>
        <v>0</v>
      </c>
      <c r="H640" s="527"/>
      <c r="I640" s="609">
        <f>IFERROR(VLOOKUP($B638,'PY1 TFR ADA'!$F:$AU,MATCH("b-2.1",'PY1 TFR ADA'!$F$5:$AU$5,0),FALSE),0)</f>
        <v>0</v>
      </c>
      <c r="J640" s="527"/>
      <c r="K640" s="609">
        <f>IFERROR(VLOOKUP($B638,'PY1 TFR ADA'!$F:$AU,MATCH("b-3.1",'PY1 TFR ADA'!$F$5:$AU$5,0),FALSE),0)</f>
        <v>0</v>
      </c>
      <c r="L640" s="527"/>
      <c r="M640" s="609">
        <f>IFERROR(VLOOKUP($B638,'PY1 TFR ADA'!$F:$AU,MATCH("b-4.1",'PY1 TFR ADA'!$F$5:$AU$5,0),FALSE),0)</f>
        <v>0</v>
      </c>
      <c r="N640" s="527"/>
      <c r="O640" s="609">
        <f>IFERROR(VLOOKUP($B638,'PY1 TFR ADA'!$F:$AU,MATCH("b-5.1",'PY1 TFR ADA'!$F$5:$AU$5,0),FALSE),0)</f>
        <v>0</v>
      </c>
      <c r="P640" s="527"/>
      <c r="Q640" s="609">
        <f>IFERROR(VLOOKUP($B638,'PY1 TFR ADA'!$F:$AU,MATCH("b-6.1",'PY1 TFR ADA'!$F$5:$AU$5,0),FALSE),0)</f>
        <v>0</v>
      </c>
      <c r="R640" s="551"/>
      <c r="S640" s="601">
        <f t="shared" ref="S640:S643" si="938">SUM(G640:Q640)</f>
        <v>0</v>
      </c>
      <c r="T640" s="551"/>
      <c r="U640" s="536">
        <f t="shared" ref="U640" si="939">ROUND(IF($G647="LCFF Rate",(G640*$C640),(G640*$E640))+IF($I647="LCFF Rate",(I640*$C640),(I640*$E640))+IF($K647="LCFF Rate",(K640*$C640),(K640*$E640))+IF($M647="LCFF Rate",(M640*$C640),(M640*$E640))+IF($O647="LCFF Rate",(O640*$C640),(O640*$E640))+IF($Q647="LCFF Rate",(Q640*$C640),(Q640*$E640)),0)</f>
        <v>0</v>
      </c>
      <c r="V640" s="524"/>
      <c r="X640" s="496"/>
    </row>
    <row r="641" spans="1:24" s="8" customFormat="1" ht="14.4">
      <c r="A641" s="521"/>
      <c r="B641" s="510" t="s">
        <v>2</v>
      </c>
      <c r="C641" s="525">
        <f>IFERROR(VLOOKUP($B638,'PY1 TFR ADA'!$F:$AU,MATCH("A-1.2",'PY1 TFR ADA'!$F$5:$AU$5,0),FALSE),0)</f>
        <v>0</v>
      </c>
      <c r="D641" s="167"/>
      <c r="E641" s="525">
        <f>IFERROR(VALUE(VLOOKUP($B638,'PY1 TFR ADA'!$F:$AU,MATCH("A-2.2",'PY1 TFR ADA'!$F$5:$AU$5,0),FALSE)),0)</f>
        <v>0</v>
      </c>
      <c r="F641" s="167"/>
      <c r="G641" s="609">
        <f>IFERROR(VLOOKUP($B638,'PY1 TFR ADA'!$F:$AU,MATCH("b-1.2",'PY1 TFR ADA'!$F$5:$AU$5,0),FALSE),0)</f>
        <v>0</v>
      </c>
      <c r="H641" s="527"/>
      <c r="I641" s="609">
        <f>IFERROR(VLOOKUP($B638,'PY1 TFR ADA'!$F:$AU,MATCH("b-2.2",'PY1 TFR ADA'!$F$5:$AU$5,0),FALSE),0)</f>
        <v>0</v>
      </c>
      <c r="J641" s="527"/>
      <c r="K641" s="609">
        <f>IFERROR(VLOOKUP($B638,'PY1 TFR ADA'!$F:$AU,MATCH("b-3.2",'PY1 TFR ADA'!$F$5:$AU$5,0),FALSE),0)</f>
        <v>0</v>
      </c>
      <c r="L641" s="527"/>
      <c r="M641" s="609">
        <f>IFERROR(VLOOKUP($B638,'PY1 TFR ADA'!$F:$AU,MATCH("b-4.2",'PY1 TFR ADA'!$F$5:$AU$5,0),FALSE),0)</f>
        <v>0</v>
      </c>
      <c r="N641" s="527"/>
      <c r="O641" s="609">
        <f>IFERROR(VLOOKUP($B638,'PY1 TFR ADA'!$F:$AU,MATCH("b-5.2",'PY1 TFR ADA'!$F$5:$AU$5,0),FALSE),0)</f>
        <v>0</v>
      </c>
      <c r="P641" s="527"/>
      <c r="Q641" s="609">
        <f>IFERROR(VLOOKUP($B638,'PY1 TFR ADA'!$F:$AU,MATCH("b-6.2",'PY1 TFR ADA'!$F$5:$AU$5,0),FALSE),0)</f>
        <v>0</v>
      </c>
      <c r="R641" s="551"/>
      <c r="S641" s="601">
        <f t="shared" si="938"/>
        <v>0</v>
      </c>
      <c r="T641" s="551"/>
      <c r="U641" s="536">
        <f t="shared" ref="U641" si="940">ROUND(IF($G647="LCFF Rate",(G641*$C641),(G641*$E641))+IF($I647="LCFF Rate",(I641*$C641),(I641*$E641))+IF($K647="LCFF Rate",(K641*$C641),(K641*$E641))+IF($M647="LCFF Rate",(M641*$C641),(M641*$E641))+IF($O647="LCFF Rate",(O641*$C641),(O641*$E641))+IF($Q647="LCFF Rate",(Q641*$C641),(Q641*$E641)),0)</f>
        <v>0</v>
      </c>
      <c r="V641" s="524"/>
      <c r="X641" s="4"/>
    </row>
    <row r="642" spans="1:24" s="8" customFormat="1" ht="14.4">
      <c r="A642" s="521"/>
      <c r="B642" s="510" t="s">
        <v>3</v>
      </c>
      <c r="C642" s="525">
        <f>IFERROR(VLOOKUP($B638,'PY1 TFR ADA'!$F:$AU,MATCH("A-1.3",'PY1 TFR ADA'!$F$5:$AU$5,0),FALSE),0)</f>
        <v>0</v>
      </c>
      <c r="D642" s="167"/>
      <c r="E642" s="525">
        <f>IFERROR(VALUE(VLOOKUP($B638,'PY1 TFR ADA'!$F:$AU,MATCH("A-2.3",'PY1 TFR ADA'!$F$5:$AU$5,0),FALSE)),0)</f>
        <v>0</v>
      </c>
      <c r="F642" s="167"/>
      <c r="G642" s="609">
        <f>IFERROR(VLOOKUP($B638,'PY1 TFR ADA'!$F:$AU,MATCH("b-1.3",'PY1 TFR ADA'!$F$5:$AU$5,0),FALSE),0)</f>
        <v>0</v>
      </c>
      <c r="H642" s="527"/>
      <c r="I642" s="609">
        <f>IFERROR(VLOOKUP($B638,'PY1 TFR ADA'!$F:$AU,MATCH("b-2.3",'PY1 TFR ADA'!$F$5:$AU$5,0),FALSE),0)</f>
        <v>0</v>
      </c>
      <c r="J642" s="527"/>
      <c r="K642" s="609">
        <f>IFERROR(VLOOKUP($B638,'PY1 TFR ADA'!$F:$AU,MATCH("b-3.3",'PY1 TFR ADA'!$F$5:$AU$5,0),FALSE),0)</f>
        <v>0</v>
      </c>
      <c r="L642" s="527"/>
      <c r="M642" s="609">
        <f>IFERROR(VLOOKUP($B638,'PY1 TFR ADA'!$F:$AU,MATCH("b-4.3",'PY1 TFR ADA'!$F$5:$AU$5,0),FALSE),0)</f>
        <v>0</v>
      </c>
      <c r="N642" s="527"/>
      <c r="O642" s="609">
        <f>IFERROR(VLOOKUP($B638,'PY1 TFR ADA'!$F:$AU,MATCH("b-5.3",'PY1 TFR ADA'!$F$5:$AU$5,0),FALSE),0)</f>
        <v>0</v>
      </c>
      <c r="P642" s="527"/>
      <c r="Q642" s="609">
        <f>IFERROR(VLOOKUP($B638,'PY1 TFR ADA'!$F:$AU,MATCH("b-6.3",'PY1 TFR ADA'!$F$5:$AU$5,0),FALSE),0)</f>
        <v>0</v>
      </c>
      <c r="R642" s="551"/>
      <c r="S642" s="601">
        <f t="shared" si="938"/>
        <v>0</v>
      </c>
      <c r="T642" s="551"/>
      <c r="U642" s="536">
        <f t="shared" ref="U642" si="941">ROUND(IF($G647="LCFF Rate",(G642*$C642),(G642*$E642))+IF($I647="LCFF Rate",(I642*$C642),(I642*$E642))+IF($K647="LCFF Rate",(K642*$C642),(K642*$E642))+IF($M647="LCFF Rate",(M642*$C642),(M642*$E642))+IF($O647="LCFF Rate",(O642*$C642),(O642*$E642))+IF($Q647="LCFF Rate",(Q642*$C642),(Q642*$E642)),0)</f>
        <v>0</v>
      </c>
      <c r="V642" s="524"/>
      <c r="X642" s="4"/>
    </row>
    <row r="643" spans="1:24" s="8" customFormat="1" ht="14.4">
      <c r="A643" s="526"/>
      <c r="B643" s="510" t="s">
        <v>4</v>
      </c>
      <c r="C643" s="525">
        <f>IFERROR(VLOOKUP($B638,'PY1 TFR ADA'!$F:$AU,MATCH("A-1.4",'PY1 TFR ADA'!$F$5:$AU$5,0),FALSE),0)</f>
        <v>0</v>
      </c>
      <c r="D643" s="523"/>
      <c r="E643" s="525">
        <f>IFERROR(VALUE(VLOOKUP($B638,'PY1 TFR ADA'!$F:$AU,MATCH("A-2.4",'PY1 TFR ADA'!$F$5:$AU$5,0),FALSE)),0)</f>
        <v>0</v>
      </c>
      <c r="F643" s="523"/>
      <c r="G643" s="609">
        <f>IFERROR(VLOOKUP($B638,'PY1 TFR ADA'!$F:$AU,MATCH("b-1.4",'PY1 TFR ADA'!$F$5:$AU$5,0),FALSE),0)</f>
        <v>0</v>
      </c>
      <c r="H643" s="527"/>
      <c r="I643" s="609">
        <f>IFERROR(VLOOKUP($B638,'PY1 TFR ADA'!$F:$AU,MATCH("b-2.4",'PY1 TFR ADA'!$F$5:$AU$5,0),FALSE),0)</f>
        <v>0</v>
      </c>
      <c r="J643" s="527"/>
      <c r="K643" s="609">
        <f>IFERROR(VLOOKUP($B638,'PY1 TFR ADA'!$F:$AU,MATCH("b-3.4",'PY1 TFR ADA'!$F$5:$AU$5,0),FALSE),0)</f>
        <v>0</v>
      </c>
      <c r="L643" s="527"/>
      <c r="M643" s="609">
        <f>IFERROR(VLOOKUP($B638,'PY1 TFR ADA'!$F:$AU,MATCH("b-4.4",'PY1 TFR ADA'!$F$5:$AU$5,0),FALSE),0)</f>
        <v>0</v>
      </c>
      <c r="N643" s="527"/>
      <c r="O643" s="609">
        <f>IFERROR(VLOOKUP($B638,'PY1 TFR ADA'!$F:$AU,MATCH("b-5.4",'PY1 TFR ADA'!$F$5:$AU$5,0),FALSE),0)</f>
        <v>0</v>
      </c>
      <c r="P643" s="527"/>
      <c r="Q643" s="609">
        <f>IFERROR(VLOOKUP($B638,'PY1 TFR ADA'!$F:$AU,MATCH("b-6.4",'PY1 TFR ADA'!$F$5:$AU$5,0),FALSE),0)</f>
        <v>0</v>
      </c>
      <c r="R643" s="551"/>
      <c r="S643" s="601">
        <f t="shared" si="938"/>
        <v>0</v>
      </c>
      <c r="T643" s="551"/>
      <c r="U643" s="536">
        <f t="shared" ref="U643" si="942">ROUND(IF($G647="LCFF Rate",(G643*$C643),(G643*$E643))+IF($I647="LCFF Rate",(I643*$C643),(I643*$E643))+IF($K647="LCFF Rate",(K643*$C643),(K643*$E643))+IF($M647="LCFF Rate",(M643*$C643),(M643*$E643))+IF($O647="LCFF Rate",(O643*$C643),(O643*$E643))+IF($Q647="LCFF Rate",(Q643*$C643),(Q643*$E643)),0)</f>
        <v>0</v>
      </c>
      <c r="V643" s="522"/>
      <c r="X643" s="496"/>
    </row>
    <row r="644" spans="1:24" s="8" customFormat="1" ht="8.25" customHeight="1">
      <c r="A644" s="521"/>
      <c r="B644" s="167"/>
      <c r="C644" s="165"/>
      <c r="D644" s="523"/>
      <c r="E644" s="165"/>
      <c r="F644" s="523"/>
      <c r="G644" s="520"/>
      <c r="H644" s="523"/>
      <c r="I644" s="520"/>
      <c r="J644" s="523"/>
      <c r="K644" s="520"/>
      <c r="L644" s="523"/>
      <c r="M644" s="520"/>
      <c r="N644" s="523"/>
      <c r="O644" s="520"/>
      <c r="P644" s="523"/>
      <c r="Q644" s="520"/>
      <c r="R644" s="167"/>
      <c r="S644" s="520"/>
      <c r="T644" s="167"/>
      <c r="U644" s="602"/>
      <c r="V644" s="522"/>
      <c r="X644" s="4"/>
    </row>
    <row r="645" spans="1:24" s="8" customFormat="1" ht="14.4">
      <c r="A645" s="521"/>
      <c r="B645" s="167"/>
      <c r="C645" s="165"/>
      <c r="D645" s="523"/>
      <c r="E645" s="513" t="s">
        <v>1317</v>
      </c>
      <c r="F645" s="523"/>
      <c r="G645" s="601">
        <f t="shared" ref="G645" si="943">SUM(G640:G643)</f>
        <v>0</v>
      </c>
      <c r="H645" s="527"/>
      <c r="I645" s="601">
        <f t="shared" ref="I645" si="944">SUM(I640:I643)</f>
        <v>0</v>
      </c>
      <c r="J645" s="527"/>
      <c r="K645" s="601">
        <f t="shared" ref="K645" si="945">SUM(K640:K643)</f>
        <v>0</v>
      </c>
      <c r="L645" s="527"/>
      <c r="M645" s="601">
        <f t="shared" ref="M645" si="946">SUM(M640:M643)</f>
        <v>0</v>
      </c>
      <c r="N645" s="527"/>
      <c r="O645" s="601">
        <f t="shared" ref="O645" si="947">SUM(O640:O643)</f>
        <v>0</v>
      </c>
      <c r="P645" s="527"/>
      <c r="Q645" s="601">
        <f t="shared" ref="Q645" si="948">SUM(Q640:Q643)</f>
        <v>0</v>
      </c>
      <c r="R645" s="527"/>
      <c r="S645" s="601">
        <f t="shared" ref="S645" si="949">SUM(S640:S643)</f>
        <v>0</v>
      </c>
      <c r="T645" s="527"/>
      <c r="U645" s="536">
        <f t="shared" ref="U645" si="950">SUM(U640:U643)</f>
        <v>0</v>
      </c>
      <c r="V645" s="522"/>
      <c r="X645" s="4"/>
    </row>
    <row r="646" spans="1:24" s="8" customFormat="1" ht="8.25" customHeight="1">
      <c r="A646" s="521"/>
      <c r="B646" s="167"/>
      <c r="C646" s="165"/>
      <c r="D646" s="523"/>
      <c r="E646" s="165"/>
      <c r="F646" s="523"/>
      <c r="G646" s="520"/>
      <c r="H646" s="523"/>
      <c r="I646" s="520"/>
      <c r="J646" s="523"/>
      <c r="K646" s="520"/>
      <c r="L646" s="523"/>
      <c r="M646" s="520"/>
      <c r="N646" s="523"/>
      <c r="O646" s="520"/>
      <c r="P646" s="523"/>
      <c r="Q646" s="520"/>
      <c r="R646" s="167"/>
      <c r="S646" s="520"/>
      <c r="T646" s="167"/>
      <c r="U646" s="528"/>
      <c r="V646" s="522"/>
      <c r="X646" s="4"/>
    </row>
    <row r="647" spans="1:24" s="8" customFormat="1" ht="16.5" customHeight="1">
      <c r="A647" s="521"/>
      <c r="B647" s="167"/>
      <c r="C647" s="165"/>
      <c r="E647" s="513" t="s">
        <v>1304</v>
      </c>
      <c r="F647" s="523"/>
      <c r="G647" s="977">
        <f>_xlfn.IFNA(IF(VLOOKUP($B638,'PY1 TFR ADA'!$F:$AU,MATCH("B-1.5",'PY1 TFR ADA'!$F$5:$AU$5,0),FALSE)=TRUE,IF(VLOOKUP($B638,'PY1 TFR ADA'!$F:$AU,MATCH("C-1",'PY1 TFR ADA'!$F$5:$AU$5,0),FALSE)=TRUE,"Alternative Rate","LCFF Rate"),"LCFF Rate"),0)</f>
        <v>0</v>
      </c>
      <c r="H647" s="523"/>
      <c r="I647" s="977">
        <f>_xlfn.IFNA(IF(VLOOKUP($B638,'PY1 TFR ADA'!$F:$AU,MATCH("B-2.5",'PY1 TFR ADA'!$F$5:$AU$5,0),FALSE)=TRUE,IF(VLOOKUP($B638,'PY1 TFR ADA'!$F:$AU,MATCH("C-1",'PY1 TFR ADA'!$F$5:$AU$5,0),FALSE)=TRUE,"Alternative Rate","LCFF Rate"),"LCFF Rate"),0)</f>
        <v>0</v>
      </c>
      <c r="J647" s="523"/>
      <c r="K647" s="977">
        <f>_xlfn.IFNA(IF(VLOOKUP($B638,'PY1 TFR ADA'!$F:$AU,MATCH("B-3.5",'PY1 TFR ADA'!$F$5:$AU$5,0),FALSE)=TRUE,IF(VLOOKUP($B638,'PY1 TFR ADA'!$F:$AU,MATCH("C-1",'PY1 TFR ADA'!$F$5:$AU$5,0),FALSE)=TRUE,"Alternative Rate","LCFF Rate"),"LCFF Rate"),0)</f>
        <v>0</v>
      </c>
      <c r="L647" s="523"/>
      <c r="M647" s="977">
        <f>_xlfn.IFNA(IF(VLOOKUP($B638,'PY1 TFR ADA'!$F:$AU,MATCH("B-4.5",'PY1 TFR ADA'!$F$5:$AU$5,0),FALSE)=TRUE,IF(VLOOKUP($B638,'PY1 TFR ADA'!$F:$AU,MATCH("C-1",'PY1 TFR ADA'!$F$5:$AU$5,0),FALSE)=TRUE,"Alternative Rate","LCFF Rate"),"LCFF Rate"),0)</f>
        <v>0</v>
      </c>
      <c r="N647" s="523"/>
      <c r="O647" s="977">
        <f>_xlfn.IFNA(IF(VLOOKUP($B638,'PY1 TFR ADA'!$F:$AU,MATCH("B-5.5",'PY1 TFR ADA'!$F$5:$AU$5,0),FALSE)=TRUE,IF(VLOOKUP($B638,'PY1 TFR ADA'!$F:$AU,MATCH("C-1",'PY1 TFR ADA'!$F$5:$AU$5,0),FALSE)=TRUE,"Alternative Rate","LCFF Rate"),"LCFF Rate"),0)</f>
        <v>0</v>
      </c>
      <c r="P647" s="523"/>
      <c r="Q647" s="977">
        <f>_xlfn.IFNA(IF(VLOOKUP($B638,'PY1 TFR ADA'!$F:$AU,MATCH("B-6.5",'PY1 TFR ADA'!$F$5:$AU$5,0),FALSE)=TRUE,IF(VLOOKUP($B638,'PY1 TFR ADA'!$F:$AU,MATCH("C-1",'PY1 TFR ADA'!$F$5:$AU$5,0),FALSE)=TRUE,"Alternative Rate","LCFF Rate"),"LCFF Rate"),0)</f>
        <v>0</v>
      </c>
      <c r="R647" s="167"/>
      <c r="S647" s="520"/>
      <c r="T647" s="167"/>
      <c r="U647" s="528"/>
      <c r="V647" s="522"/>
      <c r="X647" s="283"/>
    </row>
    <row r="648" spans="1:24" s="8" customFormat="1" ht="8.25" customHeight="1">
      <c r="A648" s="521"/>
      <c r="B648" s="167"/>
      <c r="C648" s="165"/>
      <c r="D648" s="523"/>
      <c r="E648" s="165"/>
      <c r="F648" s="523"/>
      <c r="G648" s="520"/>
      <c r="H648" s="523"/>
      <c r="I648" s="520"/>
      <c r="J648" s="523"/>
      <c r="K648" s="520"/>
      <c r="L648" s="523"/>
      <c r="M648" s="520"/>
      <c r="N648" s="523"/>
      <c r="O648" s="520"/>
      <c r="P648" s="523"/>
      <c r="Q648" s="520"/>
      <c r="R648" s="167"/>
      <c r="S648" s="520"/>
      <c r="T648" s="167"/>
      <c r="U648" s="528"/>
      <c r="V648" s="522"/>
      <c r="X648" s="4"/>
    </row>
    <row r="649" spans="1:24" s="8" customFormat="1" ht="16.8">
      <c r="A649" s="521"/>
      <c r="B649" s="2"/>
      <c r="F649" s="523"/>
      <c r="G649" s="535">
        <f t="shared" ref="G649" si="951">IF(G647="LCFF Rate",(G640*C640+G641*C641+G642*C642+G643*C643),(G645*E643))</f>
        <v>0</v>
      </c>
      <c r="H649" s="537"/>
      <c r="I649" s="535">
        <f t="shared" ref="I649" si="952">IF(I647="LCFF Rate",(I640*C640+I641*C641+I642*C642+I643*C643),(I645*E643))</f>
        <v>0</v>
      </c>
      <c r="J649" s="537"/>
      <c r="K649" s="535">
        <f t="shared" ref="K649" si="953">IF(K647="LCFF Rate",(K640*C640+K641*C641+K642*C642+K643*C643),(K645*E643))</f>
        <v>0</v>
      </c>
      <c r="L649" s="537"/>
      <c r="M649" s="535">
        <f t="shared" ref="M649" si="954">IF(M647="LCFF Rate",(M640*C640+M641*C641+M642*C642+M643*C643),(M645*E643))</f>
        <v>0</v>
      </c>
      <c r="N649" s="537"/>
      <c r="O649" s="535">
        <f t="shared" ref="O649" si="955">IF(O647="LCFF Rate",(O640*C640+O641*C641+O642*C642+O643*C643),(O645*E643))</f>
        <v>0</v>
      </c>
      <c r="P649" s="537"/>
      <c r="Q649" s="535">
        <f t="shared" ref="Q649" si="956">IF(Q647="LCFF Rate",(Q640*C640+Q641*C641+Q642*C642+Q643*C643),(Q645*E643))</f>
        <v>0</v>
      </c>
      <c r="R649" s="167"/>
      <c r="S649" s="538">
        <f t="shared" ref="S649" si="957">SUM(G649:Q649)</f>
        <v>0</v>
      </c>
      <c r="T649" s="167"/>
      <c r="U649" s="528"/>
      <c r="V649" s="522"/>
      <c r="X649" s="979"/>
    </row>
    <row r="650" spans="1:24" s="8" customFormat="1" ht="9" customHeight="1" thickBot="1">
      <c r="A650" s="529"/>
      <c r="B650" s="530"/>
      <c r="C650" s="531"/>
      <c r="D650" s="532"/>
      <c r="E650" s="533"/>
      <c r="F650" s="532"/>
      <c r="G650" s="530"/>
      <c r="H650" s="532"/>
      <c r="I650" s="530"/>
      <c r="J650" s="532"/>
      <c r="K650" s="530"/>
      <c r="L650" s="532"/>
      <c r="M650" s="530"/>
      <c r="N650" s="532"/>
      <c r="O650" s="530"/>
      <c r="P650" s="532"/>
      <c r="Q650" s="530"/>
      <c r="R650" s="532"/>
      <c r="S650" s="530"/>
      <c r="T650" s="532"/>
      <c r="U650" s="532"/>
      <c r="V650" s="534"/>
      <c r="X650" s="4"/>
    </row>
    <row r="651" spans="1:24" s="82" customFormat="1" ht="18" customHeight="1" thickBot="1">
      <c r="A651" s="890">
        <f>+A638+1</f>
        <v>50</v>
      </c>
      <c r="B651" s="891" t="str">
        <f>'Data Entry'!$B$3&amp;"-"&amp;C651</f>
        <v>-</v>
      </c>
      <c r="C651" s="891" t="str">
        <f>IFERROR(VLOOKUP('Data Entry'!$B$3&amp;"-"&amp;A651,'PY1 TFR ADA'!$D:$AT,2,FALSE),"")</f>
        <v/>
      </c>
      <c r="D651" s="892" t="str">
        <f>IFERROR(VLOOKUP('Data Entry'!$B$3&amp;"-"&amp;A651,'PY1 TFR ADA'!$D:$AT,4,FALSE),"")</f>
        <v/>
      </c>
      <c r="E651" s="893"/>
      <c r="F651" s="893"/>
      <c r="G651" s="893"/>
      <c r="H651" s="893"/>
      <c r="I651" s="893"/>
      <c r="J651" s="893"/>
      <c r="K651" s="893"/>
      <c r="L651" s="893"/>
      <c r="M651" s="893"/>
      <c r="N651" s="893"/>
      <c r="O651" s="893"/>
      <c r="P651" s="893"/>
      <c r="Q651" s="893"/>
      <c r="R651" s="893"/>
      <c r="S651" s="893"/>
      <c r="T651" s="893"/>
      <c r="U651" s="893"/>
      <c r="V651" s="894"/>
      <c r="X651" s="83"/>
    </row>
    <row r="652" spans="1:24" ht="75" customHeight="1">
      <c r="A652" s="521"/>
      <c r="C652" s="540" t="s">
        <v>1315</v>
      </c>
      <c r="D652" s="512"/>
      <c r="E652" s="540" t="s">
        <v>1316</v>
      </c>
      <c r="F652" s="512"/>
      <c r="G652" s="540" t="s">
        <v>1309</v>
      </c>
      <c r="H652" s="512"/>
      <c r="I652" s="540" t="s">
        <v>1310</v>
      </c>
      <c r="J652" s="512"/>
      <c r="K652" s="540" t="s">
        <v>1311</v>
      </c>
      <c r="L652" s="512"/>
      <c r="M652" s="540" t="s">
        <v>1312</v>
      </c>
      <c r="N652" s="512"/>
      <c r="O652" s="540" t="s">
        <v>1313</v>
      </c>
      <c r="P652" s="512"/>
      <c r="Q652" s="540" t="s">
        <v>1314</v>
      </c>
      <c r="R652" s="167"/>
      <c r="S652" s="540" t="s">
        <v>1308</v>
      </c>
      <c r="T652" s="167"/>
      <c r="U652" s="512" t="s">
        <v>1307</v>
      </c>
      <c r="V652" s="524"/>
      <c r="X652" s="283"/>
    </row>
    <row r="653" spans="1:24" s="8" customFormat="1" ht="14.4">
      <c r="A653" s="521"/>
      <c r="B653" s="510" t="s">
        <v>94</v>
      </c>
      <c r="C653" s="525">
        <f>IFERROR(VLOOKUP($B651,'PY1 TFR ADA'!$F:$AU,MATCH("A-1.1",'PY1 TFR ADA'!$F$5:$AU$5,0),FALSE),0)</f>
        <v>0</v>
      </c>
      <c r="D653" s="167"/>
      <c r="E653" s="525">
        <f>IFERROR(VALUE(VLOOKUP($B651,'PY1 TFR ADA'!$F:$AU,MATCH("A-2.1",'PY1 TFR ADA'!$F$5:$AU$5,0),FALSE)),0)</f>
        <v>0</v>
      </c>
      <c r="F653" s="167"/>
      <c r="G653" s="609">
        <f>IFERROR(VLOOKUP($B651,'PY1 TFR ADA'!$F:$AU,MATCH("b-1.1",'PY1 TFR ADA'!$F$5:$AU$5,0),FALSE),0)</f>
        <v>0</v>
      </c>
      <c r="H653" s="527"/>
      <c r="I653" s="609">
        <f>IFERROR(VLOOKUP($B651,'PY1 TFR ADA'!$F:$AU,MATCH("b-2.1",'PY1 TFR ADA'!$F$5:$AU$5,0),FALSE),0)</f>
        <v>0</v>
      </c>
      <c r="J653" s="527"/>
      <c r="K653" s="609">
        <f>IFERROR(VLOOKUP($B651,'PY1 TFR ADA'!$F:$AU,MATCH("b-3.1",'PY1 TFR ADA'!$F$5:$AU$5,0),FALSE),0)</f>
        <v>0</v>
      </c>
      <c r="L653" s="527"/>
      <c r="M653" s="609">
        <f>IFERROR(VLOOKUP($B651,'PY1 TFR ADA'!$F:$AU,MATCH("b-4.1",'PY1 TFR ADA'!$F$5:$AU$5,0),FALSE),0)</f>
        <v>0</v>
      </c>
      <c r="N653" s="527"/>
      <c r="O653" s="609">
        <f>IFERROR(VLOOKUP($B651,'PY1 TFR ADA'!$F:$AU,MATCH("b-5.1",'PY1 TFR ADA'!$F$5:$AU$5,0),FALSE),0)</f>
        <v>0</v>
      </c>
      <c r="P653" s="527"/>
      <c r="Q653" s="609">
        <f>IFERROR(VLOOKUP($B651,'PY1 TFR ADA'!$F:$AU,MATCH("b-6.1",'PY1 TFR ADA'!$F$5:$AU$5,0),FALSE),0)</f>
        <v>0</v>
      </c>
      <c r="R653" s="551"/>
      <c r="S653" s="601">
        <f t="shared" ref="S653:S656" si="958">SUM(G653:Q653)</f>
        <v>0</v>
      </c>
      <c r="T653" s="551"/>
      <c r="U653" s="536">
        <f t="shared" ref="U653" si="959">ROUND(IF($G660="LCFF Rate",(G653*$C653),(G653*$E653))+IF($I660="LCFF Rate",(I653*$C653),(I653*$E653))+IF($K660="LCFF Rate",(K653*$C653),(K653*$E653))+IF($M660="LCFF Rate",(M653*$C653),(M653*$E653))+IF($O660="LCFF Rate",(O653*$C653),(O653*$E653))+IF($Q660="LCFF Rate",(Q653*$C653),(Q653*$E653)),0)</f>
        <v>0</v>
      </c>
      <c r="V653" s="524"/>
      <c r="X653" s="496"/>
    </row>
    <row r="654" spans="1:24" s="8" customFormat="1" ht="14.4">
      <c r="A654" s="521"/>
      <c r="B654" s="510" t="s">
        <v>2</v>
      </c>
      <c r="C654" s="525">
        <f>IFERROR(VLOOKUP($B651,'PY1 TFR ADA'!$F:$AU,MATCH("A-1.2",'PY1 TFR ADA'!$F$5:$AU$5,0),FALSE),0)</f>
        <v>0</v>
      </c>
      <c r="D654" s="167"/>
      <c r="E654" s="525">
        <f>IFERROR(VALUE(VLOOKUP($B651,'PY1 TFR ADA'!$F:$AU,MATCH("A-2.2",'PY1 TFR ADA'!$F$5:$AU$5,0),FALSE)),0)</f>
        <v>0</v>
      </c>
      <c r="F654" s="167"/>
      <c r="G654" s="609">
        <f>IFERROR(VLOOKUP($B651,'PY1 TFR ADA'!$F:$AU,MATCH("b-1.2",'PY1 TFR ADA'!$F$5:$AU$5,0),FALSE),0)</f>
        <v>0</v>
      </c>
      <c r="H654" s="527"/>
      <c r="I654" s="609">
        <f>IFERROR(VLOOKUP($B651,'PY1 TFR ADA'!$F:$AU,MATCH("b-2.2",'PY1 TFR ADA'!$F$5:$AU$5,0),FALSE),0)</f>
        <v>0</v>
      </c>
      <c r="J654" s="527"/>
      <c r="K654" s="609">
        <f>IFERROR(VLOOKUP($B651,'PY1 TFR ADA'!$F:$AU,MATCH("b-3.2",'PY1 TFR ADA'!$F$5:$AU$5,0),FALSE),0)</f>
        <v>0</v>
      </c>
      <c r="L654" s="527"/>
      <c r="M654" s="609">
        <f>IFERROR(VLOOKUP($B651,'PY1 TFR ADA'!$F:$AU,MATCH("b-4.2",'PY1 TFR ADA'!$F$5:$AU$5,0),FALSE),0)</f>
        <v>0</v>
      </c>
      <c r="N654" s="527"/>
      <c r="O654" s="609">
        <f>IFERROR(VLOOKUP($B651,'PY1 TFR ADA'!$F:$AU,MATCH("b-5.2",'PY1 TFR ADA'!$F$5:$AU$5,0),FALSE),0)</f>
        <v>0</v>
      </c>
      <c r="P654" s="527"/>
      <c r="Q654" s="609">
        <f>IFERROR(VLOOKUP($B651,'PY1 TFR ADA'!$F:$AU,MATCH("b-6.2",'PY1 TFR ADA'!$F$5:$AU$5,0),FALSE),0)</f>
        <v>0</v>
      </c>
      <c r="R654" s="551"/>
      <c r="S654" s="601">
        <f t="shared" si="958"/>
        <v>0</v>
      </c>
      <c r="T654" s="551"/>
      <c r="U654" s="536">
        <f t="shared" ref="U654" si="960">ROUND(IF($G660="LCFF Rate",(G654*$C654),(G654*$E654))+IF($I660="LCFF Rate",(I654*$C654),(I654*$E654))+IF($K660="LCFF Rate",(K654*$C654),(K654*$E654))+IF($M660="LCFF Rate",(M654*$C654),(M654*$E654))+IF($O660="LCFF Rate",(O654*$C654),(O654*$E654))+IF($Q660="LCFF Rate",(Q654*$C654),(Q654*$E654)),0)</f>
        <v>0</v>
      </c>
      <c r="V654" s="524"/>
      <c r="X654" s="4"/>
    </row>
    <row r="655" spans="1:24" s="8" customFormat="1" ht="14.4">
      <c r="A655" s="521"/>
      <c r="B655" s="510" t="s">
        <v>3</v>
      </c>
      <c r="C655" s="525">
        <f>IFERROR(VLOOKUP($B651,'PY1 TFR ADA'!$F:$AU,MATCH("A-1.3",'PY1 TFR ADA'!$F$5:$AU$5,0),FALSE),0)</f>
        <v>0</v>
      </c>
      <c r="D655" s="167"/>
      <c r="E655" s="525">
        <f>IFERROR(VALUE(VLOOKUP($B651,'PY1 TFR ADA'!$F:$AU,MATCH("A-2.3",'PY1 TFR ADA'!$F$5:$AU$5,0),FALSE)),0)</f>
        <v>0</v>
      </c>
      <c r="F655" s="167"/>
      <c r="G655" s="609">
        <f>IFERROR(VLOOKUP($B651,'PY1 TFR ADA'!$F:$AU,MATCH("b-1.3",'PY1 TFR ADA'!$F$5:$AU$5,0),FALSE),0)</f>
        <v>0</v>
      </c>
      <c r="H655" s="527"/>
      <c r="I655" s="609">
        <f>IFERROR(VLOOKUP($B651,'PY1 TFR ADA'!$F:$AU,MATCH("b-2.3",'PY1 TFR ADA'!$F$5:$AU$5,0),FALSE),0)</f>
        <v>0</v>
      </c>
      <c r="J655" s="527"/>
      <c r="K655" s="609">
        <f>IFERROR(VLOOKUP($B651,'PY1 TFR ADA'!$F:$AU,MATCH("b-3.3",'PY1 TFR ADA'!$F$5:$AU$5,0),FALSE),0)</f>
        <v>0</v>
      </c>
      <c r="L655" s="527"/>
      <c r="M655" s="609">
        <f>IFERROR(VLOOKUP($B651,'PY1 TFR ADA'!$F:$AU,MATCH("b-4.3",'PY1 TFR ADA'!$F$5:$AU$5,0),FALSE),0)</f>
        <v>0</v>
      </c>
      <c r="N655" s="527"/>
      <c r="O655" s="609">
        <f>IFERROR(VLOOKUP($B651,'PY1 TFR ADA'!$F:$AU,MATCH("b-5.3",'PY1 TFR ADA'!$F$5:$AU$5,0),FALSE),0)</f>
        <v>0</v>
      </c>
      <c r="P655" s="527"/>
      <c r="Q655" s="609">
        <f>IFERROR(VLOOKUP($B651,'PY1 TFR ADA'!$F:$AU,MATCH("b-6.3",'PY1 TFR ADA'!$F$5:$AU$5,0),FALSE),0)</f>
        <v>0</v>
      </c>
      <c r="R655" s="551"/>
      <c r="S655" s="601">
        <f t="shared" si="958"/>
        <v>0</v>
      </c>
      <c r="T655" s="551"/>
      <c r="U655" s="536">
        <f t="shared" ref="U655" si="961">ROUND(IF($G660="LCFF Rate",(G655*$C655),(G655*$E655))+IF($I660="LCFF Rate",(I655*$C655),(I655*$E655))+IF($K660="LCFF Rate",(K655*$C655),(K655*$E655))+IF($M660="LCFF Rate",(M655*$C655),(M655*$E655))+IF($O660="LCFF Rate",(O655*$C655),(O655*$E655))+IF($Q660="LCFF Rate",(Q655*$C655),(Q655*$E655)),0)</f>
        <v>0</v>
      </c>
      <c r="V655" s="524"/>
      <c r="X655" s="4"/>
    </row>
    <row r="656" spans="1:24" s="8" customFormat="1" ht="14.4">
      <c r="A656" s="526"/>
      <c r="B656" s="510" t="s">
        <v>4</v>
      </c>
      <c r="C656" s="525">
        <f>IFERROR(VLOOKUP($B651,'PY1 TFR ADA'!$F:$AU,MATCH("A-1.4",'PY1 TFR ADA'!$F$5:$AU$5,0),FALSE),0)</f>
        <v>0</v>
      </c>
      <c r="D656" s="523"/>
      <c r="E656" s="525">
        <f>IFERROR(VALUE(VLOOKUP($B651,'PY1 TFR ADA'!$F:$AU,MATCH("A-2.4",'PY1 TFR ADA'!$F$5:$AU$5,0),FALSE)),0)</f>
        <v>0</v>
      </c>
      <c r="F656" s="523"/>
      <c r="G656" s="609">
        <f>IFERROR(VLOOKUP($B651,'PY1 TFR ADA'!$F:$AU,MATCH("b-1.4",'PY1 TFR ADA'!$F$5:$AU$5,0),FALSE),0)</f>
        <v>0</v>
      </c>
      <c r="H656" s="527"/>
      <c r="I656" s="609">
        <f>IFERROR(VLOOKUP($B651,'PY1 TFR ADA'!$F:$AU,MATCH("b-2.4",'PY1 TFR ADA'!$F$5:$AU$5,0),FALSE),0)</f>
        <v>0</v>
      </c>
      <c r="J656" s="527"/>
      <c r="K656" s="609">
        <f>IFERROR(VLOOKUP($B651,'PY1 TFR ADA'!$F:$AU,MATCH("b-3.4",'PY1 TFR ADA'!$F$5:$AU$5,0),FALSE),0)</f>
        <v>0</v>
      </c>
      <c r="L656" s="527"/>
      <c r="M656" s="609">
        <f>IFERROR(VLOOKUP($B651,'PY1 TFR ADA'!$F:$AU,MATCH("b-4.4",'PY1 TFR ADA'!$F$5:$AU$5,0),FALSE),0)</f>
        <v>0</v>
      </c>
      <c r="N656" s="527"/>
      <c r="O656" s="609">
        <f>IFERROR(VLOOKUP($B651,'PY1 TFR ADA'!$F:$AU,MATCH("b-5.4",'PY1 TFR ADA'!$F$5:$AU$5,0),FALSE),0)</f>
        <v>0</v>
      </c>
      <c r="P656" s="527"/>
      <c r="Q656" s="609">
        <f>IFERROR(VLOOKUP($B651,'PY1 TFR ADA'!$F:$AU,MATCH("b-6.4",'PY1 TFR ADA'!$F$5:$AU$5,0),FALSE),0)</f>
        <v>0</v>
      </c>
      <c r="R656" s="551"/>
      <c r="S656" s="601">
        <f t="shared" si="958"/>
        <v>0</v>
      </c>
      <c r="T656" s="551"/>
      <c r="U656" s="536">
        <f t="shared" ref="U656" si="962">ROUND(IF($G660="LCFF Rate",(G656*$C656),(G656*$E656))+IF($I660="LCFF Rate",(I656*$C656),(I656*$E656))+IF($K660="LCFF Rate",(K656*$C656),(K656*$E656))+IF($M660="LCFF Rate",(M656*$C656),(M656*$E656))+IF($O660="LCFF Rate",(O656*$C656),(O656*$E656))+IF($Q660="LCFF Rate",(Q656*$C656),(Q656*$E656)),0)</f>
        <v>0</v>
      </c>
      <c r="V656" s="522"/>
      <c r="X656" s="496"/>
    </row>
    <row r="657" spans="1:24" s="8" customFormat="1" ht="8.25" customHeight="1">
      <c r="A657" s="521"/>
      <c r="B657" s="167"/>
      <c r="C657" s="165"/>
      <c r="D657" s="523"/>
      <c r="E657" s="165"/>
      <c r="F657" s="523"/>
      <c r="G657" s="520"/>
      <c r="H657" s="523"/>
      <c r="I657" s="520"/>
      <c r="J657" s="523"/>
      <c r="K657" s="520"/>
      <c r="L657" s="523"/>
      <c r="M657" s="520"/>
      <c r="N657" s="523"/>
      <c r="O657" s="520"/>
      <c r="P657" s="523"/>
      <c r="Q657" s="520"/>
      <c r="R657" s="167"/>
      <c r="S657" s="520"/>
      <c r="T657" s="167"/>
      <c r="U657" s="602"/>
      <c r="V657" s="522"/>
      <c r="X657" s="4"/>
    </row>
    <row r="658" spans="1:24" s="8" customFormat="1" ht="14.4">
      <c r="A658" s="521"/>
      <c r="B658" s="167"/>
      <c r="C658" s="165"/>
      <c r="D658" s="523"/>
      <c r="E658" s="513" t="s">
        <v>1317</v>
      </c>
      <c r="F658" s="523"/>
      <c r="G658" s="601">
        <f t="shared" ref="G658" si="963">SUM(G653:G656)</f>
        <v>0</v>
      </c>
      <c r="H658" s="527"/>
      <c r="I658" s="601">
        <f t="shared" ref="I658" si="964">SUM(I653:I656)</f>
        <v>0</v>
      </c>
      <c r="J658" s="527"/>
      <c r="K658" s="601">
        <f t="shared" ref="K658" si="965">SUM(K653:K656)</f>
        <v>0</v>
      </c>
      <c r="L658" s="527"/>
      <c r="M658" s="601">
        <f t="shared" ref="M658" si="966">SUM(M653:M656)</f>
        <v>0</v>
      </c>
      <c r="N658" s="527"/>
      <c r="O658" s="601">
        <f t="shared" ref="O658" si="967">SUM(O653:O656)</f>
        <v>0</v>
      </c>
      <c r="P658" s="527"/>
      <c r="Q658" s="601">
        <f t="shared" ref="Q658" si="968">SUM(Q653:Q656)</f>
        <v>0</v>
      </c>
      <c r="R658" s="527"/>
      <c r="S658" s="601">
        <f t="shared" ref="S658" si="969">SUM(S653:S656)</f>
        <v>0</v>
      </c>
      <c r="T658" s="527"/>
      <c r="U658" s="536">
        <f t="shared" ref="U658" si="970">SUM(U653:U656)</f>
        <v>0</v>
      </c>
      <c r="V658" s="522"/>
      <c r="X658" s="4"/>
    </row>
    <row r="659" spans="1:24" s="8" customFormat="1" ht="8.25" customHeight="1">
      <c r="A659" s="521"/>
      <c r="B659" s="167"/>
      <c r="C659" s="165"/>
      <c r="D659" s="523"/>
      <c r="E659" s="165"/>
      <c r="F659" s="523"/>
      <c r="G659" s="520"/>
      <c r="H659" s="523"/>
      <c r="I659" s="520"/>
      <c r="J659" s="523"/>
      <c r="K659" s="520"/>
      <c r="L659" s="523"/>
      <c r="M659" s="520"/>
      <c r="N659" s="523"/>
      <c r="O659" s="520"/>
      <c r="P659" s="523"/>
      <c r="Q659" s="520"/>
      <c r="R659" s="167"/>
      <c r="S659" s="520"/>
      <c r="T659" s="167"/>
      <c r="U659" s="528"/>
      <c r="V659" s="522"/>
      <c r="X659" s="4"/>
    </row>
    <row r="660" spans="1:24" s="8" customFormat="1" ht="16.5" customHeight="1">
      <c r="A660" s="521"/>
      <c r="B660" s="167"/>
      <c r="C660" s="165"/>
      <c r="E660" s="513" t="s">
        <v>1304</v>
      </c>
      <c r="F660" s="523"/>
      <c r="G660" s="977">
        <f>_xlfn.IFNA(IF(VLOOKUP($B651,'PY1 TFR ADA'!$F:$AU,MATCH("B-1.5",'PY1 TFR ADA'!$F$5:$AU$5,0),FALSE)=TRUE,IF(VLOOKUP($B651,'PY1 TFR ADA'!$F:$AU,MATCH("C-1",'PY1 TFR ADA'!$F$5:$AU$5,0),FALSE)=TRUE,"Alternative Rate","LCFF Rate"),"LCFF Rate"),0)</f>
        <v>0</v>
      </c>
      <c r="H660" s="523"/>
      <c r="I660" s="977">
        <f>_xlfn.IFNA(IF(VLOOKUP($B651,'PY1 TFR ADA'!$F:$AU,MATCH("B-2.5",'PY1 TFR ADA'!$F$5:$AU$5,0),FALSE)=TRUE,IF(VLOOKUP($B651,'PY1 TFR ADA'!$F:$AU,MATCH("C-1",'PY1 TFR ADA'!$F$5:$AU$5,0),FALSE)=TRUE,"Alternative Rate","LCFF Rate"),"LCFF Rate"),0)</f>
        <v>0</v>
      </c>
      <c r="J660" s="523"/>
      <c r="K660" s="977">
        <f>_xlfn.IFNA(IF(VLOOKUP($B651,'PY1 TFR ADA'!$F:$AU,MATCH("B-3.5",'PY1 TFR ADA'!$F$5:$AU$5,0),FALSE)=TRUE,IF(VLOOKUP($B651,'PY1 TFR ADA'!$F:$AU,MATCH("C-1",'PY1 TFR ADA'!$F$5:$AU$5,0),FALSE)=TRUE,"Alternative Rate","LCFF Rate"),"LCFF Rate"),0)</f>
        <v>0</v>
      </c>
      <c r="L660" s="523"/>
      <c r="M660" s="977">
        <f>_xlfn.IFNA(IF(VLOOKUP($B651,'PY1 TFR ADA'!$F:$AU,MATCH("B-4.5",'PY1 TFR ADA'!$F$5:$AU$5,0),FALSE)=TRUE,IF(VLOOKUP($B651,'PY1 TFR ADA'!$F:$AU,MATCH("C-1",'PY1 TFR ADA'!$F$5:$AU$5,0),FALSE)=TRUE,"Alternative Rate","LCFF Rate"),"LCFF Rate"),0)</f>
        <v>0</v>
      </c>
      <c r="N660" s="523"/>
      <c r="O660" s="977">
        <f>_xlfn.IFNA(IF(VLOOKUP($B651,'PY1 TFR ADA'!$F:$AU,MATCH("B-5.5",'PY1 TFR ADA'!$F$5:$AU$5,0),FALSE)=TRUE,IF(VLOOKUP($B651,'PY1 TFR ADA'!$F:$AU,MATCH("C-1",'PY1 TFR ADA'!$F$5:$AU$5,0),FALSE)=TRUE,"Alternative Rate","LCFF Rate"),"LCFF Rate"),0)</f>
        <v>0</v>
      </c>
      <c r="P660" s="523"/>
      <c r="Q660" s="977">
        <f>_xlfn.IFNA(IF(VLOOKUP($B651,'PY1 TFR ADA'!$F:$AU,MATCH("B-6.5",'PY1 TFR ADA'!$F$5:$AU$5,0),FALSE)=TRUE,IF(VLOOKUP($B651,'PY1 TFR ADA'!$F:$AU,MATCH("C-1",'PY1 TFR ADA'!$F$5:$AU$5,0),FALSE)=TRUE,"Alternative Rate","LCFF Rate"),"LCFF Rate"),0)</f>
        <v>0</v>
      </c>
      <c r="R660" s="167"/>
      <c r="S660" s="520"/>
      <c r="T660" s="167"/>
      <c r="U660" s="528"/>
      <c r="V660" s="522"/>
      <c r="X660" s="283"/>
    </row>
    <row r="661" spans="1:24" s="8" customFormat="1" ht="8.25" customHeight="1">
      <c r="A661" s="521"/>
      <c r="B661" s="167"/>
      <c r="C661" s="165"/>
      <c r="D661" s="523"/>
      <c r="E661" s="165"/>
      <c r="F661" s="523"/>
      <c r="G661" s="520"/>
      <c r="H661" s="523"/>
      <c r="I661" s="520"/>
      <c r="J661" s="523"/>
      <c r="K661" s="520"/>
      <c r="L661" s="523"/>
      <c r="M661" s="520"/>
      <c r="N661" s="523"/>
      <c r="O661" s="520"/>
      <c r="P661" s="523"/>
      <c r="Q661" s="520"/>
      <c r="R661" s="167"/>
      <c r="S661" s="520"/>
      <c r="T661" s="167"/>
      <c r="U661" s="528"/>
      <c r="V661" s="522"/>
      <c r="X661" s="4"/>
    </row>
    <row r="662" spans="1:24" s="8" customFormat="1" ht="16.8">
      <c r="A662" s="521"/>
      <c r="B662" s="2"/>
      <c r="F662" s="523"/>
      <c r="G662" s="535">
        <f t="shared" ref="G662" si="971">IF(G660="LCFF Rate",(G653*C653+G654*C654+G655*C655+G656*C656),(G658*E656))</f>
        <v>0</v>
      </c>
      <c r="H662" s="537"/>
      <c r="I662" s="535">
        <f t="shared" ref="I662" si="972">IF(I660="LCFF Rate",(I653*C653+I654*C654+I655*C655+I656*C656),(I658*E656))</f>
        <v>0</v>
      </c>
      <c r="J662" s="537"/>
      <c r="K662" s="535">
        <f t="shared" ref="K662" si="973">IF(K660="LCFF Rate",(K653*C653+K654*C654+K655*C655+K656*C656),(K658*E656))</f>
        <v>0</v>
      </c>
      <c r="L662" s="537"/>
      <c r="M662" s="535">
        <f t="shared" ref="M662" si="974">IF(M660="LCFF Rate",(M653*C653+M654*C654+M655*C655+M656*C656),(M658*E656))</f>
        <v>0</v>
      </c>
      <c r="N662" s="537"/>
      <c r="O662" s="535">
        <f t="shared" ref="O662" si="975">IF(O660="LCFF Rate",(O653*C653+O654*C654+O655*C655+O656*C656),(O658*E656))</f>
        <v>0</v>
      </c>
      <c r="P662" s="537"/>
      <c r="Q662" s="535">
        <f t="shared" ref="Q662" si="976">IF(Q660="LCFF Rate",(Q653*C653+Q654*C654+Q655*C655+Q656*C656),(Q658*E656))</f>
        <v>0</v>
      </c>
      <c r="R662" s="167"/>
      <c r="S662" s="538">
        <f t="shared" ref="S662" si="977">SUM(G662:Q662)</f>
        <v>0</v>
      </c>
      <c r="T662" s="167"/>
      <c r="U662" s="528"/>
      <c r="V662" s="522"/>
      <c r="X662" s="979"/>
    </row>
    <row r="663" spans="1:24" s="8" customFormat="1" ht="9" customHeight="1" thickBot="1">
      <c r="A663" s="529"/>
      <c r="B663" s="530"/>
      <c r="C663" s="531"/>
      <c r="D663" s="532"/>
      <c r="E663" s="533"/>
      <c r="F663" s="532"/>
      <c r="G663" s="530"/>
      <c r="H663" s="532"/>
      <c r="I663" s="530"/>
      <c r="J663" s="532"/>
      <c r="K663" s="530"/>
      <c r="L663" s="532"/>
      <c r="M663" s="530"/>
      <c r="N663" s="532"/>
      <c r="O663" s="530"/>
      <c r="P663" s="532"/>
      <c r="Q663" s="530"/>
      <c r="R663" s="532"/>
      <c r="S663" s="530"/>
      <c r="T663" s="532"/>
      <c r="U663" s="532"/>
      <c r="V663" s="534"/>
      <c r="X663" s="4"/>
    </row>
    <row r="664" spans="1:24" s="82" customFormat="1" ht="18" customHeight="1" thickBot="1">
      <c r="A664" s="890">
        <f>+A651+1</f>
        <v>51</v>
      </c>
      <c r="B664" s="891" t="str">
        <f>'Data Entry'!$B$3&amp;"-"&amp;C664</f>
        <v>-</v>
      </c>
      <c r="C664" s="891" t="str">
        <f>IFERROR(VLOOKUP('Data Entry'!$B$3&amp;"-"&amp;A664,'PY1 TFR ADA'!$D:$AT,2,FALSE),"")</f>
        <v/>
      </c>
      <c r="D664" s="892" t="str">
        <f>IFERROR(VLOOKUP('Data Entry'!$B$3&amp;"-"&amp;A664,'PY1 TFR ADA'!$D:$AT,4,FALSE),"")</f>
        <v/>
      </c>
      <c r="E664" s="893"/>
      <c r="F664" s="893"/>
      <c r="G664" s="893"/>
      <c r="H664" s="893"/>
      <c r="I664" s="893"/>
      <c r="J664" s="893"/>
      <c r="K664" s="893"/>
      <c r="L664" s="893"/>
      <c r="M664" s="893"/>
      <c r="N664" s="893"/>
      <c r="O664" s="893"/>
      <c r="P664" s="893"/>
      <c r="Q664" s="893"/>
      <c r="R664" s="893"/>
      <c r="S664" s="893"/>
      <c r="T664" s="893"/>
      <c r="U664" s="893"/>
      <c r="V664" s="894"/>
      <c r="X664" s="83"/>
    </row>
    <row r="665" spans="1:24" ht="75" customHeight="1">
      <c r="A665" s="521"/>
      <c r="C665" s="540" t="s">
        <v>1315</v>
      </c>
      <c r="D665" s="512"/>
      <c r="E665" s="540" t="s">
        <v>1316</v>
      </c>
      <c r="F665" s="512"/>
      <c r="G665" s="540" t="s">
        <v>1309</v>
      </c>
      <c r="H665" s="512"/>
      <c r="I665" s="540" t="s">
        <v>1310</v>
      </c>
      <c r="J665" s="512"/>
      <c r="K665" s="540" t="s">
        <v>1311</v>
      </c>
      <c r="L665" s="512"/>
      <c r="M665" s="540" t="s">
        <v>1312</v>
      </c>
      <c r="N665" s="512"/>
      <c r="O665" s="540" t="s">
        <v>1313</v>
      </c>
      <c r="P665" s="512"/>
      <c r="Q665" s="540" t="s">
        <v>1314</v>
      </c>
      <c r="R665" s="167"/>
      <c r="S665" s="540" t="s">
        <v>1308</v>
      </c>
      <c r="T665" s="167"/>
      <c r="U665" s="512" t="s">
        <v>1307</v>
      </c>
      <c r="V665" s="524"/>
      <c r="X665" s="283"/>
    </row>
    <row r="666" spans="1:24" s="8" customFormat="1" ht="14.4">
      <c r="A666" s="521"/>
      <c r="B666" s="510" t="s">
        <v>94</v>
      </c>
      <c r="C666" s="525">
        <f>IFERROR(VLOOKUP($B664,'PY1 TFR ADA'!$F:$AU,MATCH("A-1.1",'PY1 TFR ADA'!$F$5:$AU$5,0),FALSE),0)</f>
        <v>0</v>
      </c>
      <c r="D666" s="167"/>
      <c r="E666" s="525">
        <f>IFERROR(VALUE(VLOOKUP($B664,'PY1 TFR ADA'!$F:$AU,MATCH("A-2.1",'PY1 TFR ADA'!$F$5:$AU$5,0),FALSE)),0)</f>
        <v>0</v>
      </c>
      <c r="F666" s="167"/>
      <c r="G666" s="609">
        <f>IFERROR(VLOOKUP($B664,'PY1 TFR ADA'!$F:$AU,MATCH("b-1.1",'PY1 TFR ADA'!$F$5:$AU$5,0),FALSE),0)</f>
        <v>0</v>
      </c>
      <c r="H666" s="527"/>
      <c r="I666" s="609">
        <f>IFERROR(VLOOKUP($B664,'PY1 TFR ADA'!$F:$AU,MATCH("b-2.1",'PY1 TFR ADA'!$F$5:$AU$5,0),FALSE),0)</f>
        <v>0</v>
      </c>
      <c r="J666" s="527"/>
      <c r="K666" s="609">
        <f>IFERROR(VLOOKUP($B664,'PY1 TFR ADA'!$F:$AU,MATCH("b-3.1",'PY1 TFR ADA'!$F$5:$AU$5,0),FALSE),0)</f>
        <v>0</v>
      </c>
      <c r="L666" s="527"/>
      <c r="M666" s="609">
        <f>IFERROR(VLOOKUP($B664,'PY1 TFR ADA'!$F:$AU,MATCH("b-4.1",'PY1 TFR ADA'!$F$5:$AU$5,0),FALSE),0)</f>
        <v>0</v>
      </c>
      <c r="N666" s="527"/>
      <c r="O666" s="609">
        <f>IFERROR(VLOOKUP($B664,'PY1 TFR ADA'!$F:$AU,MATCH("b-5.1",'PY1 TFR ADA'!$F$5:$AU$5,0),FALSE),0)</f>
        <v>0</v>
      </c>
      <c r="P666" s="527"/>
      <c r="Q666" s="609">
        <f>IFERROR(VLOOKUP($B664,'PY1 TFR ADA'!$F:$AU,MATCH("b-6.1",'PY1 TFR ADA'!$F$5:$AU$5,0),FALSE),0)</f>
        <v>0</v>
      </c>
      <c r="R666" s="551"/>
      <c r="S666" s="601">
        <f t="shared" ref="S666:S669" si="978">SUM(G666:Q666)</f>
        <v>0</v>
      </c>
      <c r="T666" s="551"/>
      <c r="U666" s="536">
        <f t="shared" ref="U666" si="979">ROUND(IF($G673="LCFF Rate",(G666*$C666),(G666*$E666))+IF($I673="LCFF Rate",(I666*$C666),(I666*$E666))+IF($K673="LCFF Rate",(K666*$C666),(K666*$E666))+IF($M673="LCFF Rate",(M666*$C666),(M666*$E666))+IF($O673="LCFF Rate",(O666*$C666),(O666*$E666))+IF($Q673="LCFF Rate",(Q666*$C666),(Q666*$E666)),0)</f>
        <v>0</v>
      </c>
      <c r="V666" s="524"/>
      <c r="X666" s="496"/>
    </row>
    <row r="667" spans="1:24" s="8" customFormat="1" ht="14.4">
      <c r="A667" s="521"/>
      <c r="B667" s="510" t="s">
        <v>2</v>
      </c>
      <c r="C667" s="525">
        <f>IFERROR(VLOOKUP($B664,'PY1 TFR ADA'!$F:$AU,MATCH("A-1.2",'PY1 TFR ADA'!$F$5:$AU$5,0),FALSE),0)</f>
        <v>0</v>
      </c>
      <c r="D667" s="167"/>
      <c r="E667" s="525">
        <f>IFERROR(VALUE(VLOOKUP($B664,'PY1 TFR ADA'!$F:$AU,MATCH("A-2.2",'PY1 TFR ADA'!$F$5:$AU$5,0),FALSE)),0)</f>
        <v>0</v>
      </c>
      <c r="F667" s="167"/>
      <c r="G667" s="609">
        <f>IFERROR(VLOOKUP($B664,'PY1 TFR ADA'!$F:$AU,MATCH("b-1.2",'PY1 TFR ADA'!$F$5:$AU$5,0),FALSE),0)</f>
        <v>0</v>
      </c>
      <c r="H667" s="527"/>
      <c r="I667" s="609">
        <f>IFERROR(VLOOKUP($B664,'PY1 TFR ADA'!$F:$AU,MATCH("b-2.2",'PY1 TFR ADA'!$F$5:$AU$5,0),FALSE),0)</f>
        <v>0</v>
      </c>
      <c r="J667" s="527"/>
      <c r="K667" s="609">
        <f>IFERROR(VLOOKUP($B664,'PY1 TFR ADA'!$F:$AU,MATCH("b-3.2",'PY1 TFR ADA'!$F$5:$AU$5,0),FALSE),0)</f>
        <v>0</v>
      </c>
      <c r="L667" s="527"/>
      <c r="M667" s="609">
        <f>IFERROR(VLOOKUP($B664,'PY1 TFR ADA'!$F:$AU,MATCH("b-4.2",'PY1 TFR ADA'!$F$5:$AU$5,0),FALSE),0)</f>
        <v>0</v>
      </c>
      <c r="N667" s="527"/>
      <c r="O667" s="609">
        <f>IFERROR(VLOOKUP($B664,'PY1 TFR ADA'!$F:$AU,MATCH("b-5.2",'PY1 TFR ADA'!$F$5:$AU$5,0),FALSE),0)</f>
        <v>0</v>
      </c>
      <c r="P667" s="527"/>
      <c r="Q667" s="609">
        <f>IFERROR(VLOOKUP($B664,'PY1 TFR ADA'!$F:$AU,MATCH("b-6.2",'PY1 TFR ADA'!$F$5:$AU$5,0),FALSE),0)</f>
        <v>0</v>
      </c>
      <c r="R667" s="551"/>
      <c r="S667" s="601">
        <f t="shared" si="978"/>
        <v>0</v>
      </c>
      <c r="T667" s="551"/>
      <c r="U667" s="536">
        <f t="shared" ref="U667" si="980">ROUND(IF($G673="LCFF Rate",(G667*$C667),(G667*$E667))+IF($I673="LCFF Rate",(I667*$C667),(I667*$E667))+IF($K673="LCFF Rate",(K667*$C667),(K667*$E667))+IF($M673="LCFF Rate",(M667*$C667),(M667*$E667))+IF($O673="LCFF Rate",(O667*$C667),(O667*$E667))+IF($Q673="LCFF Rate",(Q667*$C667),(Q667*$E667)),0)</f>
        <v>0</v>
      </c>
      <c r="V667" s="524"/>
      <c r="X667" s="4"/>
    </row>
    <row r="668" spans="1:24" s="8" customFormat="1" ht="14.4">
      <c r="A668" s="521"/>
      <c r="B668" s="510" t="s">
        <v>3</v>
      </c>
      <c r="C668" s="525">
        <f>IFERROR(VLOOKUP($B664,'PY1 TFR ADA'!$F:$AU,MATCH("A-1.3",'PY1 TFR ADA'!$F$5:$AU$5,0),FALSE),0)</f>
        <v>0</v>
      </c>
      <c r="D668" s="167"/>
      <c r="E668" s="525">
        <f>IFERROR(VALUE(VLOOKUP($B664,'PY1 TFR ADA'!$F:$AU,MATCH("A-2.3",'PY1 TFR ADA'!$F$5:$AU$5,0),FALSE)),0)</f>
        <v>0</v>
      </c>
      <c r="F668" s="167"/>
      <c r="G668" s="609">
        <f>IFERROR(VLOOKUP($B664,'PY1 TFR ADA'!$F:$AU,MATCH("b-1.3",'PY1 TFR ADA'!$F$5:$AU$5,0),FALSE),0)</f>
        <v>0</v>
      </c>
      <c r="H668" s="527"/>
      <c r="I668" s="609">
        <f>IFERROR(VLOOKUP($B664,'PY1 TFR ADA'!$F:$AU,MATCH("b-2.3",'PY1 TFR ADA'!$F$5:$AU$5,0),FALSE),0)</f>
        <v>0</v>
      </c>
      <c r="J668" s="527"/>
      <c r="K668" s="609">
        <f>IFERROR(VLOOKUP($B664,'PY1 TFR ADA'!$F:$AU,MATCH("b-3.3",'PY1 TFR ADA'!$F$5:$AU$5,0),FALSE),0)</f>
        <v>0</v>
      </c>
      <c r="L668" s="527"/>
      <c r="M668" s="609">
        <f>IFERROR(VLOOKUP($B664,'PY1 TFR ADA'!$F:$AU,MATCH("b-4.3",'PY1 TFR ADA'!$F$5:$AU$5,0),FALSE),0)</f>
        <v>0</v>
      </c>
      <c r="N668" s="527"/>
      <c r="O668" s="609">
        <f>IFERROR(VLOOKUP($B664,'PY1 TFR ADA'!$F:$AU,MATCH("b-5.3",'PY1 TFR ADA'!$F$5:$AU$5,0),FALSE),0)</f>
        <v>0</v>
      </c>
      <c r="P668" s="527"/>
      <c r="Q668" s="609">
        <f>IFERROR(VLOOKUP($B664,'PY1 TFR ADA'!$F:$AU,MATCH("b-6.3",'PY1 TFR ADA'!$F$5:$AU$5,0),FALSE),0)</f>
        <v>0</v>
      </c>
      <c r="R668" s="551"/>
      <c r="S668" s="601">
        <f t="shared" si="978"/>
        <v>0</v>
      </c>
      <c r="T668" s="551"/>
      <c r="U668" s="536">
        <f t="shared" ref="U668" si="981">ROUND(IF($G673="LCFF Rate",(G668*$C668),(G668*$E668))+IF($I673="LCFF Rate",(I668*$C668),(I668*$E668))+IF($K673="LCFF Rate",(K668*$C668),(K668*$E668))+IF($M673="LCFF Rate",(M668*$C668),(M668*$E668))+IF($O673="LCFF Rate",(O668*$C668),(O668*$E668))+IF($Q673="LCFF Rate",(Q668*$C668),(Q668*$E668)),0)</f>
        <v>0</v>
      </c>
      <c r="V668" s="524"/>
      <c r="X668" s="4"/>
    </row>
    <row r="669" spans="1:24" s="8" customFormat="1" ht="14.4">
      <c r="A669" s="526"/>
      <c r="B669" s="510" t="s">
        <v>4</v>
      </c>
      <c r="C669" s="525">
        <f>IFERROR(VLOOKUP($B664,'PY1 TFR ADA'!$F:$AU,MATCH("A-1.4",'PY1 TFR ADA'!$F$5:$AU$5,0),FALSE),0)</f>
        <v>0</v>
      </c>
      <c r="D669" s="523"/>
      <c r="E669" s="525">
        <f>IFERROR(VALUE(VLOOKUP($B664,'PY1 TFR ADA'!$F:$AU,MATCH("A-2.4",'PY1 TFR ADA'!$F$5:$AU$5,0),FALSE)),0)</f>
        <v>0</v>
      </c>
      <c r="F669" s="523"/>
      <c r="G669" s="609">
        <f>IFERROR(VLOOKUP($B664,'PY1 TFR ADA'!$F:$AU,MATCH("b-1.4",'PY1 TFR ADA'!$F$5:$AU$5,0),FALSE),0)</f>
        <v>0</v>
      </c>
      <c r="H669" s="527"/>
      <c r="I669" s="609">
        <f>IFERROR(VLOOKUP($B664,'PY1 TFR ADA'!$F:$AU,MATCH("b-2.4",'PY1 TFR ADA'!$F$5:$AU$5,0),FALSE),0)</f>
        <v>0</v>
      </c>
      <c r="J669" s="527"/>
      <c r="K669" s="609">
        <f>IFERROR(VLOOKUP($B664,'PY1 TFR ADA'!$F:$AU,MATCH("b-3.4",'PY1 TFR ADA'!$F$5:$AU$5,0),FALSE),0)</f>
        <v>0</v>
      </c>
      <c r="L669" s="527"/>
      <c r="M669" s="609">
        <f>IFERROR(VLOOKUP($B664,'PY1 TFR ADA'!$F:$AU,MATCH("b-4.4",'PY1 TFR ADA'!$F$5:$AU$5,0),FALSE),0)</f>
        <v>0</v>
      </c>
      <c r="N669" s="527"/>
      <c r="O669" s="609">
        <f>IFERROR(VLOOKUP($B664,'PY1 TFR ADA'!$F:$AU,MATCH("b-5.4",'PY1 TFR ADA'!$F$5:$AU$5,0),FALSE),0)</f>
        <v>0</v>
      </c>
      <c r="P669" s="527"/>
      <c r="Q669" s="609">
        <f>IFERROR(VLOOKUP($B664,'PY1 TFR ADA'!$F:$AU,MATCH("b-6.4",'PY1 TFR ADA'!$F$5:$AU$5,0),FALSE),0)</f>
        <v>0</v>
      </c>
      <c r="R669" s="551"/>
      <c r="S669" s="601">
        <f t="shared" si="978"/>
        <v>0</v>
      </c>
      <c r="T669" s="551"/>
      <c r="U669" s="536">
        <f t="shared" ref="U669" si="982">ROUND(IF($G673="LCFF Rate",(G669*$C669),(G669*$E669))+IF($I673="LCFF Rate",(I669*$C669),(I669*$E669))+IF($K673="LCFF Rate",(K669*$C669),(K669*$E669))+IF($M673="LCFF Rate",(M669*$C669),(M669*$E669))+IF($O673="LCFF Rate",(O669*$C669),(O669*$E669))+IF($Q673="LCFF Rate",(Q669*$C669),(Q669*$E669)),0)</f>
        <v>0</v>
      </c>
      <c r="V669" s="522"/>
      <c r="X669" s="496"/>
    </row>
    <row r="670" spans="1:24" s="8" customFormat="1" ht="8.25" customHeight="1">
      <c r="A670" s="521"/>
      <c r="B670" s="167"/>
      <c r="C670" s="165"/>
      <c r="D670" s="523"/>
      <c r="E670" s="165"/>
      <c r="F670" s="523"/>
      <c r="G670" s="520"/>
      <c r="H670" s="523"/>
      <c r="I670" s="520"/>
      <c r="J670" s="523"/>
      <c r="K670" s="520"/>
      <c r="L670" s="523"/>
      <c r="M670" s="520"/>
      <c r="N670" s="523"/>
      <c r="O670" s="520"/>
      <c r="P670" s="523"/>
      <c r="Q670" s="520"/>
      <c r="R670" s="167"/>
      <c r="S670" s="520"/>
      <c r="T670" s="167"/>
      <c r="U670" s="602"/>
      <c r="V670" s="522"/>
      <c r="X670" s="4"/>
    </row>
    <row r="671" spans="1:24" s="8" customFormat="1" ht="14.4">
      <c r="A671" s="521"/>
      <c r="B671" s="167"/>
      <c r="C671" s="165"/>
      <c r="D671" s="523"/>
      <c r="E671" s="513" t="s">
        <v>1317</v>
      </c>
      <c r="F671" s="523"/>
      <c r="G671" s="601">
        <f t="shared" ref="G671" si="983">SUM(G666:G669)</f>
        <v>0</v>
      </c>
      <c r="H671" s="527"/>
      <c r="I671" s="601">
        <f t="shared" ref="I671" si="984">SUM(I666:I669)</f>
        <v>0</v>
      </c>
      <c r="J671" s="527"/>
      <c r="K671" s="601">
        <f t="shared" ref="K671" si="985">SUM(K666:K669)</f>
        <v>0</v>
      </c>
      <c r="L671" s="527"/>
      <c r="M671" s="601">
        <f t="shared" ref="M671" si="986">SUM(M666:M669)</f>
        <v>0</v>
      </c>
      <c r="N671" s="527"/>
      <c r="O671" s="601">
        <f t="shared" ref="O671" si="987">SUM(O666:O669)</f>
        <v>0</v>
      </c>
      <c r="P671" s="527"/>
      <c r="Q671" s="601">
        <f t="shared" ref="Q671" si="988">SUM(Q666:Q669)</f>
        <v>0</v>
      </c>
      <c r="R671" s="527"/>
      <c r="S671" s="601">
        <f t="shared" ref="S671" si="989">SUM(S666:S669)</f>
        <v>0</v>
      </c>
      <c r="T671" s="527"/>
      <c r="U671" s="536">
        <f t="shared" ref="U671" si="990">SUM(U666:U669)</f>
        <v>0</v>
      </c>
      <c r="V671" s="522"/>
      <c r="X671" s="4"/>
    </row>
    <row r="672" spans="1:24" s="8" customFormat="1" ht="8.25" customHeight="1">
      <c r="A672" s="521"/>
      <c r="B672" s="167"/>
      <c r="C672" s="165"/>
      <c r="D672" s="523"/>
      <c r="E672" s="165"/>
      <c r="F672" s="523"/>
      <c r="G672" s="520"/>
      <c r="H672" s="523"/>
      <c r="I672" s="520"/>
      <c r="J672" s="523"/>
      <c r="K672" s="520"/>
      <c r="L672" s="523"/>
      <c r="M672" s="520"/>
      <c r="N672" s="523"/>
      <c r="O672" s="520"/>
      <c r="P672" s="523"/>
      <c r="Q672" s="520"/>
      <c r="R672" s="167"/>
      <c r="S672" s="520"/>
      <c r="T672" s="167"/>
      <c r="U672" s="528"/>
      <c r="V672" s="522"/>
      <c r="X672" s="4"/>
    </row>
    <row r="673" spans="1:24" s="8" customFormat="1" ht="16.5" customHeight="1">
      <c r="A673" s="521"/>
      <c r="B673" s="167"/>
      <c r="C673" s="165"/>
      <c r="E673" s="513" t="s">
        <v>1304</v>
      </c>
      <c r="F673" s="523"/>
      <c r="G673" s="977">
        <f>_xlfn.IFNA(IF(VLOOKUP($B664,'PY1 TFR ADA'!$F:$AU,MATCH("B-1.5",'PY1 TFR ADA'!$F$5:$AU$5,0),FALSE)=TRUE,IF(VLOOKUP($B664,'PY1 TFR ADA'!$F:$AU,MATCH("C-1",'PY1 TFR ADA'!$F$5:$AU$5,0),FALSE)=TRUE,"Alternative Rate","LCFF Rate"),"LCFF Rate"),0)</f>
        <v>0</v>
      </c>
      <c r="H673" s="523"/>
      <c r="I673" s="977">
        <f>_xlfn.IFNA(IF(VLOOKUP($B664,'PY1 TFR ADA'!$F:$AU,MATCH("B-2.5",'PY1 TFR ADA'!$F$5:$AU$5,0),FALSE)=TRUE,IF(VLOOKUP($B664,'PY1 TFR ADA'!$F:$AU,MATCH("C-1",'PY1 TFR ADA'!$F$5:$AU$5,0),FALSE)=TRUE,"Alternative Rate","LCFF Rate"),"LCFF Rate"),0)</f>
        <v>0</v>
      </c>
      <c r="J673" s="523"/>
      <c r="K673" s="977">
        <f>_xlfn.IFNA(IF(VLOOKUP($B664,'PY1 TFR ADA'!$F:$AU,MATCH("B-3.5",'PY1 TFR ADA'!$F$5:$AU$5,0),FALSE)=TRUE,IF(VLOOKUP($B664,'PY1 TFR ADA'!$F:$AU,MATCH("C-1",'PY1 TFR ADA'!$F$5:$AU$5,0),FALSE)=TRUE,"Alternative Rate","LCFF Rate"),"LCFF Rate"),0)</f>
        <v>0</v>
      </c>
      <c r="L673" s="523"/>
      <c r="M673" s="977">
        <f>_xlfn.IFNA(IF(VLOOKUP($B664,'PY1 TFR ADA'!$F:$AU,MATCH("B-4.5",'PY1 TFR ADA'!$F$5:$AU$5,0),FALSE)=TRUE,IF(VLOOKUP($B664,'PY1 TFR ADA'!$F:$AU,MATCH("C-1",'PY1 TFR ADA'!$F$5:$AU$5,0),FALSE)=TRUE,"Alternative Rate","LCFF Rate"),"LCFF Rate"),0)</f>
        <v>0</v>
      </c>
      <c r="N673" s="523"/>
      <c r="O673" s="977">
        <f>_xlfn.IFNA(IF(VLOOKUP($B664,'PY1 TFR ADA'!$F:$AU,MATCH("B-5.5",'PY1 TFR ADA'!$F$5:$AU$5,0),FALSE)=TRUE,IF(VLOOKUP($B664,'PY1 TFR ADA'!$F:$AU,MATCH("C-1",'PY1 TFR ADA'!$F$5:$AU$5,0),FALSE)=TRUE,"Alternative Rate","LCFF Rate"),"LCFF Rate"),0)</f>
        <v>0</v>
      </c>
      <c r="P673" s="523"/>
      <c r="Q673" s="977">
        <f>_xlfn.IFNA(IF(VLOOKUP($B664,'PY1 TFR ADA'!$F:$AU,MATCH("B-6.5",'PY1 TFR ADA'!$F$5:$AU$5,0),FALSE)=TRUE,IF(VLOOKUP($B664,'PY1 TFR ADA'!$F:$AU,MATCH("C-1",'PY1 TFR ADA'!$F$5:$AU$5,0),FALSE)=TRUE,"Alternative Rate","LCFF Rate"),"LCFF Rate"),0)</f>
        <v>0</v>
      </c>
      <c r="R673" s="167"/>
      <c r="S673" s="520"/>
      <c r="T673" s="167"/>
      <c r="U673" s="528"/>
      <c r="V673" s="522"/>
      <c r="X673" s="283"/>
    </row>
    <row r="674" spans="1:24" s="8" customFormat="1" ht="8.25" customHeight="1">
      <c r="A674" s="521"/>
      <c r="B674" s="167"/>
      <c r="C674" s="165"/>
      <c r="D674" s="523"/>
      <c r="E674" s="165"/>
      <c r="F674" s="523"/>
      <c r="G674" s="520"/>
      <c r="H674" s="523"/>
      <c r="I674" s="520"/>
      <c r="J674" s="523"/>
      <c r="K674" s="520"/>
      <c r="L674" s="523"/>
      <c r="M674" s="520"/>
      <c r="N674" s="523"/>
      <c r="O674" s="520"/>
      <c r="P674" s="523"/>
      <c r="Q674" s="520"/>
      <c r="R674" s="167"/>
      <c r="S674" s="520"/>
      <c r="T674" s="167"/>
      <c r="U674" s="528"/>
      <c r="V674" s="522"/>
      <c r="X674" s="4"/>
    </row>
    <row r="675" spans="1:24" s="8" customFormat="1" ht="16.8">
      <c r="A675" s="521"/>
      <c r="B675" s="2"/>
      <c r="F675" s="523"/>
      <c r="G675" s="535">
        <f t="shared" ref="G675" si="991">IF(G673="LCFF Rate",(G666*C666+G667*C667+G668*C668+G669*C669),(G671*E669))</f>
        <v>0</v>
      </c>
      <c r="H675" s="537"/>
      <c r="I675" s="535">
        <f t="shared" ref="I675" si="992">IF(I673="LCFF Rate",(I666*C666+I667*C667+I668*C668+I669*C669),(I671*E669))</f>
        <v>0</v>
      </c>
      <c r="J675" s="537"/>
      <c r="K675" s="535">
        <f t="shared" ref="K675" si="993">IF(K673="LCFF Rate",(K666*C666+K667*C667+K668*C668+K669*C669),(K671*E669))</f>
        <v>0</v>
      </c>
      <c r="L675" s="537"/>
      <c r="M675" s="535">
        <f t="shared" ref="M675" si="994">IF(M673="LCFF Rate",(M666*C666+M667*C667+M668*C668+M669*C669),(M671*E669))</f>
        <v>0</v>
      </c>
      <c r="N675" s="537"/>
      <c r="O675" s="535">
        <f t="shared" ref="O675" si="995">IF(O673="LCFF Rate",(O666*C666+O667*C667+O668*C668+O669*C669),(O671*E669))</f>
        <v>0</v>
      </c>
      <c r="P675" s="537"/>
      <c r="Q675" s="535">
        <f t="shared" ref="Q675" si="996">IF(Q673="LCFF Rate",(Q666*C666+Q667*C667+Q668*C668+Q669*C669),(Q671*E669))</f>
        <v>0</v>
      </c>
      <c r="R675" s="167"/>
      <c r="S675" s="538">
        <f t="shared" ref="S675" si="997">SUM(G675:Q675)</f>
        <v>0</v>
      </c>
      <c r="T675" s="167"/>
      <c r="U675" s="528"/>
      <c r="V675" s="522"/>
      <c r="X675" s="979"/>
    </row>
    <row r="676" spans="1:24" s="8" customFormat="1" ht="9" customHeight="1" thickBot="1">
      <c r="A676" s="529"/>
      <c r="B676" s="530"/>
      <c r="C676" s="531"/>
      <c r="D676" s="532"/>
      <c r="E676" s="533"/>
      <c r="F676" s="532"/>
      <c r="G676" s="530"/>
      <c r="H676" s="532"/>
      <c r="I676" s="530"/>
      <c r="J676" s="532"/>
      <c r="K676" s="530"/>
      <c r="L676" s="532"/>
      <c r="M676" s="530"/>
      <c r="N676" s="532"/>
      <c r="O676" s="530"/>
      <c r="P676" s="532"/>
      <c r="Q676" s="530"/>
      <c r="R676" s="532"/>
      <c r="S676" s="530"/>
      <c r="T676" s="532"/>
      <c r="U676" s="532"/>
      <c r="V676" s="534"/>
      <c r="X676" s="4"/>
    </row>
    <row r="677" spans="1:24" s="82" customFormat="1" ht="18" customHeight="1" thickBot="1">
      <c r="A677" s="890">
        <f>+A664+1</f>
        <v>52</v>
      </c>
      <c r="B677" s="891" t="str">
        <f>'Data Entry'!$B$3&amp;"-"&amp;C677</f>
        <v>-</v>
      </c>
      <c r="C677" s="891" t="str">
        <f>IFERROR(VLOOKUP('Data Entry'!$B$3&amp;"-"&amp;A677,'PY1 TFR ADA'!$D:$AT,2,FALSE),"")</f>
        <v/>
      </c>
      <c r="D677" s="892" t="str">
        <f>IFERROR(VLOOKUP('Data Entry'!$B$3&amp;"-"&amp;A677,'PY1 TFR ADA'!$D:$AT,4,FALSE),"")</f>
        <v/>
      </c>
      <c r="E677" s="893"/>
      <c r="F677" s="893"/>
      <c r="G677" s="893"/>
      <c r="H677" s="893"/>
      <c r="I677" s="893"/>
      <c r="J677" s="893"/>
      <c r="K677" s="893"/>
      <c r="L677" s="893"/>
      <c r="M677" s="893"/>
      <c r="N677" s="893"/>
      <c r="O677" s="893"/>
      <c r="P677" s="893"/>
      <c r="Q677" s="893"/>
      <c r="R677" s="893"/>
      <c r="S677" s="893"/>
      <c r="T677" s="893"/>
      <c r="U677" s="893"/>
      <c r="V677" s="894"/>
      <c r="X677" s="83"/>
    </row>
    <row r="678" spans="1:24" ht="75" customHeight="1">
      <c r="A678" s="521"/>
      <c r="C678" s="540" t="s">
        <v>1315</v>
      </c>
      <c r="D678" s="512"/>
      <c r="E678" s="540" t="s">
        <v>1316</v>
      </c>
      <c r="F678" s="512"/>
      <c r="G678" s="540" t="s">
        <v>1309</v>
      </c>
      <c r="H678" s="512"/>
      <c r="I678" s="540" t="s">
        <v>1310</v>
      </c>
      <c r="J678" s="512"/>
      <c r="K678" s="540" t="s">
        <v>1311</v>
      </c>
      <c r="L678" s="512"/>
      <c r="M678" s="540" t="s">
        <v>1312</v>
      </c>
      <c r="N678" s="512"/>
      <c r="O678" s="540" t="s">
        <v>1313</v>
      </c>
      <c r="P678" s="512"/>
      <c r="Q678" s="540" t="s">
        <v>1314</v>
      </c>
      <c r="R678" s="167"/>
      <c r="S678" s="540" t="s">
        <v>1308</v>
      </c>
      <c r="T678" s="167"/>
      <c r="U678" s="512" t="s">
        <v>1307</v>
      </c>
      <c r="V678" s="524"/>
      <c r="X678" s="283"/>
    </row>
    <row r="679" spans="1:24" s="8" customFormat="1" ht="14.4">
      <c r="A679" s="521"/>
      <c r="B679" s="510" t="s">
        <v>94</v>
      </c>
      <c r="C679" s="525">
        <f>IFERROR(VLOOKUP($B677,'PY1 TFR ADA'!$F:$AU,MATCH("A-1.1",'PY1 TFR ADA'!$F$5:$AU$5,0),FALSE),0)</f>
        <v>0</v>
      </c>
      <c r="D679" s="167"/>
      <c r="E679" s="525">
        <f>IFERROR(VALUE(VLOOKUP($B677,'PY1 TFR ADA'!$F:$AU,MATCH("A-2.1",'PY1 TFR ADA'!$F$5:$AU$5,0),FALSE)),0)</f>
        <v>0</v>
      </c>
      <c r="F679" s="167"/>
      <c r="G679" s="609">
        <f>IFERROR(VLOOKUP($B677,'PY1 TFR ADA'!$F:$AU,MATCH("b-1.1",'PY1 TFR ADA'!$F$5:$AU$5,0),FALSE),0)</f>
        <v>0</v>
      </c>
      <c r="H679" s="527"/>
      <c r="I679" s="609">
        <f>IFERROR(VLOOKUP($B677,'PY1 TFR ADA'!$F:$AU,MATCH("b-2.1",'PY1 TFR ADA'!$F$5:$AU$5,0),FALSE),0)</f>
        <v>0</v>
      </c>
      <c r="J679" s="527"/>
      <c r="K679" s="609">
        <f>IFERROR(VLOOKUP($B677,'PY1 TFR ADA'!$F:$AU,MATCH("b-3.1",'PY1 TFR ADA'!$F$5:$AU$5,0),FALSE),0)</f>
        <v>0</v>
      </c>
      <c r="L679" s="527"/>
      <c r="M679" s="609">
        <f>IFERROR(VLOOKUP($B677,'PY1 TFR ADA'!$F:$AU,MATCH("b-4.1",'PY1 TFR ADA'!$F$5:$AU$5,0),FALSE),0)</f>
        <v>0</v>
      </c>
      <c r="N679" s="527"/>
      <c r="O679" s="609">
        <f>IFERROR(VLOOKUP($B677,'PY1 TFR ADA'!$F:$AU,MATCH("b-5.1",'PY1 TFR ADA'!$F$5:$AU$5,0),FALSE),0)</f>
        <v>0</v>
      </c>
      <c r="P679" s="527"/>
      <c r="Q679" s="609">
        <f>IFERROR(VLOOKUP($B677,'PY1 TFR ADA'!$F:$AU,MATCH("b-6.1",'PY1 TFR ADA'!$F$5:$AU$5,0),FALSE),0)</f>
        <v>0</v>
      </c>
      <c r="R679" s="551"/>
      <c r="S679" s="601">
        <f t="shared" ref="S679:S682" si="998">SUM(G679:Q679)</f>
        <v>0</v>
      </c>
      <c r="T679" s="551"/>
      <c r="U679" s="536">
        <f t="shared" ref="U679" si="999">ROUND(IF($G686="LCFF Rate",(G679*$C679),(G679*$E679))+IF($I686="LCFF Rate",(I679*$C679),(I679*$E679))+IF($K686="LCFF Rate",(K679*$C679),(K679*$E679))+IF($M686="LCFF Rate",(M679*$C679),(M679*$E679))+IF($O686="LCFF Rate",(O679*$C679),(O679*$E679))+IF($Q686="LCFF Rate",(Q679*$C679),(Q679*$E679)),0)</f>
        <v>0</v>
      </c>
      <c r="V679" s="524"/>
      <c r="X679" s="496"/>
    </row>
    <row r="680" spans="1:24" s="8" customFormat="1" ht="14.4">
      <c r="A680" s="521"/>
      <c r="B680" s="510" t="s">
        <v>2</v>
      </c>
      <c r="C680" s="525">
        <f>IFERROR(VLOOKUP($B677,'PY1 TFR ADA'!$F:$AU,MATCH("A-1.2",'PY1 TFR ADA'!$F$5:$AU$5,0),FALSE),0)</f>
        <v>0</v>
      </c>
      <c r="D680" s="167"/>
      <c r="E680" s="525">
        <f>IFERROR(VALUE(VLOOKUP($B677,'PY1 TFR ADA'!$F:$AU,MATCH("A-2.2",'PY1 TFR ADA'!$F$5:$AU$5,0),FALSE)),0)</f>
        <v>0</v>
      </c>
      <c r="F680" s="167"/>
      <c r="G680" s="609">
        <f>IFERROR(VLOOKUP($B677,'PY1 TFR ADA'!$F:$AU,MATCH("b-1.2",'PY1 TFR ADA'!$F$5:$AU$5,0),FALSE),0)</f>
        <v>0</v>
      </c>
      <c r="H680" s="527"/>
      <c r="I680" s="609">
        <f>IFERROR(VLOOKUP($B677,'PY1 TFR ADA'!$F:$AU,MATCH("b-2.2",'PY1 TFR ADA'!$F$5:$AU$5,0),FALSE),0)</f>
        <v>0</v>
      </c>
      <c r="J680" s="527"/>
      <c r="K680" s="609">
        <f>IFERROR(VLOOKUP($B677,'PY1 TFR ADA'!$F:$AU,MATCH("b-3.2",'PY1 TFR ADA'!$F$5:$AU$5,0),FALSE),0)</f>
        <v>0</v>
      </c>
      <c r="L680" s="527"/>
      <c r="M680" s="609">
        <f>IFERROR(VLOOKUP($B677,'PY1 TFR ADA'!$F:$AU,MATCH("b-4.2",'PY1 TFR ADA'!$F$5:$AU$5,0),FALSE),0)</f>
        <v>0</v>
      </c>
      <c r="N680" s="527"/>
      <c r="O680" s="609">
        <f>IFERROR(VLOOKUP($B677,'PY1 TFR ADA'!$F:$AU,MATCH("b-5.2",'PY1 TFR ADA'!$F$5:$AU$5,0),FALSE),0)</f>
        <v>0</v>
      </c>
      <c r="P680" s="527"/>
      <c r="Q680" s="609">
        <f>IFERROR(VLOOKUP($B677,'PY1 TFR ADA'!$F:$AU,MATCH("b-6.2",'PY1 TFR ADA'!$F$5:$AU$5,0),FALSE),0)</f>
        <v>0</v>
      </c>
      <c r="R680" s="551"/>
      <c r="S680" s="601">
        <f t="shared" si="998"/>
        <v>0</v>
      </c>
      <c r="T680" s="551"/>
      <c r="U680" s="536">
        <f t="shared" ref="U680" si="1000">ROUND(IF($G686="LCFF Rate",(G680*$C680),(G680*$E680))+IF($I686="LCFF Rate",(I680*$C680),(I680*$E680))+IF($K686="LCFF Rate",(K680*$C680),(K680*$E680))+IF($M686="LCFF Rate",(M680*$C680),(M680*$E680))+IF($O686="LCFF Rate",(O680*$C680),(O680*$E680))+IF($Q686="LCFF Rate",(Q680*$C680),(Q680*$E680)),0)</f>
        <v>0</v>
      </c>
      <c r="V680" s="524"/>
      <c r="X680" s="4"/>
    </row>
    <row r="681" spans="1:24" s="8" customFormat="1" ht="14.4">
      <c r="A681" s="521"/>
      <c r="B681" s="510" t="s">
        <v>3</v>
      </c>
      <c r="C681" s="525">
        <f>IFERROR(VLOOKUP($B677,'PY1 TFR ADA'!$F:$AU,MATCH("A-1.3",'PY1 TFR ADA'!$F$5:$AU$5,0),FALSE),0)</f>
        <v>0</v>
      </c>
      <c r="D681" s="167"/>
      <c r="E681" s="525">
        <f>IFERROR(VALUE(VLOOKUP($B677,'PY1 TFR ADA'!$F:$AU,MATCH("A-2.3",'PY1 TFR ADA'!$F$5:$AU$5,0),FALSE)),0)</f>
        <v>0</v>
      </c>
      <c r="F681" s="167"/>
      <c r="G681" s="609">
        <f>IFERROR(VLOOKUP($B677,'PY1 TFR ADA'!$F:$AU,MATCH("b-1.3",'PY1 TFR ADA'!$F$5:$AU$5,0),FALSE),0)</f>
        <v>0</v>
      </c>
      <c r="H681" s="527"/>
      <c r="I681" s="609">
        <f>IFERROR(VLOOKUP($B677,'PY1 TFR ADA'!$F:$AU,MATCH("b-2.3",'PY1 TFR ADA'!$F$5:$AU$5,0),FALSE),0)</f>
        <v>0</v>
      </c>
      <c r="J681" s="527"/>
      <c r="K681" s="609">
        <f>IFERROR(VLOOKUP($B677,'PY1 TFR ADA'!$F:$AU,MATCH("b-3.3",'PY1 TFR ADA'!$F$5:$AU$5,0),FALSE),0)</f>
        <v>0</v>
      </c>
      <c r="L681" s="527"/>
      <c r="M681" s="609">
        <f>IFERROR(VLOOKUP($B677,'PY1 TFR ADA'!$F:$AU,MATCH("b-4.3",'PY1 TFR ADA'!$F$5:$AU$5,0),FALSE),0)</f>
        <v>0</v>
      </c>
      <c r="N681" s="527"/>
      <c r="O681" s="609">
        <f>IFERROR(VLOOKUP($B677,'PY1 TFR ADA'!$F:$AU,MATCH("b-5.3",'PY1 TFR ADA'!$F$5:$AU$5,0),FALSE),0)</f>
        <v>0</v>
      </c>
      <c r="P681" s="527"/>
      <c r="Q681" s="609">
        <f>IFERROR(VLOOKUP($B677,'PY1 TFR ADA'!$F:$AU,MATCH("b-6.3",'PY1 TFR ADA'!$F$5:$AU$5,0),FALSE),0)</f>
        <v>0</v>
      </c>
      <c r="R681" s="551"/>
      <c r="S681" s="601">
        <f t="shared" si="998"/>
        <v>0</v>
      </c>
      <c r="T681" s="551"/>
      <c r="U681" s="536">
        <f t="shared" ref="U681" si="1001">ROUND(IF($G686="LCFF Rate",(G681*$C681),(G681*$E681))+IF($I686="LCFF Rate",(I681*$C681),(I681*$E681))+IF($K686="LCFF Rate",(K681*$C681),(K681*$E681))+IF($M686="LCFF Rate",(M681*$C681),(M681*$E681))+IF($O686="LCFF Rate",(O681*$C681),(O681*$E681))+IF($Q686="LCFF Rate",(Q681*$C681),(Q681*$E681)),0)</f>
        <v>0</v>
      </c>
      <c r="V681" s="524"/>
      <c r="X681" s="4"/>
    </row>
    <row r="682" spans="1:24" s="8" customFormat="1" ht="14.4">
      <c r="A682" s="526"/>
      <c r="B682" s="510" t="s">
        <v>4</v>
      </c>
      <c r="C682" s="525">
        <f>IFERROR(VLOOKUP($B677,'PY1 TFR ADA'!$F:$AU,MATCH("A-1.4",'PY1 TFR ADA'!$F$5:$AU$5,0),FALSE),0)</f>
        <v>0</v>
      </c>
      <c r="D682" s="523"/>
      <c r="E682" s="525">
        <f>IFERROR(VALUE(VLOOKUP($B677,'PY1 TFR ADA'!$F:$AU,MATCH("A-2.4",'PY1 TFR ADA'!$F$5:$AU$5,0),FALSE)),0)</f>
        <v>0</v>
      </c>
      <c r="F682" s="523"/>
      <c r="G682" s="609">
        <f>IFERROR(VLOOKUP($B677,'PY1 TFR ADA'!$F:$AU,MATCH("b-1.4",'PY1 TFR ADA'!$F$5:$AU$5,0),FALSE),0)</f>
        <v>0</v>
      </c>
      <c r="H682" s="527"/>
      <c r="I682" s="609">
        <f>IFERROR(VLOOKUP($B677,'PY1 TFR ADA'!$F:$AU,MATCH("b-2.4",'PY1 TFR ADA'!$F$5:$AU$5,0),FALSE),0)</f>
        <v>0</v>
      </c>
      <c r="J682" s="527"/>
      <c r="K682" s="609">
        <f>IFERROR(VLOOKUP($B677,'PY1 TFR ADA'!$F:$AU,MATCH("b-3.4",'PY1 TFR ADA'!$F$5:$AU$5,0),FALSE),0)</f>
        <v>0</v>
      </c>
      <c r="L682" s="527"/>
      <c r="M682" s="609">
        <f>IFERROR(VLOOKUP($B677,'PY1 TFR ADA'!$F:$AU,MATCH("b-4.4",'PY1 TFR ADA'!$F$5:$AU$5,0),FALSE),0)</f>
        <v>0</v>
      </c>
      <c r="N682" s="527"/>
      <c r="O682" s="609">
        <f>IFERROR(VLOOKUP($B677,'PY1 TFR ADA'!$F:$AU,MATCH("b-5.4",'PY1 TFR ADA'!$F$5:$AU$5,0),FALSE),0)</f>
        <v>0</v>
      </c>
      <c r="P682" s="527"/>
      <c r="Q682" s="609">
        <f>IFERROR(VLOOKUP($B677,'PY1 TFR ADA'!$F:$AU,MATCH("b-6.4",'PY1 TFR ADA'!$F$5:$AU$5,0),FALSE),0)</f>
        <v>0</v>
      </c>
      <c r="R682" s="551"/>
      <c r="S682" s="601">
        <f t="shared" si="998"/>
        <v>0</v>
      </c>
      <c r="T682" s="551"/>
      <c r="U682" s="536">
        <f t="shared" ref="U682" si="1002">ROUND(IF($G686="LCFF Rate",(G682*$C682),(G682*$E682))+IF($I686="LCFF Rate",(I682*$C682),(I682*$E682))+IF($K686="LCFF Rate",(K682*$C682),(K682*$E682))+IF($M686="LCFF Rate",(M682*$C682),(M682*$E682))+IF($O686="LCFF Rate",(O682*$C682),(O682*$E682))+IF($Q686="LCFF Rate",(Q682*$C682),(Q682*$E682)),0)</f>
        <v>0</v>
      </c>
      <c r="V682" s="522"/>
      <c r="X682" s="496"/>
    </row>
    <row r="683" spans="1:24" s="8" customFormat="1" ht="8.25" customHeight="1">
      <c r="A683" s="521"/>
      <c r="B683" s="167"/>
      <c r="C683" s="165"/>
      <c r="D683" s="523"/>
      <c r="E683" s="165"/>
      <c r="F683" s="523"/>
      <c r="G683" s="520"/>
      <c r="H683" s="523"/>
      <c r="I683" s="520"/>
      <c r="J683" s="523"/>
      <c r="K683" s="520"/>
      <c r="L683" s="523"/>
      <c r="M683" s="520"/>
      <c r="N683" s="523"/>
      <c r="O683" s="520"/>
      <c r="P683" s="523"/>
      <c r="Q683" s="520"/>
      <c r="R683" s="167"/>
      <c r="S683" s="520"/>
      <c r="T683" s="167"/>
      <c r="U683" s="602"/>
      <c r="V683" s="522"/>
      <c r="X683" s="4"/>
    </row>
    <row r="684" spans="1:24" s="8" customFormat="1" ht="14.4">
      <c r="A684" s="521"/>
      <c r="B684" s="167"/>
      <c r="C684" s="165"/>
      <c r="D684" s="523"/>
      <c r="E684" s="513" t="s">
        <v>1317</v>
      </c>
      <c r="F684" s="523"/>
      <c r="G684" s="601">
        <f t="shared" ref="G684" si="1003">SUM(G679:G682)</f>
        <v>0</v>
      </c>
      <c r="H684" s="527"/>
      <c r="I684" s="601">
        <f t="shared" ref="I684" si="1004">SUM(I679:I682)</f>
        <v>0</v>
      </c>
      <c r="J684" s="527"/>
      <c r="K684" s="601">
        <f t="shared" ref="K684" si="1005">SUM(K679:K682)</f>
        <v>0</v>
      </c>
      <c r="L684" s="527"/>
      <c r="M684" s="601">
        <f t="shared" ref="M684" si="1006">SUM(M679:M682)</f>
        <v>0</v>
      </c>
      <c r="N684" s="527"/>
      <c r="O684" s="601">
        <f t="shared" ref="O684" si="1007">SUM(O679:O682)</f>
        <v>0</v>
      </c>
      <c r="P684" s="527"/>
      <c r="Q684" s="601">
        <f t="shared" ref="Q684" si="1008">SUM(Q679:Q682)</f>
        <v>0</v>
      </c>
      <c r="R684" s="527"/>
      <c r="S684" s="601">
        <f t="shared" ref="S684" si="1009">SUM(S679:S682)</f>
        <v>0</v>
      </c>
      <c r="T684" s="527"/>
      <c r="U684" s="536">
        <f t="shared" ref="U684" si="1010">SUM(U679:U682)</f>
        <v>0</v>
      </c>
      <c r="V684" s="522"/>
      <c r="X684" s="4"/>
    </row>
    <row r="685" spans="1:24" s="8" customFormat="1" ht="8.25" customHeight="1">
      <c r="A685" s="521"/>
      <c r="B685" s="167"/>
      <c r="C685" s="165"/>
      <c r="D685" s="523"/>
      <c r="E685" s="165"/>
      <c r="F685" s="523"/>
      <c r="G685" s="520"/>
      <c r="H685" s="523"/>
      <c r="I685" s="520"/>
      <c r="J685" s="523"/>
      <c r="K685" s="520"/>
      <c r="L685" s="523"/>
      <c r="M685" s="520"/>
      <c r="N685" s="523"/>
      <c r="O685" s="520"/>
      <c r="P685" s="523"/>
      <c r="Q685" s="520"/>
      <c r="R685" s="167"/>
      <c r="S685" s="520"/>
      <c r="T685" s="167"/>
      <c r="U685" s="528"/>
      <c r="V685" s="522"/>
      <c r="X685" s="4"/>
    </row>
    <row r="686" spans="1:24" s="8" customFormat="1" ht="16.5" customHeight="1">
      <c r="A686" s="521"/>
      <c r="B686" s="167"/>
      <c r="C686" s="165"/>
      <c r="E686" s="513" t="s">
        <v>1304</v>
      </c>
      <c r="F686" s="523"/>
      <c r="G686" s="977">
        <f>_xlfn.IFNA(IF(VLOOKUP($B677,'PY1 TFR ADA'!$F:$AU,MATCH("B-1.5",'PY1 TFR ADA'!$F$5:$AU$5,0),FALSE)=TRUE,IF(VLOOKUP($B677,'PY1 TFR ADA'!$F:$AU,MATCH("C-1",'PY1 TFR ADA'!$F$5:$AU$5,0),FALSE)=TRUE,"Alternative Rate","LCFF Rate"),"LCFF Rate"),0)</f>
        <v>0</v>
      </c>
      <c r="H686" s="523"/>
      <c r="I686" s="977">
        <f>_xlfn.IFNA(IF(VLOOKUP($B677,'PY1 TFR ADA'!$F:$AU,MATCH("B-2.5",'PY1 TFR ADA'!$F$5:$AU$5,0),FALSE)=TRUE,IF(VLOOKUP($B677,'PY1 TFR ADA'!$F:$AU,MATCH("C-1",'PY1 TFR ADA'!$F$5:$AU$5,0),FALSE)=TRUE,"Alternative Rate","LCFF Rate"),"LCFF Rate"),0)</f>
        <v>0</v>
      </c>
      <c r="J686" s="523"/>
      <c r="K686" s="977">
        <f>_xlfn.IFNA(IF(VLOOKUP($B677,'PY1 TFR ADA'!$F:$AU,MATCH("B-3.5",'PY1 TFR ADA'!$F$5:$AU$5,0),FALSE)=TRUE,IF(VLOOKUP($B677,'PY1 TFR ADA'!$F:$AU,MATCH("C-1",'PY1 TFR ADA'!$F$5:$AU$5,0),FALSE)=TRUE,"Alternative Rate","LCFF Rate"),"LCFF Rate"),0)</f>
        <v>0</v>
      </c>
      <c r="L686" s="523"/>
      <c r="M686" s="977">
        <f>_xlfn.IFNA(IF(VLOOKUP($B677,'PY1 TFR ADA'!$F:$AU,MATCH("B-4.5",'PY1 TFR ADA'!$F$5:$AU$5,0),FALSE)=TRUE,IF(VLOOKUP($B677,'PY1 TFR ADA'!$F:$AU,MATCH("C-1",'PY1 TFR ADA'!$F$5:$AU$5,0),FALSE)=TRUE,"Alternative Rate","LCFF Rate"),"LCFF Rate"),0)</f>
        <v>0</v>
      </c>
      <c r="N686" s="523"/>
      <c r="O686" s="977">
        <f>_xlfn.IFNA(IF(VLOOKUP($B677,'PY1 TFR ADA'!$F:$AU,MATCH("B-5.5",'PY1 TFR ADA'!$F$5:$AU$5,0),FALSE)=TRUE,IF(VLOOKUP($B677,'PY1 TFR ADA'!$F:$AU,MATCH("C-1",'PY1 TFR ADA'!$F$5:$AU$5,0),FALSE)=TRUE,"Alternative Rate","LCFF Rate"),"LCFF Rate"),0)</f>
        <v>0</v>
      </c>
      <c r="P686" s="523"/>
      <c r="Q686" s="977">
        <f>_xlfn.IFNA(IF(VLOOKUP($B677,'PY1 TFR ADA'!$F:$AU,MATCH("B-6.5",'PY1 TFR ADA'!$F$5:$AU$5,0),FALSE)=TRUE,IF(VLOOKUP($B677,'PY1 TFR ADA'!$F:$AU,MATCH("C-1",'PY1 TFR ADA'!$F$5:$AU$5,0),FALSE)=TRUE,"Alternative Rate","LCFF Rate"),"LCFF Rate"),0)</f>
        <v>0</v>
      </c>
      <c r="R686" s="167"/>
      <c r="S686" s="520"/>
      <c r="T686" s="167"/>
      <c r="U686" s="528"/>
      <c r="V686" s="522"/>
      <c r="X686" s="283"/>
    </row>
    <row r="687" spans="1:24" s="8" customFormat="1" ht="8.25" customHeight="1">
      <c r="A687" s="521"/>
      <c r="B687" s="167"/>
      <c r="C687" s="165"/>
      <c r="D687" s="523"/>
      <c r="E687" s="165"/>
      <c r="F687" s="523"/>
      <c r="G687" s="520"/>
      <c r="H687" s="523"/>
      <c r="I687" s="520"/>
      <c r="J687" s="523"/>
      <c r="K687" s="520"/>
      <c r="L687" s="523"/>
      <c r="M687" s="520"/>
      <c r="N687" s="523"/>
      <c r="O687" s="520"/>
      <c r="P687" s="523"/>
      <c r="Q687" s="520"/>
      <c r="R687" s="167"/>
      <c r="S687" s="520"/>
      <c r="T687" s="167"/>
      <c r="U687" s="528"/>
      <c r="V687" s="522"/>
      <c r="X687" s="4"/>
    </row>
    <row r="688" spans="1:24" s="8" customFormat="1" ht="16.8">
      <c r="A688" s="521"/>
      <c r="B688" s="2"/>
      <c r="F688" s="523"/>
      <c r="G688" s="535">
        <f t="shared" ref="G688" si="1011">IF(G686="LCFF Rate",(G679*C679+G680*C680+G681*C681+G682*C682),(G684*E682))</f>
        <v>0</v>
      </c>
      <c r="H688" s="537"/>
      <c r="I688" s="535">
        <f t="shared" ref="I688" si="1012">IF(I686="LCFF Rate",(I679*C679+I680*C680+I681*C681+I682*C682),(I684*E682))</f>
        <v>0</v>
      </c>
      <c r="J688" s="537"/>
      <c r="K688" s="535">
        <f t="shared" ref="K688" si="1013">IF(K686="LCFF Rate",(K679*C679+K680*C680+K681*C681+K682*C682),(K684*E682))</f>
        <v>0</v>
      </c>
      <c r="L688" s="537"/>
      <c r="M688" s="535">
        <f t="shared" ref="M688" si="1014">IF(M686="LCFF Rate",(M679*C679+M680*C680+M681*C681+M682*C682),(M684*E682))</f>
        <v>0</v>
      </c>
      <c r="N688" s="537"/>
      <c r="O688" s="535">
        <f t="shared" ref="O688" si="1015">IF(O686="LCFF Rate",(O679*C679+O680*C680+O681*C681+O682*C682),(O684*E682))</f>
        <v>0</v>
      </c>
      <c r="P688" s="537"/>
      <c r="Q688" s="535">
        <f t="shared" ref="Q688" si="1016">IF(Q686="LCFF Rate",(Q679*C679+Q680*C680+Q681*C681+Q682*C682),(Q684*E682))</f>
        <v>0</v>
      </c>
      <c r="R688" s="167"/>
      <c r="S688" s="538">
        <f t="shared" ref="S688" si="1017">SUM(G688:Q688)</f>
        <v>0</v>
      </c>
      <c r="T688" s="167"/>
      <c r="U688" s="528"/>
      <c r="V688" s="522"/>
      <c r="X688" s="979"/>
    </row>
    <row r="689" spans="1:24" s="8" customFormat="1" ht="9" customHeight="1" thickBot="1">
      <c r="A689" s="529"/>
      <c r="B689" s="530"/>
      <c r="C689" s="531"/>
      <c r="D689" s="532"/>
      <c r="E689" s="533"/>
      <c r="F689" s="532"/>
      <c r="G689" s="530"/>
      <c r="H689" s="532"/>
      <c r="I689" s="530"/>
      <c r="J689" s="532"/>
      <c r="K689" s="530"/>
      <c r="L689" s="532"/>
      <c r="M689" s="530"/>
      <c r="N689" s="532"/>
      <c r="O689" s="530"/>
      <c r="P689" s="532"/>
      <c r="Q689" s="530"/>
      <c r="R689" s="532"/>
      <c r="S689" s="530"/>
      <c r="T689" s="532"/>
      <c r="U689" s="532"/>
      <c r="V689" s="534"/>
      <c r="X689" s="4"/>
    </row>
    <row r="690" spans="1:24" s="82" customFormat="1" ht="18" customHeight="1" thickBot="1">
      <c r="A690" s="890">
        <f>+A677+1</f>
        <v>53</v>
      </c>
      <c r="B690" s="891" t="str">
        <f>'Data Entry'!$B$3&amp;"-"&amp;C690</f>
        <v>-</v>
      </c>
      <c r="C690" s="891" t="str">
        <f>IFERROR(VLOOKUP('Data Entry'!$B$3&amp;"-"&amp;A690,'PY1 TFR ADA'!$D:$AT,2,FALSE),"")</f>
        <v/>
      </c>
      <c r="D690" s="892" t="str">
        <f>IFERROR(VLOOKUP('Data Entry'!$B$3&amp;"-"&amp;A690,'PY1 TFR ADA'!$D:$AT,4,FALSE),"")</f>
        <v/>
      </c>
      <c r="E690" s="893"/>
      <c r="F690" s="893"/>
      <c r="G690" s="893"/>
      <c r="H690" s="893"/>
      <c r="I690" s="893"/>
      <c r="J690" s="893"/>
      <c r="K690" s="893"/>
      <c r="L690" s="893"/>
      <c r="M690" s="893"/>
      <c r="N690" s="893"/>
      <c r="O690" s="893"/>
      <c r="P690" s="893"/>
      <c r="Q690" s="893"/>
      <c r="R690" s="893"/>
      <c r="S690" s="893"/>
      <c r="T690" s="893"/>
      <c r="U690" s="893"/>
      <c r="V690" s="894"/>
      <c r="X690" s="83"/>
    </row>
    <row r="691" spans="1:24" ht="75" customHeight="1">
      <c r="A691" s="521"/>
      <c r="C691" s="540" t="s">
        <v>1315</v>
      </c>
      <c r="D691" s="512"/>
      <c r="E691" s="540" t="s">
        <v>1316</v>
      </c>
      <c r="F691" s="512"/>
      <c r="G691" s="540" t="s">
        <v>1309</v>
      </c>
      <c r="H691" s="512"/>
      <c r="I691" s="540" t="s">
        <v>1310</v>
      </c>
      <c r="J691" s="512"/>
      <c r="K691" s="540" t="s">
        <v>1311</v>
      </c>
      <c r="L691" s="512"/>
      <c r="M691" s="540" t="s">
        <v>1312</v>
      </c>
      <c r="N691" s="512"/>
      <c r="O691" s="540" t="s">
        <v>1313</v>
      </c>
      <c r="P691" s="512"/>
      <c r="Q691" s="540" t="s">
        <v>1314</v>
      </c>
      <c r="R691" s="167"/>
      <c r="S691" s="540" t="s">
        <v>1308</v>
      </c>
      <c r="T691" s="167"/>
      <c r="U691" s="512" t="s">
        <v>1307</v>
      </c>
      <c r="V691" s="524"/>
      <c r="X691" s="283"/>
    </row>
    <row r="692" spans="1:24" s="8" customFormat="1" ht="14.4">
      <c r="A692" s="521"/>
      <c r="B692" s="510" t="s">
        <v>94</v>
      </c>
      <c r="C692" s="525">
        <f>IFERROR(VLOOKUP($B690,'PY1 TFR ADA'!$F:$AU,MATCH("A-1.1",'PY1 TFR ADA'!$F$5:$AU$5,0),FALSE),0)</f>
        <v>0</v>
      </c>
      <c r="D692" s="167"/>
      <c r="E692" s="525">
        <f>IFERROR(VALUE(VLOOKUP($B690,'PY1 TFR ADA'!$F:$AU,MATCH("A-2.1",'PY1 TFR ADA'!$F$5:$AU$5,0),FALSE)),0)</f>
        <v>0</v>
      </c>
      <c r="F692" s="167"/>
      <c r="G692" s="609">
        <f>IFERROR(VLOOKUP($B690,'PY1 TFR ADA'!$F:$AU,MATCH("b-1.1",'PY1 TFR ADA'!$F$5:$AU$5,0),FALSE),0)</f>
        <v>0</v>
      </c>
      <c r="H692" s="527"/>
      <c r="I692" s="609">
        <f>IFERROR(VLOOKUP($B690,'PY1 TFR ADA'!$F:$AU,MATCH("b-2.1",'PY1 TFR ADA'!$F$5:$AU$5,0),FALSE),0)</f>
        <v>0</v>
      </c>
      <c r="J692" s="527"/>
      <c r="K692" s="609">
        <f>IFERROR(VLOOKUP($B690,'PY1 TFR ADA'!$F:$AU,MATCH("b-3.1",'PY1 TFR ADA'!$F$5:$AU$5,0),FALSE),0)</f>
        <v>0</v>
      </c>
      <c r="L692" s="527"/>
      <c r="M692" s="609">
        <f>IFERROR(VLOOKUP($B690,'PY1 TFR ADA'!$F:$AU,MATCH("b-4.1",'PY1 TFR ADA'!$F$5:$AU$5,0),FALSE),0)</f>
        <v>0</v>
      </c>
      <c r="N692" s="527"/>
      <c r="O692" s="609">
        <f>IFERROR(VLOOKUP($B690,'PY1 TFR ADA'!$F:$AU,MATCH("b-5.1",'PY1 TFR ADA'!$F$5:$AU$5,0),FALSE),0)</f>
        <v>0</v>
      </c>
      <c r="P692" s="527"/>
      <c r="Q692" s="609">
        <f>IFERROR(VLOOKUP($B690,'PY1 TFR ADA'!$F:$AU,MATCH("b-6.1",'PY1 TFR ADA'!$F$5:$AU$5,0),FALSE),0)</f>
        <v>0</v>
      </c>
      <c r="R692" s="551"/>
      <c r="S692" s="601">
        <f t="shared" ref="S692:S695" si="1018">SUM(G692:Q692)</f>
        <v>0</v>
      </c>
      <c r="T692" s="551"/>
      <c r="U692" s="536">
        <f t="shared" ref="U692" si="1019">ROUND(IF($G699="LCFF Rate",(G692*$C692),(G692*$E692))+IF($I699="LCFF Rate",(I692*$C692),(I692*$E692))+IF($K699="LCFF Rate",(K692*$C692),(K692*$E692))+IF($M699="LCFF Rate",(M692*$C692),(M692*$E692))+IF($O699="LCFF Rate",(O692*$C692),(O692*$E692))+IF($Q699="LCFF Rate",(Q692*$C692),(Q692*$E692)),0)</f>
        <v>0</v>
      </c>
      <c r="V692" s="524"/>
      <c r="X692" s="496"/>
    </row>
    <row r="693" spans="1:24" s="8" customFormat="1" ht="14.4">
      <c r="A693" s="521"/>
      <c r="B693" s="510" t="s">
        <v>2</v>
      </c>
      <c r="C693" s="525">
        <f>IFERROR(VLOOKUP($B690,'PY1 TFR ADA'!$F:$AU,MATCH("A-1.2",'PY1 TFR ADA'!$F$5:$AU$5,0),FALSE),0)</f>
        <v>0</v>
      </c>
      <c r="D693" s="167"/>
      <c r="E693" s="525">
        <f>IFERROR(VALUE(VLOOKUP($B690,'PY1 TFR ADA'!$F:$AU,MATCH("A-2.2",'PY1 TFR ADA'!$F$5:$AU$5,0),FALSE)),0)</f>
        <v>0</v>
      </c>
      <c r="F693" s="167"/>
      <c r="G693" s="609">
        <f>IFERROR(VLOOKUP($B690,'PY1 TFR ADA'!$F:$AU,MATCH("b-1.2",'PY1 TFR ADA'!$F$5:$AU$5,0),FALSE),0)</f>
        <v>0</v>
      </c>
      <c r="H693" s="527"/>
      <c r="I693" s="609">
        <f>IFERROR(VLOOKUP($B690,'PY1 TFR ADA'!$F:$AU,MATCH("b-2.2",'PY1 TFR ADA'!$F$5:$AU$5,0),FALSE),0)</f>
        <v>0</v>
      </c>
      <c r="J693" s="527"/>
      <c r="K693" s="609">
        <f>IFERROR(VLOOKUP($B690,'PY1 TFR ADA'!$F:$AU,MATCH("b-3.2",'PY1 TFR ADA'!$F$5:$AU$5,0),FALSE),0)</f>
        <v>0</v>
      </c>
      <c r="L693" s="527"/>
      <c r="M693" s="609">
        <f>IFERROR(VLOOKUP($B690,'PY1 TFR ADA'!$F:$AU,MATCH("b-4.2",'PY1 TFR ADA'!$F$5:$AU$5,0),FALSE),0)</f>
        <v>0</v>
      </c>
      <c r="N693" s="527"/>
      <c r="O693" s="609">
        <f>IFERROR(VLOOKUP($B690,'PY1 TFR ADA'!$F:$AU,MATCH("b-5.2",'PY1 TFR ADA'!$F$5:$AU$5,0),FALSE),0)</f>
        <v>0</v>
      </c>
      <c r="P693" s="527"/>
      <c r="Q693" s="609">
        <f>IFERROR(VLOOKUP($B690,'PY1 TFR ADA'!$F:$AU,MATCH("b-6.2",'PY1 TFR ADA'!$F$5:$AU$5,0),FALSE),0)</f>
        <v>0</v>
      </c>
      <c r="R693" s="551"/>
      <c r="S693" s="601">
        <f t="shared" si="1018"/>
        <v>0</v>
      </c>
      <c r="T693" s="551"/>
      <c r="U693" s="536">
        <f t="shared" ref="U693" si="1020">ROUND(IF($G699="LCFF Rate",(G693*$C693),(G693*$E693))+IF($I699="LCFF Rate",(I693*$C693),(I693*$E693))+IF($K699="LCFF Rate",(K693*$C693),(K693*$E693))+IF($M699="LCFF Rate",(M693*$C693),(M693*$E693))+IF($O699="LCFF Rate",(O693*$C693),(O693*$E693))+IF($Q699="LCFF Rate",(Q693*$C693),(Q693*$E693)),0)</f>
        <v>0</v>
      </c>
      <c r="V693" s="524"/>
      <c r="X693" s="4"/>
    </row>
    <row r="694" spans="1:24" s="8" customFormat="1" ht="14.4">
      <c r="A694" s="521"/>
      <c r="B694" s="510" t="s">
        <v>3</v>
      </c>
      <c r="C694" s="525">
        <f>IFERROR(VLOOKUP($B690,'PY1 TFR ADA'!$F:$AU,MATCH("A-1.3",'PY1 TFR ADA'!$F$5:$AU$5,0),FALSE),0)</f>
        <v>0</v>
      </c>
      <c r="D694" s="167"/>
      <c r="E694" s="525">
        <f>IFERROR(VALUE(VLOOKUP($B690,'PY1 TFR ADA'!$F:$AU,MATCH("A-2.3",'PY1 TFR ADA'!$F$5:$AU$5,0),FALSE)),0)</f>
        <v>0</v>
      </c>
      <c r="F694" s="167"/>
      <c r="G694" s="609">
        <f>IFERROR(VLOOKUP($B690,'PY1 TFR ADA'!$F:$AU,MATCH("b-1.3",'PY1 TFR ADA'!$F$5:$AU$5,0),FALSE),0)</f>
        <v>0</v>
      </c>
      <c r="H694" s="527"/>
      <c r="I694" s="609">
        <f>IFERROR(VLOOKUP($B690,'PY1 TFR ADA'!$F:$AU,MATCH("b-2.3",'PY1 TFR ADA'!$F$5:$AU$5,0),FALSE),0)</f>
        <v>0</v>
      </c>
      <c r="J694" s="527"/>
      <c r="K694" s="609">
        <f>IFERROR(VLOOKUP($B690,'PY1 TFR ADA'!$F:$AU,MATCH("b-3.3",'PY1 TFR ADA'!$F$5:$AU$5,0),FALSE),0)</f>
        <v>0</v>
      </c>
      <c r="L694" s="527"/>
      <c r="M694" s="609">
        <f>IFERROR(VLOOKUP($B690,'PY1 TFR ADA'!$F:$AU,MATCH("b-4.3",'PY1 TFR ADA'!$F$5:$AU$5,0),FALSE),0)</f>
        <v>0</v>
      </c>
      <c r="N694" s="527"/>
      <c r="O694" s="609">
        <f>IFERROR(VLOOKUP($B690,'PY1 TFR ADA'!$F:$AU,MATCH("b-5.3",'PY1 TFR ADA'!$F$5:$AU$5,0),FALSE),0)</f>
        <v>0</v>
      </c>
      <c r="P694" s="527"/>
      <c r="Q694" s="609">
        <f>IFERROR(VLOOKUP($B690,'PY1 TFR ADA'!$F:$AU,MATCH("b-6.3",'PY1 TFR ADA'!$F$5:$AU$5,0),FALSE),0)</f>
        <v>0</v>
      </c>
      <c r="R694" s="551"/>
      <c r="S694" s="601">
        <f t="shared" si="1018"/>
        <v>0</v>
      </c>
      <c r="T694" s="551"/>
      <c r="U694" s="536">
        <f t="shared" ref="U694" si="1021">ROUND(IF($G699="LCFF Rate",(G694*$C694),(G694*$E694))+IF($I699="LCFF Rate",(I694*$C694),(I694*$E694))+IF($K699="LCFF Rate",(K694*$C694),(K694*$E694))+IF($M699="LCFF Rate",(M694*$C694),(M694*$E694))+IF($O699="LCFF Rate",(O694*$C694),(O694*$E694))+IF($Q699="LCFF Rate",(Q694*$C694),(Q694*$E694)),0)</f>
        <v>0</v>
      </c>
      <c r="V694" s="524"/>
      <c r="X694" s="4"/>
    </row>
    <row r="695" spans="1:24" s="8" customFormat="1" ht="14.4">
      <c r="A695" s="526"/>
      <c r="B695" s="510" t="s">
        <v>4</v>
      </c>
      <c r="C695" s="525">
        <f>IFERROR(VLOOKUP($B690,'PY1 TFR ADA'!$F:$AU,MATCH("A-1.4",'PY1 TFR ADA'!$F$5:$AU$5,0),FALSE),0)</f>
        <v>0</v>
      </c>
      <c r="D695" s="523"/>
      <c r="E695" s="525">
        <f>IFERROR(VALUE(VLOOKUP($B690,'PY1 TFR ADA'!$F:$AU,MATCH("A-2.4",'PY1 TFR ADA'!$F$5:$AU$5,0),FALSE)),0)</f>
        <v>0</v>
      </c>
      <c r="F695" s="523"/>
      <c r="G695" s="609">
        <f>IFERROR(VLOOKUP($B690,'PY1 TFR ADA'!$F:$AU,MATCH("b-1.4",'PY1 TFR ADA'!$F$5:$AU$5,0),FALSE),0)</f>
        <v>0</v>
      </c>
      <c r="H695" s="527"/>
      <c r="I695" s="609">
        <f>IFERROR(VLOOKUP($B690,'PY1 TFR ADA'!$F:$AU,MATCH("b-2.4",'PY1 TFR ADA'!$F$5:$AU$5,0),FALSE),0)</f>
        <v>0</v>
      </c>
      <c r="J695" s="527"/>
      <c r="K695" s="609">
        <f>IFERROR(VLOOKUP($B690,'PY1 TFR ADA'!$F:$AU,MATCH("b-3.4",'PY1 TFR ADA'!$F$5:$AU$5,0),FALSE),0)</f>
        <v>0</v>
      </c>
      <c r="L695" s="527"/>
      <c r="M695" s="609">
        <f>IFERROR(VLOOKUP($B690,'PY1 TFR ADA'!$F:$AU,MATCH("b-4.4",'PY1 TFR ADA'!$F$5:$AU$5,0),FALSE),0)</f>
        <v>0</v>
      </c>
      <c r="N695" s="527"/>
      <c r="O695" s="609">
        <f>IFERROR(VLOOKUP($B690,'PY1 TFR ADA'!$F:$AU,MATCH("b-5.4",'PY1 TFR ADA'!$F$5:$AU$5,0),FALSE),0)</f>
        <v>0</v>
      </c>
      <c r="P695" s="527"/>
      <c r="Q695" s="609">
        <f>IFERROR(VLOOKUP($B690,'PY1 TFR ADA'!$F:$AU,MATCH("b-6.4",'PY1 TFR ADA'!$F$5:$AU$5,0),FALSE),0)</f>
        <v>0</v>
      </c>
      <c r="R695" s="551"/>
      <c r="S695" s="601">
        <f t="shared" si="1018"/>
        <v>0</v>
      </c>
      <c r="T695" s="551"/>
      <c r="U695" s="536">
        <f t="shared" ref="U695" si="1022">ROUND(IF($G699="LCFF Rate",(G695*$C695),(G695*$E695))+IF($I699="LCFF Rate",(I695*$C695),(I695*$E695))+IF($K699="LCFF Rate",(K695*$C695),(K695*$E695))+IF($M699="LCFF Rate",(M695*$C695),(M695*$E695))+IF($O699="LCFF Rate",(O695*$C695),(O695*$E695))+IF($Q699="LCFF Rate",(Q695*$C695),(Q695*$E695)),0)</f>
        <v>0</v>
      </c>
      <c r="V695" s="522"/>
      <c r="X695" s="496"/>
    </row>
    <row r="696" spans="1:24" s="8" customFormat="1" ht="8.25" customHeight="1">
      <c r="A696" s="521"/>
      <c r="B696" s="167"/>
      <c r="C696" s="165"/>
      <c r="D696" s="523"/>
      <c r="E696" s="165"/>
      <c r="F696" s="523"/>
      <c r="G696" s="520"/>
      <c r="H696" s="523"/>
      <c r="I696" s="520"/>
      <c r="J696" s="523"/>
      <c r="K696" s="520"/>
      <c r="L696" s="523"/>
      <c r="M696" s="520"/>
      <c r="N696" s="523"/>
      <c r="O696" s="520"/>
      <c r="P696" s="523"/>
      <c r="Q696" s="520"/>
      <c r="R696" s="167"/>
      <c r="S696" s="520"/>
      <c r="T696" s="167"/>
      <c r="U696" s="602"/>
      <c r="V696" s="522"/>
      <c r="X696" s="4"/>
    </row>
    <row r="697" spans="1:24" s="8" customFormat="1" ht="14.4">
      <c r="A697" s="521"/>
      <c r="B697" s="167"/>
      <c r="C697" s="165"/>
      <c r="D697" s="523"/>
      <c r="E697" s="513" t="s">
        <v>1317</v>
      </c>
      <c r="F697" s="523"/>
      <c r="G697" s="601">
        <f t="shared" ref="G697" si="1023">SUM(G692:G695)</f>
        <v>0</v>
      </c>
      <c r="H697" s="527"/>
      <c r="I697" s="601">
        <f t="shared" ref="I697" si="1024">SUM(I692:I695)</f>
        <v>0</v>
      </c>
      <c r="J697" s="527"/>
      <c r="K697" s="601">
        <f t="shared" ref="K697" si="1025">SUM(K692:K695)</f>
        <v>0</v>
      </c>
      <c r="L697" s="527"/>
      <c r="M697" s="601">
        <f t="shared" ref="M697" si="1026">SUM(M692:M695)</f>
        <v>0</v>
      </c>
      <c r="N697" s="527"/>
      <c r="O697" s="601">
        <f t="shared" ref="O697" si="1027">SUM(O692:O695)</f>
        <v>0</v>
      </c>
      <c r="P697" s="527"/>
      <c r="Q697" s="601">
        <f t="shared" ref="Q697" si="1028">SUM(Q692:Q695)</f>
        <v>0</v>
      </c>
      <c r="R697" s="527"/>
      <c r="S697" s="601">
        <f t="shared" ref="S697" si="1029">SUM(S692:S695)</f>
        <v>0</v>
      </c>
      <c r="T697" s="527"/>
      <c r="U697" s="536">
        <f t="shared" ref="U697" si="1030">SUM(U692:U695)</f>
        <v>0</v>
      </c>
      <c r="V697" s="522"/>
      <c r="X697" s="4"/>
    </row>
    <row r="698" spans="1:24" s="8" customFormat="1" ht="8.25" customHeight="1">
      <c r="A698" s="521"/>
      <c r="B698" s="167"/>
      <c r="C698" s="165"/>
      <c r="D698" s="523"/>
      <c r="E698" s="165"/>
      <c r="F698" s="523"/>
      <c r="G698" s="520"/>
      <c r="H698" s="523"/>
      <c r="I698" s="520"/>
      <c r="J698" s="523"/>
      <c r="K698" s="520"/>
      <c r="L698" s="523"/>
      <c r="M698" s="520"/>
      <c r="N698" s="523"/>
      <c r="O698" s="520"/>
      <c r="P698" s="523"/>
      <c r="Q698" s="520"/>
      <c r="R698" s="167"/>
      <c r="S698" s="520"/>
      <c r="T698" s="167"/>
      <c r="U698" s="528"/>
      <c r="V698" s="522"/>
      <c r="X698" s="4"/>
    </row>
    <row r="699" spans="1:24" s="8" customFormat="1" ht="16.5" customHeight="1">
      <c r="A699" s="521"/>
      <c r="B699" s="167"/>
      <c r="C699" s="165"/>
      <c r="E699" s="513" t="s">
        <v>1304</v>
      </c>
      <c r="F699" s="523"/>
      <c r="G699" s="977">
        <f>_xlfn.IFNA(IF(VLOOKUP($B690,'PY1 TFR ADA'!$F:$AU,MATCH("B-1.5",'PY1 TFR ADA'!$F$5:$AU$5,0),FALSE)=TRUE,IF(VLOOKUP($B690,'PY1 TFR ADA'!$F:$AU,MATCH("C-1",'PY1 TFR ADA'!$F$5:$AU$5,0),FALSE)=TRUE,"Alternative Rate","LCFF Rate"),"LCFF Rate"),0)</f>
        <v>0</v>
      </c>
      <c r="H699" s="523"/>
      <c r="I699" s="977">
        <f>_xlfn.IFNA(IF(VLOOKUP($B690,'PY1 TFR ADA'!$F:$AU,MATCH("B-2.5",'PY1 TFR ADA'!$F$5:$AU$5,0),FALSE)=TRUE,IF(VLOOKUP($B690,'PY1 TFR ADA'!$F:$AU,MATCH("C-1",'PY1 TFR ADA'!$F$5:$AU$5,0),FALSE)=TRUE,"Alternative Rate","LCFF Rate"),"LCFF Rate"),0)</f>
        <v>0</v>
      </c>
      <c r="J699" s="523"/>
      <c r="K699" s="977">
        <f>_xlfn.IFNA(IF(VLOOKUP($B690,'PY1 TFR ADA'!$F:$AU,MATCH("B-3.5",'PY1 TFR ADA'!$F$5:$AU$5,0),FALSE)=TRUE,IF(VLOOKUP($B690,'PY1 TFR ADA'!$F:$AU,MATCH("C-1",'PY1 TFR ADA'!$F$5:$AU$5,0),FALSE)=TRUE,"Alternative Rate","LCFF Rate"),"LCFF Rate"),0)</f>
        <v>0</v>
      </c>
      <c r="L699" s="523"/>
      <c r="M699" s="977">
        <f>_xlfn.IFNA(IF(VLOOKUP($B690,'PY1 TFR ADA'!$F:$AU,MATCH("B-4.5",'PY1 TFR ADA'!$F$5:$AU$5,0),FALSE)=TRUE,IF(VLOOKUP($B690,'PY1 TFR ADA'!$F:$AU,MATCH("C-1",'PY1 TFR ADA'!$F$5:$AU$5,0),FALSE)=TRUE,"Alternative Rate","LCFF Rate"),"LCFF Rate"),0)</f>
        <v>0</v>
      </c>
      <c r="N699" s="523"/>
      <c r="O699" s="977">
        <f>_xlfn.IFNA(IF(VLOOKUP($B690,'PY1 TFR ADA'!$F:$AU,MATCH("B-5.5",'PY1 TFR ADA'!$F$5:$AU$5,0),FALSE)=TRUE,IF(VLOOKUP($B690,'PY1 TFR ADA'!$F:$AU,MATCH("C-1",'PY1 TFR ADA'!$F$5:$AU$5,0),FALSE)=TRUE,"Alternative Rate","LCFF Rate"),"LCFF Rate"),0)</f>
        <v>0</v>
      </c>
      <c r="P699" s="523"/>
      <c r="Q699" s="977">
        <f>_xlfn.IFNA(IF(VLOOKUP($B690,'PY1 TFR ADA'!$F:$AU,MATCH("B-6.5",'PY1 TFR ADA'!$F$5:$AU$5,0),FALSE)=TRUE,IF(VLOOKUP($B690,'PY1 TFR ADA'!$F:$AU,MATCH("C-1",'PY1 TFR ADA'!$F$5:$AU$5,0),FALSE)=TRUE,"Alternative Rate","LCFF Rate"),"LCFF Rate"),0)</f>
        <v>0</v>
      </c>
      <c r="R699" s="167"/>
      <c r="S699" s="520"/>
      <c r="T699" s="167"/>
      <c r="U699" s="528"/>
      <c r="V699" s="522"/>
      <c r="X699" s="283"/>
    </row>
    <row r="700" spans="1:24" s="8" customFormat="1" ht="8.25" customHeight="1">
      <c r="A700" s="521"/>
      <c r="B700" s="167"/>
      <c r="C700" s="165"/>
      <c r="D700" s="523"/>
      <c r="E700" s="165"/>
      <c r="F700" s="523"/>
      <c r="G700" s="520"/>
      <c r="H700" s="523"/>
      <c r="I700" s="520"/>
      <c r="J700" s="523"/>
      <c r="K700" s="520"/>
      <c r="L700" s="523"/>
      <c r="M700" s="520"/>
      <c r="N700" s="523"/>
      <c r="O700" s="520"/>
      <c r="P700" s="523"/>
      <c r="Q700" s="520"/>
      <c r="R700" s="167"/>
      <c r="S700" s="520"/>
      <c r="T700" s="167"/>
      <c r="U700" s="528"/>
      <c r="V700" s="522"/>
      <c r="X700" s="4"/>
    </row>
    <row r="701" spans="1:24" s="8" customFormat="1" ht="16.8">
      <c r="A701" s="521"/>
      <c r="B701" s="2"/>
      <c r="F701" s="523"/>
      <c r="G701" s="535">
        <f t="shared" ref="G701" si="1031">IF(G699="LCFF Rate",(G692*C692+G693*C693+G694*C694+G695*C695),(G697*E695))</f>
        <v>0</v>
      </c>
      <c r="H701" s="537"/>
      <c r="I701" s="535">
        <f t="shared" ref="I701" si="1032">IF(I699="LCFF Rate",(I692*C692+I693*C693+I694*C694+I695*C695),(I697*E695))</f>
        <v>0</v>
      </c>
      <c r="J701" s="537"/>
      <c r="K701" s="535">
        <f t="shared" ref="K701" si="1033">IF(K699="LCFF Rate",(K692*C692+K693*C693+K694*C694+K695*C695),(K697*E695))</f>
        <v>0</v>
      </c>
      <c r="L701" s="537"/>
      <c r="M701" s="535">
        <f t="shared" ref="M701" si="1034">IF(M699="LCFF Rate",(M692*C692+M693*C693+M694*C694+M695*C695),(M697*E695))</f>
        <v>0</v>
      </c>
      <c r="N701" s="537"/>
      <c r="O701" s="535">
        <f t="shared" ref="O701" si="1035">IF(O699="LCFF Rate",(O692*C692+O693*C693+O694*C694+O695*C695),(O697*E695))</f>
        <v>0</v>
      </c>
      <c r="P701" s="537"/>
      <c r="Q701" s="535">
        <f t="shared" ref="Q701" si="1036">IF(Q699="LCFF Rate",(Q692*C692+Q693*C693+Q694*C694+Q695*C695),(Q697*E695))</f>
        <v>0</v>
      </c>
      <c r="R701" s="167"/>
      <c r="S701" s="538">
        <f t="shared" ref="S701" si="1037">SUM(G701:Q701)</f>
        <v>0</v>
      </c>
      <c r="T701" s="167"/>
      <c r="U701" s="528"/>
      <c r="V701" s="522"/>
      <c r="X701" s="979"/>
    </row>
    <row r="702" spans="1:24" s="8" customFormat="1" ht="9" customHeight="1" thickBot="1">
      <c r="A702" s="529"/>
      <c r="B702" s="530"/>
      <c r="C702" s="531"/>
      <c r="D702" s="532"/>
      <c r="E702" s="533"/>
      <c r="F702" s="532"/>
      <c r="G702" s="530"/>
      <c r="H702" s="532"/>
      <c r="I702" s="530"/>
      <c r="J702" s="532"/>
      <c r="K702" s="530"/>
      <c r="L702" s="532"/>
      <c r="M702" s="530"/>
      <c r="N702" s="532"/>
      <c r="O702" s="530"/>
      <c r="P702" s="532"/>
      <c r="Q702" s="530"/>
      <c r="R702" s="532"/>
      <c r="S702" s="530"/>
      <c r="T702" s="532"/>
      <c r="U702" s="532"/>
      <c r="V702" s="534"/>
      <c r="X702" s="4"/>
    </row>
    <row r="703" spans="1:24" s="82" customFormat="1" ht="18" customHeight="1" thickBot="1">
      <c r="A703" s="890">
        <f>+A690+1</f>
        <v>54</v>
      </c>
      <c r="B703" s="891" t="str">
        <f>'Data Entry'!$B$3&amp;"-"&amp;C703</f>
        <v>-</v>
      </c>
      <c r="C703" s="891" t="str">
        <f>IFERROR(VLOOKUP('Data Entry'!$B$3&amp;"-"&amp;A703,'PY1 TFR ADA'!$D:$AT,2,FALSE),"")</f>
        <v/>
      </c>
      <c r="D703" s="892" t="str">
        <f>IFERROR(VLOOKUP('Data Entry'!$B$3&amp;"-"&amp;A703,'PY1 TFR ADA'!$D:$AT,4,FALSE),"")</f>
        <v/>
      </c>
      <c r="E703" s="893"/>
      <c r="F703" s="893"/>
      <c r="G703" s="893"/>
      <c r="H703" s="893"/>
      <c r="I703" s="893"/>
      <c r="J703" s="893"/>
      <c r="K703" s="893"/>
      <c r="L703" s="893"/>
      <c r="M703" s="893"/>
      <c r="N703" s="893"/>
      <c r="O703" s="893"/>
      <c r="P703" s="893"/>
      <c r="Q703" s="893"/>
      <c r="R703" s="893"/>
      <c r="S703" s="893"/>
      <c r="T703" s="893"/>
      <c r="U703" s="893"/>
      <c r="V703" s="894"/>
      <c r="X703" s="83"/>
    </row>
    <row r="704" spans="1:24" ht="75" customHeight="1">
      <c r="A704" s="521"/>
      <c r="C704" s="540" t="s">
        <v>1315</v>
      </c>
      <c r="D704" s="512"/>
      <c r="E704" s="540" t="s">
        <v>1316</v>
      </c>
      <c r="F704" s="512"/>
      <c r="G704" s="540" t="s">
        <v>1309</v>
      </c>
      <c r="H704" s="512"/>
      <c r="I704" s="540" t="s">
        <v>1310</v>
      </c>
      <c r="J704" s="512"/>
      <c r="K704" s="540" t="s">
        <v>1311</v>
      </c>
      <c r="L704" s="512"/>
      <c r="M704" s="540" t="s">
        <v>1312</v>
      </c>
      <c r="N704" s="512"/>
      <c r="O704" s="540" t="s">
        <v>1313</v>
      </c>
      <c r="P704" s="512"/>
      <c r="Q704" s="540" t="s">
        <v>1314</v>
      </c>
      <c r="R704" s="167"/>
      <c r="S704" s="540" t="s">
        <v>1308</v>
      </c>
      <c r="T704" s="167"/>
      <c r="U704" s="512" t="s">
        <v>1307</v>
      </c>
      <c r="V704" s="524"/>
      <c r="X704" s="283"/>
    </row>
    <row r="705" spans="1:24" s="8" customFormat="1" ht="14.4">
      <c r="A705" s="521"/>
      <c r="B705" s="510" t="s">
        <v>94</v>
      </c>
      <c r="C705" s="525">
        <f>IFERROR(VLOOKUP($B703,'PY1 TFR ADA'!$F:$AU,MATCH("A-1.1",'PY1 TFR ADA'!$F$5:$AU$5,0),FALSE),0)</f>
        <v>0</v>
      </c>
      <c r="D705" s="167"/>
      <c r="E705" s="525">
        <f>IFERROR(VALUE(VLOOKUP($B703,'PY1 TFR ADA'!$F:$AU,MATCH("A-2.1",'PY1 TFR ADA'!$F$5:$AU$5,0),FALSE)),0)</f>
        <v>0</v>
      </c>
      <c r="F705" s="167"/>
      <c r="G705" s="609">
        <f>IFERROR(VLOOKUP($B703,'PY1 TFR ADA'!$F:$AU,MATCH("b-1.1",'PY1 TFR ADA'!$F$5:$AU$5,0),FALSE),0)</f>
        <v>0</v>
      </c>
      <c r="H705" s="527"/>
      <c r="I705" s="609">
        <f>IFERROR(VLOOKUP($B703,'PY1 TFR ADA'!$F:$AU,MATCH("b-2.1",'PY1 TFR ADA'!$F$5:$AU$5,0),FALSE),0)</f>
        <v>0</v>
      </c>
      <c r="J705" s="527"/>
      <c r="K705" s="609">
        <f>IFERROR(VLOOKUP($B703,'PY1 TFR ADA'!$F:$AU,MATCH("b-3.1",'PY1 TFR ADA'!$F$5:$AU$5,0),FALSE),0)</f>
        <v>0</v>
      </c>
      <c r="L705" s="527"/>
      <c r="M705" s="609">
        <f>IFERROR(VLOOKUP($B703,'PY1 TFR ADA'!$F:$AU,MATCH("b-4.1",'PY1 TFR ADA'!$F$5:$AU$5,0),FALSE),0)</f>
        <v>0</v>
      </c>
      <c r="N705" s="527"/>
      <c r="O705" s="609">
        <f>IFERROR(VLOOKUP($B703,'PY1 TFR ADA'!$F:$AU,MATCH("b-5.1",'PY1 TFR ADA'!$F$5:$AU$5,0),FALSE),0)</f>
        <v>0</v>
      </c>
      <c r="P705" s="527"/>
      <c r="Q705" s="609">
        <f>IFERROR(VLOOKUP($B703,'PY1 TFR ADA'!$F:$AU,MATCH("b-6.1",'PY1 TFR ADA'!$F$5:$AU$5,0),FALSE),0)</f>
        <v>0</v>
      </c>
      <c r="R705" s="551"/>
      <c r="S705" s="601">
        <f t="shared" ref="S705:S708" si="1038">SUM(G705:Q705)</f>
        <v>0</v>
      </c>
      <c r="T705" s="551"/>
      <c r="U705" s="536">
        <f t="shared" ref="U705" si="1039">ROUND(IF($G712="LCFF Rate",(G705*$C705),(G705*$E705))+IF($I712="LCFF Rate",(I705*$C705),(I705*$E705))+IF($K712="LCFF Rate",(K705*$C705),(K705*$E705))+IF($M712="LCFF Rate",(M705*$C705),(M705*$E705))+IF($O712="LCFF Rate",(O705*$C705),(O705*$E705))+IF($Q712="LCFF Rate",(Q705*$C705),(Q705*$E705)),0)</f>
        <v>0</v>
      </c>
      <c r="V705" s="524"/>
      <c r="X705" s="496"/>
    </row>
    <row r="706" spans="1:24" s="8" customFormat="1" ht="14.4">
      <c r="A706" s="521"/>
      <c r="B706" s="510" t="s">
        <v>2</v>
      </c>
      <c r="C706" s="525">
        <f>IFERROR(VLOOKUP($B703,'PY1 TFR ADA'!$F:$AU,MATCH("A-1.2",'PY1 TFR ADA'!$F$5:$AU$5,0),FALSE),0)</f>
        <v>0</v>
      </c>
      <c r="D706" s="167"/>
      <c r="E706" s="525">
        <f>IFERROR(VALUE(VLOOKUP($B703,'PY1 TFR ADA'!$F:$AU,MATCH("A-2.2",'PY1 TFR ADA'!$F$5:$AU$5,0),FALSE)),0)</f>
        <v>0</v>
      </c>
      <c r="F706" s="167"/>
      <c r="G706" s="609">
        <f>IFERROR(VLOOKUP($B703,'PY1 TFR ADA'!$F:$AU,MATCH("b-1.2",'PY1 TFR ADA'!$F$5:$AU$5,0),FALSE),0)</f>
        <v>0</v>
      </c>
      <c r="H706" s="527"/>
      <c r="I706" s="609">
        <f>IFERROR(VLOOKUP($B703,'PY1 TFR ADA'!$F:$AU,MATCH("b-2.2",'PY1 TFR ADA'!$F$5:$AU$5,0),FALSE),0)</f>
        <v>0</v>
      </c>
      <c r="J706" s="527"/>
      <c r="K706" s="609">
        <f>IFERROR(VLOOKUP($B703,'PY1 TFR ADA'!$F:$AU,MATCH("b-3.2",'PY1 TFR ADA'!$F$5:$AU$5,0),FALSE),0)</f>
        <v>0</v>
      </c>
      <c r="L706" s="527"/>
      <c r="M706" s="609">
        <f>IFERROR(VLOOKUP($B703,'PY1 TFR ADA'!$F:$AU,MATCH("b-4.2",'PY1 TFR ADA'!$F$5:$AU$5,0),FALSE),0)</f>
        <v>0</v>
      </c>
      <c r="N706" s="527"/>
      <c r="O706" s="609">
        <f>IFERROR(VLOOKUP($B703,'PY1 TFR ADA'!$F:$AU,MATCH("b-5.2",'PY1 TFR ADA'!$F$5:$AU$5,0),FALSE),0)</f>
        <v>0</v>
      </c>
      <c r="P706" s="527"/>
      <c r="Q706" s="609">
        <f>IFERROR(VLOOKUP($B703,'PY1 TFR ADA'!$F:$AU,MATCH("b-6.2",'PY1 TFR ADA'!$F$5:$AU$5,0),FALSE),0)</f>
        <v>0</v>
      </c>
      <c r="R706" s="551"/>
      <c r="S706" s="601">
        <f t="shared" si="1038"/>
        <v>0</v>
      </c>
      <c r="T706" s="551"/>
      <c r="U706" s="536">
        <f t="shared" ref="U706" si="1040">ROUND(IF($G712="LCFF Rate",(G706*$C706),(G706*$E706))+IF($I712="LCFF Rate",(I706*$C706),(I706*$E706))+IF($K712="LCFF Rate",(K706*$C706),(K706*$E706))+IF($M712="LCFF Rate",(M706*$C706),(M706*$E706))+IF($O712="LCFF Rate",(O706*$C706),(O706*$E706))+IF($Q712="LCFF Rate",(Q706*$C706),(Q706*$E706)),0)</f>
        <v>0</v>
      </c>
      <c r="V706" s="524"/>
      <c r="X706" s="4"/>
    </row>
    <row r="707" spans="1:24" s="8" customFormat="1" ht="14.4">
      <c r="A707" s="521"/>
      <c r="B707" s="510" t="s">
        <v>3</v>
      </c>
      <c r="C707" s="525">
        <f>IFERROR(VLOOKUP($B703,'PY1 TFR ADA'!$F:$AU,MATCH("A-1.3",'PY1 TFR ADA'!$F$5:$AU$5,0),FALSE),0)</f>
        <v>0</v>
      </c>
      <c r="D707" s="167"/>
      <c r="E707" s="525">
        <f>IFERROR(VALUE(VLOOKUP($B703,'PY1 TFR ADA'!$F:$AU,MATCH("A-2.3",'PY1 TFR ADA'!$F$5:$AU$5,0),FALSE)),0)</f>
        <v>0</v>
      </c>
      <c r="F707" s="167"/>
      <c r="G707" s="609">
        <f>IFERROR(VLOOKUP($B703,'PY1 TFR ADA'!$F:$AU,MATCH("b-1.3",'PY1 TFR ADA'!$F$5:$AU$5,0),FALSE),0)</f>
        <v>0</v>
      </c>
      <c r="H707" s="527"/>
      <c r="I707" s="609">
        <f>IFERROR(VLOOKUP($B703,'PY1 TFR ADA'!$F:$AU,MATCH("b-2.3",'PY1 TFR ADA'!$F$5:$AU$5,0),FALSE),0)</f>
        <v>0</v>
      </c>
      <c r="J707" s="527"/>
      <c r="K707" s="609">
        <f>IFERROR(VLOOKUP($B703,'PY1 TFR ADA'!$F:$AU,MATCH("b-3.3",'PY1 TFR ADA'!$F$5:$AU$5,0),FALSE),0)</f>
        <v>0</v>
      </c>
      <c r="L707" s="527"/>
      <c r="M707" s="609">
        <f>IFERROR(VLOOKUP($B703,'PY1 TFR ADA'!$F:$AU,MATCH("b-4.3",'PY1 TFR ADA'!$F$5:$AU$5,0),FALSE),0)</f>
        <v>0</v>
      </c>
      <c r="N707" s="527"/>
      <c r="O707" s="609">
        <f>IFERROR(VLOOKUP($B703,'PY1 TFR ADA'!$F:$AU,MATCH("b-5.3",'PY1 TFR ADA'!$F$5:$AU$5,0),FALSE),0)</f>
        <v>0</v>
      </c>
      <c r="P707" s="527"/>
      <c r="Q707" s="609">
        <f>IFERROR(VLOOKUP($B703,'PY1 TFR ADA'!$F:$AU,MATCH("b-6.3",'PY1 TFR ADA'!$F$5:$AU$5,0),FALSE),0)</f>
        <v>0</v>
      </c>
      <c r="R707" s="551"/>
      <c r="S707" s="601">
        <f t="shared" si="1038"/>
        <v>0</v>
      </c>
      <c r="T707" s="551"/>
      <c r="U707" s="536">
        <f t="shared" ref="U707" si="1041">ROUND(IF($G712="LCFF Rate",(G707*$C707),(G707*$E707))+IF($I712="LCFF Rate",(I707*$C707),(I707*$E707))+IF($K712="LCFF Rate",(K707*$C707),(K707*$E707))+IF($M712="LCFF Rate",(M707*$C707),(M707*$E707))+IF($O712="LCFF Rate",(O707*$C707),(O707*$E707))+IF($Q712="LCFF Rate",(Q707*$C707),(Q707*$E707)),0)</f>
        <v>0</v>
      </c>
      <c r="V707" s="524"/>
      <c r="X707" s="4"/>
    </row>
    <row r="708" spans="1:24" s="8" customFormat="1" ht="14.4">
      <c r="A708" s="526"/>
      <c r="B708" s="510" t="s">
        <v>4</v>
      </c>
      <c r="C708" s="525">
        <f>IFERROR(VLOOKUP($B703,'PY1 TFR ADA'!$F:$AU,MATCH("A-1.4",'PY1 TFR ADA'!$F$5:$AU$5,0),FALSE),0)</f>
        <v>0</v>
      </c>
      <c r="D708" s="523"/>
      <c r="E708" s="525">
        <f>IFERROR(VALUE(VLOOKUP($B703,'PY1 TFR ADA'!$F:$AU,MATCH("A-2.4",'PY1 TFR ADA'!$F$5:$AU$5,0),FALSE)),0)</f>
        <v>0</v>
      </c>
      <c r="F708" s="523"/>
      <c r="G708" s="609">
        <f>IFERROR(VLOOKUP($B703,'PY1 TFR ADA'!$F:$AU,MATCH("b-1.4",'PY1 TFR ADA'!$F$5:$AU$5,0),FALSE),0)</f>
        <v>0</v>
      </c>
      <c r="H708" s="527"/>
      <c r="I708" s="609">
        <f>IFERROR(VLOOKUP($B703,'PY1 TFR ADA'!$F:$AU,MATCH("b-2.4",'PY1 TFR ADA'!$F$5:$AU$5,0),FALSE),0)</f>
        <v>0</v>
      </c>
      <c r="J708" s="527"/>
      <c r="K708" s="609">
        <f>IFERROR(VLOOKUP($B703,'PY1 TFR ADA'!$F:$AU,MATCH("b-3.4",'PY1 TFR ADA'!$F$5:$AU$5,0),FALSE),0)</f>
        <v>0</v>
      </c>
      <c r="L708" s="527"/>
      <c r="M708" s="609">
        <f>IFERROR(VLOOKUP($B703,'PY1 TFR ADA'!$F:$AU,MATCH("b-4.4",'PY1 TFR ADA'!$F$5:$AU$5,0),FALSE),0)</f>
        <v>0</v>
      </c>
      <c r="N708" s="527"/>
      <c r="O708" s="609">
        <f>IFERROR(VLOOKUP($B703,'PY1 TFR ADA'!$F:$AU,MATCH("b-5.4",'PY1 TFR ADA'!$F$5:$AU$5,0),FALSE),0)</f>
        <v>0</v>
      </c>
      <c r="P708" s="527"/>
      <c r="Q708" s="609">
        <f>IFERROR(VLOOKUP($B703,'PY1 TFR ADA'!$F:$AU,MATCH("b-6.4",'PY1 TFR ADA'!$F$5:$AU$5,0),FALSE),0)</f>
        <v>0</v>
      </c>
      <c r="R708" s="551"/>
      <c r="S708" s="601">
        <f t="shared" si="1038"/>
        <v>0</v>
      </c>
      <c r="T708" s="551"/>
      <c r="U708" s="536">
        <f t="shared" ref="U708" si="1042">ROUND(IF($G712="LCFF Rate",(G708*$C708),(G708*$E708))+IF($I712="LCFF Rate",(I708*$C708),(I708*$E708))+IF($K712="LCFF Rate",(K708*$C708),(K708*$E708))+IF($M712="LCFF Rate",(M708*$C708),(M708*$E708))+IF($O712="LCFF Rate",(O708*$C708),(O708*$E708))+IF($Q712="LCFF Rate",(Q708*$C708),(Q708*$E708)),0)</f>
        <v>0</v>
      </c>
      <c r="V708" s="522"/>
      <c r="X708" s="496"/>
    </row>
    <row r="709" spans="1:24" s="8" customFormat="1" ht="8.25" customHeight="1">
      <c r="A709" s="521"/>
      <c r="B709" s="167"/>
      <c r="C709" s="165"/>
      <c r="D709" s="523"/>
      <c r="E709" s="165"/>
      <c r="F709" s="523"/>
      <c r="G709" s="520"/>
      <c r="H709" s="523"/>
      <c r="I709" s="520"/>
      <c r="J709" s="523"/>
      <c r="K709" s="520"/>
      <c r="L709" s="523"/>
      <c r="M709" s="520"/>
      <c r="N709" s="523"/>
      <c r="O709" s="520"/>
      <c r="P709" s="523"/>
      <c r="Q709" s="520"/>
      <c r="R709" s="167"/>
      <c r="S709" s="520"/>
      <c r="T709" s="167"/>
      <c r="U709" s="602"/>
      <c r="V709" s="522"/>
      <c r="X709" s="4"/>
    </row>
    <row r="710" spans="1:24" s="8" customFormat="1" ht="14.4">
      <c r="A710" s="521"/>
      <c r="B710" s="167"/>
      <c r="C710" s="165"/>
      <c r="D710" s="523"/>
      <c r="E710" s="513" t="s">
        <v>1317</v>
      </c>
      <c r="F710" s="523"/>
      <c r="G710" s="601">
        <f t="shared" ref="G710" si="1043">SUM(G705:G708)</f>
        <v>0</v>
      </c>
      <c r="H710" s="527"/>
      <c r="I710" s="601">
        <f t="shared" ref="I710" si="1044">SUM(I705:I708)</f>
        <v>0</v>
      </c>
      <c r="J710" s="527"/>
      <c r="K710" s="601">
        <f t="shared" ref="K710" si="1045">SUM(K705:K708)</f>
        <v>0</v>
      </c>
      <c r="L710" s="527"/>
      <c r="M710" s="601">
        <f t="shared" ref="M710" si="1046">SUM(M705:M708)</f>
        <v>0</v>
      </c>
      <c r="N710" s="527"/>
      <c r="O710" s="601">
        <f t="shared" ref="O710" si="1047">SUM(O705:O708)</f>
        <v>0</v>
      </c>
      <c r="P710" s="527"/>
      <c r="Q710" s="601">
        <f t="shared" ref="Q710" si="1048">SUM(Q705:Q708)</f>
        <v>0</v>
      </c>
      <c r="R710" s="527"/>
      <c r="S710" s="601">
        <f t="shared" ref="S710" si="1049">SUM(S705:S708)</f>
        <v>0</v>
      </c>
      <c r="T710" s="527"/>
      <c r="U710" s="536">
        <f t="shared" ref="U710" si="1050">SUM(U705:U708)</f>
        <v>0</v>
      </c>
      <c r="V710" s="522"/>
      <c r="X710" s="4"/>
    </row>
    <row r="711" spans="1:24" s="8" customFormat="1" ht="8.25" customHeight="1">
      <c r="A711" s="521"/>
      <c r="B711" s="167"/>
      <c r="C711" s="165"/>
      <c r="D711" s="523"/>
      <c r="E711" s="165"/>
      <c r="F711" s="523"/>
      <c r="G711" s="520"/>
      <c r="H711" s="523"/>
      <c r="I711" s="520"/>
      <c r="J711" s="523"/>
      <c r="K711" s="520"/>
      <c r="L711" s="523"/>
      <c r="M711" s="520"/>
      <c r="N711" s="523"/>
      <c r="O711" s="520"/>
      <c r="P711" s="523"/>
      <c r="Q711" s="520"/>
      <c r="R711" s="167"/>
      <c r="S711" s="520"/>
      <c r="T711" s="167"/>
      <c r="U711" s="528"/>
      <c r="V711" s="522"/>
      <c r="X711" s="4"/>
    </row>
    <row r="712" spans="1:24" s="8" customFormat="1" ht="16.5" customHeight="1">
      <c r="A712" s="521"/>
      <c r="B712" s="167"/>
      <c r="C712" s="165"/>
      <c r="E712" s="513" t="s">
        <v>1304</v>
      </c>
      <c r="F712" s="523"/>
      <c r="G712" s="977">
        <f>_xlfn.IFNA(IF(VLOOKUP($B703,'PY1 TFR ADA'!$F:$AU,MATCH("B-1.5",'PY1 TFR ADA'!$F$5:$AU$5,0),FALSE)=TRUE,IF(VLOOKUP($B703,'PY1 TFR ADA'!$F:$AU,MATCH("C-1",'PY1 TFR ADA'!$F$5:$AU$5,0),FALSE)=TRUE,"Alternative Rate","LCFF Rate"),"LCFF Rate"),0)</f>
        <v>0</v>
      </c>
      <c r="H712" s="523"/>
      <c r="I712" s="977">
        <f>_xlfn.IFNA(IF(VLOOKUP($B703,'PY1 TFR ADA'!$F:$AU,MATCH("B-2.5",'PY1 TFR ADA'!$F$5:$AU$5,0),FALSE)=TRUE,IF(VLOOKUP($B703,'PY1 TFR ADA'!$F:$AU,MATCH("C-1",'PY1 TFR ADA'!$F$5:$AU$5,0),FALSE)=TRUE,"Alternative Rate","LCFF Rate"),"LCFF Rate"),0)</f>
        <v>0</v>
      </c>
      <c r="J712" s="523"/>
      <c r="K712" s="977">
        <f>_xlfn.IFNA(IF(VLOOKUP($B703,'PY1 TFR ADA'!$F:$AU,MATCH("B-3.5",'PY1 TFR ADA'!$F$5:$AU$5,0),FALSE)=TRUE,IF(VLOOKUP($B703,'PY1 TFR ADA'!$F:$AU,MATCH("C-1",'PY1 TFR ADA'!$F$5:$AU$5,0),FALSE)=TRUE,"Alternative Rate","LCFF Rate"),"LCFF Rate"),0)</f>
        <v>0</v>
      </c>
      <c r="L712" s="523"/>
      <c r="M712" s="977">
        <f>_xlfn.IFNA(IF(VLOOKUP($B703,'PY1 TFR ADA'!$F:$AU,MATCH("B-4.5",'PY1 TFR ADA'!$F$5:$AU$5,0),FALSE)=TRUE,IF(VLOOKUP($B703,'PY1 TFR ADA'!$F:$AU,MATCH("C-1",'PY1 TFR ADA'!$F$5:$AU$5,0),FALSE)=TRUE,"Alternative Rate","LCFF Rate"),"LCFF Rate"),0)</f>
        <v>0</v>
      </c>
      <c r="N712" s="523"/>
      <c r="O712" s="977">
        <f>_xlfn.IFNA(IF(VLOOKUP($B703,'PY1 TFR ADA'!$F:$AU,MATCH("B-5.5",'PY1 TFR ADA'!$F$5:$AU$5,0),FALSE)=TRUE,IF(VLOOKUP($B703,'PY1 TFR ADA'!$F:$AU,MATCH("C-1",'PY1 TFR ADA'!$F$5:$AU$5,0),FALSE)=TRUE,"Alternative Rate","LCFF Rate"),"LCFF Rate"),0)</f>
        <v>0</v>
      </c>
      <c r="P712" s="523"/>
      <c r="Q712" s="977">
        <f>_xlfn.IFNA(IF(VLOOKUP($B703,'PY1 TFR ADA'!$F:$AU,MATCH("B-6.5",'PY1 TFR ADA'!$F$5:$AU$5,0),FALSE)=TRUE,IF(VLOOKUP($B703,'PY1 TFR ADA'!$F:$AU,MATCH("C-1",'PY1 TFR ADA'!$F$5:$AU$5,0),FALSE)=TRUE,"Alternative Rate","LCFF Rate"),"LCFF Rate"),0)</f>
        <v>0</v>
      </c>
      <c r="R712" s="167"/>
      <c r="S712" s="520"/>
      <c r="T712" s="167"/>
      <c r="U712" s="528"/>
      <c r="V712" s="522"/>
      <c r="X712" s="283"/>
    </row>
    <row r="713" spans="1:24" s="8" customFormat="1" ht="8.25" customHeight="1">
      <c r="A713" s="521"/>
      <c r="B713" s="167"/>
      <c r="C713" s="165"/>
      <c r="D713" s="523"/>
      <c r="E713" s="165"/>
      <c r="F713" s="523"/>
      <c r="G713" s="520"/>
      <c r="H713" s="523"/>
      <c r="I713" s="520"/>
      <c r="J713" s="523"/>
      <c r="K713" s="520"/>
      <c r="L713" s="523"/>
      <c r="M713" s="520"/>
      <c r="N713" s="523"/>
      <c r="O713" s="520"/>
      <c r="P713" s="523"/>
      <c r="Q713" s="520"/>
      <c r="R713" s="167"/>
      <c r="S713" s="520"/>
      <c r="T713" s="167"/>
      <c r="U713" s="528"/>
      <c r="V713" s="522"/>
      <c r="X713" s="4"/>
    </row>
    <row r="714" spans="1:24" s="8" customFormat="1" ht="16.8">
      <c r="A714" s="521"/>
      <c r="B714" s="2"/>
      <c r="F714" s="523"/>
      <c r="G714" s="535">
        <f t="shared" ref="G714" si="1051">IF(G712="LCFF Rate",(G705*C705+G706*C706+G707*C707+G708*C708),(G710*E708))</f>
        <v>0</v>
      </c>
      <c r="H714" s="537"/>
      <c r="I714" s="535">
        <f t="shared" ref="I714" si="1052">IF(I712="LCFF Rate",(I705*C705+I706*C706+I707*C707+I708*C708),(I710*E708))</f>
        <v>0</v>
      </c>
      <c r="J714" s="537"/>
      <c r="K714" s="535">
        <f t="shared" ref="K714" si="1053">IF(K712="LCFF Rate",(K705*C705+K706*C706+K707*C707+K708*C708),(K710*E708))</f>
        <v>0</v>
      </c>
      <c r="L714" s="537"/>
      <c r="M714" s="535">
        <f t="shared" ref="M714" si="1054">IF(M712="LCFF Rate",(M705*C705+M706*C706+M707*C707+M708*C708),(M710*E708))</f>
        <v>0</v>
      </c>
      <c r="N714" s="537"/>
      <c r="O714" s="535">
        <f t="shared" ref="O714" si="1055">IF(O712="LCFF Rate",(O705*C705+O706*C706+O707*C707+O708*C708),(O710*E708))</f>
        <v>0</v>
      </c>
      <c r="P714" s="537"/>
      <c r="Q714" s="535">
        <f t="shared" ref="Q714" si="1056">IF(Q712="LCFF Rate",(Q705*C705+Q706*C706+Q707*C707+Q708*C708),(Q710*E708))</f>
        <v>0</v>
      </c>
      <c r="R714" s="167"/>
      <c r="S714" s="538">
        <f t="shared" ref="S714" si="1057">SUM(G714:Q714)</f>
        <v>0</v>
      </c>
      <c r="T714" s="167"/>
      <c r="U714" s="528"/>
      <c r="V714" s="522"/>
      <c r="X714" s="979"/>
    </row>
    <row r="715" spans="1:24" s="8" customFormat="1" ht="9" customHeight="1" thickBot="1">
      <c r="A715" s="529"/>
      <c r="B715" s="530"/>
      <c r="C715" s="531"/>
      <c r="D715" s="532"/>
      <c r="E715" s="533"/>
      <c r="F715" s="532"/>
      <c r="G715" s="530"/>
      <c r="H715" s="532"/>
      <c r="I715" s="530"/>
      <c r="J715" s="532"/>
      <c r="K715" s="530"/>
      <c r="L715" s="532"/>
      <c r="M715" s="530"/>
      <c r="N715" s="532"/>
      <c r="O715" s="530"/>
      <c r="P715" s="532"/>
      <c r="Q715" s="530"/>
      <c r="R715" s="532"/>
      <c r="S715" s="530"/>
      <c r="T715" s="532"/>
      <c r="U715" s="532"/>
      <c r="V715" s="534"/>
      <c r="X715" s="4"/>
    </row>
    <row r="716" spans="1:24" s="82" customFormat="1" ht="18" customHeight="1" thickBot="1">
      <c r="A716" s="890">
        <f>+A703+1</f>
        <v>55</v>
      </c>
      <c r="B716" s="891" t="str">
        <f>'Data Entry'!$B$3&amp;"-"&amp;C716</f>
        <v>-</v>
      </c>
      <c r="C716" s="891" t="str">
        <f>IFERROR(VLOOKUP('Data Entry'!$B$3&amp;"-"&amp;A716,'PY1 TFR ADA'!$D:$AT,2,FALSE),"")</f>
        <v/>
      </c>
      <c r="D716" s="892" t="str">
        <f>IFERROR(VLOOKUP('Data Entry'!$B$3&amp;"-"&amp;A716,'PY1 TFR ADA'!$D:$AT,4,FALSE),"")</f>
        <v/>
      </c>
      <c r="E716" s="893"/>
      <c r="F716" s="893"/>
      <c r="G716" s="893"/>
      <c r="H716" s="893"/>
      <c r="I716" s="893"/>
      <c r="J716" s="893"/>
      <c r="K716" s="893"/>
      <c r="L716" s="893"/>
      <c r="M716" s="893"/>
      <c r="N716" s="893"/>
      <c r="O716" s="893"/>
      <c r="P716" s="893"/>
      <c r="Q716" s="893"/>
      <c r="R716" s="893"/>
      <c r="S716" s="893"/>
      <c r="T716" s="893"/>
      <c r="U716" s="893"/>
      <c r="V716" s="894"/>
      <c r="X716" s="83"/>
    </row>
    <row r="717" spans="1:24" ht="75" customHeight="1">
      <c r="A717" s="521"/>
      <c r="C717" s="540" t="s">
        <v>1315</v>
      </c>
      <c r="D717" s="512"/>
      <c r="E717" s="540" t="s">
        <v>1316</v>
      </c>
      <c r="F717" s="512"/>
      <c r="G717" s="540" t="s">
        <v>1309</v>
      </c>
      <c r="H717" s="512"/>
      <c r="I717" s="540" t="s">
        <v>1310</v>
      </c>
      <c r="J717" s="512"/>
      <c r="K717" s="540" t="s">
        <v>1311</v>
      </c>
      <c r="L717" s="512"/>
      <c r="M717" s="540" t="s">
        <v>1312</v>
      </c>
      <c r="N717" s="512"/>
      <c r="O717" s="540" t="s">
        <v>1313</v>
      </c>
      <c r="P717" s="512"/>
      <c r="Q717" s="540" t="s">
        <v>1314</v>
      </c>
      <c r="R717" s="167"/>
      <c r="S717" s="540" t="s">
        <v>1308</v>
      </c>
      <c r="T717" s="167"/>
      <c r="U717" s="512" t="s">
        <v>1307</v>
      </c>
      <c r="V717" s="524"/>
      <c r="X717" s="283"/>
    </row>
    <row r="718" spans="1:24" s="8" customFormat="1" ht="14.4">
      <c r="A718" s="521"/>
      <c r="B718" s="510" t="s">
        <v>94</v>
      </c>
      <c r="C718" s="525">
        <f>IFERROR(VLOOKUP($B716,'PY1 TFR ADA'!$F:$AU,MATCH("A-1.1",'PY1 TFR ADA'!$F$5:$AU$5,0),FALSE),0)</f>
        <v>0</v>
      </c>
      <c r="D718" s="167"/>
      <c r="E718" s="525">
        <f>IFERROR(VALUE(VLOOKUP($B716,'PY1 TFR ADA'!$F:$AU,MATCH("A-2.1",'PY1 TFR ADA'!$F$5:$AU$5,0),FALSE)),0)</f>
        <v>0</v>
      </c>
      <c r="F718" s="167"/>
      <c r="G718" s="609">
        <f>IFERROR(VLOOKUP($B716,'PY1 TFR ADA'!$F:$AU,MATCH("b-1.1",'PY1 TFR ADA'!$F$5:$AU$5,0),FALSE),0)</f>
        <v>0</v>
      </c>
      <c r="H718" s="527"/>
      <c r="I718" s="609">
        <f>IFERROR(VLOOKUP($B716,'PY1 TFR ADA'!$F:$AU,MATCH("b-2.1",'PY1 TFR ADA'!$F$5:$AU$5,0),FALSE),0)</f>
        <v>0</v>
      </c>
      <c r="J718" s="527"/>
      <c r="K718" s="609">
        <f>IFERROR(VLOOKUP($B716,'PY1 TFR ADA'!$F:$AU,MATCH("b-3.1",'PY1 TFR ADA'!$F$5:$AU$5,0),FALSE),0)</f>
        <v>0</v>
      </c>
      <c r="L718" s="527"/>
      <c r="M718" s="609">
        <f>IFERROR(VLOOKUP($B716,'PY1 TFR ADA'!$F:$AU,MATCH("b-4.1",'PY1 TFR ADA'!$F$5:$AU$5,0),FALSE),0)</f>
        <v>0</v>
      </c>
      <c r="N718" s="527"/>
      <c r="O718" s="609">
        <f>IFERROR(VLOOKUP($B716,'PY1 TFR ADA'!$F:$AU,MATCH("b-5.1",'PY1 TFR ADA'!$F$5:$AU$5,0),FALSE),0)</f>
        <v>0</v>
      </c>
      <c r="P718" s="527"/>
      <c r="Q718" s="609">
        <f>IFERROR(VLOOKUP($B716,'PY1 TFR ADA'!$F:$AU,MATCH("b-6.1",'PY1 TFR ADA'!$F$5:$AU$5,0),FALSE),0)</f>
        <v>0</v>
      </c>
      <c r="R718" s="551"/>
      <c r="S718" s="601">
        <f t="shared" ref="S718:S721" si="1058">SUM(G718:Q718)</f>
        <v>0</v>
      </c>
      <c r="T718" s="551"/>
      <c r="U718" s="536">
        <f t="shared" ref="U718" si="1059">ROUND(IF($G725="LCFF Rate",(G718*$C718),(G718*$E718))+IF($I725="LCFF Rate",(I718*$C718),(I718*$E718))+IF($K725="LCFF Rate",(K718*$C718),(K718*$E718))+IF($M725="LCFF Rate",(M718*$C718),(M718*$E718))+IF($O725="LCFF Rate",(O718*$C718),(O718*$E718))+IF($Q725="LCFF Rate",(Q718*$C718),(Q718*$E718)),0)</f>
        <v>0</v>
      </c>
      <c r="V718" s="524"/>
      <c r="X718" s="496"/>
    </row>
    <row r="719" spans="1:24" s="8" customFormat="1" ht="14.4">
      <c r="A719" s="521"/>
      <c r="B719" s="510" t="s">
        <v>2</v>
      </c>
      <c r="C719" s="525">
        <f>IFERROR(VLOOKUP($B716,'PY1 TFR ADA'!$F:$AU,MATCH("A-1.2",'PY1 TFR ADA'!$F$5:$AU$5,0),FALSE),0)</f>
        <v>0</v>
      </c>
      <c r="D719" s="167"/>
      <c r="E719" s="525">
        <f>IFERROR(VALUE(VLOOKUP($B716,'PY1 TFR ADA'!$F:$AU,MATCH("A-2.2",'PY1 TFR ADA'!$F$5:$AU$5,0),FALSE)),0)</f>
        <v>0</v>
      </c>
      <c r="F719" s="167"/>
      <c r="G719" s="609">
        <f>IFERROR(VLOOKUP($B716,'PY1 TFR ADA'!$F:$AU,MATCH("b-1.2",'PY1 TFR ADA'!$F$5:$AU$5,0),FALSE),0)</f>
        <v>0</v>
      </c>
      <c r="H719" s="527"/>
      <c r="I719" s="609">
        <f>IFERROR(VLOOKUP($B716,'PY1 TFR ADA'!$F:$AU,MATCH("b-2.2",'PY1 TFR ADA'!$F$5:$AU$5,0),FALSE),0)</f>
        <v>0</v>
      </c>
      <c r="J719" s="527"/>
      <c r="K719" s="609">
        <f>IFERROR(VLOOKUP($B716,'PY1 TFR ADA'!$F:$AU,MATCH("b-3.2",'PY1 TFR ADA'!$F$5:$AU$5,0),FALSE),0)</f>
        <v>0</v>
      </c>
      <c r="L719" s="527"/>
      <c r="M719" s="609">
        <f>IFERROR(VLOOKUP($B716,'PY1 TFR ADA'!$F:$AU,MATCH("b-4.2",'PY1 TFR ADA'!$F$5:$AU$5,0),FALSE),0)</f>
        <v>0</v>
      </c>
      <c r="N719" s="527"/>
      <c r="O719" s="609">
        <f>IFERROR(VLOOKUP($B716,'PY1 TFR ADA'!$F:$AU,MATCH("b-5.2",'PY1 TFR ADA'!$F$5:$AU$5,0),FALSE),0)</f>
        <v>0</v>
      </c>
      <c r="P719" s="527"/>
      <c r="Q719" s="609">
        <f>IFERROR(VLOOKUP($B716,'PY1 TFR ADA'!$F:$AU,MATCH("b-6.2",'PY1 TFR ADA'!$F$5:$AU$5,0),FALSE),0)</f>
        <v>0</v>
      </c>
      <c r="R719" s="551"/>
      <c r="S719" s="601">
        <f t="shared" si="1058"/>
        <v>0</v>
      </c>
      <c r="T719" s="551"/>
      <c r="U719" s="536">
        <f t="shared" ref="U719" si="1060">ROUND(IF($G725="LCFF Rate",(G719*$C719),(G719*$E719))+IF($I725="LCFF Rate",(I719*$C719),(I719*$E719))+IF($K725="LCFF Rate",(K719*$C719),(K719*$E719))+IF($M725="LCFF Rate",(M719*$C719),(M719*$E719))+IF($O725="LCFF Rate",(O719*$C719),(O719*$E719))+IF($Q725="LCFF Rate",(Q719*$C719),(Q719*$E719)),0)</f>
        <v>0</v>
      </c>
      <c r="V719" s="524"/>
      <c r="X719" s="4"/>
    </row>
    <row r="720" spans="1:24" s="8" customFormat="1" ht="14.4">
      <c r="A720" s="521"/>
      <c r="B720" s="510" t="s">
        <v>3</v>
      </c>
      <c r="C720" s="525">
        <f>IFERROR(VLOOKUP($B716,'PY1 TFR ADA'!$F:$AU,MATCH("A-1.3",'PY1 TFR ADA'!$F$5:$AU$5,0),FALSE),0)</f>
        <v>0</v>
      </c>
      <c r="D720" s="167"/>
      <c r="E720" s="525">
        <f>IFERROR(VALUE(VLOOKUP($B716,'PY1 TFR ADA'!$F:$AU,MATCH("A-2.3",'PY1 TFR ADA'!$F$5:$AU$5,0),FALSE)),0)</f>
        <v>0</v>
      </c>
      <c r="F720" s="167"/>
      <c r="G720" s="609">
        <f>IFERROR(VLOOKUP($B716,'PY1 TFR ADA'!$F:$AU,MATCH("b-1.3",'PY1 TFR ADA'!$F$5:$AU$5,0),FALSE),0)</f>
        <v>0</v>
      </c>
      <c r="H720" s="527"/>
      <c r="I720" s="609">
        <f>IFERROR(VLOOKUP($B716,'PY1 TFR ADA'!$F:$AU,MATCH("b-2.3",'PY1 TFR ADA'!$F$5:$AU$5,0),FALSE),0)</f>
        <v>0</v>
      </c>
      <c r="J720" s="527"/>
      <c r="K720" s="609">
        <f>IFERROR(VLOOKUP($B716,'PY1 TFR ADA'!$F:$AU,MATCH("b-3.3",'PY1 TFR ADA'!$F$5:$AU$5,0),FALSE),0)</f>
        <v>0</v>
      </c>
      <c r="L720" s="527"/>
      <c r="M720" s="609">
        <f>IFERROR(VLOOKUP($B716,'PY1 TFR ADA'!$F:$AU,MATCH("b-4.3",'PY1 TFR ADA'!$F$5:$AU$5,0),FALSE),0)</f>
        <v>0</v>
      </c>
      <c r="N720" s="527"/>
      <c r="O720" s="609">
        <f>IFERROR(VLOOKUP($B716,'PY1 TFR ADA'!$F:$AU,MATCH("b-5.3",'PY1 TFR ADA'!$F$5:$AU$5,0),FALSE),0)</f>
        <v>0</v>
      </c>
      <c r="P720" s="527"/>
      <c r="Q720" s="609">
        <f>IFERROR(VLOOKUP($B716,'PY1 TFR ADA'!$F:$AU,MATCH("b-6.3",'PY1 TFR ADA'!$F$5:$AU$5,0),FALSE),0)</f>
        <v>0</v>
      </c>
      <c r="R720" s="551"/>
      <c r="S720" s="601">
        <f t="shared" si="1058"/>
        <v>0</v>
      </c>
      <c r="T720" s="551"/>
      <c r="U720" s="536">
        <f t="shared" ref="U720" si="1061">ROUND(IF($G725="LCFF Rate",(G720*$C720),(G720*$E720))+IF($I725="LCFF Rate",(I720*$C720),(I720*$E720))+IF($K725="LCFF Rate",(K720*$C720),(K720*$E720))+IF($M725="LCFF Rate",(M720*$C720),(M720*$E720))+IF($O725="LCFF Rate",(O720*$C720),(O720*$E720))+IF($Q725="LCFF Rate",(Q720*$C720),(Q720*$E720)),0)</f>
        <v>0</v>
      </c>
      <c r="V720" s="524"/>
      <c r="X720" s="4"/>
    </row>
    <row r="721" spans="1:24" s="8" customFormat="1" ht="14.4">
      <c r="A721" s="526"/>
      <c r="B721" s="510" t="s">
        <v>4</v>
      </c>
      <c r="C721" s="525">
        <f>IFERROR(VLOOKUP($B716,'PY1 TFR ADA'!$F:$AU,MATCH("A-1.4",'PY1 TFR ADA'!$F$5:$AU$5,0),FALSE),0)</f>
        <v>0</v>
      </c>
      <c r="D721" s="523"/>
      <c r="E721" s="525">
        <f>IFERROR(VALUE(VLOOKUP($B716,'PY1 TFR ADA'!$F:$AU,MATCH("A-2.4",'PY1 TFR ADA'!$F$5:$AU$5,0),FALSE)),0)</f>
        <v>0</v>
      </c>
      <c r="F721" s="523"/>
      <c r="G721" s="609">
        <f>IFERROR(VLOOKUP($B716,'PY1 TFR ADA'!$F:$AU,MATCH("b-1.4",'PY1 TFR ADA'!$F$5:$AU$5,0),FALSE),0)</f>
        <v>0</v>
      </c>
      <c r="H721" s="527"/>
      <c r="I721" s="609">
        <f>IFERROR(VLOOKUP($B716,'PY1 TFR ADA'!$F:$AU,MATCH("b-2.4",'PY1 TFR ADA'!$F$5:$AU$5,0),FALSE),0)</f>
        <v>0</v>
      </c>
      <c r="J721" s="527"/>
      <c r="K721" s="609">
        <f>IFERROR(VLOOKUP($B716,'PY1 TFR ADA'!$F:$AU,MATCH("b-3.4",'PY1 TFR ADA'!$F$5:$AU$5,0),FALSE),0)</f>
        <v>0</v>
      </c>
      <c r="L721" s="527"/>
      <c r="M721" s="609">
        <f>IFERROR(VLOOKUP($B716,'PY1 TFR ADA'!$F:$AU,MATCH("b-4.4",'PY1 TFR ADA'!$F$5:$AU$5,0),FALSE),0)</f>
        <v>0</v>
      </c>
      <c r="N721" s="527"/>
      <c r="O721" s="609">
        <f>IFERROR(VLOOKUP($B716,'PY1 TFR ADA'!$F:$AU,MATCH("b-5.4",'PY1 TFR ADA'!$F$5:$AU$5,0),FALSE),0)</f>
        <v>0</v>
      </c>
      <c r="P721" s="527"/>
      <c r="Q721" s="609">
        <f>IFERROR(VLOOKUP($B716,'PY1 TFR ADA'!$F:$AU,MATCH("b-6.4",'PY1 TFR ADA'!$F$5:$AU$5,0),FALSE),0)</f>
        <v>0</v>
      </c>
      <c r="R721" s="551"/>
      <c r="S721" s="601">
        <f t="shared" si="1058"/>
        <v>0</v>
      </c>
      <c r="T721" s="551"/>
      <c r="U721" s="536">
        <f t="shared" ref="U721" si="1062">ROUND(IF($G725="LCFF Rate",(G721*$C721),(G721*$E721))+IF($I725="LCFF Rate",(I721*$C721),(I721*$E721))+IF($K725="LCFF Rate",(K721*$C721),(K721*$E721))+IF($M725="LCFF Rate",(M721*$C721),(M721*$E721))+IF($O725="LCFF Rate",(O721*$C721),(O721*$E721))+IF($Q725="LCFF Rate",(Q721*$C721),(Q721*$E721)),0)</f>
        <v>0</v>
      </c>
      <c r="V721" s="522"/>
      <c r="X721" s="496"/>
    </row>
    <row r="722" spans="1:24" s="8" customFormat="1" ht="8.25" customHeight="1">
      <c r="A722" s="521"/>
      <c r="B722" s="167"/>
      <c r="C722" s="165"/>
      <c r="D722" s="523"/>
      <c r="E722" s="165"/>
      <c r="F722" s="523"/>
      <c r="G722" s="520"/>
      <c r="H722" s="523"/>
      <c r="I722" s="520"/>
      <c r="J722" s="523"/>
      <c r="K722" s="520"/>
      <c r="L722" s="523"/>
      <c r="M722" s="520"/>
      <c r="N722" s="523"/>
      <c r="O722" s="520"/>
      <c r="P722" s="523"/>
      <c r="Q722" s="520"/>
      <c r="R722" s="167"/>
      <c r="S722" s="520"/>
      <c r="T722" s="167"/>
      <c r="U722" s="602"/>
      <c r="V722" s="522"/>
      <c r="X722" s="4"/>
    </row>
    <row r="723" spans="1:24" s="8" customFormat="1" ht="14.4">
      <c r="A723" s="521"/>
      <c r="B723" s="167"/>
      <c r="C723" s="165"/>
      <c r="D723" s="523"/>
      <c r="E723" s="513" t="s">
        <v>1317</v>
      </c>
      <c r="F723" s="523"/>
      <c r="G723" s="601">
        <f t="shared" ref="G723" si="1063">SUM(G718:G721)</f>
        <v>0</v>
      </c>
      <c r="H723" s="527"/>
      <c r="I723" s="601">
        <f t="shared" ref="I723" si="1064">SUM(I718:I721)</f>
        <v>0</v>
      </c>
      <c r="J723" s="527"/>
      <c r="K723" s="601">
        <f t="shared" ref="K723" si="1065">SUM(K718:K721)</f>
        <v>0</v>
      </c>
      <c r="L723" s="527"/>
      <c r="M723" s="601">
        <f t="shared" ref="M723" si="1066">SUM(M718:M721)</f>
        <v>0</v>
      </c>
      <c r="N723" s="527"/>
      <c r="O723" s="601">
        <f t="shared" ref="O723" si="1067">SUM(O718:O721)</f>
        <v>0</v>
      </c>
      <c r="P723" s="527"/>
      <c r="Q723" s="601">
        <f t="shared" ref="Q723" si="1068">SUM(Q718:Q721)</f>
        <v>0</v>
      </c>
      <c r="R723" s="527"/>
      <c r="S723" s="601">
        <f t="shared" ref="S723" si="1069">SUM(S718:S721)</f>
        <v>0</v>
      </c>
      <c r="T723" s="527"/>
      <c r="U723" s="536">
        <f t="shared" ref="U723" si="1070">SUM(U718:U721)</f>
        <v>0</v>
      </c>
      <c r="V723" s="522"/>
      <c r="X723" s="4"/>
    </row>
    <row r="724" spans="1:24" s="8" customFormat="1" ht="8.25" customHeight="1">
      <c r="A724" s="521"/>
      <c r="B724" s="167"/>
      <c r="C724" s="165"/>
      <c r="D724" s="523"/>
      <c r="E724" s="165"/>
      <c r="F724" s="523"/>
      <c r="G724" s="520"/>
      <c r="H724" s="523"/>
      <c r="I724" s="520"/>
      <c r="J724" s="523"/>
      <c r="K724" s="520"/>
      <c r="L724" s="523"/>
      <c r="M724" s="520"/>
      <c r="N724" s="523"/>
      <c r="O724" s="520"/>
      <c r="P724" s="523"/>
      <c r="Q724" s="520"/>
      <c r="R724" s="167"/>
      <c r="S724" s="520"/>
      <c r="T724" s="167"/>
      <c r="U724" s="528"/>
      <c r="V724" s="522"/>
      <c r="X724" s="4"/>
    </row>
    <row r="725" spans="1:24" s="8" customFormat="1" ht="16.5" customHeight="1">
      <c r="A725" s="521"/>
      <c r="B725" s="167"/>
      <c r="C725" s="165"/>
      <c r="E725" s="513" t="s">
        <v>1304</v>
      </c>
      <c r="F725" s="523"/>
      <c r="G725" s="977">
        <f>_xlfn.IFNA(IF(VLOOKUP($B716,'PY1 TFR ADA'!$F:$AU,MATCH("B-1.5",'PY1 TFR ADA'!$F$5:$AU$5,0),FALSE)=TRUE,IF(VLOOKUP($B716,'PY1 TFR ADA'!$F:$AU,MATCH("C-1",'PY1 TFR ADA'!$F$5:$AU$5,0),FALSE)=TRUE,"Alternative Rate","LCFF Rate"),"LCFF Rate"),0)</f>
        <v>0</v>
      </c>
      <c r="H725" s="523"/>
      <c r="I725" s="977">
        <f>_xlfn.IFNA(IF(VLOOKUP($B716,'PY1 TFR ADA'!$F:$AU,MATCH("B-2.5",'PY1 TFR ADA'!$F$5:$AU$5,0),FALSE)=TRUE,IF(VLOOKUP($B716,'PY1 TFR ADA'!$F:$AU,MATCH("C-1",'PY1 TFR ADA'!$F$5:$AU$5,0),FALSE)=TRUE,"Alternative Rate","LCFF Rate"),"LCFF Rate"),0)</f>
        <v>0</v>
      </c>
      <c r="J725" s="523"/>
      <c r="K725" s="977">
        <f>_xlfn.IFNA(IF(VLOOKUP($B716,'PY1 TFR ADA'!$F:$AU,MATCH("B-3.5",'PY1 TFR ADA'!$F$5:$AU$5,0),FALSE)=TRUE,IF(VLOOKUP($B716,'PY1 TFR ADA'!$F:$AU,MATCH("C-1",'PY1 TFR ADA'!$F$5:$AU$5,0),FALSE)=TRUE,"Alternative Rate","LCFF Rate"),"LCFF Rate"),0)</f>
        <v>0</v>
      </c>
      <c r="L725" s="523"/>
      <c r="M725" s="977">
        <f>_xlfn.IFNA(IF(VLOOKUP($B716,'PY1 TFR ADA'!$F:$AU,MATCH("B-4.5",'PY1 TFR ADA'!$F$5:$AU$5,0),FALSE)=TRUE,IF(VLOOKUP($B716,'PY1 TFR ADA'!$F:$AU,MATCH("C-1",'PY1 TFR ADA'!$F$5:$AU$5,0),FALSE)=TRUE,"Alternative Rate","LCFF Rate"),"LCFF Rate"),0)</f>
        <v>0</v>
      </c>
      <c r="N725" s="523"/>
      <c r="O725" s="977">
        <f>_xlfn.IFNA(IF(VLOOKUP($B716,'PY1 TFR ADA'!$F:$AU,MATCH("B-5.5",'PY1 TFR ADA'!$F$5:$AU$5,0),FALSE)=TRUE,IF(VLOOKUP($B716,'PY1 TFR ADA'!$F:$AU,MATCH("C-1",'PY1 TFR ADA'!$F$5:$AU$5,0),FALSE)=TRUE,"Alternative Rate","LCFF Rate"),"LCFF Rate"),0)</f>
        <v>0</v>
      </c>
      <c r="P725" s="523"/>
      <c r="Q725" s="977">
        <f>_xlfn.IFNA(IF(VLOOKUP($B716,'PY1 TFR ADA'!$F:$AU,MATCH("B-6.5",'PY1 TFR ADA'!$F$5:$AU$5,0),FALSE)=TRUE,IF(VLOOKUP($B716,'PY1 TFR ADA'!$F:$AU,MATCH("C-1",'PY1 TFR ADA'!$F$5:$AU$5,0),FALSE)=TRUE,"Alternative Rate","LCFF Rate"),"LCFF Rate"),0)</f>
        <v>0</v>
      </c>
      <c r="R725" s="167"/>
      <c r="S725" s="520"/>
      <c r="T725" s="167"/>
      <c r="U725" s="528"/>
      <c r="V725" s="522"/>
      <c r="X725" s="283"/>
    </row>
    <row r="726" spans="1:24" s="8" customFormat="1" ht="8.25" customHeight="1">
      <c r="A726" s="521"/>
      <c r="B726" s="167"/>
      <c r="C726" s="165"/>
      <c r="D726" s="523"/>
      <c r="E726" s="165"/>
      <c r="F726" s="523"/>
      <c r="G726" s="520"/>
      <c r="H726" s="523"/>
      <c r="I726" s="520"/>
      <c r="J726" s="523"/>
      <c r="K726" s="520"/>
      <c r="L726" s="523"/>
      <c r="M726" s="520"/>
      <c r="N726" s="523"/>
      <c r="O726" s="520"/>
      <c r="P726" s="523"/>
      <c r="Q726" s="520"/>
      <c r="R726" s="167"/>
      <c r="S726" s="520"/>
      <c r="T726" s="167"/>
      <c r="U726" s="528"/>
      <c r="V726" s="522"/>
      <c r="X726" s="4"/>
    </row>
    <row r="727" spans="1:24" s="8" customFormat="1" ht="16.8">
      <c r="A727" s="521"/>
      <c r="B727" s="2"/>
      <c r="F727" s="523"/>
      <c r="G727" s="535">
        <f t="shared" ref="G727" si="1071">IF(G725="LCFF Rate",(G718*C718+G719*C719+G720*C720+G721*C721),(G723*E721))</f>
        <v>0</v>
      </c>
      <c r="H727" s="537"/>
      <c r="I727" s="535">
        <f t="shared" ref="I727" si="1072">IF(I725="LCFF Rate",(I718*C718+I719*C719+I720*C720+I721*C721),(I723*E721))</f>
        <v>0</v>
      </c>
      <c r="J727" s="537"/>
      <c r="K727" s="535">
        <f t="shared" ref="K727" si="1073">IF(K725="LCFF Rate",(K718*C718+K719*C719+K720*C720+K721*C721),(K723*E721))</f>
        <v>0</v>
      </c>
      <c r="L727" s="537"/>
      <c r="M727" s="535">
        <f t="shared" ref="M727" si="1074">IF(M725="LCFF Rate",(M718*C718+M719*C719+M720*C720+M721*C721),(M723*E721))</f>
        <v>0</v>
      </c>
      <c r="N727" s="537"/>
      <c r="O727" s="535">
        <f t="shared" ref="O727" si="1075">IF(O725="LCFF Rate",(O718*C718+O719*C719+O720*C720+O721*C721),(O723*E721))</f>
        <v>0</v>
      </c>
      <c r="P727" s="537"/>
      <c r="Q727" s="535">
        <f t="shared" ref="Q727" si="1076">IF(Q725="LCFF Rate",(Q718*C718+Q719*C719+Q720*C720+Q721*C721),(Q723*E721))</f>
        <v>0</v>
      </c>
      <c r="R727" s="167"/>
      <c r="S727" s="538">
        <f t="shared" ref="S727" si="1077">SUM(G727:Q727)</f>
        <v>0</v>
      </c>
      <c r="T727" s="167"/>
      <c r="U727" s="528"/>
      <c r="V727" s="522"/>
      <c r="X727" s="979"/>
    </row>
    <row r="728" spans="1:24" s="8" customFormat="1" ht="9" customHeight="1" thickBot="1">
      <c r="A728" s="529"/>
      <c r="B728" s="530"/>
      <c r="C728" s="531"/>
      <c r="D728" s="532"/>
      <c r="E728" s="533"/>
      <c r="F728" s="532"/>
      <c r="G728" s="530"/>
      <c r="H728" s="532"/>
      <c r="I728" s="530"/>
      <c r="J728" s="532"/>
      <c r="K728" s="530"/>
      <c r="L728" s="532"/>
      <c r="M728" s="530"/>
      <c r="N728" s="532"/>
      <c r="O728" s="530"/>
      <c r="P728" s="532"/>
      <c r="Q728" s="530"/>
      <c r="R728" s="532"/>
      <c r="S728" s="530"/>
      <c r="T728" s="532"/>
      <c r="U728" s="532"/>
      <c r="V728" s="534"/>
      <c r="X728" s="4"/>
    </row>
    <row r="729" spans="1:24" s="82" customFormat="1" ht="18" customHeight="1" thickBot="1">
      <c r="A729" s="890">
        <f>+A716+1</f>
        <v>56</v>
      </c>
      <c r="B729" s="891" t="str">
        <f>'Data Entry'!$B$3&amp;"-"&amp;C729</f>
        <v>-</v>
      </c>
      <c r="C729" s="891" t="str">
        <f>IFERROR(VLOOKUP('Data Entry'!$B$3&amp;"-"&amp;A729,'PY1 TFR ADA'!$D:$AT,2,FALSE),"")</f>
        <v/>
      </c>
      <c r="D729" s="892" t="str">
        <f>IFERROR(VLOOKUP('Data Entry'!$B$3&amp;"-"&amp;A729,'PY1 TFR ADA'!$D:$AT,4,FALSE),"")</f>
        <v/>
      </c>
      <c r="E729" s="893"/>
      <c r="F729" s="893"/>
      <c r="G729" s="893"/>
      <c r="H729" s="893"/>
      <c r="I729" s="893"/>
      <c r="J729" s="893"/>
      <c r="K729" s="893"/>
      <c r="L729" s="893"/>
      <c r="M729" s="893"/>
      <c r="N729" s="893"/>
      <c r="O729" s="893"/>
      <c r="P729" s="893"/>
      <c r="Q729" s="893"/>
      <c r="R729" s="893"/>
      <c r="S729" s="893"/>
      <c r="T729" s="893"/>
      <c r="U729" s="893"/>
      <c r="V729" s="894"/>
      <c r="X729" s="83"/>
    </row>
    <row r="730" spans="1:24" ht="75" customHeight="1">
      <c r="A730" s="521"/>
      <c r="C730" s="540" t="s">
        <v>1315</v>
      </c>
      <c r="D730" s="512"/>
      <c r="E730" s="540" t="s">
        <v>1316</v>
      </c>
      <c r="F730" s="512"/>
      <c r="G730" s="540" t="s">
        <v>1309</v>
      </c>
      <c r="H730" s="512"/>
      <c r="I730" s="540" t="s">
        <v>1310</v>
      </c>
      <c r="J730" s="512"/>
      <c r="K730" s="540" t="s">
        <v>1311</v>
      </c>
      <c r="L730" s="512"/>
      <c r="M730" s="540" t="s">
        <v>1312</v>
      </c>
      <c r="N730" s="512"/>
      <c r="O730" s="540" t="s">
        <v>1313</v>
      </c>
      <c r="P730" s="512"/>
      <c r="Q730" s="540" t="s">
        <v>1314</v>
      </c>
      <c r="R730" s="167"/>
      <c r="S730" s="540" t="s">
        <v>1308</v>
      </c>
      <c r="T730" s="167"/>
      <c r="U730" s="512" t="s">
        <v>1307</v>
      </c>
      <c r="V730" s="524"/>
      <c r="X730" s="283"/>
    </row>
    <row r="731" spans="1:24" s="8" customFormat="1" ht="14.4">
      <c r="A731" s="521"/>
      <c r="B731" s="510" t="s">
        <v>94</v>
      </c>
      <c r="C731" s="525">
        <f>IFERROR(VLOOKUP($B729,'PY1 TFR ADA'!$F:$AU,MATCH("A-1.1",'PY1 TFR ADA'!$F$5:$AU$5,0),FALSE),0)</f>
        <v>0</v>
      </c>
      <c r="D731" s="167"/>
      <c r="E731" s="525">
        <f>IFERROR(VALUE(VLOOKUP($B729,'PY1 TFR ADA'!$F:$AU,MATCH("A-2.1",'PY1 TFR ADA'!$F$5:$AU$5,0),FALSE)),0)</f>
        <v>0</v>
      </c>
      <c r="F731" s="167"/>
      <c r="G731" s="609">
        <f>IFERROR(VLOOKUP($B729,'PY1 TFR ADA'!$F:$AU,MATCH("b-1.1",'PY1 TFR ADA'!$F$5:$AU$5,0),FALSE),0)</f>
        <v>0</v>
      </c>
      <c r="H731" s="527"/>
      <c r="I731" s="609">
        <f>IFERROR(VLOOKUP($B729,'PY1 TFR ADA'!$F:$AU,MATCH("b-2.1",'PY1 TFR ADA'!$F$5:$AU$5,0),FALSE),0)</f>
        <v>0</v>
      </c>
      <c r="J731" s="527"/>
      <c r="K731" s="609">
        <f>IFERROR(VLOOKUP($B729,'PY1 TFR ADA'!$F:$AU,MATCH("b-3.1",'PY1 TFR ADA'!$F$5:$AU$5,0),FALSE),0)</f>
        <v>0</v>
      </c>
      <c r="L731" s="527"/>
      <c r="M731" s="609">
        <f>IFERROR(VLOOKUP($B729,'PY1 TFR ADA'!$F:$AU,MATCH("b-4.1",'PY1 TFR ADA'!$F$5:$AU$5,0),FALSE),0)</f>
        <v>0</v>
      </c>
      <c r="N731" s="527"/>
      <c r="O731" s="609">
        <f>IFERROR(VLOOKUP($B729,'PY1 TFR ADA'!$F:$AU,MATCH("b-5.1",'PY1 TFR ADA'!$F$5:$AU$5,0),FALSE),0)</f>
        <v>0</v>
      </c>
      <c r="P731" s="527"/>
      <c r="Q731" s="609">
        <f>IFERROR(VLOOKUP($B729,'PY1 TFR ADA'!$F:$AU,MATCH("b-6.1",'PY1 TFR ADA'!$F$5:$AU$5,0),FALSE),0)</f>
        <v>0</v>
      </c>
      <c r="R731" s="551"/>
      <c r="S731" s="601">
        <f t="shared" ref="S731:S734" si="1078">SUM(G731:Q731)</f>
        <v>0</v>
      </c>
      <c r="T731" s="551"/>
      <c r="U731" s="536">
        <f t="shared" ref="U731" si="1079">ROUND(IF($G738="LCFF Rate",(G731*$C731),(G731*$E731))+IF($I738="LCFF Rate",(I731*$C731),(I731*$E731))+IF($K738="LCFF Rate",(K731*$C731),(K731*$E731))+IF($M738="LCFF Rate",(M731*$C731),(M731*$E731))+IF($O738="LCFF Rate",(O731*$C731),(O731*$E731))+IF($Q738="LCFF Rate",(Q731*$C731),(Q731*$E731)),0)</f>
        <v>0</v>
      </c>
      <c r="V731" s="524"/>
      <c r="X731" s="496"/>
    </row>
    <row r="732" spans="1:24" s="8" customFormat="1" ht="14.4">
      <c r="A732" s="521"/>
      <c r="B732" s="510" t="s">
        <v>2</v>
      </c>
      <c r="C732" s="525">
        <f>IFERROR(VLOOKUP($B729,'PY1 TFR ADA'!$F:$AU,MATCH("A-1.2",'PY1 TFR ADA'!$F$5:$AU$5,0),FALSE),0)</f>
        <v>0</v>
      </c>
      <c r="D732" s="167"/>
      <c r="E732" s="525">
        <f>IFERROR(VALUE(VLOOKUP($B729,'PY1 TFR ADA'!$F:$AU,MATCH("A-2.2",'PY1 TFR ADA'!$F$5:$AU$5,0),FALSE)),0)</f>
        <v>0</v>
      </c>
      <c r="F732" s="167"/>
      <c r="G732" s="609">
        <f>IFERROR(VLOOKUP($B729,'PY1 TFR ADA'!$F:$AU,MATCH("b-1.2",'PY1 TFR ADA'!$F$5:$AU$5,0),FALSE),0)</f>
        <v>0</v>
      </c>
      <c r="H732" s="527"/>
      <c r="I732" s="609">
        <f>IFERROR(VLOOKUP($B729,'PY1 TFR ADA'!$F:$AU,MATCH("b-2.2",'PY1 TFR ADA'!$F$5:$AU$5,0),FALSE),0)</f>
        <v>0</v>
      </c>
      <c r="J732" s="527"/>
      <c r="K732" s="609">
        <f>IFERROR(VLOOKUP($B729,'PY1 TFR ADA'!$F:$AU,MATCH("b-3.2",'PY1 TFR ADA'!$F$5:$AU$5,0),FALSE),0)</f>
        <v>0</v>
      </c>
      <c r="L732" s="527"/>
      <c r="M732" s="609">
        <f>IFERROR(VLOOKUP($B729,'PY1 TFR ADA'!$F:$AU,MATCH("b-4.2",'PY1 TFR ADA'!$F$5:$AU$5,0),FALSE),0)</f>
        <v>0</v>
      </c>
      <c r="N732" s="527"/>
      <c r="O732" s="609">
        <f>IFERROR(VLOOKUP($B729,'PY1 TFR ADA'!$F:$AU,MATCH("b-5.2",'PY1 TFR ADA'!$F$5:$AU$5,0),FALSE),0)</f>
        <v>0</v>
      </c>
      <c r="P732" s="527"/>
      <c r="Q732" s="609">
        <f>IFERROR(VLOOKUP($B729,'PY1 TFR ADA'!$F:$AU,MATCH("b-6.2",'PY1 TFR ADA'!$F$5:$AU$5,0),FALSE),0)</f>
        <v>0</v>
      </c>
      <c r="R732" s="551"/>
      <c r="S732" s="601">
        <f t="shared" si="1078"/>
        <v>0</v>
      </c>
      <c r="T732" s="551"/>
      <c r="U732" s="536">
        <f t="shared" ref="U732" si="1080">ROUND(IF($G738="LCFF Rate",(G732*$C732),(G732*$E732))+IF($I738="LCFF Rate",(I732*$C732),(I732*$E732))+IF($K738="LCFF Rate",(K732*$C732),(K732*$E732))+IF($M738="LCFF Rate",(M732*$C732),(M732*$E732))+IF($O738="LCFF Rate",(O732*$C732),(O732*$E732))+IF($Q738="LCFF Rate",(Q732*$C732),(Q732*$E732)),0)</f>
        <v>0</v>
      </c>
      <c r="V732" s="524"/>
      <c r="X732" s="4"/>
    </row>
    <row r="733" spans="1:24" s="8" customFormat="1" ht="14.4">
      <c r="A733" s="521"/>
      <c r="B733" s="510" t="s">
        <v>3</v>
      </c>
      <c r="C733" s="525">
        <f>IFERROR(VLOOKUP($B729,'PY1 TFR ADA'!$F:$AU,MATCH("A-1.3",'PY1 TFR ADA'!$F$5:$AU$5,0),FALSE),0)</f>
        <v>0</v>
      </c>
      <c r="D733" s="167"/>
      <c r="E733" s="525">
        <f>IFERROR(VALUE(VLOOKUP($B729,'PY1 TFR ADA'!$F:$AU,MATCH("A-2.3",'PY1 TFR ADA'!$F$5:$AU$5,0),FALSE)),0)</f>
        <v>0</v>
      </c>
      <c r="F733" s="167"/>
      <c r="G733" s="609">
        <f>IFERROR(VLOOKUP($B729,'PY1 TFR ADA'!$F:$AU,MATCH("b-1.3",'PY1 TFR ADA'!$F$5:$AU$5,0),FALSE),0)</f>
        <v>0</v>
      </c>
      <c r="H733" s="527"/>
      <c r="I733" s="609">
        <f>IFERROR(VLOOKUP($B729,'PY1 TFR ADA'!$F:$AU,MATCH("b-2.3",'PY1 TFR ADA'!$F$5:$AU$5,0),FALSE),0)</f>
        <v>0</v>
      </c>
      <c r="J733" s="527"/>
      <c r="K733" s="609">
        <f>IFERROR(VLOOKUP($B729,'PY1 TFR ADA'!$F:$AU,MATCH("b-3.3",'PY1 TFR ADA'!$F$5:$AU$5,0),FALSE),0)</f>
        <v>0</v>
      </c>
      <c r="L733" s="527"/>
      <c r="M733" s="609">
        <f>IFERROR(VLOOKUP($B729,'PY1 TFR ADA'!$F:$AU,MATCH("b-4.3",'PY1 TFR ADA'!$F$5:$AU$5,0),FALSE),0)</f>
        <v>0</v>
      </c>
      <c r="N733" s="527"/>
      <c r="O733" s="609">
        <f>IFERROR(VLOOKUP($B729,'PY1 TFR ADA'!$F:$AU,MATCH("b-5.3",'PY1 TFR ADA'!$F$5:$AU$5,0),FALSE),0)</f>
        <v>0</v>
      </c>
      <c r="P733" s="527"/>
      <c r="Q733" s="609">
        <f>IFERROR(VLOOKUP($B729,'PY1 TFR ADA'!$F:$AU,MATCH("b-6.3",'PY1 TFR ADA'!$F$5:$AU$5,0),FALSE),0)</f>
        <v>0</v>
      </c>
      <c r="R733" s="551"/>
      <c r="S733" s="601">
        <f t="shared" si="1078"/>
        <v>0</v>
      </c>
      <c r="T733" s="551"/>
      <c r="U733" s="536">
        <f t="shared" ref="U733" si="1081">ROUND(IF($G738="LCFF Rate",(G733*$C733),(G733*$E733))+IF($I738="LCFF Rate",(I733*$C733),(I733*$E733))+IF($K738="LCFF Rate",(K733*$C733),(K733*$E733))+IF($M738="LCFF Rate",(M733*$C733),(M733*$E733))+IF($O738="LCFF Rate",(O733*$C733),(O733*$E733))+IF($Q738="LCFF Rate",(Q733*$C733),(Q733*$E733)),0)</f>
        <v>0</v>
      </c>
      <c r="V733" s="524"/>
      <c r="X733" s="4"/>
    </row>
    <row r="734" spans="1:24" s="8" customFormat="1" ht="14.4">
      <c r="A734" s="526"/>
      <c r="B734" s="510" t="s">
        <v>4</v>
      </c>
      <c r="C734" s="525">
        <f>IFERROR(VLOOKUP($B729,'PY1 TFR ADA'!$F:$AU,MATCH("A-1.4",'PY1 TFR ADA'!$F$5:$AU$5,0),FALSE),0)</f>
        <v>0</v>
      </c>
      <c r="D734" s="523"/>
      <c r="E734" s="525">
        <f>IFERROR(VALUE(VLOOKUP($B729,'PY1 TFR ADA'!$F:$AU,MATCH("A-2.4",'PY1 TFR ADA'!$F$5:$AU$5,0),FALSE)),0)</f>
        <v>0</v>
      </c>
      <c r="F734" s="523"/>
      <c r="G734" s="609">
        <f>IFERROR(VLOOKUP($B729,'PY1 TFR ADA'!$F:$AU,MATCH("b-1.4",'PY1 TFR ADA'!$F$5:$AU$5,0),FALSE),0)</f>
        <v>0</v>
      </c>
      <c r="H734" s="527"/>
      <c r="I734" s="609">
        <f>IFERROR(VLOOKUP($B729,'PY1 TFR ADA'!$F:$AU,MATCH("b-2.4",'PY1 TFR ADA'!$F$5:$AU$5,0),FALSE),0)</f>
        <v>0</v>
      </c>
      <c r="J734" s="527"/>
      <c r="K734" s="609">
        <f>IFERROR(VLOOKUP($B729,'PY1 TFR ADA'!$F:$AU,MATCH("b-3.4",'PY1 TFR ADA'!$F$5:$AU$5,0),FALSE),0)</f>
        <v>0</v>
      </c>
      <c r="L734" s="527"/>
      <c r="M734" s="609">
        <f>IFERROR(VLOOKUP($B729,'PY1 TFR ADA'!$F:$AU,MATCH("b-4.4",'PY1 TFR ADA'!$F$5:$AU$5,0),FALSE),0)</f>
        <v>0</v>
      </c>
      <c r="N734" s="527"/>
      <c r="O734" s="609">
        <f>IFERROR(VLOOKUP($B729,'PY1 TFR ADA'!$F:$AU,MATCH("b-5.4",'PY1 TFR ADA'!$F$5:$AU$5,0),FALSE),0)</f>
        <v>0</v>
      </c>
      <c r="P734" s="527"/>
      <c r="Q734" s="609">
        <f>IFERROR(VLOOKUP($B729,'PY1 TFR ADA'!$F:$AU,MATCH("b-6.4",'PY1 TFR ADA'!$F$5:$AU$5,0),FALSE),0)</f>
        <v>0</v>
      </c>
      <c r="R734" s="551"/>
      <c r="S734" s="601">
        <f t="shared" si="1078"/>
        <v>0</v>
      </c>
      <c r="T734" s="551"/>
      <c r="U734" s="536">
        <f t="shared" ref="U734" si="1082">ROUND(IF($G738="LCFF Rate",(G734*$C734),(G734*$E734))+IF($I738="LCFF Rate",(I734*$C734),(I734*$E734))+IF($K738="LCFF Rate",(K734*$C734),(K734*$E734))+IF($M738="LCFF Rate",(M734*$C734),(M734*$E734))+IF($O738="LCFF Rate",(O734*$C734),(O734*$E734))+IF($Q738="LCFF Rate",(Q734*$C734),(Q734*$E734)),0)</f>
        <v>0</v>
      </c>
      <c r="V734" s="522"/>
      <c r="X734" s="496"/>
    </row>
    <row r="735" spans="1:24" s="8" customFormat="1" ht="8.25" customHeight="1">
      <c r="A735" s="521"/>
      <c r="B735" s="167"/>
      <c r="C735" s="165"/>
      <c r="D735" s="523"/>
      <c r="E735" s="165"/>
      <c r="F735" s="523"/>
      <c r="G735" s="520"/>
      <c r="H735" s="523"/>
      <c r="I735" s="520"/>
      <c r="J735" s="523"/>
      <c r="K735" s="520"/>
      <c r="L735" s="523"/>
      <c r="M735" s="520"/>
      <c r="N735" s="523"/>
      <c r="O735" s="520"/>
      <c r="P735" s="523"/>
      <c r="Q735" s="520"/>
      <c r="R735" s="167"/>
      <c r="S735" s="520"/>
      <c r="T735" s="167"/>
      <c r="U735" s="602"/>
      <c r="V735" s="522"/>
      <c r="X735" s="4"/>
    </row>
    <row r="736" spans="1:24" s="8" customFormat="1" ht="14.4">
      <c r="A736" s="521"/>
      <c r="B736" s="167"/>
      <c r="C736" s="165"/>
      <c r="D736" s="523"/>
      <c r="E736" s="513" t="s">
        <v>1317</v>
      </c>
      <c r="F736" s="523"/>
      <c r="G736" s="601">
        <f t="shared" ref="G736" si="1083">SUM(G731:G734)</f>
        <v>0</v>
      </c>
      <c r="H736" s="527"/>
      <c r="I736" s="601">
        <f t="shared" ref="I736" si="1084">SUM(I731:I734)</f>
        <v>0</v>
      </c>
      <c r="J736" s="527"/>
      <c r="K736" s="601">
        <f t="shared" ref="K736" si="1085">SUM(K731:K734)</f>
        <v>0</v>
      </c>
      <c r="L736" s="527"/>
      <c r="M736" s="601">
        <f t="shared" ref="M736" si="1086">SUM(M731:M734)</f>
        <v>0</v>
      </c>
      <c r="N736" s="527"/>
      <c r="O736" s="601">
        <f t="shared" ref="O736" si="1087">SUM(O731:O734)</f>
        <v>0</v>
      </c>
      <c r="P736" s="527"/>
      <c r="Q736" s="601">
        <f t="shared" ref="Q736" si="1088">SUM(Q731:Q734)</f>
        <v>0</v>
      </c>
      <c r="R736" s="527"/>
      <c r="S736" s="601">
        <f t="shared" ref="S736" si="1089">SUM(S731:S734)</f>
        <v>0</v>
      </c>
      <c r="T736" s="527"/>
      <c r="U736" s="536">
        <f t="shared" ref="U736" si="1090">SUM(U731:U734)</f>
        <v>0</v>
      </c>
      <c r="V736" s="522"/>
      <c r="X736" s="4"/>
    </row>
    <row r="737" spans="1:24" s="8" customFormat="1" ht="8.25" customHeight="1">
      <c r="A737" s="521"/>
      <c r="B737" s="167"/>
      <c r="C737" s="165"/>
      <c r="D737" s="523"/>
      <c r="E737" s="165"/>
      <c r="F737" s="523"/>
      <c r="G737" s="520"/>
      <c r="H737" s="523"/>
      <c r="I737" s="520"/>
      <c r="J737" s="523"/>
      <c r="K737" s="520"/>
      <c r="L737" s="523"/>
      <c r="M737" s="520"/>
      <c r="N737" s="523"/>
      <c r="O737" s="520"/>
      <c r="P737" s="523"/>
      <c r="Q737" s="520"/>
      <c r="R737" s="167"/>
      <c r="S737" s="520"/>
      <c r="T737" s="167"/>
      <c r="U737" s="528"/>
      <c r="V737" s="522"/>
      <c r="X737" s="4"/>
    </row>
    <row r="738" spans="1:24" s="8" customFormat="1" ht="16.5" customHeight="1">
      <c r="A738" s="521"/>
      <c r="B738" s="167"/>
      <c r="C738" s="165"/>
      <c r="E738" s="513" t="s">
        <v>1304</v>
      </c>
      <c r="F738" s="523"/>
      <c r="G738" s="977">
        <f>_xlfn.IFNA(IF(VLOOKUP($B729,'PY1 TFR ADA'!$F:$AU,MATCH("B-1.5",'PY1 TFR ADA'!$F$5:$AU$5,0),FALSE)=TRUE,IF(VLOOKUP($B729,'PY1 TFR ADA'!$F:$AU,MATCH("C-1",'PY1 TFR ADA'!$F$5:$AU$5,0),FALSE)=TRUE,"Alternative Rate","LCFF Rate"),"LCFF Rate"),0)</f>
        <v>0</v>
      </c>
      <c r="H738" s="523"/>
      <c r="I738" s="977">
        <f>_xlfn.IFNA(IF(VLOOKUP($B729,'PY1 TFR ADA'!$F:$AU,MATCH("B-2.5",'PY1 TFR ADA'!$F$5:$AU$5,0),FALSE)=TRUE,IF(VLOOKUP($B729,'PY1 TFR ADA'!$F:$AU,MATCH("C-1",'PY1 TFR ADA'!$F$5:$AU$5,0),FALSE)=TRUE,"Alternative Rate","LCFF Rate"),"LCFF Rate"),0)</f>
        <v>0</v>
      </c>
      <c r="J738" s="523"/>
      <c r="K738" s="977">
        <f>_xlfn.IFNA(IF(VLOOKUP($B729,'PY1 TFR ADA'!$F:$AU,MATCH("B-3.5",'PY1 TFR ADA'!$F$5:$AU$5,0),FALSE)=TRUE,IF(VLOOKUP($B729,'PY1 TFR ADA'!$F:$AU,MATCH("C-1",'PY1 TFR ADA'!$F$5:$AU$5,0),FALSE)=TRUE,"Alternative Rate","LCFF Rate"),"LCFF Rate"),0)</f>
        <v>0</v>
      </c>
      <c r="L738" s="523"/>
      <c r="M738" s="977">
        <f>_xlfn.IFNA(IF(VLOOKUP($B729,'PY1 TFR ADA'!$F:$AU,MATCH("B-4.5",'PY1 TFR ADA'!$F$5:$AU$5,0),FALSE)=TRUE,IF(VLOOKUP($B729,'PY1 TFR ADA'!$F:$AU,MATCH("C-1",'PY1 TFR ADA'!$F$5:$AU$5,0),FALSE)=TRUE,"Alternative Rate","LCFF Rate"),"LCFF Rate"),0)</f>
        <v>0</v>
      </c>
      <c r="N738" s="523"/>
      <c r="O738" s="977">
        <f>_xlfn.IFNA(IF(VLOOKUP($B729,'PY1 TFR ADA'!$F:$AU,MATCH("B-5.5",'PY1 TFR ADA'!$F$5:$AU$5,0),FALSE)=TRUE,IF(VLOOKUP($B729,'PY1 TFR ADA'!$F:$AU,MATCH("C-1",'PY1 TFR ADA'!$F$5:$AU$5,0),FALSE)=TRUE,"Alternative Rate","LCFF Rate"),"LCFF Rate"),0)</f>
        <v>0</v>
      </c>
      <c r="P738" s="523"/>
      <c r="Q738" s="977">
        <f>_xlfn.IFNA(IF(VLOOKUP($B729,'PY1 TFR ADA'!$F:$AU,MATCH("B-6.5",'PY1 TFR ADA'!$F$5:$AU$5,0),FALSE)=TRUE,IF(VLOOKUP($B729,'PY1 TFR ADA'!$F:$AU,MATCH("C-1",'PY1 TFR ADA'!$F$5:$AU$5,0),FALSE)=TRUE,"Alternative Rate","LCFF Rate"),"LCFF Rate"),0)</f>
        <v>0</v>
      </c>
      <c r="R738" s="167"/>
      <c r="S738" s="520"/>
      <c r="T738" s="167"/>
      <c r="U738" s="528"/>
      <c r="V738" s="522"/>
      <c r="X738" s="283"/>
    </row>
    <row r="739" spans="1:24" s="8" customFormat="1" ht="8.25" customHeight="1">
      <c r="A739" s="521"/>
      <c r="B739" s="167"/>
      <c r="C739" s="165"/>
      <c r="D739" s="523"/>
      <c r="E739" s="165"/>
      <c r="F739" s="523"/>
      <c r="G739" s="520"/>
      <c r="H739" s="523"/>
      <c r="I739" s="520"/>
      <c r="J739" s="523"/>
      <c r="K739" s="520"/>
      <c r="L739" s="523"/>
      <c r="M739" s="520"/>
      <c r="N739" s="523"/>
      <c r="O739" s="520"/>
      <c r="P739" s="523"/>
      <c r="Q739" s="520"/>
      <c r="R739" s="167"/>
      <c r="S739" s="520"/>
      <c r="T739" s="167"/>
      <c r="U739" s="528"/>
      <c r="V739" s="522"/>
      <c r="X739" s="4"/>
    </row>
    <row r="740" spans="1:24" s="8" customFormat="1" ht="16.8">
      <c r="A740" s="521"/>
      <c r="B740" s="2"/>
      <c r="F740" s="523"/>
      <c r="G740" s="535">
        <f t="shared" ref="G740" si="1091">IF(G738="LCFF Rate",(G731*C731+G732*C732+G733*C733+G734*C734),(G736*E734))</f>
        <v>0</v>
      </c>
      <c r="H740" s="537"/>
      <c r="I740" s="535">
        <f t="shared" ref="I740" si="1092">IF(I738="LCFF Rate",(I731*C731+I732*C732+I733*C733+I734*C734),(I736*E734))</f>
        <v>0</v>
      </c>
      <c r="J740" s="537"/>
      <c r="K740" s="535">
        <f t="shared" ref="K740" si="1093">IF(K738="LCFF Rate",(K731*C731+K732*C732+K733*C733+K734*C734),(K736*E734))</f>
        <v>0</v>
      </c>
      <c r="L740" s="537"/>
      <c r="M740" s="535">
        <f t="shared" ref="M740" si="1094">IF(M738="LCFF Rate",(M731*C731+M732*C732+M733*C733+M734*C734),(M736*E734))</f>
        <v>0</v>
      </c>
      <c r="N740" s="537"/>
      <c r="O740" s="535">
        <f t="shared" ref="O740" si="1095">IF(O738="LCFF Rate",(O731*C731+O732*C732+O733*C733+O734*C734),(O736*E734))</f>
        <v>0</v>
      </c>
      <c r="P740" s="537"/>
      <c r="Q740" s="535">
        <f t="shared" ref="Q740" si="1096">IF(Q738="LCFF Rate",(Q731*C731+Q732*C732+Q733*C733+Q734*C734),(Q736*E734))</f>
        <v>0</v>
      </c>
      <c r="R740" s="167"/>
      <c r="S740" s="538">
        <f t="shared" ref="S740" si="1097">SUM(G740:Q740)</f>
        <v>0</v>
      </c>
      <c r="T740" s="167"/>
      <c r="U740" s="528"/>
      <c r="V740" s="522"/>
      <c r="X740" s="979"/>
    </row>
    <row r="741" spans="1:24" s="8" customFormat="1" ht="9" customHeight="1" thickBot="1">
      <c r="A741" s="529"/>
      <c r="B741" s="530"/>
      <c r="C741" s="531"/>
      <c r="D741" s="532"/>
      <c r="E741" s="533"/>
      <c r="F741" s="532"/>
      <c r="G741" s="530"/>
      <c r="H741" s="532"/>
      <c r="I741" s="530"/>
      <c r="J741" s="532"/>
      <c r="K741" s="530"/>
      <c r="L741" s="532"/>
      <c r="M741" s="530"/>
      <c r="N741" s="532"/>
      <c r="O741" s="530"/>
      <c r="P741" s="532"/>
      <c r="Q741" s="530"/>
      <c r="R741" s="532"/>
      <c r="S741" s="530"/>
      <c r="T741" s="532"/>
      <c r="U741" s="532"/>
      <c r="V741" s="534"/>
      <c r="X741" s="4"/>
    </row>
    <row r="742" spans="1:24" s="82" customFormat="1" ht="18" customHeight="1" thickBot="1">
      <c r="A742" s="890">
        <f>+A729+1</f>
        <v>57</v>
      </c>
      <c r="B742" s="891" t="str">
        <f>'Data Entry'!$B$3&amp;"-"&amp;C742</f>
        <v>-</v>
      </c>
      <c r="C742" s="891" t="str">
        <f>IFERROR(VLOOKUP('Data Entry'!$B$3&amp;"-"&amp;A742,'PY1 TFR ADA'!$D:$AT,2,FALSE),"")</f>
        <v/>
      </c>
      <c r="D742" s="892" t="str">
        <f>IFERROR(VLOOKUP('Data Entry'!$B$3&amp;"-"&amp;A742,'PY1 TFR ADA'!$D:$AT,4,FALSE),"")</f>
        <v/>
      </c>
      <c r="E742" s="893"/>
      <c r="F742" s="893"/>
      <c r="G742" s="893"/>
      <c r="H742" s="893"/>
      <c r="I742" s="893"/>
      <c r="J742" s="893"/>
      <c r="K742" s="893"/>
      <c r="L742" s="893"/>
      <c r="M742" s="893"/>
      <c r="N742" s="893"/>
      <c r="O742" s="893"/>
      <c r="P742" s="893"/>
      <c r="Q742" s="893"/>
      <c r="R742" s="893"/>
      <c r="S742" s="893"/>
      <c r="T742" s="893"/>
      <c r="U742" s="893"/>
      <c r="V742" s="894"/>
      <c r="X742" s="83"/>
    </row>
    <row r="743" spans="1:24" ht="75" customHeight="1">
      <c r="A743" s="521"/>
      <c r="C743" s="540" t="s">
        <v>1315</v>
      </c>
      <c r="D743" s="512"/>
      <c r="E743" s="540" t="s">
        <v>1316</v>
      </c>
      <c r="F743" s="512"/>
      <c r="G743" s="540" t="s">
        <v>1309</v>
      </c>
      <c r="H743" s="512"/>
      <c r="I743" s="540" t="s">
        <v>1310</v>
      </c>
      <c r="J743" s="512"/>
      <c r="K743" s="540" t="s">
        <v>1311</v>
      </c>
      <c r="L743" s="512"/>
      <c r="M743" s="540" t="s">
        <v>1312</v>
      </c>
      <c r="N743" s="512"/>
      <c r="O743" s="540" t="s">
        <v>1313</v>
      </c>
      <c r="P743" s="512"/>
      <c r="Q743" s="540" t="s">
        <v>1314</v>
      </c>
      <c r="R743" s="167"/>
      <c r="S743" s="540" t="s">
        <v>1308</v>
      </c>
      <c r="T743" s="167"/>
      <c r="U743" s="512" t="s">
        <v>1307</v>
      </c>
      <c r="V743" s="524"/>
      <c r="X743" s="283"/>
    </row>
    <row r="744" spans="1:24" s="8" customFormat="1" ht="14.4">
      <c r="A744" s="521"/>
      <c r="B744" s="510" t="s">
        <v>94</v>
      </c>
      <c r="C744" s="525">
        <f>IFERROR(VLOOKUP($B742,'PY1 TFR ADA'!$F:$AU,MATCH("A-1.1",'PY1 TFR ADA'!$F$5:$AU$5,0),FALSE),0)</f>
        <v>0</v>
      </c>
      <c r="D744" s="167"/>
      <c r="E744" s="525">
        <f>IFERROR(VALUE(VLOOKUP($B742,'PY1 TFR ADA'!$F:$AU,MATCH("A-2.1",'PY1 TFR ADA'!$F$5:$AU$5,0),FALSE)),0)</f>
        <v>0</v>
      </c>
      <c r="F744" s="167"/>
      <c r="G744" s="609">
        <f>IFERROR(VLOOKUP($B742,'PY1 TFR ADA'!$F:$AU,MATCH("b-1.1",'PY1 TFR ADA'!$F$5:$AU$5,0),FALSE),0)</f>
        <v>0</v>
      </c>
      <c r="H744" s="527"/>
      <c r="I744" s="609">
        <f>IFERROR(VLOOKUP($B742,'PY1 TFR ADA'!$F:$AU,MATCH("b-2.1",'PY1 TFR ADA'!$F$5:$AU$5,0),FALSE),0)</f>
        <v>0</v>
      </c>
      <c r="J744" s="527"/>
      <c r="K744" s="609">
        <f>IFERROR(VLOOKUP($B742,'PY1 TFR ADA'!$F:$AU,MATCH("b-3.1",'PY1 TFR ADA'!$F$5:$AU$5,0),FALSE),0)</f>
        <v>0</v>
      </c>
      <c r="L744" s="527"/>
      <c r="M744" s="609">
        <f>IFERROR(VLOOKUP($B742,'PY1 TFR ADA'!$F:$AU,MATCH("b-4.1",'PY1 TFR ADA'!$F$5:$AU$5,0),FALSE),0)</f>
        <v>0</v>
      </c>
      <c r="N744" s="527"/>
      <c r="O744" s="609">
        <f>IFERROR(VLOOKUP($B742,'PY1 TFR ADA'!$F:$AU,MATCH("b-5.1",'PY1 TFR ADA'!$F$5:$AU$5,0),FALSE),0)</f>
        <v>0</v>
      </c>
      <c r="P744" s="527"/>
      <c r="Q744" s="609">
        <f>IFERROR(VLOOKUP($B742,'PY1 TFR ADA'!$F:$AU,MATCH("b-6.1",'PY1 TFR ADA'!$F$5:$AU$5,0),FALSE),0)</f>
        <v>0</v>
      </c>
      <c r="R744" s="551"/>
      <c r="S744" s="601">
        <f t="shared" ref="S744:S747" si="1098">SUM(G744:Q744)</f>
        <v>0</v>
      </c>
      <c r="T744" s="551"/>
      <c r="U744" s="536">
        <f t="shared" ref="U744" si="1099">ROUND(IF($G751="LCFF Rate",(G744*$C744),(G744*$E744))+IF($I751="LCFF Rate",(I744*$C744),(I744*$E744))+IF($K751="LCFF Rate",(K744*$C744),(K744*$E744))+IF($M751="LCFF Rate",(M744*$C744),(M744*$E744))+IF($O751="LCFF Rate",(O744*$C744),(O744*$E744))+IF($Q751="LCFF Rate",(Q744*$C744),(Q744*$E744)),0)</f>
        <v>0</v>
      </c>
      <c r="V744" s="524"/>
      <c r="X744" s="496"/>
    </row>
    <row r="745" spans="1:24" s="8" customFormat="1" ht="14.4">
      <c r="A745" s="521"/>
      <c r="B745" s="510" t="s">
        <v>2</v>
      </c>
      <c r="C745" s="525">
        <f>IFERROR(VLOOKUP($B742,'PY1 TFR ADA'!$F:$AU,MATCH("A-1.2",'PY1 TFR ADA'!$F$5:$AU$5,0),FALSE),0)</f>
        <v>0</v>
      </c>
      <c r="D745" s="167"/>
      <c r="E745" s="525">
        <f>IFERROR(VALUE(VLOOKUP($B742,'PY1 TFR ADA'!$F:$AU,MATCH("A-2.2",'PY1 TFR ADA'!$F$5:$AU$5,0),FALSE)),0)</f>
        <v>0</v>
      </c>
      <c r="F745" s="167"/>
      <c r="G745" s="609">
        <f>IFERROR(VLOOKUP($B742,'PY1 TFR ADA'!$F:$AU,MATCH("b-1.2",'PY1 TFR ADA'!$F$5:$AU$5,0),FALSE),0)</f>
        <v>0</v>
      </c>
      <c r="H745" s="527"/>
      <c r="I745" s="609">
        <f>IFERROR(VLOOKUP($B742,'PY1 TFR ADA'!$F:$AU,MATCH("b-2.2",'PY1 TFR ADA'!$F$5:$AU$5,0),FALSE),0)</f>
        <v>0</v>
      </c>
      <c r="J745" s="527"/>
      <c r="K745" s="609">
        <f>IFERROR(VLOOKUP($B742,'PY1 TFR ADA'!$F:$AU,MATCH("b-3.2",'PY1 TFR ADA'!$F$5:$AU$5,0),FALSE),0)</f>
        <v>0</v>
      </c>
      <c r="L745" s="527"/>
      <c r="M745" s="609">
        <f>IFERROR(VLOOKUP($B742,'PY1 TFR ADA'!$F:$AU,MATCH("b-4.2",'PY1 TFR ADA'!$F$5:$AU$5,0),FALSE),0)</f>
        <v>0</v>
      </c>
      <c r="N745" s="527"/>
      <c r="O745" s="609">
        <f>IFERROR(VLOOKUP($B742,'PY1 TFR ADA'!$F:$AU,MATCH("b-5.2",'PY1 TFR ADA'!$F$5:$AU$5,0),FALSE),0)</f>
        <v>0</v>
      </c>
      <c r="P745" s="527"/>
      <c r="Q745" s="609">
        <f>IFERROR(VLOOKUP($B742,'PY1 TFR ADA'!$F:$AU,MATCH("b-6.2",'PY1 TFR ADA'!$F$5:$AU$5,0),FALSE),0)</f>
        <v>0</v>
      </c>
      <c r="R745" s="551"/>
      <c r="S745" s="601">
        <f t="shared" si="1098"/>
        <v>0</v>
      </c>
      <c r="T745" s="551"/>
      <c r="U745" s="536">
        <f t="shared" ref="U745" si="1100">ROUND(IF($G751="LCFF Rate",(G745*$C745),(G745*$E745))+IF($I751="LCFF Rate",(I745*$C745),(I745*$E745))+IF($K751="LCFF Rate",(K745*$C745),(K745*$E745))+IF($M751="LCFF Rate",(M745*$C745),(M745*$E745))+IF($O751="LCFF Rate",(O745*$C745),(O745*$E745))+IF($Q751="LCFF Rate",(Q745*$C745),(Q745*$E745)),0)</f>
        <v>0</v>
      </c>
      <c r="V745" s="524"/>
      <c r="X745" s="4"/>
    </row>
    <row r="746" spans="1:24" s="8" customFormat="1" ht="14.4">
      <c r="A746" s="521"/>
      <c r="B746" s="510" t="s">
        <v>3</v>
      </c>
      <c r="C746" s="525">
        <f>IFERROR(VLOOKUP($B742,'PY1 TFR ADA'!$F:$AU,MATCH("A-1.3",'PY1 TFR ADA'!$F$5:$AU$5,0),FALSE),0)</f>
        <v>0</v>
      </c>
      <c r="D746" s="167"/>
      <c r="E746" s="525">
        <f>IFERROR(VALUE(VLOOKUP($B742,'PY1 TFR ADA'!$F:$AU,MATCH("A-2.3",'PY1 TFR ADA'!$F$5:$AU$5,0),FALSE)),0)</f>
        <v>0</v>
      </c>
      <c r="F746" s="167"/>
      <c r="G746" s="609">
        <f>IFERROR(VLOOKUP($B742,'PY1 TFR ADA'!$F:$AU,MATCH("b-1.3",'PY1 TFR ADA'!$F$5:$AU$5,0),FALSE),0)</f>
        <v>0</v>
      </c>
      <c r="H746" s="527"/>
      <c r="I746" s="609">
        <f>IFERROR(VLOOKUP($B742,'PY1 TFR ADA'!$F:$AU,MATCH("b-2.3",'PY1 TFR ADA'!$F$5:$AU$5,0),FALSE),0)</f>
        <v>0</v>
      </c>
      <c r="J746" s="527"/>
      <c r="K746" s="609">
        <f>IFERROR(VLOOKUP($B742,'PY1 TFR ADA'!$F:$AU,MATCH("b-3.3",'PY1 TFR ADA'!$F$5:$AU$5,0),FALSE),0)</f>
        <v>0</v>
      </c>
      <c r="L746" s="527"/>
      <c r="M746" s="609">
        <f>IFERROR(VLOOKUP($B742,'PY1 TFR ADA'!$F:$AU,MATCH("b-4.3",'PY1 TFR ADA'!$F$5:$AU$5,0),FALSE),0)</f>
        <v>0</v>
      </c>
      <c r="N746" s="527"/>
      <c r="O746" s="609">
        <f>IFERROR(VLOOKUP($B742,'PY1 TFR ADA'!$F:$AU,MATCH("b-5.3",'PY1 TFR ADA'!$F$5:$AU$5,0),FALSE),0)</f>
        <v>0</v>
      </c>
      <c r="P746" s="527"/>
      <c r="Q746" s="609">
        <f>IFERROR(VLOOKUP($B742,'PY1 TFR ADA'!$F:$AU,MATCH("b-6.3",'PY1 TFR ADA'!$F$5:$AU$5,0),FALSE),0)</f>
        <v>0</v>
      </c>
      <c r="R746" s="551"/>
      <c r="S746" s="601">
        <f t="shared" si="1098"/>
        <v>0</v>
      </c>
      <c r="T746" s="551"/>
      <c r="U746" s="536">
        <f t="shared" ref="U746" si="1101">ROUND(IF($G751="LCFF Rate",(G746*$C746),(G746*$E746))+IF($I751="LCFF Rate",(I746*$C746),(I746*$E746))+IF($K751="LCFF Rate",(K746*$C746),(K746*$E746))+IF($M751="LCFF Rate",(M746*$C746),(M746*$E746))+IF($O751="LCFF Rate",(O746*$C746),(O746*$E746))+IF($Q751="LCFF Rate",(Q746*$C746),(Q746*$E746)),0)</f>
        <v>0</v>
      </c>
      <c r="V746" s="524"/>
      <c r="X746" s="4"/>
    </row>
    <row r="747" spans="1:24" s="8" customFormat="1" ht="14.4">
      <c r="A747" s="526"/>
      <c r="B747" s="510" t="s">
        <v>4</v>
      </c>
      <c r="C747" s="525">
        <f>IFERROR(VLOOKUP($B742,'PY1 TFR ADA'!$F:$AU,MATCH("A-1.4",'PY1 TFR ADA'!$F$5:$AU$5,0),FALSE),0)</f>
        <v>0</v>
      </c>
      <c r="D747" s="523"/>
      <c r="E747" s="525">
        <f>IFERROR(VALUE(VLOOKUP($B742,'PY1 TFR ADA'!$F:$AU,MATCH("A-2.4",'PY1 TFR ADA'!$F$5:$AU$5,0),FALSE)),0)</f>
        <v>0</v>
      </c>
      <c r="F747" s="523"/>
      <c r="G747" s="609">
        <f>IFERROR(VLOOKUP($B742,'PY1 TFR ADA'!$F:$AU,MATCH("b-1.4",'PY1 TFR ADA'!$F$5:$AU$5,0),FALSE),0)</f>
        <v>0</v>
      </c>
      <c r="H747" s="527"/>
      <c r="I747" s="609">
        <f>IFERROR(VLOOKUP($B742,'PY1 TFR ADA'!$F:$AU,MATCH("b-2.4",'PY1 TFR ADA'!$F$5:$AU$5,0),FALSE),0)</f>
        <v>0</v>
      </c>
      <c r="J747" s="527"/>
      <c r="K747" s="609">
        <f>IFERROR(VLOOKUP($B742,'PY1 TFR ADA'!$F:$AU,MATCH("b-3.4",'PY1 TFR ADA'!$F$5:$AU$5,0),FALSE),0)</f>
        <v>0</v>
      </c>
      <c r="L747" s="527"/>
      <c r="M747" s="609">
        <f>IFERROR(VLOOKUP($B742,'PY1 TFR ADA'!$F:$AU,MATCH("b-4.4",'PY1 TFR ADA'!$F$5:$AU$5,0),FALSE),0)</f>
        <v>0</v>
      </c>
      <c r="N747" s="527"/>
      <c r="O747" s="609">
        <f>IFERROR(VLOOKUP($B742,'PY1 TFR ADA'!$F:$AU,MATCH("b-5.4",'PY1 TFR ADA'!$F$5:$AU$5,0),FALSE),0)</f>
        <v>0</v>
      </c>
      <c r="P747" s="527"/>
      <c r="Q747" s="609">
        <f>IFERROR(VLOOKUP($B742,'PY1 TFR ADA'!$F:$AU,MATCH("b-6.4",'PY1 TFR ADA'!$F$5:$AU$5,0),FALSE),0)</f>
        <v>0</v>
      </c>
      <c r="R747" s="551"/>
      <c r="S747" s="601">
        <f t="shared" si="1098"/>
        <v>0</v>
      </c>
      <c r="T747" s="551"/>
      <c r="U747" s="536">
        <f t="shared" ref="U747" si="1102">ROUND(IF($G751="LCFF Rate",(G747*$C747),(G747*$E747))+IF($I751="LCFF Rate",(I747*$C747),(I747*$E747))+IF($K751="LCFF Rate",(K747*$C747),(K747*$E747))+IF($M751="LCFF Rate",(M747*$C747),(M747*$E747))+IF($O751="LCFF Rate",(O747*$C747),(O747*$E747))+IF($Q751="LCFF Rate",(Q747*$C747),(Q747*$E747)),0)</f>
        <v>0</v>
      </c>
      <c r="V747" s="522"/>
      <c r="X747" s="496"/>
    </row>
    <row r="748" spans="1:24" s="8" customFormat="1" ht="8.25" customHeight="1">
      <c r="A748" s="521"/>
      <c r="B748" s="167"/>
      <c r="C748" s="165"/>
      <c r="D748" s="523"/>
      <c r="E748" s="165"/>
      <c r="F748" s="523"/>
      <c r="G748" s="520"/>
      <c r="H748" s="523"/>
      <c r="I748" s="520"/>
      <c r="J748" s="523"/>
      <c r="K748" s="520"/>
      <c r="L748" s="523"/>
      <c r="M748" s="520"/>
      <c r="N748" s="523"/>
      <c r="O748" s="520"/>
      <c r="P748" s="523"/>
      <c r="Q748" s="520"/>
      <c r="R748" s="167"/>
      <c r="S748" s="520"/>
      <c r="T748" s="167"/>
      <c r="U748" s="602"/>
      <c r="V748" s="522"/>
      <c r="X748" s="4"/>
    </row>
    <row r="749" spans="1:24" s="8" customFormat="1" ht="14.4">
      <c r="A749" s="521"/>
      <c r="B749" s="167"/>
      <c r="C749" s="165"/>
      <c r="D749" s="523"/>
      <c r="E749" s="513" t="s">
        <v>1317</v>
      </c>
      <c r="F749" s="523"/>
      <c r="G749" s="601">
        <f t="shared" ref="G749" si="1103">SUM(G744:G747)</f>
        <v>0</v>
      </c>
      <c r="H749" s="527"/>
      <c r="I749" s="601">
        <f t="shared" ref="I749" si="1104">SUM(I744:I747)</f>
        <v>0</v>
      </c>
      <c r="J749" s="527"/>
      <c r="K749" s="601">
        <f t="shared" ref="K749" si="1105">SUM(K744:K747)</f>
        <v>0</v>
      </c>
      <c r="L749" s="527"/>
      <c r="M749" s="601">
        <f t="shared" ref="M749" si="1106">SUM(M744:M747)</f>
        <v>0</v>
      </c>
      <c r="N749" s="527"/>
      <c r="O749" s="601">
        <f t="shared" ref="O749" si="1107">SUM(O744:O747)</f>
        <v>0</v>
      </c>
      <c r="P749" s="527"/>
      <c r="Q749" s="601">
        <f t="shared" ref="Q749" si="1108">SUM(Q744:Q747)</f>
        <v>0</v>
      </c>
      <c r="R749" s="527"/>
      <c r="S749" s="601">
        <f t="shared" ref="S749" si="1109">SUM(S744:S747)</f>
        <v>0</v>
      </c>
      <c r="T749" s="527"/>
      <c r="U749" s="536">
        <f t="shared" ref="U749" si="1110">SUM(U744:U747)</f>
        <v>0</v>
      </c>
      <c r="V749" s="522"/>
      <c r="X749" s="4"/>
    </row>
    <row r="750" spans="1:24" s="8" customFormat="1" ht="8.25" customHeight="1">
      <c r="A750" s="521"/>
      <c r="B750" s="167"/>
      <c r="C750" s="165"/>
      <c r="D750" s="523"/>
      <c r="E750" s="165"/>
      <c r="F750" s="523"/>
      <c r="G750" s="520"/>
      <c r="H750" s="523"/>
      <c r="I750" s="520"/>
      <c r="J750" s="523"/>
      <c r="K750" s="520"/>
      <c r="L750" s="523"/>
      <c r="M750" s="520"/>
      <c r="N750" s="523"/>
      <c r="O750" s="520"/>
      <c r="P750" s="523"/>
      <c r="Q750" s="520"/>
      <c r="R750" s="167"/>
      <c r="S750" s="520"/>
      <c r="T750" s="167"/>
      <c r="U750" s="528"/>
      <c r="V750" s="522"/>
      <c r="X750" s="4"/>
    </row>
    <row r="751" spans="1:24" s="8" customFormat="1" ht="16.5" customHeight="1">
      <c r="A751" s="521"/>
      <c r="B751" s="167"/>
      <c r="C751" s="165"/>
      <c r="E751" s="513" t="s">
        <v>1304</v>
      </c>
      <c r="F751" s="523"/>
      <c r="G751" s="977">
        <f>_xlfn.IFNA(IF(VLOOKUP($B742,'PY1 TFR ADA'!$F:$AU,MATCH("B-1.5",'PY1 TFR ADA'!$F$5:$AU$5,0),FALSE)=TRUE,IF(VLOOKUP($B742,'PY1 TFR ADA'!$F:$AU,MATCH("C-1",'PY1 TFR ADA'!$F$5:$AU$5,0),FALSE)=TRUE,"Alternative Rate","LCFF Rate"),"LCFF Rate"),0)</f>
        <v>0</v>
      </c>
      <c r="H751" s="523"/>
      <c r="I751" s="977">
        <f>_xlfn.IFNA(IF(VLOOKUP($B742,'PY1 TFR ADA'!$F:$AU,MATCH("B-2.5",'PY1 TFR ADA'!$F$5:$AU$5,0),FALSE)=TRUE,IF(VLOOKUP($B742,'PY1 TFR ADA'!$F:$AU,MATCH("C-1",'PY1 TFR ADA'!$F$5:$AU$5,0),FALSE)=TRUE,"Alternative Rate","LCFF Rate"),"LCFF Rate"),0)</f>
        <v>0</v>
      </c>
      <c r="J751" s="523"/>
      <c r="K751" s="977">
        <f>_xlfn.IFNA(IF(VLOOKUP($B742,'PY1 TFR ADA'!$F:$AU,MATCH("B-3.5",'PY1 TFR ADA'!$F$5:$AU$5,0),FALSE)=TRUE,IF(VLOOKUP($B742,'PY1 TFR ADA'!$F:$AU,MATCH("C-1",'PY1 TFR ADA'!$F$5:$AU$5,0),FALSE)=TRUE,"Alternative Rate","LCFF Rate"),"LCFF Rate"),0)</f>
        <v>0</v>
      </c>
      <c r="L751" s="523"/>
      <c r="M751" s="977">
        <f>_xlfn.IFNA(IF(VLOOKUP($B742,'PY1 TFR ADA'!$F:$AU,MATCH("B-4.5",'PY1 TFR ADA'!$F$5:$AU$5,0),FALSE)=TRUE,IF(VLOOKUP($B742,'PY1 TFR ADA'!$F:$AU,MATCH("C-1",'PY1 TFR ADA'!$F$5:$AU$5,0),FALSE)=TRUE,"Alternative Rate","LCFF Rate"),"LCFF Rate"),0)</f>
        <v>0</v>
      </c>
      <c r="N751" s="523"/>
      <c r="O751" s="977">
        <f>_xlfn.IFNA(IF(VLOOKUP($B742,'PY1 TFR ADA'!$F:$AU,MATCH("B-5.5",'PY1 TFR ADA'!$F$5:$AU$5,0),FALSE)=TRUE,IF(VLOOKUP($B742,'PY1 TFR ADA'!$F:$AU,MATCH("C-1",'PY1 TFR ADA'!$F$5:$AU$5,0),FALSE)=TRUE,"Alternative Rate","LCFF Rate"),"LCFF Rate"),0)</f>
        <v>0</v>
      </c>
      <c r="P751" s="523"/>
      <c r="Q751" s="977">
        <f>_xlfn.IFNA(IF(VLOOKUP($B742,'PY1 TFR ADA'!$F:$AU,MATCH("B-6.5",'PY1 TFR ADA'!$F$5:$AU$5,0),FALSE)=TRUE,IF(VLOOKUP($B742,'PY1 TFR ADA'!$F:$AU,MATCH("C-1",'PY1 TFR ADA'!$F$5:$AU$5,0),FALSE)=TRUE,"Alternative Rate","LCFF Rate"),"LCFF Rate"),0)</f>
        <v>0</v>
      </c>
      <c r="R751" s="167"/>
      <c r="S751" s="520"/>
      <c r="T751" s="167"/>
      <c r="U751" s="528"/>
      <c r="V751" s="522"/>
      <c r="X751" s="283"/>
    </row>
    <row r="752" spans="1:24" s="8" customFormat="1" ht="8.25" customHeight="1">
      <c r="A752" s="521"/>
      <c r="B752" s="167"/>
      <c r="C752" s="165"/>
      <c r="D752" s="523"/>
      <c r="E752" s="165"/>
      <c r="F752" s="523"/>
      <c r="G752" s="520"/>
      <c r="H752" s="523"/>
      <c r="I752" s="520"/>
      <c r="J752" s="523"/>
      <c r="K752" s="520"/>
      <c r="L752" s="523"/>
      <c r="M752" s="520"/>
      <c r="N752" s="523"/>
      <c r="O752" s="520"/>
      <c r="P752" s="523"/>
      <c r="Q752" s="520"/>
      <c r="R752" s="167"/>
      <c r="S752" s="520"/>
      <c r="T752" s="167"/>
      <c r="U752" s="528"/>
      <c r="V752" s="522"/>
      <c r="X752" s="4"/>
    </row>
    <row r="753" spans="1:24" s="8" customFormat="1" ht="16.8">
      <c r="A753" s="521"/>
      <c r="B753" s="2"/>
      <c r="F753" s="523"/>
      <c r="G753" s="535">
        <f t="shared" ref="G753" si="1111">IF(G751="LCFF Rate",(G744*C744+G745*C745+G746*C746+G747*C747),(G749*E747))</f>
        <v>0</v>
      </c>
      <c r="H753" s="537"/>
      <c r="I753" s="535">
        <f t="shared" ref="I753" si="1112">IF(I751="LCFF Rate",(I744*C744+I745*C745+I746*C746+I747*C747),(I749*E747))</f>
        <v>0</v>
      </c>
      <c r="J753" s="537"/>
      <c r="K753" s="535">
        <f t="shared" ref="K753" si="1113">IF(K751="LCFF Rate",(K744*C744+K745*C745+K746*C746+K747*C747),(K749*E747))</f>
        <v>0</v>
      </c>
      <c r="L753" s="537"/>
      <c r="M753" s="535">
        <f t="shared" ref="M753" si="1114">IF(M751="LCFF Rate",(M744*C744+M745*C745+M746*C746+M747*C747),(M749*E747))</f>
        <v>0</v>
      </c>
      <c r="N753" s="537"/>
      <c r="O753" s="535">
        <f t="shared" ref="O753" si="1115">IF(O751="LCFF Rate",(O744*C744+O745*C745+O746*C746+O747*C747),(O749*E747))</f>
        <v>0</v>
      </c>
      <c r="P753" s="537"/>
      <c r="Q753" s="535">
        <f t="shared" ref="Q753" si="1116">IF(Q751="LCFF Rate",(Q744*C744+Q745*C745+Q746*C746+Q747*C747),(Q749*E747))</f>
        <v>0</v>
      </c>
      <c r="R753" s="167"/>
      <c r="S753" s="538">
        <f t="shared" ref="S753" si="1117">SUM(G753:Q753)</f>
        <v>0</v>
      </c>
      <c r="T753" s="167"/>
      <c r="U753" s="528"/>
      <c r="V753" s="522"/>
      <c r="X753" s="979"/>
    </row>
    <row r="754" spans="1:24" s="8" customFormat="1" ht="9" customHeight="1" thickBot="1">
      <c r="A754" s="529"/>
      <c r="B754" s="530"/>
      <c r="C754" s="531"/>
      <c r="D754" s="532"/>
      <c r="E754" s="533"/>
      <c r="F754" s="532"/>
      <c r="G754" s="530"/>
      <c r="H754" s="532"/>
      <c r="I754" s="530"/>
      <c r="J754" s="532"/>
      <c r="K754" s="530"/>
      <c r="L754" s="532"/>
      <c r="M754" s="530"/>
      <c r="N754" s="532"/>
      <c r="O754" s="530"/>
      <c r="P754" s="532"/>
      <c r="Q754" s="530"/>
      <c r="R754" s="532"/>
      <c r="S754" s="530"/>
      <c r="T754" s="532"/>
      <c r="U754" s="532"/>
      <c r="V754" s="534"/>
      <c r="X754" s="4"/>
    </row>
    <row r="755" spans="1:24" s="82" customFormat="1" ht="18" customHeight="1" thickBot="1">
      <c r="A755" s="890">
        <f>+A742+1</f>
        <v>58</v>
      </c>
      <c r="B755" s="891" t="str">
        <f>'Data Entry'!$B$3&amp;"-"&amp;C755</f>
        <v>-</v>
      </c>
      <c r="C755" s="891" t="str">
        <f>IFERROR(VLOOKUP('Data Entry'!$B$3&amp;"-"&amp;A755,'PY1 TFR ADA'!$D:$AT,2,FALSE),"")</f>
        <v/>
      </c>
      <c r="D755" s="892" t="str">
        <f>IFERROR(VLOOKUP('Data Entry'!$B$3&amp;"-"&amp;A755,'PY1 TFR ADA'!$D:$AT,4,FALSE),"")</f>
        <v/>
      </c>
      <c r="E755" s="893"/>
      <c r="F755" s="893"/>
      <c r="G755" s="893"/>
      <c r="H755" s="893"/>
      <c r="I755" s="893"/>
      <c r="J755" s="893"/>
      <c r="K755" s="893"/>
      <c r="L755" s="893"/>
      <c r="M755" s="893"/>
      <c r="N755" s="893"/>
      <c r="O755" s="893"/>
      <c r="P755" s="893"/>
      <c r="Q755" s="893"/>
      <c r="R755" s="893"/>
      <c r="S755" s="893"/>
      <c r="T755" s="893"/>
      <c r="U755" s="893"/>
      <c r="V755" s="894"/>
      <c r="X755" s="83"/>
    </row>
    <row r="756" spans="1:24" ht="75" customHeight="1">
      <c r="A756" s="521"/>
      <c r="C756" s="540" t="s">
        <v>1315</v>
      </c>
      <c r="D756" s="512"/>
      <c r="E756" s="540" t="s">
        <v>1316</v>
      </c>
      <c r="F756" s="512"/>
      <c r="G756" s="540" t="s">
        <v>1309</v>
      </c>
      <c r="H756" s="512"/>
      <c r="I756" s="540" t="s">
        <v>1310</v>
      </c>
      <c r="J756" s="512"/>
      <c r="K756" s="540" t="s">
        <v>1311</v>
      </c>
      <c r="L756" s="512"/>
      <c r="M756" s="540" t="s">
        <v>1312</v>
      </c>
      <c r="N756" s="512"/>
      <c r="O756" s="540" t="s">
        <v>1313</v>
      </c>
      <c r="P756" s="512"/>
      <c r="Q756" s="540" t="s">
        <v>1314</v>
      </c>
      <c r="R756" s="167"/>
      <c r="S756" s="540" t="s">
        <v>1308</v>
      </c>
      <c r="T756" s="167"/>
      <c r="U756" s="512" t="s">
        <v>1307</v>
      </c>
      <c r="V756" s="524"/>
      <c r="X756" s="283"/>
    </row>
    <row r="757" spans="1:24" s="8" customFormat="1" ht="14.4">
      <c r="A757" s="521"/>
      <c r="B757" s="510" t="s">
        <v>94</v>
      </c>
      <c r="C757" s="525">
        <f>IFERROR(VLOOKUP($B755,'PY1 TFR ADA'!$F:$AU,MATCH("A-1.1",'PY1 TFR ADA'!$F$5:$AU$5,0),FALSE),0)</f>
        <v>0</v>
      </c>
      <c r="D757" s="167"/>
      <c r="E757" s="525">
        <f>IFERROR(VALUE(VLOOKUP($B755,'PY1 TFR ADA'!$F:$AU,MATCH("A-2.1",'PY1 TFR ADA'!$F$5:$AU$5,0),FALSE)),0)</f>
        <v>0</v>
      </c>
      <c r="F757" s="167"/>
      <c r="G757" s="609">
        <f>IFERROR(VLOOKUP($B755,'PY1 TFR ADA'!$F:$AU,MATCH("b-1.1",'PY1 TFR ADA'!$F$5:$AU$5,0),FALSE),0)</f>
        <v>0</v>
      </c>
      <c r="H757" s="527"/>
      <c r="I757" s="609">
        <f>IFERROR(VLOOKUP($B755,'PY1 TFR ADA'!$F:$AU,MATCH("b-2.1",'PY1 TFR ADA'!$F$5:$AU$5,0),FALSE),0)</f>
        <v>0</v>
      </c>
      <c r="J757" s="527"/>
      <c r="K757" s="609">
        <f>IFERROR(VLOOKUP($B755,'PY1 TFR ADA'!$F:$AU,MATCH("b-3.1",'PY1 TFR ADA'!$F$5:$AU$5,0),FALSE),0)</f>
        <v>0</v>
      </c>
      <c r="L757" s="527"/>
      <c r="M757" s="609">
        <f>IFERROR(VLOOKUP($B755,'PY1 TFR ADA'!$F:$AU,MATCH("b-4.1",'PY1 TFR ADA'!$F$5:$AU$5,0),FALSE),0)</f>
        <v>0</v>
      </c>
      <c r="N757" s="527"/>
      <c r="O757" s="609">
        <f>IFERROR(VLOOKUP($B755,'PY1 TFR ADA'!$F:$AU,MATCH("b-5.1",'PY1 TFR ADA'!$F$5:$AU$5,0),FALSE),0)</f>
        <v>0</v>
      </c>
      <c r="P757" s="527"/>
      <c r="Q757" s="609">
        <f>IFERROR(VLOOKUP($B755,'PY1 TFR ADA'!$F:$AU,MATCH("b-6.1",'PY1 TFR ADA'!$F$5:$AU$5,0),FALSE),0)</f>
        <v>0</v>
      </c>
      <c r="R757" s="551"/>
      <c r="S757" s="601">
        <f t="shared" ref="S757:S760" si="1118">SUM(G757:Q757)</f>
        <v>0</v>
      </c>
      <c r="T757" s="551"/>
      <c r="U757" s="536">
        <f t="shared" ref="U757" si="1119">ROUND(IF($G764="LCFF Rate",(G757*$C757),(G757*$E757))+IF($I764="LCFF Rate",(I757*$C757),(I757*$E757))+IF($K764="LCFF Rate",(K757*$C757),(K757*$E757))+IF($M764="LCFF Rate",(M757*$C757),(M757*$E757))+IF($O764="LCFF Rate",(O757*$C757),(O757*$E757))+IF($Q764="LCFF Rate",(Q757*$C757),(Q757*$E757)),0)</f>
        <v>0</v>
      </c>
      <c r="V757" s="524"/>
      <c r="X757" s="496"/>
    </row>
    <row r="758" spans="1:24" s="8" customFormat="1" ht="14.4">
      <c r="A758" s="521"/>
      <c r="B758" s="510" t="s">
        <v>2</v>
      </c>
      <c r="C758" s="525">
        <f>IFERROR(VLOOKUP($B755,'PY1 TFR ADA'!$F:$AU,MATCH("A-1.2",'PY1 TFR ADA'!$F$5:$AU$5,0),FALSE),0)</f>
        <v>0</v>
      </c>
      <c r="D758" s="167"/>
      <c r="E758" s="525">
        <f>IFERROR(VALUE(VLOOKUP($B755,'PY1 TFR ADA'!$F:$AU,MATCH("A-2.2",'PY1 TFR ADA'!$F$5:$AU$5,0),FALSE)),0)</f>
        <v>0</v>
      </c>
      <c r="F758" s="167"/>
      <c r="G758" s="609">
        <f>IFERROR(VLOOKUP($B755,'PY1 TFR ADA'!$F:$AU,MATCH("b-1.2",'PY1 TFR ADA'!$F$5:$AU$5,0),FALSE),0)</f>
        <v>0</v>
      </c>
      <c r="H758" s="527"/>
      <c r="I758" s="609">
        <f>IFERROR(VLOOKUP($B755,'PY1 TFR ADA'!$F:$AU,MATCH("b-2.2",'PY1 TFR ADA'!$F$5:$AU$5,0),FALSE),0)</f>
        <v>0</v>
      </c>
      <c r="J758" s="527"/>
      <c r="K758" s="609">
        <f>IFERROR(VLOOKUP($B755,'PY1 TFR ADA'!$F:$AU,MATCH("b-3.2",'PY1 TFR ADA'!$F$5:$AU$5,0),FALSE),0)</f>
        <v>0</v>
      </c>
      <c r="L758" s="527"/>
      <c r="M758" s="609">
        <f>IFERROR(VLOOKUP($B755,'PY1 TFR ADA'!$F:$AU,MATCH("b-4.2",'PY1 TFR ADA'!$F$5:$AU$5,0),FALSE),0)</f>
        <v>0</v>
      </c>
      <c r="N758" s="527"/>
      <c r="O758" s="609">
        <f>IFERROR(VLOOKUP($B755,'PY1 TFR ADA'!$F:$AU,MATCH("b-5.2",'PY1 TFR ADA'!$F$5:$AU$5,0),FALSE),0)</f>
        <v>0</v>
      </c>
      <c r="P758" s="527"/>
      <c r="Q758" s="609">
        <f>IFERROR(VLOOKUP($B755,'PY1 TFR ADA'!$F:$AU,MATCH("b-6.2",'PY1 TFR ADA'!$F$5:$AU$5,0),FALSE),0)</f>
        <v>0</v>
      </c>
      <c r="R758" s="551"/>
      <c r="S758" s="601">
        <f t="shared" si="1118"/>
        <v>0</v>
      </c>
      <c r="T758" s="551"/>
      <c r="U758" s="536">
        <f t="shared" ref="U758" si="1120">ROUND(IF($G764="LCFF Rate",(G758*$C758),(G758*$E758))+IF($I764="LCFF Rate",(I758*$C758),(I758*$E758))+IF($K764="LCFF Rate",(K758*$C758),(K758*$E758))+IF($M764="LCFF Rate",(M758*$C758),(M758*$E758))+IF($O764="LCFF Rate",(O758*$C758),(O758*$E758))+IF($Q764="LCFF Rate",(Q758*$C758),(Q758*$E758)),0)</f>
        <v>0</v>
      </c>
      <c r="V758" s="524"/>
      <c r="X758" s="4"/>
    </row>
    <row r="759" spans="1:24" s="8" customFormat="1" ht="14.4">
      <c r="A759" s="521"/>
      <c r="B759" s="510" t="s">
        <v>3</v>
      </c>
      <c r="C759" s="525">
        <f>IFERROR(VLOOKUP($B755,'PY1 TFR ADA'!$F:$AU,MATCH("A-1.3",'PY1 TFR ADA'!$F$5:$AU$5,0),FALSE),0)</f>
        <v>0</v>
      </c>
      <c r="D759" s="167"/>
      <c r="E759" s="525">
        <f>IFERROR(VALUE(VLOOKUP($B755,'PY1 TFR ADA'!$F:$AU,MATCH("A-2.3",'PY1 TFR ADA'!$F$5:$AU$5,0),FALSE)),0)</f>
        <v>0</v>
      </c>
      <c r="F759" s="167"/>
      <c r="G759" s="609">
        <f>IFERROR(VLOOKUP($B755,'PY1 TFR ADA'!$F:$AU,MATCH("b-1.3",'PY1 TFR ADA'!$F$5:$AU$5,0),FALSE),0)</f>
        <v>0</v>
      </c>
      <c r="H759" s="527"/>
      <c r="I759" s="609">
        <f>IFERROR(VLOOKUP($B755,'PY1 TFR ADA'!$F:$AU,MATCH("b-2.3",'PY1 TFR ADA'!$F$5:$AU$5,0),FALSE),0)</f>
        <v>0</v>
      </c>
      <c r="J759" s="527"/>
      <c r="K759" s="609">
        <f>IFERROR(VLOOKUP($B755,'PY1 TFR ADA'!$F:$AU,MATCH("b-3.3",'PY1 TFR ADA'!$F$5:$AU$5,0),FALSE),0)</f>
        <v>0</v>
      </c>
      <c r="L759" s="527"/>
      <c r="M759" s="609">
        <f>IFERROR(VLOOKUP($B755,'PY1 TFR ADA'!$F:$AU,MATCH("b-4.3",'PY1 TFR ADA'!$F$5:$AU$5,0),FALSE),0)</f>
        <v>0</v>
      </c>
      <c r="N759" s="527"/>
      <c r="O759" s="609">
        <f>IFERROR(VLOOKUP($B755,'PY1 TFR ADA'!$F:$AU,MATCH("b-5.3",'PY1 TFR ADA'!$F$5:$AU$5,0),FALSE),0)</f>
        <v>0</v>
      </c>
      <c r="P759" s="527"/>
      <c r="Q759" s="609">
        <f>IFERROR(VLOOKUP($B755,'PY1 TFR ADA'!$F:$AU,MATCH("b-6.3",'PY1 TFR ADA'!$F$5:$AU$5,0),FALSE),0)</f>
        <v>0</v>
      </c>
      <c r="R759" s="551"/>
      <c r="S759" s="601">
        <f t="shared" si="1118"/>
        <v>0</v>
      </c>
      <c r="T759" s="551"/>
      <c r="U759" s="536">
        <f t="shared" ref="U759" si="1121">ROUND(IF($G764="LCFF Rate",(G759*$C759),(G759*$E759))+IF($I764="LCFF Rate",(I759*$C759),(I759*$E759))+IF($K764="LCFF Rate",(K759*$C759),(K759*$E759))+IF($M764="LCFF Rate",(M759*$C759),(M759*$E759))+IF($O764="LCFF Rate",(O759*$C759),(O759*$E759))+IF($Q764="LCFF Rate",(Q759*$C759),(Q759*$E759)),0)</f>
        <v>0</v>
      </c>
      <c r="V759" s="524"/>
      <c r="X759" s="4"/>
    </row>
    <row r="760" spans="1:24" s="8" customFormat="1" ht="14.4">
      <c r="A760" s="526"/>
      <c r="B760" s="510" t="s">
        <v>4</v>
      </c>
      <c r="C760" s="525">
        <f>IFERROR(VLOOKUP($B755,'PY1 TFR ADA'!$F:$AU,MATCH("A-1.4",'PY1 TFR ADA'!$F$5:$AU$5,0),FALSE),0)</f>
        <v>0</v>
      </c>
      <c r="D760" s="523"/>
      <c r="E760" s="525">
        <f>IFERROR(VALUE(VLOOKUP($B755,'PY1 TFR ADA'!$F:$AU,MATCH("A-2.4",'PY1 TFR ADA'!$F$5:$AU$5,0),FALSE)),0)</f>
        <v>0</v>
      </c>
      <c r="F760" s="523"/>
      <c r="G760" s="609">
        <f>IFERROR(VLOOKUP($B755,'PY1 TFR ADA'!$F:$AU,MATCH("b-1.4",'PY1 TFR ADA'!$F$5:$AU$5,0),FALSE),0)</f>
        <v>0</v>
      </c>
      <c r="H760" s="527"/>
      <c r="I760" s="609">
        <f>IFERROR(VLOOKUP($B755,'PY1 TFR ADA'!$F:$AU,MATCH("b-2.4",'PY1 TFR ADA'!$F$5:$AU$5,0),FALSE),0)</f>
        <v>0</v>
      </c>
      <c r="J760" s="527"/>
      <c r="K760" s="609">
        <f>IFERROR(VLOOKUP($B755,'PY1 TFR ADA'!$F:$AU,MATCH("b-3.4",'PY1 TFR ADA'!$F$5:$AU$5,0),FALSE),0)</f>
        <v>0</v>
      </c>
      <c r="L760" s="527"/>
      <c r="M760" s="609">
        <f>IFERROR(VLOOKUP($B755,'PY1 TFR ADA'!$F:$AU,MATCH("b-4.4",'PY1 TFR ADA'!$F$5:$AU$5,0),FALSE),0)</f>
        <v>0</v>
      </c>
      <c r="N760" s="527"/>
      <c r="O760" s="609">
        <f>IFERROR(VLOOKUP($B755,'PY1 TFR ADA'!$F:$AU,MATCH("b-5.4",'PY1 TFR ADA'!$F$5:$AU$5,0),FALSE),0)</f>
        <v>0</v>
      </c>
      <c r="P760" s="527"/>
      <c r="Q760" s="609">
        <f>IFERROR(VLOOKUP($B755,'PY1 TFR ADA'!$F:$AU,MATCH("b-6.4",'PY1 TFR ADA'!$F$5:$AU$5,0),FALSE),0)</f>
        <v>0</v>
      </c>
      <c r="R760" s="551"/>
      <c r="S760" s="601">
        <f t="shared" si="1118"/>
        <v>0</v>
      </c>
      <c r="T760" s="551"/>
      <c r="U760" s="536">
        <f t="shared" ref="U760" si="1122">ROUND(IF($G764="LCFF Rate",(G760*$C760),(G760*$E760))+IF($I764="LCFF Rate",(I760*$C760),(I760*$E760))+IF($K764="LCFF Rate",(K760*$C760),(K760*$E760))+IF($M764="LCFF Rate",(M760*$C760),(M760*$E760))+IF($O764="LCFF Rate",(O760*$C760),(O760*$E760))+IF($Q764="LCFF Rate",(Q760*$C760),(Q760*$E760)),0)</f>
        <v>0</v>
      </c>
      <c r="V760" s="522"/>
      <c r="X760" s="496"/>
    </row>
    <row r="761" spans="1:24" s="8" customFormat="1" ht="8.25" customHeight="1">
      <c r="A761" s="521"/>
      <c r="B761" s="167"/>
      <c r="C761" s="165"/>
      <c r="D761" s="523"/>
      <c r="E761" s="165"/>
      <c r="F761" s="523"/>
      <c r="G761" s="520"/>
      <c r="H761" s="523"/>
      <c r="I761" s="520"/>
      <c r="J761" s="523"/>
      <c r="K761" s="520"/>
      <c r="L761" s="523"/>
      <c r="M761" s="520"/>
      <c r="N761" s="523"/>
      <c r="O761" s="520"/>
      <c r="P761" s="523"/>
      <c r="Q761" s="520"/>
      <c r="R761" s="167"/>
      <c r="S761" s="520"/>
      <c r="T761" s="167"/>
      <c r="U761" s="602"/>
      <c r="V761" s="522"/>
      <c r="X761" s="4"/>
    </row>
    <row r="762" spans="1:24" s="8" customFormat="1" ht="14.4">
      <c r="A762" s="521"/>
      <c r="B762" s="167"/>
      <c r="C762" s="165"/>
      <c r="D762" s="523"/>
      <c r="E762" s="513" t="s">
        <v>1317</v>
      </c>
      <c r="F762" s="523"/>
      <c r="G762" s="601">
        <f t="shared" ref="G762" si="1123">SUM(G757:G760)</f>
        <v>0</v>
      </c>
      <c r="H762" s="527"/>
      <c r="I762" s="601">
        <f t="shared" ref="I762" si="1124">SUM(I757:I760)</f>
        <v>0</v>
      </c>
      <c r="J762" s="527"/>
      <c r="K762" s="601">
        <f t="shared" ref="K762" si="1125">SUM(K757:K760)</f>
        <v>0</v>
      </c>
      <c r="L762" s="527"/>
      <c r="M762" s="601">
        <f t="shared" ref="M762" si="1126">SUM(M757:M760)</f>
        <v>0</v>
      </c>
      <c r="N762" s="527"/>
      <c r="O762" s="601">
        <f t="shared" ref="O762" si="1127">SUM(O757:O760)</f>
        <v>0</v>
      </c>
      <c r="P762" s="527"/>
      <c r="Q762" s="601">
        <f t="shared" ref="Q762" si="1128">SUM(Q757:Q760)</f>
        <v>0</v>
      </c>
      <c r="R762" s="527"/>
      <c r="S762" s="601">
        <f t="shared" ref="S762" si="1129">SUM(S757:S760)</f>
        <v>0</v>
      </c>
      <c r="T762" s="527"/>
      <c r="U762" s="536">
        <f t="shared" ref="U762" si="1130">SUM(U757:U760)</f>
        <v>0</v>
      </c>
      <c r="V762" s="522"/>
      <c r="X762" s="4"/>
    </row>
    <row r="763" spans="1:24" s="8" customFormat="1" ht="8.25" customHeight="1">
      <c r="A763" s="521"/>
      <c r="B763" s="167"/>
      <c r="C763" s="165"/>
      <c r="D763" s="523"/>
      <c r="E763" s="165"/>
      <c r="F763" s="523"/>
      <c r="G763" s="520"/>
      <c r="H763" s="523"/>
      <c r="I763" s="520"/>
      <c r="J763" s="523"/>
      <c r="K763" s="520"/>
      <c r="L763" s="523"/>
      <c r="M763" s="520"/>
      <c r="N763" s="523"/>
      <c r="O763" s="520"/>
      <c r="P763" s="523"/>
      <c r="Q763" s="520"/>
      <c r="R763" s="167"/>
      <c r="S763" s="520"/>
      <c r="T763" s="167"/>
      <c r="U763" s="528"/>
      <c r="V763" s="522"/>
      <c r="X763" s="4"/>
    </row>
    <row r="764" spans="1:24" s="8" customFormat="1" ht="16.5" customHeight="1">
      <c r="A764" s="521"/>
      <c r="B764" s="167"/>
      <c r="C764" s="165"/>
      <c r="E764" s="513" t="s">
        <v>1304</v>
      </c>
      <c r="F764" s="523"/>
      <c r="G764" s="977">
        <f>_xlfn.IFNA(IF(VLOOKUP($B755,'PY1 TFR ADA'!$F:$AU,MATCH("B-1.5",'PY1 TFR ADA'!$F$5:$AU$5,0),FALSE)=TRUE,IF(VLOOKUP($B755,'PY1 TFR ADA'!$F:$AU,MATCH("C-1",'PY1 TFR ADA'!$F$5:$AU$5,0),FALSE)=TRUE,"Alternative Rate","LCFF Rate"),"LCFF Rate"),0)</f>
        <v>0</v>
      </c>
      <c r="H764" s="523"/>
      <c r="I764" s="977">
        <f>_xlfn.IFNA(IF(VLOOKUP($B755,'PY1 TFR ADA'!$F:$AU,MATCH("B-2.5",'PY1 TFR ADA'!$F$5:$AU$5,0),FALSE)=TRUE,IF(VLOOKUP($B755,'PY1 TFR ADA'!$F:$AU,MATCH("C-1",'PY1 TFR ADA'!$F$5:$AU$5,0),FALSE)=TRUE,"Alternative Rate","LCFF Rate"),"LCFF Rate"),0)</f>
        <v>0</v>
      </c>
      <c r="J764" s="523"/>
      <c r="K764" s="977">
        <f>_xlfn.IFNA(IF(VLOOKUP($B755,'PY1 TFR ADA'!$F:$AU,MATCH("B-3.5",'PY1 TFR ADA'!$F$5:$AU$5,0),FALSE)=TRUE,IF(VLOOKUP($B755,'PY1 TFR ADA'!$F:$AU,MATCH("C-1",'PY1 TFR ADA'!$F$5:$AU$5,0),FALSE)=TRUE,"Alternative Rate","LCFF Rate"),"LCFF Rate"),0)</f>
        <v>0</v>
      </c>
      <c r="L764" s="523"/>
      <c r="M764" s="977">
        <f>_xlfn.IFNA(IF(VLOOKUP($B755,'PY1 TFR ADA'!$F:$AU,MATCH("B-4.5",'PY1 TFR ADA'!$F$5:$AU$5,0),FALSE)=TRUE,IF(VLOOKUP($B755,'PY1 TFR ADA'!$F:$AU,MATCH("C-1",'PY1 TFR ADA'!$F$5:$AU$5,0),FALSE)=TRUE,"Alternative Rate","LCFF Rate"),"LCFF Rate"),0)</f>
        <v>0</v>
      </c>
      <c r="N764" s="523"/>
      <c r="O764" s="977">
        <f>_xlfn.IFNA(IF(VLOOKUP($B755,'PY1 TFR ADA'!$F:$AU,MATCH("B-5.5",'PY1 TFR ADA'!$F$5:$AU$5,0),FALSE)=TRUE,IF(VLOOKUP($B755,'PY1 TFR ADA'!$F:$AU,MATCH("C-1",'PY1 TFR ADA'!$F$5:$AU$5,0),FALSE)=TRUE,"Alternative Rate","LCFF Rate"),"LCFF Rate"),0)</f>
        <v>0</v>
      </c>
      <c r="P764" s="523"/>
      <c r="Q764" s="977">
        <f>_xlfn.IFNA(IF(VLOOKUP($B755,'PY1 TFR ADA'!$F:$AU,MATCH("B-6.5",'PY1 TFR ADA'!$F$5:$AU$5,0),FALSE)=TRUE,IF(VLOOKUP($B755,'PY1 TFR ADA'!$F:$AU,MATCH("C-1",'PY1 TFR ADA'!$F$5:$AU$5,0),FALSE)=TRUE,"Alternative Rate","LCFF Rate"),"LCFF Rate"),0)</f>
        <v>0</v>
      </c>
      <c r="R764" s="167"/>
      <c r="S764" s="520"/>
      <c r="T764" s="167"/>
      <c r="U764" s="528"/>
      <c r="V764" s="522"/>
      <c r="X764" s="283"/>
    </row>
    <row r="765" spans="1:24" s="8" customFormat="1" ht="8.25" customHeight="1">
      <c r="A765" s="521"/>
      <c r="B765" s="167"/>
      <c r="C765" s="165"/>
      <c r="D765" s="523"/>
      <c r="E765" s="165"/>
      <c r="F765" s="523"/>
      <c r="G765" s="520"/>
      <c r="H765" s="523"/>
      <c r="I765" s="520"/>
      <c r="J765" s="523"/>
      <c r="K765" s="520"/>
      <c r="L765" s="523"/>
      <c r="M765" s="520"/>
      <c r="N765" s="523"/>
      <c r="O765" s="520"/>
      <c r="P765" s="523"/>
      <c r="Q765" s="520"/>
      <c r="R765" s="167"/>
      <c r="S765" s="520"/>
      <c r="T765" s="167"/>
      <c r="U765" s="528"/>
      <c r="V765" s="522"/>
      <c r="X765" s="4"/>
    </row>
    <row r="766" spans="1:24" s="8" customFormat="1" ht="16.8">
      <c r="A766" s="521"/>
      <c r="B766" s="2"/>
      <c r="F766" s="523"/>
      <c r="G766" s="535">
        <f t="shared" ref="G766" si="1131">IF(G764="LCFF Rate",(G757*C757+G758*C758+G759*C759+G760*C760),(G762*E760))</f>
        <v>0</v>
      </c>
      <c r="H766" s="537"/>
      <c r="I766" s="535">
        <f t="shared" ref="I766" si="1132">IF(I764="LCFF Rate",(I757*C757+I758*C758+I759*C759+I760*C760),(I762*E760))</f>
        <v>0</v>
      </c>
      <c r="J766" s="537"/>
      <c r="K766" s="535">
        <f t="shared" ref="K766" si="1133">IF(K764="LCFF Rate",(K757*C757+K758*C758+K759*C759+K760*C760),(K762*E760))</f>
        <v>0</v>
      </c>
      <c r="L766" s="537"/>
      <c r="M766" s="535">
        <f t="shared" ref="M766" si="1134">IF(M764="LCFF Rate",(M757*C757+M758*C758+M759*C759+M760*C760),(M762*E760))</f>
        <v>0</v>
      </c>
      <c r="N766" s="537"/>
      <c r="O766" s="535">
        <f t="shared" ref="O766" si="1135">IF(O764="LCFF Rate",(O757*C757+O758*C758+O759*C759+O760*C760),(O762*E760))</f>
        <v>0</v>
      </c>
      <c r="P766" s="537"/>
      <c r="Q766" s="535">
        <f t="shared" ref="Q766" si="1136">IF(Q764="LCFF Rate",(Q757*C757+Q758*C758+Q759*C759+Q760*C760),(Q762*E760))</f>
        <v>0</v>
      </c>
      <c r="R766" s="167"/>
      <c r="S766" s="538">
        <f t="shared" ref="S766" si="1137">SUM(G766:Q766)</f>
        <v>0</v>
      </c>
      <c r="T766" s="167"/>
      <c r="U766" s="528"/>
      <c r="V766" s="522"/>
      <c r="X766" s="979"/>
    </row>
    <row r="767" spans="1:24" s="8" customFormat="1" ht="9" customHeight="1" thickBot="1">
      <c r="A767" s="529"/>
      <c r="B767" s="530"/>
      <c r="C767" s="531"/>
      <c r="D767" s="532"/>
      <c r="E767" s="533"/>
      <c r="F767" s="532"/>
      <c r="G767" s="530"/>
      <c r="H767" s="532"/>
      <c r="I767" s="530"/>
      <c r="J767" s="532"/>
      <c r="K767" s="530"/>
      <c r="L767" s="532"/>
      <c r="M767" s="530"/>
      <c r="N767" s="532"/>
      <c r="O767" s="530"/>
      <c r="P767" s="532"/>
      <c r="Q767" s="530"/>
      <c r="R767" s="532"/>
      <c r="S767" s="530"/>
      <c r="T767" s="532"/>
      <c r="U767" s="532"/>
      <c r="V767" s="534"/>
      <c r="X767" s="4"/>
    </row>
    <row r="768" spans="1:24" s="82" customFormat="1" ht="18" customHeight="1" thickBot="1">
      <c r="A768" s="890">
        <f>+A755+1</f>
        <v>59</v>
      </c>
      <c r="B768" s="891" t="str">
        <f>'Data Entry'!$B$3&amp;"-"&amp;C768</f>
        <v>-</v>
      </c>
      <c r="C768" s="891" t="str">
        <f>IFERROR(VLOOKUP('Data Entry'!$B$3&amp;"-"&amp;A768,'PY1 TFR ADA'!$D:$AT,2,FALSE),"")</f>
        <v/>
      </c>
      <c r="D768" s="892" t="str">
        <f>IFERROR(VLOOKUP('Data Entry'!$B$3&amp;"-"&amp;A768,'PY1 TFR ADA'!$D:$AT,4,FALSE),"")</f>
        <v/>
      </c>
      <c r="E768" s="893"/>
      <c r="F768" s="893"/>
      <c r="G768" s="893"/>
      <c r="H768" s="893"/>
      <c r="I768" s="893"/>
      <c r="J768" s="893"/>
      <c r="K768" s="893"/>
      <c r="L768" s="893"/>
      <c r="M768" s="893"/>
      <c r="N768" s="893"/>
      <c r="O768" s="893"/>
      <c r="P768" s="893"/>
      <c r="Q768" s="893"/>
      <c r="R768" s="893"/>
      <c r="S768" s="893"/>
      <c r="T768" s="893"/>
      <c r="U768" s="893"/>
      <c r="V768" s="894"/>
      <c r="X768" s="83"/>
    </row>
    <row r="769" spans="1:24" ht="75" customHeight="1">
      <c r="A769" s="521"/>
      <c r="C769" s="540" t="s">
        <v>1315</v>
      </c>
      <c r="D769" s="512"/>
      <c r="E769" s="540" t="s">
        <v>1316</v>
      </c>
      <c r="F769" s="512"/>
      <c r="G769" s="540" t="s">
        <v>1309</v>
      </c>
      <c r="H769" s="512"/>
      <c r="I769" s="540" t="s">
        <v>1310</v>
      </c>
      <c r="J769" s="512"/>
      <c r="K769" s="540" t="s">
        <v>1311</v>
      </c>
      <c r="L769" s="512"/>
      <c r="M769" s="540" t="s">
        <v>1312</v>
      </c>
      <c r="N769" s="512"/>
      <c r="O769" s="540" t="s">
        <v>1313</v>
      </c>
      <c r="P769" s="512"/>
      <c r="Q769" s="540" t="s">
        <v>1314</v>
      </c>
      <c r="R769" s="167"/>
      <c r="S769" s="540" t="s">
        <v>1308</v>
      </c>
      <c r="T769" s="167"/>
      <c r="U769" s="512" t="s">
        <v>1307</v>
      </c>
      <c r="V769" s="524"/>
      <c r="X769" s="283"/>
    </row>
    <row r="770" spans="1:24" s="8" customFormat="1" ht="14.4">
      <c r="A770" s="521"/>
      <c r="B770" s="510" t="s">
        <v>94</v>
      </c>
      <c r="C770" s="525">
        <f>IFERROR(VLOOKUP($B768,'PY1 TFR ADA'!$F:$AU,MATCH("A-1.1",'PY1 TFR ADA'!$F$5:$AU$5,0),FALSE),0)</f>
        <v>0</v>
      </c>
      <c r="D770" s="167"/>
      <c r="E770" s="525">
        <f>IFERROR(VALUE(VLOOKUP($B768,'PY1 TFR ADA'!$F:$AU,MATCH("A-2.1",'PY1 TFR ADA'!$F$5:$AU$5,0),FALSE)),0)</f>
        <v>0</v>
      </c>
      <c r="F770" s="167"/>
      <c r="G770" s="609">
        <f>IFERROR(VLOOKUP($B768,'PY1 TFR ADA'!$F:$AU,MATCH("b-1.1",'PY1 TFR ADA'!$F$5:$AU$5,0),FALSE),0)</f>
        <v>0</v>
      </c>
      <c r="H770" s="527"/>
      <c r="I770" s="609">
        <f>IFERROR(VLOOKUP($B768,'PY1 TFR ADA'!$F:$AU,MATCH("b-2.1",'PY1 TFR ADA'!$F$5:$AU$5,0),FALSE),0)</f>
        <v>0</v>
      </c>
      <c r="J770" s="527"/>
      <c r="K770" s="609">
        <f>IFERROR(VLOOKUP($B768,'PY1 TFR ADA'!$F:$AU,MATCH("b-3.1",'PY1 TFR ADA'!$F$5:$AU$5,0),FALSE),0)</f>
        <v>0</v>
      </c>
      <c r="L770" s="527"/>
      <c r="M770" s="609">
        <f>IFERROR(VLOOKUP($B768,'PY1 TFR ADA'!$F:$AU,MATCH("b-4.1",'PY1 TFR ADA'!$F$5:$AU$5,0),FALSE),0)</f>
        <v>0</v>
      </c>
      <c r="N770" s="527"/>
      <c r="O770" s="609">
        <f>IFERROR(VLOOKUP($B768,'PY1 TFR ADA'!$F:$AU,MATCH("b-5.1",'PY1 TFR ADA'!$F$5:$AU$5,0),FALSE),0)</f>
        <v>0</v>
      </c>
      <c r="P770" s="527"/>
      <c r="Q770" s="609">
        <f>IFERROR(VLOOKUP($B768,'PY1 TFR ADA'!$F:$AU,MATCH("b-6.1",'PY1 TFR ADA'!$F$5:$AU$5,0),FALSE),0)</f>
        <v>0</v>
      </c>
      <c r="R770" s="551"/>
      <c r="S770" s="601">
        <f t="shared" ref="S770:S773" si="1138">SUM(G770:Q770)</f>
        <v>0</v>
      </c>
      <c r="T770" s="551"/>
      <c r="U770" s="536">
        <f t="shared" ref="U770" si="1139">ROUND(IF($G777="LCFF Rate",(G770*$C770),(G770*$E770))+IF($I777="LCFF Rate",(I770*$C770),(I770*$E770))+IF($K777="LCFF Rate",(K770*$C770),(K770*$E770))+IF($M777="LCFF Rate",(M770*$C770),(M770*$E770))+IF($O777="LCFF Rate",(O770*$C770),(O770*$E770))+IF($Q777="LCFF Rate",(Q770*$C770),(Q770*$E770)),0)</f>
        <v>0</v>
      </c>
      <c r="V770" s="524"/>
      <c r="X770" s="496"/>
    </row>
    <row r="771" spans="1:24" s="8" customFormat="1" ht="14.4">
      <c r="A771" s="521"/>
      <c r="B771" s="510" t="s">
        <v>2</v>
      </c>
      <c r="C771" s="525">
        <f>IFERROR(VLOOKUP($B768,'PY1 TFR ADA'!$F:$AU,MATCH("A-1.2",'PY1 TFR ADA'!$F$5:$AU$5,0),FALSE),0)</f>
        <v>0</v>
      </c>
      <c r="D771" s="167"/>
      <c r="E771" s="525">
        <f>IFERROR(VALUE(VLOOKUP($B768,'PY1 TFR ADA'!$F:$AU,MATCH("A-2.2",'PY1 TFR ADA'!$F$5:$AU$5,0),FALSE)),0)</f>
        <v>0</v>
      </c>
      <c r="F771" s="167"/>
      <c r="G771" s="609">
        <f>IFERROR(VLOOKUP($B768,'PY1 TFR ADA'!$F:$AU,MATCH("b-1.2",'PY1 TFR ADA'!$F$5:$AU$5,0),FALSE),0)</f>
        <v>0</v>
      </c>
      <c r="H771" s="527"/>
      <c r="I771" s="609">
        <f>IFERROR(VLOOKUP($B768,'PY1 TFR ADA'!$F:$AU,MATCH("b-2.2",'PY1 TFR ADA'!$F$5:$AU$5,0),FALSE),0)</f>
        <v>0</v>
      </c>
      <c r="J771" s="527"/>
      <c r="K771" s="609">
        <f>IFERROR(VLOOKUP($B768,'PY1 TFR ADA'!$F:$AU,MATCH("b-3.2",'PY1 TFR ADA'!$F$5:$AU$5,0),FALSE),0)</f>
        <v>0</v>
      </c>
      <c r="L771" s="527"/>
      <c r="M771" s="609">
        <f>IFERROR(VLOOKUP($B768,'PY1 TFR ADA'!$F:$AU,MATCH("b-4.2",'PY1 TFR ADA'!$F$5:$AU$5,0),FALSE),0)</f>
        <v>0</v>
      </c>
      <c r="N771" s="527"/>
      <c r="O771" s="609">
        <f>IFERROR(VLOOKUP($B768,'PY1 TFR ADA'!$F:$AU,MATCH("b-5.2",'PY1 TFR ADA'!$F$5:$AU$5,0),FALSE),0)</f>
        <v>0</v>
      </c>
      <c r="P771" s="527"/>
      <c r="Q771" s="609">
        <f>IFERROR(VLOOKUP($B768,'PY1 TFR ADA'!$F:$AU,MATCH("b-6.2",'PY1 TFR ADA'!$F$5:$AU$5,0),FALSE),0)</f>
        <v>0</v>
      </c>
      <c r="R771" s="551"/>
      <c r="S771" s="601">
        <f t="shared" si="1138"/>
        <v>0</v>
      </c>
      <c r="T771" s="551"/>
      <c r="U771" s="536">
        <f t="shared" ref="U771" si="1140">ROUND(IF($G777="LCFF Rate",(G771*$C771),(G771*$E771))+IF($I777="LCFF Rate",(I771*$C771),(I771*$E771))+IF($K777="LCFF Rate",(K771*$C771),(K771*$E771))+IF($M777="LCFF Rate",(M771*$C771),(M771*$E771))+IF($O777="LCFF Rate",(O771*$C771),(O771*$E771))+IF($Q777="LCFF Rate",(Q771*$C771),(Q771*$E771)),0)</f>
        <v>0</v>
      </c>
      <c r="V771" s="524"/>
      <c r="X771" s="4"/>
    </row>
    <row r="772" spans="1:24" s="8" customFormat="1" ht="14.4">
      <c r="A772" s="521"/>
      <c r="B772" s="510" t="s">
        <v>3</v>
      </c>
      <c r="C772" s="525">
        <f>IFERROR(VLOOKUP($B768,'PY1 TFR ADA'!$F:$AU,MATCH("A-1.3",'PY1 TFR ADA'!$F$5:$AU$5,0),FALSE),0)</f>
        <v>0</v>
      </c>
      <c r="D772" s="167"/>
      <c r="E772" s="525">
        <f>IFERROR(VALUE(VLOOKUP($B768,'PY1 TFR ADA'!$F:$AU,MATCH("A-2.3",'PY1 TFR ADA'!$F$5:$AU$5,0),FALSE)),0)</f>
        <v>0</v>
      </c>
      <c r="F772" s="167"/>
      <c r="G772" s="609">
        <f>IFERROR(VLOOKUP($B768,'PY1 TFR ADA'!$F:$AU,MATCH("b-1.3",'PY1 TFR ADA'!$F$5:$AU$5,0),FALSE),0)</f>
        <v>0</v>
      </c>
      <c r="H772" s="527"/>
      <c r="I772" s="609">
        <f>IFERROR(VLOOKUP($B768,'PY1 TFR ADA'!$F:$AU,MATCH("b-2.3",'PY1 TFR ADA'!$F$5:$AU$5,0),FALSE),0)</f>
        <v>0</v>
      </c>
      <c r="J772" s="527"/>
      <c r="K772" s="609">
        <f>IFERROR(VLOOKUP($B768,'PY1 TFR ADA'!$F:$AU,MATCH("b-3.3",'PY1 TFR ADA'!$F$5:$AU$5,0),FALSE),0)</f>
        <v>0</v>
      </c>
      <c r="L772" s="527"/>
      <c r="M772" s="609">
        <f>IFERROR(VLOOKUP($B768,'PY1 TFR ADA'!$F:$AU,MATCH("b-4.3",'PY1 TFR ADA'!$F$5:$AU$5,0),FALSE),0)</f>
        <v>0</v>
      </c>
      <c r="N772" s="527"/>
      <c r="O772" s="609">
        <f>IFERROR(VLOOKUP($B768,'PY1 TFR ADA'!$F:$AU,MATCH("b-5.3",'PY1 TFR ADA'!$F$5:$AU$5,0),FALSE),0)</f>
        <v>0</v>
      </c>
      <c r="P772" s="527"/>
      <c r="Q772" s="609">
        <f>IFERROR(VLOOKUP($B768,'PY1 TFR ADA'!$F:$AU,MATCH("b-6.3",'PY1 TFR ADA'!$F$5:$AU$5,0),FALSE),0)</f>
        <v>0</v>
      </c>
      <c r="R772" s="551"/>
      <c r="S772" s="601">
        <f t="shared" si="1138"/>
        <v>0</v>
      </c>
      <c r="T772" s="551"/>
      <c r="U772" s="536">
        <f t="shared" ref="U772" si="1141">ROUND(IF($G777="LCFF Rate",(G772*$C772),(G772*$E772))+IF($I777="LCFF Rate",(I772*$C772),(I772*$E772))+IF($K777="LCFF Rate",(K772*$C772),(K772*$E772))+IF($M777="LCFF Rate",(M772*$C772),(M772*$E772))+IF($O777="LCFF Rate",(O772*$C772),(O772*$E772))+IF($Q777="LCFF Rate",(Q772*$C772),(Q772*$E772)),0)</f>
        <v>0</v>
      </c>
      <c r="V772" s="524"/>
      <c r="X772" s="4"/>
    </row>
    <row r="773" spans="1:24" s="8" customFormat="1" ht="14.4">
      <c r="A773" s="526"/>
      <c r="B773" s="510" t="s">
        <v>4</v>
      </c>
      <c r="C773" s="525">
        <f>IFERROR(VLOOKUP($B768,'PY1 TFR ADA'!$F:$AU,MATCH("A-1.4",'PY1 TFR ADA'!$F$5:$AU$5,0),FALSE),0)</f>
        <v>0</v>
      </c>
      <c r="D773" s="523"/>
      <c r="E773" s="525">
        <f>IFERROR(VALUE(VLOOKUP($B768,'PY1 TFR ADA'!$F:$AU,MATCH("A-2.4",'PY1 TFR ADA'!$F$5:$AU$5,0),FALSE)),0)</f>
        <v>0</v>
      </c>
      <c r="F773" s="523"/>
      <c r="G773" s="609">
        <f>IFERROR(VLOOKUP($B768,'PY1 TFR ADA'!$F:$AU,MATCH("b-1.4",'PY1 TFR ADA'!$F$5:$AU$5,0),FALSE),0)</f>
        <v>0</v>
      </c>
      <c r="H773" s="527"/>
      <c r="I773" s="609">
        <f>IFERROR(VLOOKUP($B768,'PY1 TFR ADA'!$F:$AU,MATCH("b-2.4",'PY1 TFR ADA'!$F$5:$AU$5,0),FALSE),0)</f>
        <v>0</v>
      </c>
      <c r="J773" s="527"/>
      <c r="K773" s="609">
        <f>IFERROR(VLOOKUP($B768,'PY1 TFR ADA'!$F:$AU,MATCH("b-3.4",'PY1 TFR ADA'!$F$5:$AU$5,0),FALSE),0)</f>
        <v>0</v>
      </c>
      <c r="L773" s="527"/>
      <c r="M773" s="609">
        <f>IFERROR(VLOOKUP($B768,'PY1 TFR ADA'!$F:$AU,MATCH("b-4.4",'PY1 TFR ADA'!$F$5:$AU$5,0),FALSE),0)</f>
        <v>0</v>
      </c>
      <c r="N773" s="527"/>
      <c r="O773" s="609">
        <f>IFERROR(VLOOKUP($B768,'PY1 TFR ADA'!$F:$AU,MATCH("b-5.4",'PY1 TFR ADA'!$F$5:$AU$5,0),FALSE),0)</f>
        <v>0</v>
      </c>
      <c r="P773" s="527"/>
      <c r="Q773" s="609">
        <f>IFERROR(VLOOKUP($B768,'PY1 TFR ADA'!$F:$AU,MATCH("b-6.4",'PY1 TFR ADA'!$F$5:$AU$5,0),FALSE),0)</f>
        <v>0</v>
      </c>
      <c r="R773" s="551"/>
      <c r="S773" s="601">
        <f t="shared" si="1138"/>
        <v>0</v>
      </c>
      <c r="T773" s="551"/>
      <c r="U773" s="536">
        <f t="shared" ref="U773" si="1142">ROUND(IF($G777="LCFF Rate",(G773*$C773),(G773*$E773))+IF($I777="LCFF Rate",(I773*$C773),(I773*$E773))+IF($K777="LCFF Rate",(K773*$C773),(K773*$E773))+IF($M777="LCFF Rate",(M773*$C773),(M773*$E773))+IF($O777="LCFF Rate",(O773*$C773),(O773*$E773))+IF($Q777="LCFF Rate",(Q773*$C773),(Q773*$E773)),0)</f>
        <v>0</v>
      </c>
      <c r="V773" s="522"/>
      <c r="X773" s="496"/>
    </row>
    <row r="774" spans="1:24" s="8" customFormat="1" ht="8.25" customHeight="1">
      <c r="A774" s="521"/>
      <c r="B774" s="167"/>
      <c r="C774" s="165"/>
      <c r="D774" s="523"/>
      <c r="E774" s="165"/>
      <c r="F774" s="523"/>
      <c r="G774" s="520"/>
      <c r="H774" s="523"/>
      <c r="I774" s="520"/>
      <c r="J774" s="523"/>
      <c r="K774" s="520"/>
      <c r="L774" s="523"/>
      <c r="M774" s="520"/>
      <c r="N774" s="523"/>
      <c r="O774" s="520"/>
      <c r="P774" s="523"/>
      <c r="Q774" s="520"/>
      <c r="R774" s="167"/>
      <c r="S774" s="520"/>
      <c r="T774" s="167"/>
      <c r="U774" s="602"/>
      <c r="V774" s="522"/>
      <c r="X774" s="4"/>
    </row>
    <row r="775" spans="1:24" s="8" customFormat="1" ht="14.4">
      <c r="A775" s="521"/>
      <c r="B775" s="167"/>
      <c r="C775" s="165"/>
      <c r="D775" s="523"/>
      <c r="E775" s="513" t="s">
        <v>1317</v>
      </c>
      <c r="F775" s="523"/>
      <c r="G775" s="601">
        <f t="shared" ref="G775" si="1143">SUM(G770:G773)</f>
        <v>0</v>
      </c>
      <c r="H775" s="527"/>
      <c r="I775" s="601">
        <f t="shared" ref="I775" si="1144">SUM(I770:I773)</f>
        <v>0</v>
      </c>
      <c r="J775" s="527"/>
      <c r="K775" s="601">
        <f t="shared" ref="K775" si="1145">SUM(K770:K773)</f>
        <v>0</v>
      </c>
      <c r="L775" s="527"/>
      <c r="M775" s="601">
        <f t="shared" ref="M775" si="1146">SUM(M770:M773)</f>
        <v>0</v>
      </c>
      <c r="N775" s="527"/>
      <c r="O775" s="601">
        <f t="shared" ref="O775" si="1147">SUM(O770:O773)</f>
        <v>0</v>
      </c>
      <c r="P775" s="527"/>
      <c r="Q775" s="601">
        <f t="shared" ref="Q775" si="1148">SUM(Q770:Q773)</f>
        <v>0</v>
      </c>
      <c r="R775" s="527"/>
      <c r="S775" s="601">
        <f t="shared" ref="S775" si="1149">SUM(S770:S773)</f>
        <v>0</v>
      </c>
      <c r="T775" s="527"/>
      <c r="U775" s="536">
        <f t="shared" ref="U775" si="1150">SUM(U770:U773)</f>
        <v>0</v>
      </c>
      <c r="V775" s="522"/>
      <c r="X775" s="4"/>
    </row>
    <row r="776" spans="1:24" s="8" customFormat="1" ht="8.25" customHeight="1">
      <c r="A776" s="521"/>
      <c r="B776" s="167"/>
      <c r="C776" s="165"/>
      <c r="D776" s="523"/>
      <c r="E776" s="165"/>
      <c r="F776" s="523"/>
      <c r="G776" s="520"/>
      <c r="H776" s="523"/>
      <c r="I776" s="520"/>
      <c r="J776" s="523"/>
      <c r="K776" s="520"/>
      <c r="L776" s="523"/>
      <c r="M776" s="520"/>
      <c r="N776" s="523"/>
      <c r="O776" s="520"/>
      <c r="P776" s="523"/>
      <c r="Q776" s="520"/>
      <c r="R776" s="167"/>
      <c r="S776" s="520"/>
      <c r="T776" s="167"/>
      <c r="U776" s="528"/>
      <c r="V776" s="522"/>
      <c r="X776" s="4"/>
    </row>
    <row r="777" spans="1:24" s="8" customFormat="1" ht="16.5" customHeight="1">
      <c r="A777" s="521"/>
      <c r="B777" s="167"/>
      <c r="C777" s="165"/>
      <c r="E777" s="513" t="s">
        <v>1304</v>
      </c>
      <c r="F777" s="523"/>
      <c r="G777" s="977">
        <f>_xlfn.IFNA(IF(VLOOKUP($B768,'PY1 TFR ADA'!$F:$AU,MATCH("B-1.5",'PY1 TFR ADA'!$F$5:$AU$5,0),FALSE)=TRUE,IF(VLOOKUP($B768,'PY1 TFR ADA'!$F:$AU,MATCH("C-1",'PY1 TFR ADA'!$F$5:$AU$5,0),FALSE)=TRUE,"Alternative Rate","LCFF Rate"),"LCFF Rate"),0)</f>
        <v>0</v>
      </c>
      <c r="H777" s="523"/>
      <c r="I777" s="977">
        <f>_xlfn.IFNA(IF(VLOOKUP($B768,'PY1 TFR ADA'!$F:$AU,MATCH("B-2.5",'PY1 TFR ADA'!$F$5:$AU$5,0),FALSE)=TRUE,IF(VLOOKUP($B768,'PY1 TFR ADA'!$F:$AU,MATCH("C-1",'PY1 TFR ADA'!$F$5:$AU$5,0),FALSE)=TRUE,"Alternative Rate","LCFF Rate"),"LCFF Rate"),0)</f>
        <v>0</v>
      </c>
      <c r="J777" s="523"/>
      <c r="K777" s="977">
        <f>_xlfn.IFNA(IF(VLOOKUP($B768,'PY1 TFR ADA'!$F:$AU,MATCH("B-3.5",'PY1 TFR ADA'!$F$5:$AU$5,0),FALSE)=TRUE,IF(VLOOKUP($B768,'PY1 TFR ADA'!$F:$AU,MATCH("C-1",'PY1 TFR ADA'!$F$5:$AU$5,0),FALSE)=TRUE,"Alternative Rate","LCFF Rate"),"LCFF Rate"),0)</f>
        <v>0</v>
      </c>
      <c r="L777" s="523"/>
      <c r="M777" s="977">
        <f>_xlfn.IFNA(IF(VLOOKUP($B768,'PY1 TFR ADA'!$F:$AU,MATCH("B-4.5",'PY1 TFR ADA'!$F$5:$AU$5,0),FALSE)=TRUE,IF(VLOOKUP($B768,'PY1 TFR ADA'!$F:$AU,MATCH("C-1",'PY1 TFR ADA'!$F$5:$AU$5,0),FALSE)=TRUE,"Alternative Rate","LCFF Rate"),"LCFF Rate"),0)</f>
        <v>0</v>
      </c>
      <c r="N777" s="523"/>
      <c r="O777" s="977">
        <f>_xlfn.IFNA(IF(VLOOKUP($B768,'PY1 TFR ADA'!$F:$AU,MATCH("B-5.5",'PY1 TFR ADA'!$F$5:$AU$5,0),FALSE)=TRUE,IF(VLOOKUP($B768,'PY1 TFR ADA'!$F:$AU,MATCH("C-1",'PY1 TFR ADA'!$F$5:$AU$5,0),FALSE)=TRUE,"Alternative Rate","LCFF Rate"),"LCFF Rate"),0)</f>
        <v>0</v>
      </c>
      <c r="P777" s="523"/>
      <c r="Q777" s="977">
        <f>_xlfn.IFNA(IF(VLOOKUP($B768,'PY1 TFR ADA'!$F:$AU,MATCH("B-6.5",'PY1 TFR ADA'!$F$5:$AU$5,0),FALSE)=TRUE,IF(VLOOKUP($B768,'PY1 TFR ADA'!$F:$AU,MATCH("C-1",'PY1 TFR ADA'!$F$5:$AU$5,0),FALSE)=TRUE,"Alternative Rate","LCFF Rate"),"LCFF Rate"),0)</f>
        <v>0</v>
      </c>
      <c r="R777" s="167"/>
      <c r="S777" s="520"/>
      <c r="T777" s="167"/>
      <c r="U777" s="528"/>
      <c r="V777" s="522"/>
      <c r="X777" s="283"/>
    </row>
    <row r="778" spans="1:24" s="8" customFormat="1" ht="8.25" customHeight="1">
      <c r="A778" s="521"/>
      <c r="B778" s="167"/>
      <c r="C778" s="165"/>
      <c r="D778" s="523"/>
      <c r="E778" s="165"/>
      <c r="F778" s="523"/>
      <c r="G778" s="520"/>
      <c r="H778" s="523"/>
      <c r="I778" s="520"/>
      <c r="J778" s="523"/>
      <c r="K778" s="520"/>
      <c r="L778" s="523"/>
      <c r="M778" s="520"/>
      <c r="N778" s="523"/>
      <c r="O778" s="520"/>
      <c r="P778" s="523"/>
      <c r="Q778" s="520"/>
      <c r="R778" s="167"/>
      <c r="S778" s="520"/>
      <c r="T778" s="167"/>
      <c r="U778" s="528"/>
      <c r="V778" s="522"/>
      <c r="X778" s="4"/>
    </row>
    <row r="779" spans="1:24" s="8" customFormat="1" ht="16.8">
      <c r="A779" s="521"/>
      <c r="B779" s="2"/>
      <c r="F779" s="523"/>
      <c r="G779" s="535">
        <f t="shared" ref="G779" si="1151">IF(G777="LCFF Rate",(G770*C770+G771*C771+G772*C772+G773*C773),(G775*E773))</f>
        <v>0</v>
      </c>
      <c r="H779" s="537"/>
      <c r="I779" s="535">
        <f t="shared" ref="I779" si="1152">IF(I777="LCFF Rate",(I770*C770+I771*C771+I772*C772+I773*C773),(I775*E773))</f>
        <v>0</v>
      </c>
      <c r="J779" s="537"/>
      <c r="K779" s="535">
        <f t="shared" ref="K779" si="1153">IF(K777="LCFF Rate",(K770*C770+K771*C771+K772*C772+K773*C773),(K775*E773))</f>
        <v>0</v>
      </c>
      <c r="L779" s="537"/>
      <c r="M779" s="535">
        <f t="shared" ref="M779" si="1154">IF(M777="LCFF Rate",(M770*C770+M771*C771+M772*C772+M773*C773),(M775*E773))</f>
        <v>0</v>
      </c>
      <c r="N779" s="537"/>
      <c r="O779" s="535">
        <f t="shared" ref="O779" si="1155">IF(O777="LCFF Rate",(O770*C770+O771*C771+O772*C772+O773*C773),(O775*E773))</f>
        <v>0</v>
      </c>
      <c r="P779" s="537"/>
      <c r="Q779" s="535">
        <f t="shared" ref="Q779" si="1156">IF(Q777="LCFF Rate",(Q770*C770+Q771*C771+Q772*C772+Q773*C773),(Q775*E773))</f>
        <v>0</v>
      </c>
      <c r="R779" s="167"/>
      <c r="S779" s="538">
        <f t="shared" ref="S779" si="1157">SUM(G779:Q779)</f>
        <v>0</v>
      </c>
      <c r="T779" s="167"/>
      <c r="U779" s="528"/>
      <c r="V779" s="522"/>
      <c r="X779" s="979"/>
    </row>
    <row r="780" spans="1:24" s="8" customFormat="1" ht="9" customHeight="1" thickBot="1">
      <c r="A780" s="529"/>
      <c r="B780" s="530"/>
      <c r="C780" s="531"/>
      <c r="D780" s="532"/>
      <c r="E780" s="533"/>
      <c r="F780" s="532"/>
      <c r="G780" s="530"/>
      <c r="H780" s="532"/>
      <c r="I780" s="530"/>
      <c r="J780" s="532"/>
      <c r="K780" s="530"/>
      <c r="L780" s="532"/>
      <c r="M780" s="530"/>
      <c r="N780" s="532"/>
      <c r="O780" s="530"/>
      <c r="P780" s="532"/>
      <c r="Q780" s="530"/>
      <c r="R780" s="532"/>
      <c r="S780" s="530"/>
      <c r="T780" s="532"/>
      <c r="U780" s="532"/>
      <c r="V780" s="534"/>
      <c r="X780" s="4"/>
    </row>
    <row r="781" spans="1:24" s="82" customFormat="1" ht="18" customHeight="1" thickBot="1">
      <c r="A781" s="890">
        <f>+A768+1</f>
        <v>60</v>
      </c>
      <c r="B781" s="891" t="str">
        <f>'Data Entry'!$B$3&amp;"-"&amp;C781</f>
        <v>-</v>
      </c>
      <c r="C781" s="891" t="str">
        <f>IFERROR(VLOOKUP('Data Entry'!$B$3&amp;"-"&amp;A781,'PY1 TFR ADA'!$D:$AT,2,FALSE),"")</f>
        <v/>
      </c>
      <c r="D781" s="892" t="str">
        <f>IFERROR(VLOOKUP('Data Entry'!$B$3&amp;"-"&amp;A781,'PY1 TFR ADA'!$D:$AT,4,FALSE),"")</f>
        <v/>
      </c>
      <c r="E781" s="893"/>
      <c r="F781" s="893"/>
      <c r="G781" s="893"/>
      <c r="H781" s="893"/>
      <c r="I781" s="893"/>
      <c r="J781" s="893"/>
      <c r="K781" s="893"/>
      <c r="L781" s="893"/>
      <c r="M781" s="893"/>
      <c r="N781" s="893"/>
      <c r="O781" s="893"/>
      <c r="P781" s="893"/>
      <c r="Q781" s="893"/>
      <c r="R781" s="893"/>
      <c r="S781" s="893"/>
      <c r="T781" s="893"/>
      <c r="U781" s="893"/>
      <c r="V781" s="894"/>
      <c r="X781" s="83"/>
    </row>
    <row r="782" spans="1:24" ht="75" customHeight="1">
      <c r="A782" s="521"/>
      <c r="C782" s="540" t="s">
        <v>1315</v>
      </c>
      <c r="D782" s="512"/>
      <c r="E782" s="540" t="s">
        <v>1316</v>
      </c>
      <c r="F782" s="512"/>
      <c r="G782" s="540" t="s">
        <v>1309</v>
      </c>
      <c r="H782" s="512"/>
      <c r="I782" s="540" t="s">
        <v>1310</v>
      </c>
      <c r="J782" s="512"/>
      <c r="K782" s="540" t="s">
        <v>1311</v>
      </c>
      <c r="L782" s="512"/>
      <c r="M782" s="540" t="s">
        <v>1312</v>
      </c>
      <c r="N782" s="512"/>
      <c r="O782" s="540" t="s">
        <v>1313</v>
      </c>
      <c r="P782" s="512"/>
      <c r="Q782" s="540" t="s">
        <v>1314</v>
      </c>
      <c r="R782" s="167"/>
      <c r="S782" s="540" t="s">
        <v>1308</v>
      </c>
      <c r="T782" s="167"/>
      <c r="U782" s="512" t="s">
        <v>1307</v>
      </c>
      <c r="V782" s="524"/>
      <c r="X782" s="283"/>
    </row>
    <row r="783" spans="1:24" s="8" customFormat="1" ht="14.4">
      <c r="A783" s="521"/>
      <c r="B783" s="510" t="s">
        <v>94</v>
      </c>
      <c r="C783" s="525">
        <f>IFERROR(VLOOKUP($B781,'PY1 TFR ADA'!$F:$AU,MATCH("A-1.1",'PY1 TFR ADA'!$F$5:$AU$5,0),FALSE),0)</f>
        <v>0</v>
      </c>
      <c r="D783" s="167"/>
      <c r="E783" s="525">
        <f>IFERROR(VALUE(VLOOKUP($B781,'PY1 TFR ADA'!$F:$AU,MATCH("A-2.1",'PY1 TFR ADA'!$F$5:$AU$5,0),FALSE)),0)</f>
        <v>0</v>
      </c>
      <c r="F783" s="167"/>
      <c r="G783" s="609">
        <f>IFERROR(VLOOKUP($B781,'PY1 TFR ADA'!$F:$AU,MATCH("b-1.1",'PY1 TFR ADA'!$F$5:$AU$5,0),FALSE),0)</f>
        <v>0</v>
      </c>
      <c r="H783" s="527"/>
      <c r="I783" s="609">
        <f>IFERROR(VLOOKUP($B781,'PY1 TFR ADA'!$F:$AU,MATCH("b-2.1",'PY1 TFR ADA'!$F$5:$AU$5,0),FALSE),0)</f>
        <v>0</v>
      </c>
      <c r="J783" s="527"/>
      <c r="K783" s="609">
        <f>IFERROR(VLOOKUP($B781,'PY1 TFR ADA'!$F:$AU,MATCH("b-3.1",'PY1 TFR ADA'!$F$5:$AU$5,0),FALSE),0)</f>
        <v>0</v>
      </c>
      <c r="L783" s="527"/>
      <c r="M783" s="609">
        <f>IFERROR(VLOOKUP($B781,'PY1 TFR ADA'!$F:$AU,MATCH("b-4.1",'PY1 TFR ADA'!$F$5:$AU$5,0),FALSE),0)</f>
        <v>0</v>
      </c>
      <c r="N783" s="527"/>
      <c r="O783" s="609">
        <f>IFERROR(VLOOKUP($B781,'PY1 TFR ADA'!$F:$AU,MATCH("b-5.1",'PY1 TFR ADA'!$F$5:$AU$5,0),FALSE),0)</f>
        <v>0</v>
      </c>
      <c r="P783" s="527"/>
      <c r="Q783" s="609">
        <f>IFERROR(VLOOKUP($B781,'PY1 TFR ADA'!$F:$AU,MATCH("b-6.1",'PY1 TFR ADA'!$F$5:$AU$5,0),FALSE),0)</f>
        <v>0</v>
      </c>
      <c r="R783" s="551"/>
      <c r="S783" s="601">
        <f t="shared" ref="S783:S786" si="1158">SUM(G783:Q783)</f>
        <v>0</v>
      </c>
      <c r="T783" s="551"/>
      <c r="U783" s="536">
        <f t="shared" ref="U783" si="1159">ROUND(IF($G790="LCFF Rate",(G783*$C783),(G783*$E783))+IF($I790="LCFF Rate",(I783*$C783),(I783*$E783))+IF($K790="LCFF Rate",(K783*$C783),(K783*$E783))+IF($M790="LCFF Rate",(M783*$C783),(M783*$E783))+IF($O790="LCFF Rate",(O783*$C783),(O783*$E783))+IF($Q790="LCFF Rate",(Q783*$C783),(Q783*$E783)),0)</f>
        <v>0</v>
      </c>
      <c r="V783" s="524"/>
      <c r="X783" s="496"/>
    </row>
    <row r="784" spans="1:24" s="8" customFormat="1" ht="14.4">
      <c r="A784" s="521"/>
      <c r="B784" s="510" t="s">
        <v>2</v>
      </c>
      <c r="C784" s="525">
        <f>IFERROR(VLOOKUP($B781,'PY1 TFR ADA'!$F:$AU,MATCH("A-1.2",'PY1 TFR ADA'!$F$5:$AU$5,0),FALSE),0)</f>
        <v>0</v>
      </c>
      <c r="D784" s="167"/>
      <c r="E784" s="525">
        <f>IFERROR(VALUE(VLOOKUP($B781,'PY1 TFR ADA'!$F:$AU,MATCH("A-2.2",'PY1 TFR ADA'!$F$5:$AU$5,0),FALSE)),0)</f>
        <v>0</v>
      </c>
      <c r="F784" s="167"/>
      <c r="G784" s="609">
        <f>IFERROR(VLOOKUP($B781,'PY1 TFR ADA'!$F:$AU,MATCH("b-1.2",'PY1 TFR ADA'!$F$5:$AU$5,0),FALSE),0)</f>
        <v>0</v>
      </c>
      <c r="H784" s="527"/>
      <c r="I784" s="609">
        <f>IFERROR(VLOOKUP($B781,'PY1 TFR ADA'!$F:$AU,MATCH("b-2.2",'PY1 TFR ADA'!$F$5:$AU$5,0),FALSE),0)</f>
        <v>0</v>
      </c>
      <c r="J784" s="527"/>
      <c r="K784" s="609">
        <f>IFERROR(VLOOKUP($B781,'PY1 TFR ADA'!$F:$AU,MATCH("b-3.2",'PY1 TFR ADA'!$F$5:$AU$5,0),FALSE),0)</f>
        <v>0</v>
      </c>
      <c r="L784" s="527"/>
      <c r="M784" s="609">
        <f>IFERROR(VLOOKUP($B781,'PY1 TFR ADA'!$F:$AU,MATCH("b-4.2",'PY1 TFR ADA'!$F$5:$AU$5,0),FALSE),0)</f>
        <v>0</v>
      </c>
      <c r="N784" s="527"/>
      <c r="O784" s="609">
        <f>IFERROR(VLOOKUP($B781,'PY1 TFR ADA'!$F:$AU,MATCH("b-5.2",'PY1 TFR ADA'!$F$5:$AU$5,0),FALSE),0)</f>
        <v>0</v>
      </c>
      <c r="P784" s="527"/>
      <c r="Q784" s="609">
        <f>IFERROR(VLOOKUP($B781,'PY1 TFR ADA'!$F:$AU,MATCH("b-6.2",'PY1 TFR ADA'!$F$5:$AU$5,0),FALSE),0)</f>
        <v>0</v>
      </c>
      <c r="R784" s="551"/>
      <c r="S784" s="601">
        <f t="shared" si="1158"/>
        <v>0</v>
      </c>
      <c r="T784" s="551"/>
      <c r="U784" s="536">
        <f t="shared" ref="U784" si="1160">ROUND(IF($G790="LCFF Rate",(G784*$C784),(G784*$E784))+IF($I790="LCFF Rate",(I784*$C784),(I784*$E784))+IF($K790="LCFF Rate",(K784*$C784),(K784*$E784))+IF($M790="LCFF Rate",(M784*$C784),(M784*$E784))+IF($O790="LCFF Rate",(O784*$C784),(O784*$E784))+IF($Q790="LCFF Rate",(Q784*$C784),(Q784*$E784)),0)</f>
        <v>0</v>
      </c>
      <c r="V784" s="524"/>
      <c r="X784" s="4"/>
    </row>
    <row r="785" spans="1:24" s="8" customFormat="1" ht="14.4">
      <c r="A785" s="521"/>
      <c r="B785" s="510" t="s">
        <v>3</v>
      </c>
      <c r="C785" s="525">
        <f>IFERROR(VLOOKUP($B781,'PY1 TFR ADA'!$F:$AU,MATCH("A-1.3",'PY1 TFR ADA'!$F$5:$AU$5,0),FALSE),0)</f>
        <v>0</v>
      </c>
      <c r="D785" s="167"/>
      <c r="E785" s="525">
        <f>IFERROR(VALUE(VLOOKUP($B781,'PY1 TFR ADA'!$F:$AU,MATCH("A-2.3",'PY1 TFR ADA'!$F$5:$AU$5,0),FALSE)),0)</f>
        <v>0</v>
      </c>
      <c r="F785" s="167"/>
      <c r="G785" s="609">
        <f>IFERROR(VLOOKUP($B781,'PY1 TFR ADA'!$F:$AU,MATCH("b-1.3",'PY1 TFR ADA'!$F$5:$AU$5,0),FALSE),0)</f>
        <v>0</v>
      </c>
      <c r="H785" s="527"/>
      <c r="I785" s="609">
        <f>IFERROR(VLOOKUP($B781,'PY1 TFR ADA'!$F:$AU,MATCH("b-2.3",'PY1 TFR ADA'!$F$5:$AU$5,0),FALSE),0)</f>
        <v>0</v>
      </c>
      <c r="J785" s="527"/>
      <c r="K785" s="609">
        <f>IFERROR(VLOOKUP($B781,'PY1 TFR ADA'!$F:$AU,MATCH("b-3.3",'PY1 TFR ADA'!$F$5:$AU$5,0),FALSE),0)</f>
        <v>0</v>
      </c>
      <c r="L785" s="527"/>
      <c r="M785" s="609">
        <f>IFERROR(VLOOKUP($B781,'PY1 TFR ADA'!$F:$AU,MATCH("b-4.3",'PY1 TFR ADA'!$F$5:$AU$5,0),FALSE),0)</f>
        <v>0</v>
      </c>
      <c r="N785" s="527"/>
      <c r="O785" s="609">
        <f>IFERROR(VLOOKUP($B781,'PY1 TFR ADA'!$F:$AU,MATCH("b-5.3",'PY1 TFR ADA'!$F$5:$AU$5,0),FALSE),0)</f>
        <v>0</v>
      </c>
      <c r="P785" s="527"/>
      <c r="Q785" s="609">
        <f>IFERROR(VLOOKUP($B781,'PY1 TFR ADA'!$F:$AU,MATCH("b-6.3",'PY1 TFR ADA'!$F$5:$AU$5,0),FALSE),0)</f>
        <v>0</v>
      </c>
      <c r="R785" s="551"/>
      <c r="S785" s="601">
        <f t="shared" si="1158"/>
        <v>0</v>
      </c>
      <c r="T785" s="551"/>
      <c r="U785" s="536">
        <f t="shared" ref="U785" si="1161">ROUND(IF($G790="LCFF Rate",(G785*$C785),(G785*$E785))+IF($I790="LCFF Rate",(I785*$C785),(I785*$E785))+IF($K790="LCFF Rate",(K785*$C785),(K785*$E785))+IF($M790="LCFF Rate",(M785*$C785),(M785*$E785))+IF($O790="LCFF Rate",(O785*$C785),(O785*$E785))+IF($Q790="LCFF Rate",(Q785*$C785),(Q785*$E785)),0)</f>
        <v>0</v>
      </c>
      <c r="V785" s="524"/>
      <c r="X785" s="4"/>
    </row>
    <row r="786" spans="1:24" s="8" customFormat="1" ht="14.4">
      <c r="A786" s="526"/>
      <c r="B786" s="510" t="s">
        <v>4</v>
      </c>
      <c r="C786" s="525">
        <f>IFERROR(VLOOKUP($B781,'PY1 TFR ADA'!$F:$AU,MATCH("A-1.4",'PY1 TFR ADA'!$F$5:$AU$5,0),FALSE),0)</f>
        <v>0</v>
      </c>
      <c r="D786" s="523"/>
      <c r="E786" s="525">
        <f>IFERROR(VALUE(VLOOKUP($B781,'PY1 TFR ADA'!$F:$AU,MATCH("A-2.4",'PY1 TFR ADA'!$F$5:$AU$5,0),FALSE)),0)</f>
        <v>0</v>
      </c>
      <c r="F786" s="523"/>
      <c r="G786" s="609">
        <f>IFERROR(VLOOKUP($B781,'PY1 TFR ADA'!$F:$AU,MATCH("b-1.4",'PY1 TFR ADA'!$F$5:$AU$5,0),FALSE),0)</f>
        <v>0</v>
      </c>
      <c r="H786" s="527"/>
      <c r="I786" s="609">
        <f>IFERROR(VLOOKUP($B781,'PY1 TFR ADA'!$F:$AU,MATCH("b-2.4",'PY1 TFR ADA'!$F$5:$AU$5,0),FALSE),0)</f>
        <v>0</v>
      </c>
      <c r="J786" s="527"/>
      <c r="K786" s="609">
        <f>IFERROR(VLOOKUP($B781,'PY1 TFR ADA'!$F:$AU,MATCH("b-3.4",'PY1 TFR ADA'!$F$5:$AU$5,0),FALSE),0)</f>
        <v>0</v>
      </c>
      <c r="L786" s="527"/>
      <c r="M786" s="609">
        <f>IFERROR(VLOOKUP($B781,'PY1 TFR ADA'!$F:$AU,MATCH("b-4.4",'PY1 TFR ADA'!$F$5:$AU$5,0),FALSE),0)</f>
        <v>0</v>
      </c>
      <c r="N786" s="527"/>
      <c r="O786" s="609">
        <f>IFERROR(VLOOKUP($B781,'PY1 TFR ADA'!$F:$AU,MATCH("b-5.4",'PY1 TFR ADA'!$F$5:$AU$5,0),FALSE),0)</f>
        <v>0</v>
      </c>
      <c r="P786" s="527"/>
      <c r="Q786" s="609">
        <f>IFERROR(VLOOKUP($B781,'PY1 TFR ADA'!$F:$AU,MATCH("b-6.4",'PY1 TFR ADA'!$F$5:$AU$5,0),FALSE),0)</f>
        <v>0</v>
      </c>
      <c r="R786" s="551"/>
      <c r="S786" s="601">
        <f t="shared" si="1158"/>
        <v>0</v>
      </c>
      <c r="T786" s="551"/>
      <c r="U786" s="536">
        <f t="shared" ref="U786" si="1162">ROUND(IF($G790="LCFF Rate",(G786*$C786),(G786*$E786))+IF($I790="LCFF Rate",(I786*$C786),(I786*$E786))+IF($K790="LCFF Rate",(K786*$C786),(K786*$E786))+IF($M790="LCFF Rate",(M786*$C786),(M786*$E786))+IF($O790="LCFF Rate",(O786*$C786),(O786*$E786))+IF($Q790="LCFF Rate",(Q786*$C786),(Q786*$E786)),0)</f>
        <v>0</v>
      </c>
      <c r="V786" s="522"/>
      <c r="X786" s="496"/>
    </row>
    <row r="787" spans="1:24" s="8" customFormat="1" ht="8.25" customHeight="1">
      <c r="A787" s="521"/>
      <c r="B787" s="167"/>
      <c r="C787" s="165"/>
      <c r="D787" s="523"/>
      <c r="E787" s="165"/>
      <c r="F787" s="523"/>
      <c r="G787" s="520"/>
      <c r="H787" s="523"/>
      <c r="I787" s="520"/>
      <c r="J787" s="523"/>
      <c r="K787" s="520"/>
      <c r="L787" s="523"/>
      <c r="M787" s="520"/>
      <c r="N787" s="523"/>
      <c r="O787" s="520"/>
      <c r="P787" s="523"/>
      <c r="Q787" s="520"/>
      <c r="R787" s="167"/>
      <c r="S787" s="520"/>
      <c r="T787" s="167"/>
      <c r="U787" s="602"/>
      <c r="V787" s="522"/>
      <c r="X787" s="4"/>
    </row>
    <row r="788" spans="1:24" s="8" customFormat="1" ht="14.4">
      <c r="A788" s="521"/>
      <c r="B788" s="167"/>
      <c r="C788" s="165"/>
      <c r="D788" s="523"/>
      <c r="E788" s="513" t="s">
        <v>1317</v>
      </c>
      <c r="F788" s="523"/>
      <c r="G788" s="601">
        <f t="shared" ref="G788" si="1163">SUM(G783:G786)</f>
        <v>0</v>
      </c>
      <c r="H788" s="527"/>
      <c r="I788" s="601">
        <f t="shared" ref="I788" si="1164">SUM(I783:I786)</f>
        <v>0</v>
      </c>
      <c r="J788" s="527"/>
      <c r="K788" s="601">
        <f t="shared" ref="K788" si="1165">SUM(K783:K786)</f>
        <v>0</v>
      </c>
      <c r="L788" s="527"/>
      <c r="M788" s="601">
        <f t="shared" ref="M788" si="1166">SUM(M783:M786)</f>
        <v>0</v>
      </c>
      <c r="N788" s="527"/>
      <c r="O788" s="601">
        <f t="shared" ref="O788" si="1167">SUM(O783:O786)</f>
        <v>0</v>
      </c>
      <c r="P788" s="527"/>
      <c r="Q788" s="601">
        <f t="shared" ref="Q788" si="1168">SUM(Q783:Q786)</f>
        <v>0</v>
      </c>
      <c r="R788" s="527"/>
      <c r="S788" s="601">
        <f t="shared" ref="S788" si="1169">SUM(S783:S786)</f>
        <v>0</v>
      </c>
      <c r="T788" s="527"/>
      <c r="U788" s="536">
        <f t="shared" ref="U788" si="1170">SUM(U783:U786)</f>
        <v>0</v>
      </c>
      <c r="V788" s="522"/>
      <c r="X788" s="4"/>
    </row>
    <row r="789" spans="1:24" s="8" customFormat="1" ht="8.25" customHeight="1">
      <c r="A789" s="521"/>
      <c r="B789" s="167"/>
      <c r="C789" s="165"/>
      <c r="D789" s="523"/>
      <c r="E789" s="165"/>
      <c r="F789" s="523"/>
      <c r="G789" s="520"/>
      <c r="H789" s="523"/>
      <c r="I789" s="520"/>
      <c r="J789" s="523"/>
      <c r="K789" s="520"/>
      <c r="L789" s="523"/>
      <c r="M789" s="520"/>
      <c r="N789" s="523"/>
      <c r="O789" s="520"/>
      <c r="P789" s="523"/>
      <c r="Q789" s="520"/>
      <c r="R789" s="167"/>
      <c r="S789" s="520"/>
      <c r="T789" s="167"/>
      <c r="U789" s="528"/>
      <c r="V789" s="522"/>
      <c r="X789" s="4"/>
    </row>
    <row r="790" spans="1:24" s="8" customFormat="1" ht="16.5" customHeight="1">
      <c r="A790" s="521"/>
      <c r="B790" s="167"/>
      <c r="C790" s="165"/>
      <c r="E790" s="513" t="s">
        <v>1304</v>
      </c>
      <c r="F790" s="523"/>
      <c r="G790" s="977">
        <f>_xlfn.IFNA(IF(VLOOKUP($B781,'PY1 TFR ADA'!$F:$AU,MATCH("B-1.5",'PY1 TFR ADA'!$F$5:$AU$5,0),FALSE)=TRUE,IF(VLOOKUP($B781,'PY1 TFR ADA'!$F:$AU,MATCH("C-1",'PY1 TFR ADA'!$F$5:$AU$5,0),FALSE)=TRUE,"Alternative Rate","LCFF Rate"),"LCFF Rate"),0)</f>
        <v>0</v>
      </c>
      <c r="H790" s="523"/>
      <c r="I790" s="977">
        <f>_xlfn.IFNA(IF(VLOOKUP($B781,'PY1 TFR ADA'!$F:$AU,MATCH("B-2.5",'PY1 TFR ADA'!$F$5:$AU$5,0),FALSE)=TRUE,IF(VLOOKUP($B781,'PY1 TFR ADA'!$F:$AU,MATCH("C-1",'PY1 TFR ADA'!$F$5:$AU$5,0),FALSE)=TRUE,"Alternative Rate","LCFF Rate"),"LCFF Rate"),0)</f>
        <v>0</v>
      </c>
      <c r="J790" s="523"/>
      <c r="K790" s="977">
        <f>_xlfn.IFNA(IF(VLOOKUP($B781,'PY1 TFR ADA'!$F:$AU,MATCH("B-3.5",'PY1 TFR ADA'!$F$5:$AU$5,0),FALSE)=TRUE,IF(VLOOKUP($B781,'PY1 TFR ADA'!$F:$AU,MATCH("C-1",'PY1 TFR ADA'!$F$5:$AU$5,0),FALSE)=TRUE,"Alternative Rate","LCFF Rate"),"LCFF Rate"),0)</f>
        <v>0</v>
      </c>
      <c r="L790" s="523"/>
      <c r="M790" s="977">
        <f>_xlfn.IFNA(IF(VLOOKUP($B781,'PY1 TFR ADA'!$F:$AU,MATCH("B-4.5",'PY1 TFR ADA'!$F$5:$AU$5,0),FALSE)=TRUE,IF(VLOOKUP($B781,'PY1 TFR ADA'!$F:$AU,MATCH("C-1",'PY1 TFR ADA'!$F$5:$AU$5,0),FALSE)=TRUE,"Alternative Rate","LCFF Rate"),"LCFF Rate"),0)</f>
        <v>0</v>
      </c>
      <c r="N790" s="523"/>
      <c r="O790" s="977">
        <f>_xlfn.IFNA(IF(VLOOKUP($B781,'PY1 TFR ADA'!$F:$AU,MATCH("B-5.5",'PY1 TFR ADA'!$F$5:$AU$5,0),FALSE)=TRUE,IF(VLOOKUP($B781,'PY1 TFR ADA'!$F:$AU,MATCH("C-1",'PY1 TFR ADA'!$F$5:$AU$5,0),FALSE)=TRUE,"Alternative Rate","LCFF Rate"),"LCFF Rate"),0)</f>
        <v>0</v>
      </c>
      <c r="P790" s="523"/>
      <c r="Q790" s="977">
        <f>_xlfn.IFNA(IF(VLOOKUP($B781,'PY1 TFR ADA'!$F:$AU,MATCH("B-6.5",'PY1 TFR ADA'!$F$5:$AU$5,0),FALSE)=TRUE,IF(VLOOKUP($B781,'PY1 TFR ADA'!$F:$AU,MATCH("C-1",'PY1 TFR ADA'!$F$5:$AU$5,0),FALSE)=TRUE,"Alternative Rate","LCFF Rate"),"LCFF Rate"),0)</f>
        <v>0</v>
      </c>
      <c r="R790" s="167"/>
      <c r="S790" s="520"/>
      <c r="T790" s="167"/>
      <c r="U790" s="528"/>
      <c r="V790" s="522"/>
      <c r="X790" s="283"/>
    </row>
    <row r="791" spans="1:24" s="8" customFormat="1" ht="8.25" customHeight="1">
      <c r="A791" s="521"/>
      <c r="B791" s="167"/>
      <c r="C791" s="165"/>
      <c r="D791" s="523"/>
      <c r="E791" s="165"/>
      <c r="F791" s="523"/>
      <c r="G791" s="520"/>
      <c r="H791" s="523"/>
      <c r="I791" s="520"/>
      <c r="J791" s="523"/>
      <c r="K791" s="520"/>
      <c r="L791" s="523"/>
      <c r="M791" s="520"/>
      <c r="N791" s="523"/>
      <c r="O791" s="520"/>
      <c r="P791" s="523"/>
      <c r="Q791" s="520"/>
      <c r="R791" s="167"/>
      <c r="S791" s="520"/>
      <c r="T791" s="167"/>
      <c r="U791" s="528"/>
      <c r="V791" s="522"/>
      <c r="X791" s="4"/>
    </row>
    <row r="792" spans="1:24" s="8" customFormat="1" ht="16.8">
      <c r="A792" s="521"/>
      <c r="B792" s="2"/>
      <c r="F792" s="523"/>
      <c r="G792" s="535">
        <f t="shared" ref="G792" si="1171">IF(G790="LCFF Rate",(G783*C783+G784*C784+G785*C785+G786*C786),(G788*E786))</f>
        <v>0</v>
      </c>
      <c r="H792" s="537"/>
      <c r="I792" s="535">
        <f t="shared" ref="I792" si="1172">IF(I790="LCFF Rate",(I783*C783+I784*C784+I785*C785+I786*C786),(I788*E786))</f>
        <v>0</v>
      </c>
      <c r="J792" s="537"/>
      <c r="K792" s="535">
        <f t="shared" ref="K792" si="1173">IF(K790="LCFF Rate",(K783*C783+K784*C784+K785*C785+K786*C786),(K788*E786))</f>
        <v>0</v>
      </c>
      <c r="L792" s="537"/>
      <c r="M792" s="535">
        <f t="shared" ref="M792" si="1174">IF(M790="LCFF Rate",(M783*C783+M784*C784+M785*C785+M786*C786),(M788*E786))</f>
        <v>0</v>
      </c>
      <c r="N792" s="537"/>
      <c r="O792" s="535">
        <f t="shared" ref="O792" si="1175">IF(O790="LCFF Rate",(O783*C783+O784*C784+O785*C785+O786*C786),(O788*E786))</f>
        <v>0</v>
      </c>
      <c r="P792" s="537"/>
      <c r="Q792" s="535">
        <f t="shared" ref="Q792" si="1176">IF(Q790="LCFF Rate",(Q783*C783+Q784*C784+Q785*C785+Q786*C786),(Q788*E786))</f>
        <v>0</v>
      </c>
      <c r="R792" s="167"/>
      <c r="S792" s="538">
        <f t="shared" ref="S792" si="1177">SUM(G792:Q792)</f>
        <v>0</v>
      </c>
      <c r="T792" s="167"/>
      <c r="U792" s="528"/>
      <c r="V792" s="522"/>
      <c r="X792" s="979"/>
    </row>
    <row r="793" spans="1:24" s="8" customFormat="1" ht="9" customHeight="1" thickBot="1">
      <c r="A793" s="529"/>
      <c r="B793" s="530"/>
      <c r="C793" s="531"/>
      <c r="D793" s="532"/>
      <c r="E793" s="533"/>
      <c r="F793" s="532"/>
      <c r="G793" s="530"/>
      <c r="H793" s="532"/>
      <c r="I793" s="530"/>
      <c r="J793" s="532"/>
      <c r="K793" s="530"/>
      <c r="L793" s="532"/>
      <c r="M793" s="530"/>
      <c r="N793" s="532"/>
      <c r="O793" s="530"/>
      <c r="P793" s="532"/>
      <c r="Q793" s="530"/>
      <c r="R793" s="532"/>
      <c r="S793" s="530"/>
      <c r="T793" s="532"/>
      <c r="U793" s="532"/>
      <c r="V793" s="534"/>
      <c r="X793" s="4"/>
    </row>
    <row r="794" spans="1:24" s="82" customFormat="1" ht="18" customHeight="1" thickBot="1">
      <c r="A794" s="890">
        <f>+A781+1</f>
        <v>61</v>
      </c>
      <c r="B794" s="891" t="str">
        <f>'Data Entry'!$B$3&amp;"-"&amp;C794</f>
        <v>-</v>
      </c>
      <c r="C794" s="891" t="str">
        <f>IFERROR(VLOOKUP('Data Entry'!$B$3&amp;"-"&amp;A794,'PY1 TFR ADA'!$D:$AT,2,FALSE),"")</f>
        <v/>
      </c>
      <c r="D794" s="892" t="str">
        <f>IFERROR(VLOOKUP('Data Entry'!$B$3&amp;"-"&amp;A794,'PY1 TFR ADA'!$D:$AT,4,FALSE),"")</f>
        <v/>
      </c>
      <c r="E794" s="893"/>
      <c r="F794" s="893"/>
      <c r="G794" s="893"/>
      <c r="H794" s="893"/>
      <c r="I794" s="893"/>
      <c r="J794" s="893"/>
      <c r="K794" s="893"/>
      <c r="L794" s="893"/>
      <c r="M794" s="893"/>
      <c r="N794" s="893"/>
      <c r="O794" s="893"/>
      <c r="P794" s="893"/>
      <c r="Q794" s="893"/>
      <c r="R794" s="893"/>
      <c r="S794" s="893"/>
      <c r="T794" s="893"/>
      <c r="U794" s="893"/>
      <c r="V794" s="894"/>
      <c r="X794" s="83"/>
    </row>
    <row r="795" spans="1:24" ht="75" customHeight="1">
      <c r="A795" s="521"/>
      <c r="C795" s="540" t="s">
        <v>1315</v>
      </c>
      <c r="D795" s="512"/>
      <c r="E795" s="540" t="s">
        <v>1316</v>
      </c>
      <c r="F795" s="512"/>
      <c r="G795" s="540" t="s">
        <v>1309</v>
      </c>
      <c r="H795" s="512"/>
      <c r="I795" s="540" t="s">
        <v>1310</v>
      </c>
      <c r="J795" s="512"/>
      <c r="K795" s="540" t="s">
        <v>1311</v>
      </c>
      <c r="L795" s="512"/>
      <c r="M795" s="540" t="s">
        <v>1312</v>
      </c>
      <c r="N795" s="512"/>
      <c r="O795" s="540" t="s">
        <v>1313</v>
      </c>
      <c r="P795" s="512"/>
      <c r="Q795" s="540" t="s">
        <v>1314</v>
      </c>
      <c r="R795" s="167"/>
      <c r="S795" s="540" t="s">
        <v>1308</v>
      </c>
      <c r="T795" s="167"/>
      <c r="U795" s="512" t="s">
        <v>1307</v>
      </c>
      <c r="V795" s="524"/>
      <c r="X795" s="283"/>
    </row>
    <row r="796" spans="1:24" s="8" customFormat="1" ht="14.4">
      <c r="A796" s="521"/>
      <c r="B796" s="510" t="s">
        <v>94</v>
      </c>
      <c r="C796" s="525">
        <f>IFERROR(VLOOKUP($B794,'PY1 TFR ADA'!$F:$AU,MATCH("A-1.1",'PY1 TFR ADA'!$F$5:$AU$5,0),FALSE),0)</f>
        <v>0</v>
      </c>
      <c r="D796" s="167"/>
      <c r="E796" s="525">
        <f>IFERROR(VALUE(VLOOKUP($B794,'PY1 TFR ADA'!$F:$AU,MATCH("A-2.1",'PY1 TFR ADA'!$F$5:$AU$5,0),FALSE)),0)</f>
        <v>0</v>
      </c>
      <c r="F796" s="167"/>
      <c r="G796" s="609">
        <f>IFERROR(VLOOKUP($B794,'PY1 TFR ADA'!$F:$AU,MATCH("b-1.1",'PY1 TFR ADA'!$F$5:$AU$5,0),FALSE),0)</f>
        <v>0</v>
      </c>
      <c r="H796" s="527"/>
      <c r="I796" s="609">
        <f>IFERROR(VLOOKUP($B794,'PY1 TFR ADA'!$F:$AU,MATCH("b-2.1",'PY1 TFR ADA'!$F$5:$AU$5,0),FALSE),0)</f>
        <v>0</v>
      </c>
      <c r="J796" s="527"/>
      <c r="K796" s="609">
        <f>IFERROR(VLOOKUP($B794,'PY1 TFR ADA'!$F:$AU,MATCH("b-3.1",'PY1 TFR ADA'!$F$5:$AU$5,0),FALSE),0)</f>
        <v>0</v>
      </c>
      <c r="L796" s="527"/>
      <c r="M796" s="609">
        <f>IFERROR(VLOOKUP($B794,'PY1 TFR ADA'!$F:$AU,MATCH("b-4.1",'PY1 TFR ADA'!$F$5:$AU$5,0),FALSE),0)</f>
        <v>0</v>
      </c>
      <c r="N796" s="527"/>
      <c r="O796" s="609">
        <f>IFERROR(VLOOKUP($B794,'PY1 TFR ADA'!$F:$AU,MATCH("b-5.1",'PY1 TFR ADA'!$F$5:$AU$5,0),FALSE),0)</f>
        <v>0</v>
      </c>
      <c r="P796" s="527"/>
      <c r="Q796" s="609">
        <f>IFERROR(VLOOKUP($B794,'PY1 TFR ADA'!$F:$AU,MATCH("b-6.1",'PY1 TFR ADA'!$F$5:$AU$5,0),FALSE),0)</f>
        <v>0</v>
      </c>
      <c r="R796" s="551"/>
      <c r="S796" s="601">
        <f t="shared" ref="S796:S799" si="1178">SUM(G796:Q796)</f>
        <v>0</v>
      </c>
      <c r="T796" s="551"/>
      <c r="U796" s="536">
        <f t="shared" ref="U796" si="1179">ROUND(IF($G803="LCFF Rate",(G796*$C796),(G796*$E796))+IF($I803="LCFF Rate",(I796*$C796),(I796*$E796))+IF($K803="LCFF Rate",(K796*$C796),(K796*$E796))+IF($M803="LCFF Rate",(M796*$C796),(M796*$E796))+IF($O803="LCFF Rate",(O796*$C796),(O796*$E796))+IF($Q803="LCFF Rate",(Q796*$C796),(Q796*$E796)),0)</f>
        <v>0</v>
      </c>
      <c r="V796" s="524"/>
      <c r="X796" s="496"/>
    </row>
    <row r="797" spans="1:24" s="8" customFormat="1" ht="14.4">
      <c r="A797" s="521"/>
      <c r="B797" s="510" t="s">
        <v>2</v>
      </c>
      <c r="C797" s="525">
        <f>IFERROR(VLOOKUP($B794,'PY1 TFR ADA'!$F:$AU,MATCH("A-1.2",'PY1 TFR ADA'!$F$5:$AU$5,0),FALSE),0)</f>
        <v>0</v>
      </c>
      <c r="D797" s="167"/>
      <c r="E797" s="525">
        <f>IFERROR(VALUE(VLOOKUP($B794,'PY1 TFR ADA'!$F:$AU,MATCH("A-2.2",'PY1 TFR ADA'!$F$5:$AU$5,0),FALSE)),0)</f>
        <v>0</v>
      </c>
      <c r="F797" s="167"/>
      <c r="G797" s="609">
        <f>IFERROR(VLOOKUP($B794,'PY1 TFR ADA'!$F:$AU,MATCH("b-1.2",'PY1 TFR ADA'!$F$5:$AU$5,0),FALSE),0)</f>
        <v>0</v>
      </c>
      <c r="H797" s="527"/>
      <c r="I797" s="609">
        <f>IFERROR(VLOOKUP($B794,'PY1 TFR ADA'!$F:$AU,MATCH("b-2.2",'PY1 TFR ADA'!$F$5:$AU$5,0),FALSE),0)</f>
        <v>0</v>
      </c>
      <c r="J797" s="527"/>
      <c r="K797" s="609">
        <f>IFERROR(VLOOKUP($B794,'PY1 TFR ADA'!$F:$AU,MATCH("b-3.2",'PY1 TFR ADA'!$F$5:$AU$5,0),FALSE),0)</f>
        <v>0</v>
      </c>
      <c r="L797" s="527"/>
      <c r="M797" s="609">
        <f>IFERROR(VLOOKUP($B794,'PY1 TFR ADA'!$F:$AU,MATCH("b-4.2",'PY1 TFR ADA'!$F$5:$AU$5,0),FALSE),0)</f>
        <v>0</v>
      </c>
      <c r="N797" s="527"/>
      <c r="O797" s="609">
        <f>IFERROR(VLOOKUP($B794,'PY1 TFR ADA'!$F:$AU,MATCH("b-5.2",'PY1 TFR ADA'!$F$5:$AU$5,0),FALSE),0)</f>
        <v>0</v>
      </c>
      <c r="P797" s="527"/>
      <c r="Q797" s="609">
        <f>IFERROR(VLOOKUP($B794,'PY1 TFR ADA'!$F:$AU,MATCH("b-6.2",'PY1 TFR ADA'!$F$5:$AU$5,0),FALSE),0)</f>
        <v>0</v>
      </c>
      <c r="R797" s="551"/>
      <c r="S797" s="601">
        <f t="shared" si="1178"/>
        <v>0</v>
      </c>
      <c r="T797" s="551"/>
      <c r="U797" s="536">
        <f t="shared" ref="U797" si="1180">ROUND(IF($G803="LCFF Rate",(G797*$C797),(G797*$E797))+IF($I803="LCFF Rate",(I797*$C797),(I797*$E797))+IF($K803="LCFF Rate",(K797*$C797),(K797*$E797))+IF($M803="LCFF Rate",(M797*$C797),(M797*$E797))+IF($O803="LCFF Rate",(O797*$C797),(O797*$E797))+IF($Q803="LCFF Rate",(Q797*$C797),(Q797*$E797)),0)</f>
        <v>0</v>
      </c>
      <c r="V797" s="524"/>
      <c r="X797" s="4"/>
    </row>
    <row r="798" spans="1:24" s="8" customFormat="1" ht="14.4">
      <c r="A798" s="521"/>
      <c r="B798" s="510" t="s">
        <v>3</v>
      </c>
      <c r="C798" s="525">
        <f>IFERROR(VLOOKUP($B794,'PY1 TFR ADA'!$F:$AU,MATCH("A-1.3",'PY1 TFR ADA'!$F$5:$AU$5,0),FALSE),0)</f>
        <v>0</v>
      </c>
      <c r="D798" s="167"/>
      <c r="E798" s="525">
        <f>IFERROR(VALUE(VLOOKUP($B794,'PY1 TFR ADA'!$F:$AU,MATCH("A-2.3",'PY1 TFR ADA'!$F$5:$AU$5,0),FALSE)),0)</f>
        <v>0</v>
      </c>
      <c r="F798" s="167"/>
      <c r="G798" s="609">
        <f>IFERROR(VLOOKUP($B794,'PY1 TFR ADA'!$F:$AU,MATCH("b-1.3",'PY1 TFR ADA'!$F$5:$AU$5,0),FALSE),0)</f>
        <v>0</v>
      </c>
      <c r="H798" s="527"/>
      <c r="I798" s="609">
        <f>IFERROR(VLOOKUP($B794,'PY1 TFR ADA'!$F:$AU,MATCH("b-2.3",'PY1 TFR ADA'!$F$5:$AU$5,0),FALSE),0)</f>
        <v>0</v>
      </c>
      <c r="J798" s="527"/>
      <c r="K798" s="609">
        <f>IFERROR(VLOOKUP($B794,'PY1 TFR ADA'!$F:$AU,MATCH("b-3.3",'PY1 TFR ADA'!$F$5:$AU$5,0),FALSE),0)</f>
        <v>0</v>
      </c>
      <c r="L798" s="527"/>
      <c r="M798" s="609">
        <f>IFERROR(VLOOKUP($B794,'PY1 TFR ADA'!$F:$AU,MATCH("b-4.3",'PY1 TFR ADA'!$F$5:$AU$5,0),FALSE),0)</f>
        <v>0</v>
      </c>
      <c r="N798" s="527"/>
      <c r="O798" s="609">
        <f>IFERROR(VLOOKUP($B794,'PY1 TFR ADA'!$F:$AU,MATCH("b-5.3",'PY1 TFR ADA'!$F$5:$AU$5,0),FALSE),0)</f>
        <v>0</v>
      </c>
      <c r="P798" s="527"/>
      <c r="Q798" s="609">
        <f>IFERROR(VLOOKUP($B794,'PY1 TFR ADA'!$F:$AU,MATCH("b-6.3",'PY1 TFR ADA'!$F$5:$AU$5,0),FALSE),0)</f>
        <v>0</v>
      </c>
      <c r="R798" s="551"/>
      <c r="S798" s="601">
        <f t="shared" si="1178"/>
        <v>0</v>
      </c>
      <c r="T798" s="551"/>
      <c r="U798" s="536">
        <f t="shared" ref="U798" si="1181">ROUND(IF($G803="LCFF Rate",(G798*$C798),(G798*$E798))+IF($I803="LCFF Rate",(I798*$C798),(I798*$E798))+IF($K803="LCFF Rate",(K798*$C798),(K798*$E798))+IF($M803="LCFF Rate",(M798*$C798),(M798*$E798))+IF($O803="LCFF Rate",(O798*$C798),(O798*$E798))+IF($Q803="LCFF Rate",(Q798*$C798),(Q798*$E798)),0)</f>
        <v>0</v>
      </c>
      <c r="V798" s="524"/>
      <c r="X798" s="4"/>
    </row>
    <row r="799" spans="1:24" s="8" customFormat="1" ht="14.4">
      <c r="A799" s="526"/>
      <c r="B799" s="510" t="s">
        <v>4</v>
      </c>
      <c r="C799" s="525">
        <f>IFERROR(VLOOKUP($B794,'PY1 TFR ADA'!$F:$AU,MATCH("A-1.4",'PY1 TFR ADA'!$F$5:$AU$5,0),FALSE),0)</f>
        <v>0</v>
      </c>
      <c r="D799" s="523"/>
      <c r="E799" s="525">
        <f>IFERROR(VALUE(VLOOKUP($B794,'PY1 TFR ADA'!$F:$AU,MATCH("A-2.4",'PY1 TFR ADA'!$F$5:$AU$5,0),FALSE)),0)</f>
        <v>0</v>
      </c>
      <c r="F799" s="523"/>
      <c r="G799" s="609">
        <f>IFERROR(VLOOKUP($B794,'PY1 TFR ADA'!$F:$AU,MATCH("b-1.4",'PY1 TFR ADA'!$F$5:$AU$5,0),FALSE),0)</f>
        <v>0</v>
      </c>
      <c r="H799" s="527"/>
      <c r="I799" s="609">
        <f>IFERROR(VLOOKUP($B794,'PY1 TFR ADA'!$F:$AU,MATCH("b-2.4",'PY1 TFR ADA'!$F$5:$AU$5,0),FALSE),0)</f>
        <v>0</v>
      </c>
      <c r="J799" s="527"/>
      <c r="K799" s="609">
        <f>IFERROR(VLOOKUP($B794,'PY1 TFR ADA'!$F:$AU,MATCH("b-3.4",'PY1 TFR ADA'!$F$5:$AU$5,0),FALSE),0)</f>
        <v>0</v>
      </c>
      <c r="L799" s="527"/>
      <c r="M799" s="609">
        <f>IFERROR(VLOOKUP($B794,'PY1 TFR ADA'!$F:$AU,MATCH("b-4.4",'PY1 TFR ADA'!$F$5:$AU$5,0),FALSE),0)</f>
        <v>0</v>
      </c>
      <c r="N799" s="527"/>
      <c r="O799" s="609">
        <f>IFERROR(VLOOKUP($B794,'PY1 TFR ADA'!$F:$AU,MATCH("b-5.4",'PY1 TFR ADA'!$F$5:$AU$5,0),FALSE),0)</f>
        <v>0</v>
      </c>
      <c r="P799" s="527"/>
      <c r="Q799" s="609">
        <f>IFERROR(VLOOKUP($B794,'PY1 TFR ADA'!$F:$AU,MATCH("b-6.4",'PY1 TFR ADA'!$F$5:$AU$5,0),FALSE),0)</f>
        <v>0</v>
      </c>
      <c r="R799" s="551"/>
      <c r="S799" s="601">
        <f t="shared" si="1178"/>
        <v>0</v>
      </c>
      <c r="T799" s="551"/>
      <c r="U799" s="536">
        <f t="shared" ref="U799" si="1182">ROUND(IF($G803="LCFF Rate",(G799*$C799),(G799*$E799))+IF($I803="LCFF Rate",(I799*$C799),(I799*$E799))+IF($K803="LCFF Rate",(K799*$C799),(K799*$E799))+IF($M803="LCFF Rate",(M799*$C799),(M799*$E799))+IF($O803="LCFF Rate",(O799*$C799),(O799*$E799))+IF($Q803="LCFF Rate",(Q799*$C799),(Q799*$E799)),0)</f>
        <v>0</v>
      </c>
      <c r="V799" s="522"/>
      <c r="X799" s="496"/>
    </row>
    <row r="800" spans="1:24" s="8" customFormat="1" ht="8.25" customHeight="1">
      <c r="A800" s="521"/>
      <c r="B800" s="167"/>
      <c r="C800" s="165"/>
      <c r="D800" s="523"/>
      <c r="E800" s="165"/>
      <c r="F800" s="523"/>
      <c r="G800" s="520"/>
      <c r="H800" s="523"/>
      <c r="I800" s="520"/>
      <c r="J800" s="523"/>
      <c r="K800" s="520"/>
      <c r="L800" s="523"/>
      <c r="M800" s="520"/>
      <c r="N800" s="523"/>
      <c r="O800" s="520"/>
      <c r="P800" s="523"/>
      <c r="Q800" s="520"/>
      <c r="R800" s="167"/>
      <c r="S800" s="520"/>
      <c r="T800" s="167"/>
      <c r="U800" s="602"/>
      <c r="V800" s="522"/>
      <c r="X800" s="4"/>
    </row>
    <row r="801" spans="1:24" s="8" customFormat="1" ht="14.4">
      <c r="A801" s="521"/>
      <c r="B801" s="167"/>
      <c r="C801" s="165"/>
      <c r="D801" s="523"/>
      <c r="E801" s="513" t="s">
        <v>1317</v>
      </c>
      <c r="F801" s="523"/>
      <c r="G801" s="601">
        <f t="shared" ref="G801" si="1183">SUM(G796:G799)</f>
        <v>0</v>
      </c>
      <c r="H801" s="527"/>
      <c r="I801" s="601">
        <f t="shared" ref="I801" si="1184">SUM(I796:I799)</f>
        <v>0</v>
      </c>
      <c r="J801" s="527"/>
      <c r="K801" s="601">
        <f t="shared" ref="K801" si="1185">SUM(K796:K799)</f>
        <v>0</v>
      </c>
      <c r="L801" s="527"/>
      <c r="M801" s="601">
        <f t="shared" ref="M801" si="1186">SUM(M796:M799)</f>
        <v>0</v>
      </c>
      <c r="N801" s="527"/>
      <c r="O801" s="601">
        <f t="shared" ref="O801" si="1187">SUM(O796:O799)</f>
        <v>0</v>
      </c>
      <c r="P801" s="527"/>
      <c r="Q801" s="601">
        <f t="shared" ref="Q801" si="1188">SUM(Q796:Q799)</f>
        <v>0</v>
      </c>
      <c r="R801" s="527"/>
      <c r="S801" s="601">
        <f t="shared" ref="S801" si="1189">SUM(S796:S799)</f>
        <v>0</v>
      </c>
      <c r="T801" s="527"/>
      <c r="U801" s="536">
        <f t="shared" ref="U801" si="1190">SUM(U796:U799)</f>
        <v>0</v>
      </c>
      <c r="V801" s="522"/>
      <c r="X801" s="4"/>
    </row>
    <row r="802" spans="1:24" s="8" customFormat="1" ht="8.25" customHeight="1">
      <c r="A802" s="521"/>
      <c r="B802" s="167"/>
      <c r="C802" s="165"/>
      <c r="D802" s="523"/>
      <c r="E802" s="165"/>
      <c r="F802" s="523"/>
      <c r="G802" s="520"/>
      <c r="H802" s="523"/>
      <c r="I802" s="520"/>
      <c r="J802" s="523"/>
      <c r="K802" s="520"/>
      <c r="L802" s="523"/>
      <c r="M802" s="520"/>
      <c r="N802" s="523"/>
      <c r="O802" s="520"/>
      <c r="P802" s="523"/>
      <c r="Q802" s="520"/>
      <c r="R802" s="167"/>
      <c r="S802" s="520"/>
      <c r="T802" s="167"/>
      <c r="U802" s="528"/>
      <c r="V802" s="522"/>
      <c r="X802" s="4"/>
    </row>
    <row r="803" spans="1:24" s="8" customFormat="1" ht="16.5" customHeight="1">
      <c r="A803" s="521"/>
      <c r="B803" s="167"/>
      <c r="C803" s="165"/>
      <c r="E803" s="513" t="s">
        <v>1304</v>
      </c>
      <c r="F803" s="523"/>
      <c r="G803" s="977">
        <f>_xlfn.IFNA(IF(VLOOKUP($B794,'PY1 TFR ADA'!$F:$AU,MATCH("B-1.5",'PY1 TFR ADA'!$F$5:$AU$5,0),FALSE)=TRUE,IF(VLOOKUP($B794,'PY1 TFR ADA'!$F:$AU,MATCH("C-1",'PY1 TFR ADA'!$F$5:$AU$5,0),FALSE)=TRUE,"Alternative Rate","LCFF Rate"),"LCFF Rate"),0)</f>
        <v>0</v>
      </c>
      <c r="H803" s="523"/>
      <c r="I803" s="977">
        <f>_xlfn.IFNA(IF(VLOOKUP($B794,'PY1 TFR ADA'!$F:$AU,MATCH("B-2.5",'PY1 TFR ADA'!$F$5:$AU$5,0),FALSE)=TRUE,IF(VLOOKUP($B794,'PY1 TFR ADA'!$F:$AU,MATCH("C-1",'PY1 TFR ADA'!$F$5:$AU$5,0),FALSE)=TRUE,"Alternative Rate","LCFF Rate"),"LCFF Rate"),0)</f>
        <v>0</v>
      </c>
      <c r="J803" s="523"/>
      <c r="K803" s="977">
        <f>_xlfn.IFNA(IF(VLOOKUP($B794,'PY1 TFR ADA'!$F:$AU,MATCH("B-3.5",'PY1 TFR ADA'!$F$5:$AU$5,0),FALSE)=TRUE,IF(VLOOKUP($B794,'PY1 TFR ADA'!$F:$AU,MATCH("C-1",'PY1 TFR ADA'!$F$5:$AU$5,0),FALSE)=TRUE,"Alternative Rate","LCFF Rate"),"LCFF Rate"),0)</f>
        <v>0</v>
      </c>
      <c r="L803" s="523"/>
      <c r="M803" s="977">
        <f>_xlfn.IFNA(IF(VLOOKUP($B794,'PY1 TFR ADA'!$F:$AU,MATCH("B-4.5",'PY1 TFR ADA'!$F$5:$AU$5,0),FALSE)=TRUE,IF(VLOOKUP($B794,'PY1 TFR ADA'!$F:$AU,MATCH("C-1",'PY1 TFR ADA'!$F$5:$AU$5,0),FALSE)=TRUE,"Alternative Rate","LCFF Rate"),"LCFF Rate"),0)</f>
        <v>0</v>
      </c>
      <c r="N803" s="523"/>
      <c r="O803" s="977">
        <f>_xlfn.IFNA(IF(VLOOKUP($B794,'PY1 TFR ADA'!$F:$AU,MATCH("B-5.5",'PY1 TFR ADA'!$F$5:$AU$5,0),FALSE)=TRUE,IF(VLOOKUP($B794,'PY1 TFR ADA'!$F:$AU,MATCH("C-1",'PY1 TFR ADA'!$F$5:$AU$5,0),FALSE)=TRUE,"Alternative Rate","LCFF Rate"),"LCFF Rate"),0)</f>
        <v>0</v>
      </c>
      <c r="P803" s="523"/>
      <c r="Q803" s="977">
        <f>_xlfn.IFNA(IF(VLOOKUP($B794,'PY1 TFR ADA'!$F:$AU,MATCH("B-6.5",'PY1 TFR ADA'!$F$5:$AU$5,0),FALSE)=TRUE,IF(VLOOKUP($B794,'PY1 TFR ADA'!$F:$AU,MATCH("C-1",'PY1 TFR ADA'!$F$5:$AU$5,0),FALSE)=TRUE,"Alternative Rate","LCFF Rate"),"LCFF Rate"),0)</f>
        <v>0</v>
      </c>
      <c r="R803" s="167"/>
      <c r="S803" s="520"/>
      <c r="T803" s="167"/>
      <c r="U803" s="528"/>
      <c r="V803" s="522"/>
      <c r="X803" s="283"/>
    </row>
    <row r="804" spans="1:24" s="8" customFormat="1" ht="8.25" customHeight="1">
      <c r="A804" s="521"/>
      <c r="B804" s="167"/>
      <c r="C804" s="165"/>
      <c r="D804" s="523"/>
      <c r="E804" s="165"/>
      <c r="F804" s="523"/>
      <c r="G804" s="520"/>
      <c r="H804" s="523"/>
      <c r="I804" s="520"/>
      <c r="J804" s="523"/>
      <c r="K804" s="520"/>
      <c r="L804" s="523"/>
      <c r="M804" s="520"/>
      <c r="N804" s="523"/>
      <c r="O804" s="520"/>
      <c r="P804" s="523"/>
      <c r="Q804" s="520"/>
      <c r="R804" s="167"/>
      <c r="S804" s="520"/>
      <c r="T804" s="167"/>
      <c r="U804" s="528"/>
      <c r="V804" s="522"/>
      <c r="X804" s="4"/>
    </row>
    <row r="805" spans="1:24" s="8" customFormat="1" ht="16.8">
      <c r="A805" s="521"/>
      <c r="B805" s="2"/>
      <c r="F805" s="523"/>
      <c r="G805" s="535">
        <f t="shared" ref="G805" si="1191">IF(G803="LCFF Rate",(G796*C796+G797*C797+G798*C798+G799*C799),(G801*E799))</f>
        <v>0</v>
      </c>
      <c r="H805" s="537"/>
      <c r="I805" s="535">
        <f t="shared" ref="I805" si="1192">IF(I803="LCFF Rate",(I796*C796+I797*C797+I798*C798+I799*C799),(I801*E799))</f>
        <v>0</v>
      </c>
      <c r="J805" s="537"/>
      <c r="K805" s="535">
        <f t="shared" ref="K805" si="1193">IF(K803="LCFF Rate",(K796*C796+K797*C797+K798*C798+K799*C799),(K801*E799))</f>
        <v>0</v>
      </c>
      <c r="L805" s="537"/>
      <c r="M805" s="535">
        <f t="shared" ref="M805" si="1194">IF(M803="LCFF Rate",(M796*C796+M797*C797+M798*C798+M799*C799),(M801*E799))</f>
        <v>0</v>
      </c>
      <c r="N805" s="537"/>
      <c r="O805" s="535">
        <f t="shared" ref="O805" si="1195">IF(O803="LCFF Rate",(O796*C796+O797*C797+O798*C798+O799*C799),(O801*E799))</f>
        <v>0</v>
      </c>
      <c r="P805" s="537"/>
      <c r="Q805" s="535">
        <f t="shared" ref="Q805" si="1196">IF(Q803="LCFF Rate",(Q796*C796+Q797*C797+Q798*C798+Q799*C799),(Q801*E799))</f>
        <v>0</v>
      </c>
      <c r="R805" s="167"/>
      <c r="S805" s="538">
        <f t="shared" ref="S805" si="1197">SUM(G805:Q805)</f>
        <v>0</v>
      </c>
      <c r="T805" s="167"/>
      <c r="U805" s="528"/>
      <c r="V805" s="522"/>
      <c r="X805" s="979"/>
    </row>
    <row r="806" spans="1:24" s="8" customFormat="1" ht="9" customHeight="1" thickBot="1">
      <c r="A806" s="529"/>
      <c r="B806" s="530"/>
      <c r="C806" s="531"/>
      <c r="D806" s="532"/>
      <c r="E806" s="533"/>
      <c r="F806" s="532"/>
      <c r="G806" s="530"/>
      <c r="H806" s="532"/>
      <c r="I806" s="530"/>
      <c r="J806" s="532"/>
      <c r="K806" s="530"/>
      <c r="L806" s="532"/>
      <c r="M806" s="530"/>
      <c r="N806" s="532"/>
      <c r="O806" s="530"/>
      <c r="P806" s="532"/>
      <c r="Q806" s="530"/>
      <c r="R806" s="532"/>
      <c r="S806" s="530"/>
      <c r="T806" s="532"/>
      <c r="U806" s="532"/>
      <c r="V806" s="534"/>
      <c r="X806" s="4"/>
    </row>
    <row r="807" spans="1:24" s="82" customFormat="1" ht="18" customHeight="1" thickBot="1">
      <c r="A807" s="890">
        <f>+A794+1</f>
        <v>62</v>
      </c>
      <c r="B807" s="891" t="str">
        <f>'Data Entry'!$B$3&amp;"-"&amp;C807</f>
        <v>-</v>
      </c>
      <c r="C807" s="891" t="str">
        <f>IFERROR(VLOOKUP('Data Entry'!$B$3&amp;"-"&amp;A807,'PY1 TFR ADA'!$D:$AT,2,FALSE),"")</f>
        <v/>
      </c>
      <c r="D807" s="892" t="str">
        <f>IFERROR(VLOOKUP('Data Entry'!$B$3&amp;"-"&amp;A807,'PY1 TFR ADA'!$D:$AT,4,FALSE),"")</f>
        <v/>
      </c>
      <c r="E807" s="893"/>
      <c r="F807" s="893"/>
      <c r="G807" s="893"/>
      <c r="H807" s="893"/>
      <c r="I807" s="893"/>
      <c r="J807" s="893"/>
      <c r="K807" s="893"/>
      <c r="L807" s="893"/>
      <c r="M807" s="893"/>
      <c r="N807" s="893"/>
      <c r="O807" s="893"/>
      <c r="P807" s="893"/>
      <c r="Q807" s="893"/>
      <c r="R807" s="893"/>
      <c r="S807" s="893"/>
      <c r="T807" s="893"/>
      <c r="U807" s="893"/>
      <c r="V807" s="894"/>
      <c r="X807" s="83"/>
    </row>
    <row r="808" spans="1:24" ht="75" customHeight="1">
      <c r="A808" s="521"/>
      <c r="C808" s="540" t="s">
        <v>1315</v>
      </c>
      <c r="D808" s="512"/>
      <c r="E808" s="540" t="s">
        <v>1316</v>
      </c>
      <c r="F808" s="512"/>
      <c r="G808" s="540" t="s">
        <v>1309</v>
      </c>
      <c r="H808" s="512"/>
      <c r="I808" s="540" t="s">
        <v>1310</v>
      </c>
      <c r="J808" s="512"/>
      <c r="K808" s="540" t="s">
        <v>1311</v>
      </c>
      <c r="L808" s="512"/>
      <c r="M808" s="540" t="s">
        <v>1312</v>
      </c>
      <c r="N808" s="512"/>
      <c r="O808" s="540" t="s">
        <v>1313</v>
      </c>
      <c r="P808" s="512"/>
      <c r="Q808" s="540" t="s">
        <v>1314</v>
      </c>
      <c r="R808" s="167"/>
      <c r="S808" s="540" t="s">
        <v>1308</v>
      </c>
      <c r="T808" s="167"/>
      <c r="U808" s="512" t="s">
        <v>1307</v>
      </c>
      <c r="V808" s="524"/>
      <c r="X808" s="283"/>
    </row>
    <row r="809" spans="1:24" s="8" customFormat="1" ht="14.4">
      <c r="A809" s="521"/>
      <c r="B809" s="510" t="s">
        <v>94</v>
      </c>
      <c r="C809" s="525">
        <f>IFERROR(VLOOKUP($B807,'PY1 TFR ADA'!$F:$AU,MATCH("A-1.1",'PY1 TFR ADA'!$F$5:$AU$5,0),FALSE),0)</f>
        <v>0</v>
      </c>
      <c r="D809" s="167"/>
      <c r="E809" s="525">
        <f>IFERROR(VALUE(VLOOKUP($B807,'PY1 TFR ADA'!$F:$AU,MATCH("A-2.1",'PY1 TFR ADA'!$F$5:$AU$5,0),FALSE)),0)</f>
        <v>0</v>
      </c>
      <c r="F809" s="167"/>
      <c r="G809" s="609">
        <f>IFERROR(VLOOKUP($B807,'PY1 TFR ADA'!$F:$AU,MATCH("b-1.1",'PY1 TFR ADA'!$F$5:$AU$5,0),FALSE),0)</f>
        <v>0</v>
      </c>
      <c r="H809" s="527"/>
      <c r="I809" s="609">
        <f>IFERROR(VLOOKUP($B807,'PY1 TFR ADA'!$F:$AU,MATCH("b-2.1",'PY1 TFR ADA'!$F$5:$AU$5,0),FALSE),0)</f>
        <v>0</v>
      </c>
      <c r="J809" s="527"/>
      <c r="K809" s="609">
        <f>IFERROR(VLOOKUP($B807,'PY1 TFR ADA'!$F:$AU,MATCH("b-3.1",'PY1 TFR ADA'!$F$5:$AU$5,0),FALSE),0)</f>
        <v>0</v>
      </c>
      <c r="L809" s="527"/>
      <c r="M809" s="609">
        <f>IFERROR(VLOOKUP($B807,'PY1 TFR ADA'!$F:$AU,MATCH("b-4.1",'PY1 TFR ADA'!$F$5:$AU$5,0),FALSE),0)</f>
        <v>0</v>
      </c>
      <c r="N809" s="527"/>
      <c r="O809" s="609">
        <f>IFERROR(VLOOKUP($B807,'PY1 TFR ADA'!$F:$AU,MATCH("b-5.1",'PY1 TFR ADA'!$F$5:$AU$5,0),FALSE),0)</f>
        <v>0</v>
      </c>
      <c r="P809" s="527"/>
      <c r="Q809" s="609">
        <f>IFERROR(VLOOKUP($B807,'PY1 TFR ADA'!$F:$AU,MATCH("b-6.1",'PY1 TFR ADA'!$F$5:$AU$5,0),FALSE),0)</f>
        <v>0</v>
      </c>
      <c r="R809" s="551"/>
      <c r="S809" s="601">
        <f t="shared" ref="S809:S812" si="1198">SUM(G809:Q809)</f>
        <v>0</v>
      </c>
      <c r="T809" s="551"/>
      <c r="U809" s="536">
        <f t="shared" ref="U809" si="1199">ROUND(IF($G816="LCFF Rate",(G809*$C809),(G809*$E809))+IF($I816="LCFF Rate",(I809*$C809),(I809*$E809))+IF($K816="LCFF Rate",(K809*$C809),(K809*$E809))+IF($M816="LCFF Rate",(M809*$C809),(M809*$E809))+IF($O816="LCFF Rate",(O809*$C809),(O809*$E809))+IF($Q816="LCFF Rate",(Q809*$C809),(Q809*$E809)),0)</f>
        <v>0</v>
      </c>
      <c r="V809" s="524"/>
      <c r="X809" s="496"/>
    </row>
    <row r="810" spans="1:24" s="8" customFormat="1" ht="14.4">
      <c r="A810" s="521"/>
      <c r="B810" s="510" t="s">
        <v>2</v>
      </c>
      <c r="C810" s="525">
        <f>IFERROR(VLOOKUP($B807,'PY1 TFR ADA'!$F:$AU,MATCH("A-1.2",'PY1 TFR ADA'!$F$5:$AU$5,0),FALSE),0)</f>
        <v>0</v>
      </c>
      <c r="D810" s="167"/>
      <c r="E810" s="525">
        <f>IFERROR(VALUE(VLOOKUP($B807,'PY1 TFR ADA'!$F:$AU,MATCH("A-2.2",'PY1 TFR ADA'!$F$5:$AU$5,0),FALSE)),0)</f>
        <v>0</v>
      </c>
      <c r="F810" s="167"/>
      <c r="G810" s="609">
        <f>IFERROR(VLOOKUP($B807,'PY1 TFR ADA'!$F:$AU,MATCH("b-1.2",'PY1 TFR ADA'!$F$5:$AU$5,0),FALSE),0)</f>
        <v>0</v>
      </c>
      <c r="H810" s="527"/>
      <c r="I810" s="609">
        <f>IFERROR(VLOOKUP($B807,'PY1 TFR ADA'!$F:$AU,MATCH("b-2.2",'PY1 TFR ADA'!$F$5:$AU$5,0),FALSE),0)</f>
        <v>0</v>
      </c>
      <c r="J810" s="527"/>
      <c r="K810" s="609">
        <f>IFERROR(VLOOKUP($B807,'PY1 TFR ADA'!$F:$AU,MATCH("b-3.2",'PY1 TFR ADA'!$F$5:$AU$5,0),FALSE),0)</f>
        <v>0</v>
      </c>
      <c r="L810" s="527"/>
      <c r="M810" s="609">
        <f>IFERROR(VLOOKUP($B807,'PY1 TFR ADA'!$F:$AU,MATCH("b-4.2",'PY1 TFR ADA'!$F$5:$AU$5,0),FALSE),0)</f>
        <v>0</v>
      </c>
      <c r="N810" s="527"/>
      <c r="O810" s="609">
        <f>IFERROR(VLOOKUP($B807,'PY1 TFR ADA'!$F:$AU,MATCH("b-5.2",'PY1 TFR ADA'!$F$5:$AU$5,0),FALSE),0)</f>
        <v>0</v>
      </c>
      <c r="P810" s="527"/>
      <c r="Q810" s="609">
        <f>IFERROR(VLOOKUP($B807,'PY1 TFR ADA'!$F:$AU,MATCH("b-6.2",'PY1 TFR ADA'!$F$5:$AU$5,0),FALSE),0)</f>
        <v>0</v>
      </c>
      <c r="R810" s="551"/>
      <c r="S810" s="601">
        <f t="shared" si="1198"/>
        <v>0</v>
      </c>
      <c r="T810" s="551"/>
      <c r="U810" s="536">
        <f t="shared" ref="U810" si="1200">ROUND(IF($G816="LCFF Rate",(G810*$C810),(G810*$E810))+IF($I816="LCFF Rate",(I810*$C810),(I810*$E810))+IF($K816="LCFF Rate",(K810*$C810),(K810*$E810))+IF($M816="LCFF Rate",(M810*$C810),(M810*$E810))+IF($O816="LCFF Rate",(O810*$C810),(O810*$E810))+IF($Q816="LCFF Rate",(Q810*$C810),(Q810*$E810)),0)</f>
        <v>0</v>
      </c>
      <c r="V810" s="524"/>
      <c r="X810" s="4"/>
    </row>
    <row r="811" spans="1:24" s="8" customFormat="1" ht="14.4">
      <c r="A811" s="521"/>
      <c r="B811" s="510" t="s">
        <v>3</v>
      </c>
      <c r="C811" s="525">
        <f>IFERROR(VLOOKUP($B807,'PY1 TFR ADA'!$F:$AU,MATCH("A-1.3",'PY1 TFR ADA'!$F$5:$AU$5,0),FALSE),0)</f>
        <v>0</v>
      </c>
      <c r="D811" s="167"/>
      <c r="E811" s="525">
        <f>IFERROR(VALUE(VLOOKUP($B807,'PY1 TFR ADA'!$F:$AU,MATCH("A-2.3",'PY1 TFR ADA'!$F$5:$AU$5,0),FALSE)),0)</f>
        <v>0</v>
      </c>
      <c r="F811" s="167"/>
      <c r="G811" s="609">
        <f>IFERROR(VLOOKUP($B807,'PY1 TFR ADA'!$F:$AU,MATCH("b-1.3",'PY1 TFR ADA'!$F$5:$AU$5,0),FALSE),0)</f>
        <v>0</v>
      </c>
      <c r="H811" s="527"/>
      <c r="I811" s="609">
        <f>IFERROR(VLOOKUP($B807,'PY1 TFR ADA'!$F:$AU,MATCH("b-2.3",'PY1 TFR ADA'!$F$5:$AU$5,0),FALSE),0)</f>
        <v>0</v>
      </c>
      <c r="J811" s="527"/>
      <c r="K811" s="609">
        <f>IFERROR(VLOOKUP($B807,'PY1 TFR ADA'!$F:$AU,MATCH("b-3.3",'PY1 TFR ADA'!$F$5:$AU$5,0),FALSE),0)</f>
        <v>0</v>
      </c>
      <c r="L811" s="527"/>
      <c r="M811" s="609">
        <f>IFERROR(VLOOKUP($B807,'PY1 TFR ADA'!$F:$AU,MATCH("b-4.3",'PY1 TFR ADA'!$F$5:$AU$5,0),FALSE),0)</f>
        <v>0</v>
      </c>
      <c r="N811" s="527"/>
      <c r="O811" s="609">
        <f>IFERROR(VLOOKUP($B807,'PY1 TFR ADA'!$F:$AU,MATCH("b-5.3",'PY1 TFR ADA'!$F$5:$AU$5,0),FALSE),0)</f>
        <v>0</v>
      </c>
      <c r="P811" s="527"/>
      <c r="Q811" s="609">
        <f>IFERROR(VLOOKUP($B807,'PY1 TFR ADA'!$F:$AU,MATCH("b-6.3",'PY1 TFR ADA'!$F$5:$AU$5,0),FALSE),0)</f>
        <v>0</v>
      </c>
      <c r="R811" s="551"/>
      <c r="S811" s="601">
        <f t="shared" si="1198"/>
        <v>0</v>
      </c>
      <c r="T811" s="551"/>
      <c r="U811" s="536">
        <f t="shared" ref="U811" si="1201">ROUND(IF($G816="LCFF Rate",(G811*$C811),(G811*$E811))+IF($I816="LCFF Rate",(I811*$C811),(I811*$E811))+IF($K816="LCFF Rate",(K811*$C811),(K811*$E811))+IF($M816="LCFF Rate",(M811*$C811),(M811*$E811))+IF($O816="LCFF Rate",(O811*$C811),(O811*$E811))+IF($Q816="LCFF Rate",(Q811*$C811),(Q811*$E811)),0)</f>
        <v>0</v>
      </c>
      <c r="V811" s="524"/>
      <c r="X811" s="4"/>
    </row>
    <row r="812" spans="1:24" s="8" customFormat="1" ht="14.4">
      <c r="A812" s="526"/>
      <c r="B812" s="510" t="s">
        <v>4</v>
      </c>
      <c r="C812" s="525">
        <f>IFERROR(VLOOKUP($B807,'PY1 TFR ADA'!$F:$AU,MATCH("A-1.4",'PY1 TFR ADA'!$F$5:$AU$5,0),FALSE),0)</f>
        <v>0</v>
      </c>
      <c r="D812" s="523"/>
      <c r="E812" s="525">
        <f>IFERROR(VALUE(VLOOKUP($B807,'PY1 TFR ADA'!$F:$AU,MATCH("A-2.4",'PY1 TFR ADA'!$F$5:$AU$5,0),FALSE)),0)</f>
        <v>0</v>
      </c>
      <c r="F812" s="523"/>
      <c r="G812" s="609">
        <f>IFERROR(VLOOKUP($B807,'PY1 TFR ADA'!$F:$AU,MATCH("b-1.4",'PY1 TFR ADA'!$F$5:$AU$5,0),FALSE),0)</f>
        <v>0</v>
      </c>
      <c r="H812" s="527"/>
      <c r="I812" s="609">
        <f>IFERROR(VLOOKUP($B807,'PY1 TFR ADA'!$F:$AU,MATCH("b-2.4",'PY1 TFR ADA'!$F$5:$AU$5,0),FALSE),0)</f>
        <v>0</v>
      </c>
      <c r="J812" s="527"/>
      <c r="K812" s="609">
        <f>IFERROR(VLOOKUP($B807,'PY1 TFR ADA'!$F:$AU,MATCH("b-3.4",'PY1 TFR ADA'!$F$5:$AU$5,0),FALSE),0)</f>
        <v>0</v>
      </c>
      <c r="L812" s="527"/>
      <c r="M812" s="609">
        <f>IFERROR(VLOOKUP($B807,'PY1 TFR ADA'!$F:$AU,MATCH("b-4.4",'PY1 TFR ADA'!$F$5:$AU$5,0),FALSE),0)</f>
        <v>0</v>
      </c>
      <c r="N812" s="527"/>
      <c r="O812" s="609">
        <f>IFERROR(VLOOKUP($B807,'PY1 TFR ADA'!$F:$AU,MATCH("b-5.4",'PY1 TFR ADA'!$F$5:$AU$5,0),FALSE),0)</f>
        <v>0</v>
      </c>
      <c r="P812" s="527"/>
      <c r="Q812" s="609">
        <f>IFERROR(VLOOKUP($B807,'PY1 TFR ADA'!$F:$AU,MATCH("b-6.4",'PY1 TFR ADA'!$F$5:$AU$5,0),FALSE),0)</f>
        <v>0</v>
      </c>
      <c r="R812" s="551"/>
      <c r="S812" s="601">
        <f t="shared" si="1198"/>
        <v>0</v>
      </c>
      <c r="T812" s="551"/>
      <c r="U812" s="536">
        <f t="shared" ref="U812" si="1202">ROUND(IF($G816="LCFF Rate",(G812*$C812),(G812*$E812))+IF($I816="LCFF Rate",(I812*$C812),(I812*$E812))+IF($K816="LCFF Rate",(K812*$C812),(K812*$E812))+IF($M816="LCFF Rate",(M812*$C812),(M812*$E812))+IF($O816="LCFF Rate",(O812*$C812),(O812*$E812))+IF($Q816="LCFF Rate",(Q812*$C812),(Q812*$E812)),0)</f>
        <v>0</v>
      </c>
      <c r="V812" s="522"/>
      <c r="X812" s="496"/>
    </row>
    <row r="813" spans="1:24" s="8" customFormat="1" ht="8.25" customHeight="1">
      <c r="A813" s="521"/>
      <c r="B813" s="167"/>
      <c r="C813" s="165"/>
      <c r="D813" s="523"/>
      <c r="E813" s="165"/>
      <c r="F813" s="523"/>
      <c r="G813" s="520"/>
      <c r="H813" s="523"/>
      <c r="I813" s="520"/>
      <c r="J813" s="523"/>
      <c r="K813" s="520"/>
      <c r="L813" s="523"/>
      <c r="M813" s="520"/>
      <c r="N813" s="523"/>
      <c r="O813" s="520"/>
      <c r="P813" s="523"/>
      <c r="Q813" s="520"/>
      <c r="R813" s="167"/>
      <c r="S813" s="520"/>
      <c r="T813" s="167"/>
      <c r="U813" s="602"/>
      <c r="V813" s="522"/>
      <c r="X813" s="4"/>
    </row>
    <row r="814" spans="1:24" s="8" customFormat="1" ht="14.4">
      <c r="A814" s="521"/>
      <c r="B814" s="167"/>
      <c r="C814" s="165"/>
      <c r="D814" s="523"/>
      <c r="E814" s="513" t="s">
        <v>1317</v>
      </c>
      <c r="F814" s="523"/>
      <c r="G814" s="601">
        <f t="shared" ref="G814" si="1203">SUM(G809:G812)</f>
        <v>0</v>
      </c>
      <c r="H814" s="527"/>
      <c r="I814" s="601">
        <f t="shared" ref="I814" si="1204">SUM(I809:I812)</f>
        <v>0</v>
      </c>
      <c r="J814" s="527"/>
      <c r="K814" s="601">
        <f t="shared" ref="K814" si="1205">SUM(K809:K812)</f>
        <v>0</v>
      </c>
      <c r="L814" s="527"/>
      <c r="M814" s="601">
        <f t="shared" ref="M814" si="1206">SUM(M809:M812)</f>
        <v>0</v>
      </c>
      <c r="N814" s="527"/>
      <c r="O814" s="601">
        <f t="shared" ref="O814" si="1207">SUM(O809:O812)</f>
        <v>0</v>
      </c>
      <c r="P814" s="527"/>
      <c r="Q814" s="601">
        <f t="shared" ref="Q814" si="1208">SUM(Q809:Q812)</f>
        <v>0</v>
      </c>
      <c r="R814" s="527"/>
      <c r="S814" s="601">
        <f t="shared" ref="S814" si="1209">SUM(S809:S812)</f>
        <v>0</v>
      </c>
      <c r="T814" s="527"/>
      <c r="U814" s="536">
        <f t="shared" ref="U814" si="1210">SUM(U809:U812)</f>
        <v>0</v>
      </c>
      <c r="V814" s="522"/>
      <c r="X814" s="4"/>
    </row>
    <row r="815" spans="1:24" s="8" customFormat="1" ht="8.25" customHeight="1">
      <c r="A815" s="521"/>
      <c r="B815" s="167"/>
      <c r="C815" s="165"/>
      <c r="D815" s="523"/>
      <c r="E815" s="165"/>
      <c r="F815" s="523"/>
      <c r="G815" s="520"/>
      <c r="H815" s="523"/>
      <c r="I815" s="520"/>
      <c r="J815" s="523"/>
      <c r="K815" s="520"/>
      <c r="L815" s="523"/>
      <c r="M815" s="520"/>
      <c r="N815" s="523"/>
      <c r="O815" s="520"/>
      <c r="P815" s="523"/>
      <c r="Q815" s="520"/>
      <c r="R815" s="167"/>
      <c r="S815" s="520"/>
      <c r="T815" s="167"/>
      <c r="U815" s="528"/>
      <c r="V815" s="522"/>
      <c r="X815" s="4"/>
    </row>
    <row r="816" spans="1:24" s="8" customFormat="1" ht="16.5" customHeight="1">
      <c r="A816" s="521"/>
      <c r="B816" s="167"/>
      <c r="C816" s="165"/>
      <c r="E816" s="513" t="s">
        <v>1304</v>
      </c>
      <c r="F816" s="523"/>
      <c r="G816" s="977">
        <f>_xlfn.IFNA(IF(VLOOKUP($B807,'PY1 TFR ADA'!$F:$AU,MATCH("B-1.5",'PY1 TFR ADA'!$F$5:$AU$5,0),FALSE)=TRUE,IF(VLOOKUP($B807,'PY1 TFR ADA'!$F:$AU,MATCH("C-1",'PY1 TFR ADA'!$F$5:$AU$5,0),FALSE)=TRUE,"Alternative Rate","LCFF Rate"),"LCFF Rate"),0)</f>
        <v>0</v>
      </c>
      <c r="H816" s="523"/>
      <c r="I816" s="977">
        <f>_xlfn.IFNA(IF(VLOOKUP($B807,'PY1 TFR ADA'!$F:$AU,MATCH("B-2.5",'PY1 TFR ADA'!$F$5:$AU$5,0),FALSE)=TRUE,IF(VLOOKUP($B807,'PY1 TFR ADA'!$F:$AU,MATCH("C-1",'PY1 TFR ADA'!$F$5:$AU$5,0),FALSE)=TRUE,"Alternative Rate","LCFF Rate"),"LCFF Rate"),0)</f>
        <v>0</v>
      </c>
      <c r="J816" s="523"/>
      <c r="K816" s="977">
        <f>_xlfn.IFNA(IF(VLOOKUP($B807,'PY1 TFR ADA'!$F:$AU,MATCH("B-3.5",'PY1 TFR ADA'!$F$5:$AU$5,0),FALSE)=TRUE,IF(VLOOKUP($B807,'PY1 TFR ADA'!$F:$AU,MATCH("C-1",'PY1 TFR ADA'!$F$5:$AU$5,0),FALSE)=TRUE,"Alternative Rate","LCFF Rate"),"LCFF Rate"),0)</f>
        <v>0</v>
      </c>
      <c r="L816" s="523"/>
      <c r="M816" s="977">
        <f>_xlfn.IFNA(IF(VLOOKUP($B807,'PY1 TFR ADA'!$F:$AU,MATCH("B-4.5",'PY1 TFR ADA'!$F$5:$AU$5,0),FALSE)=TRUE,IF(VLOOKUP($B807,'PY1 TFR ADA'!$F:$AU,MATCH("C-1",'PY1 TFR ADA'!$F$5:$AU$5,0),FALSE)=TRUE,"Alternative Rate","LCFF Rate"),"LCFF Rate"),0)</f>
        <v>0</v>
      </c>
      <c r="N816" s="523"/>
      <c r="O816" s="977">
        <f>_xlfn.IFNA(IF(VLOOKUP($B807,'PY1 TFR ADA'!$F:$AU,MATCH("B-5.5",'PY1 TFR ADA'!$F$5:$AU$5,0),FALSE)=TRUE,IF(VLOOKUP($B807,'PY1 TFR ADA'!$F:$AU,MATCH("C-1",'PY1 TFR ADA'!$F$5:$AU$5,0),FALSE)=TRUE,"Alternative Rate","LCFF Rate"),"LCFF Rate"),0)</f>
        <v>0</v>
      </c>
      <c r="P816" s="523"/>
      <c r="Q816" s="977">
        <f>_xlfn.IFNA(IF(VLOOKUP($B807,'PY1 TFR ADA'!$F:$AU,MATCH("B-6.5",'PY1 TFR ADA'!$F$5:$AU$5,0),FALSE)=TRUE,IF(VLOOKUP($B807,'PY1 TFR ADA'!$F:$AU,MATCH("C-1",'PY1 TFR ADA'!$F$5:$AU$5,0),FALSE)=TRUE,"Alternative Rate","LCFF Rate"),"LCFF Rate"),0)</f>
        <v>0</v>
      </c>
      <c r="R816" s="167"/>
      <c r="S816" s="520"/>
      <c r="T816" s="167"/>
      <c r="U816" s="528"/>
      <c r="V816" s="522"/>
      <c r="X816" s="283"/>
    </row>
    <row r="817" spans="1:24" s="8" customFormat="1" ht="8.25" customHeight="1">
      <c r="A817" s="521"/>
      <c r="B817" s="167"/>
      <c r="C817" s="165"/>
      <c r="D817" s="523"/>
      <c r="E817" s="165"/>
      <c r="F817" s="523"/>
      <c r="G817" s="520"/>
      <c r="H817" s="523"/>
      <c r="I817" s="520"/>
      <c r="J817" s="523"/>
      <c r="K817" s="520"/>
      <c r="L817" s="523"/>
      <c r="M817" s="520"/>
      <c r="N817" s="523"/>
      <c r="O817" s="520"/>
      <c r="P817" s="523"/>
      <c r="Q817" s="520"/>
      <c r="R817" s="167"/>
      <c r="S817" s="520"/>
      <c r="T817" s="167"/>
      <c r="U817" s="528"/>
      <c r="V817" s="522"/>
      <c r="X817" s="4"/>
    </row>
    <row r="818" spans="1:24" s="8" customFormat="1" ht="16.8">
      <c r="A818" s="521"/>
      <c r="B818" s="2"/>
      <c r="F818" s="523"/>
      <c r="G818" s="535">
        <f t="shared" ref="G818" si="1211">IF(G816="LCFF Rate",(G809*C809+G810*C810+G811*C811+G812*C812),(G814*E812))</f>
        <v>0</v>
      </c>
      <c r="H818" s="537"/>
      <c r="I818" s="535">
        <f t="shared" ref="I818" si="1212">IF(I816="LCFF Rate",(I809*C809+I810*C810+I811*C811+I812*C812),(I814*E812))</f>
        <v>0</v>
      </c>
      <c r="J818" s="537"/>
      <c r="K818" s="535">
        <f t="shared" ref="K818" si="1213">IF(K816="LCFF Rate",(K809*C809+K810*C810+K811*C811+K812*C812),(K814*E812))</f>
        <v>0</v>
      </c>
      <c r="L818" s="537"/>
      <c r="M818" s="535">
        <f t="shared" ref="M818" si="1214">IF(M816="LCFF Rate",(M809*C809+M810*C810+M811*C811+M812*C812),(M814*E812))</f>
        <v>0</v>
      </c>
      <c r="N818" s="537"/>
      <c r="O818" s="535">
        <f t="shared" ref="O818" si="1215">IF(O816="LCFF Rate",(O809*C809+O810*C810+O811*C811+O812*C812),(O814*E812))</f>
        <v>0</v>
      </c>
      <c r="P818" s="537"/>
      <c r="Q818" s="535">
        <f t="shared" ref="Q818" si="1216">IF(Q816="LCFF Rate",(Q809*C809+Q810*C810+Q811*C811+Q812*C812),(Q814*E812))</f>
        <v>0</v>
      </c>
      <c r="R818" s="167"/>
      <c r="S818" s="538">
        <f t="shared" ref="S818" si="1217">SUM(G818:Q818)</f>
        <v>0</v>
      </c>
      <c r="T818" s="167"/>
      <c r="U818" s="528"/>
      <c r="V818" s="522"/>
      <c r="X818" s="979"/>
    </row>
    <row r="819" spans="1:24" s="8" customFormat="1" ht="9" customHeight="1" thickBot="1">
      <c r="A819" s="529"/>
      <c r="B819" s="530"/>
      <c r="C819" s="531"/>
      <c r="D819" s="532"/>
      <c r="E819" s="533"/>
      <c r="F819" s="532"/>
      <c r="G819" s="530"/>
      <c r="H819" s="532"/>
      <c r="I819" s="530"/>
      <c r="J819" s="532"/>
      <c r="K819" s="530"/>
      <c r="L819" s="532"/>
      <c r="M819" s="530"/>
      <c r="N819" s="532"/>
      <c r="O819" s="530"/>
      <c r="P819" s="532"/>
      <c r="Q819" s="530"/>
      <c r="R819" s="532"/>
      <c r="S819" s="530"/>
      <c r="T819" s="532"/>
      <c r="U819" s="532"/>
      <c r="V819" s="534"/>
      <c r="X819" s="4"/>
    </row>
    <row r="820" spans="1:24" s="82" customFormat="1" ht="18" customHeight="1" thickBot="1">
      <c r="A820" s="890">
        <f>+A807+1</f>
        <v>63</v>
      </c>
      <c r="B820" s="891" t="str">
        <f>'Data Entry'!$B$3&amp;"-"&amp;C820</f>
        <v>-</v>
      </c>
      <c r="C820" s="891" t="str">
        <f>IFERROR(VLOOKUP('Data Entry'!$B$3&amp;"-"&amp;A820,'PY1 TFR ADA'!$D:$AT,2,FALSE),"")</f>
        <v/>
      </c>
      <c r="D820" s="892" t="str">
        <f>IFERROR(VLOOKUP('Data Entry'!$B$3&amp;"-"&amp;A820,'PY1 TFR ADA'!$D:$AT,4,FALSE),"")</f>
        <v/>
      </c>
      <c r="E820" s="893"/>
      <c r="F820" s="893"/>
      <c r="G820" s="893"/>
      <c r="H820" s="893"/>
      <c r="I820" s="893"/>
      <c r="J820" s="893"/>
      <c r="K820" s="893"/>
      <c r="L820" s="893"/>
      <c r="M820" s="893"/>
      <c r="N820" s="893"/>
      <c r="O820" s="893"/>
      <c r="P820" s="893"/>
      <c r="Q820" s="893"/>
      <c r="R820" s="893"/>
      <c r="S820" s="893"/>
      <c r="T820" s="893"/>
      <c r="U820" s="893"/>
      <c r="V820" s="894"/>
      <c r="X820" s="83"/>
    </row>
    <row r="821" spans="1:24" ht="75" customHeight="1">
      <c r="A821" s="521"/>
      <c r="C821" s="540" t="s">
        <v>1315</v>
      </c>
      <c r="D821" s="512"/>
      <c r="E821" s="540" t="s">
        <v>1316</v>
      </c>
      <c r="F821" s="512"/>
      <c r="G821" s="540" t="s">
        <v>1309</v>
      </c>
      <c r="H821" s="512"/>
      <c r="I821" s="540" t="s">
        <v>1310</v>
      </c>
      <c r="J821" s="512"/>
      <c r="K821" s="540" t="s">
        <v>1311</v>
      </c>
      <c r="L821" s="512"/>
      <c r="M821" s="540" t="s">
        <v>1312</v>
      </c>
      <c r="N821" s="512"/>
      <c r="O821" s="540" t="s">
        <v>1313</v>
      </c>
      <c r="P821" s="512"/>
      <c r="Q821" s="540" t="s">
        <v>1314</v>
      </c>
      <c r="R821" s="167"/>
      <c r="S821" s="540" t="s">
        <v>1308</v>
      </c>
      <c r="T821" s="167"/>
      <c r="U821" s="512" t="s">
        <v>1307</v>
      </c>
      <c r="V821" s="524"/>
      <c r="X821" s="283"/>
    </row>
    <row r="822" spans="1:24" s="8" customFormat="1" ht="14.4">
      <c r="A822" s="521"/>
      <c r="B822" s="510" t="s">
        <v>94</v>
      </c>
      <c r="C822" s="525">
        <f>IFERROR(VLOOKUP($B820,'PY1 TFR ADA'!$F:$AU,MATCH("A-1.1",'PY1 TFR ADA'!$F$5:$AU$5,0),FALSE),0)</f>
        <v>0</v>
      </c>
      <c r="D822" s="167"/>
      <c r="E822" s="525">
        <f>IFERROR(VALUE(VLOOKUP($B820,'PY1 TFR ADA'!$F:$AU,MATCH("A-2.1",'PY1 TFR ADA'!$F$5:$AU$5,0),FALSE)),0)</f>
        <v>0</v>
      </c>
      <c r="F822" s="167"/>
      <c r="G822" s="609">
        <f>IFERROR(VLOOKUP($B820,'PY1 TFR ADA'!$F:$AU,MATCH("b-1.1",'PY1 TFR ADA'!$F$5:$AU$5,0),FALSE),0)</f>
        <v>0</v>
      </c>
      <c r="H822" s="527"/>
      <c r="I822" s="609">
        <f>IFERROR(VLOOKUP($B820,'PY1 TFR ADA'!$F:$AU,MATCH("b-2.1",'PY1 TFR ADA'!$F$5:$AU$5,0),FALSE),0)</f>
        <v>0</v>
      </c>
      <c r="J822" s="527"/>
      <c r="K822" s="609">
        <f>IFERROR(VLOOKUP($B820,'PY1 TFR ADA'!$F:$AU,MATCH("b-3.1",'PY1 TFR ADA'!$F$5:$AU$5,0),FALSE),0)</f>
        <v>0</v>
      </c>
      <c r="L822" s="527"/>
      <c r="M822" s="609">
        <f>IFERROR(VLOOKUP($B820,'PY1 TFR ADA'!$F:$AU,MATCH("b-4.1",'PY1 TFR ADA'!$F$5:$AU$5,0),FALSE),0)</f>
        <v>0</v>
      </c>
      <c r="N822" s="527"/>
      <c r="O822" s="609">
        <f>IFERROR(VLOOKUP($B820,'PY1 TFR ADA'!$F:$AU,MATCH("b-5.1",'PY1 TFR ADA'!$F$5:$AU$5,0),FALSE),0)</f>
        <v>0</v>
      </c>
      <c r="P822" s="527"/>
      <c r="Q822" s="609">
        <f>IFERROR(VLOOKUP($B820,'PY1 TFR ADA'!$F:$AU,MATCH("b-6.1",'PY1 TFR ADA'!$F$5:$AU$5,0),FALSE),0)</f>
        <v>0</v>
      </c>
      <c r="R822" s="551"/>
      <c r="S822" s="601">
        <f t="shared" ref="S822:S825" si="1218">SUM(G822:Q822)</f>
        <v>0</v>
      </c>
      <c r="T822" s="551"/>
      <c r="U822" s="536">
        <f t="shared" ref="U822" si="1219">ROUND(IF($G829="LCFF Rate",(G822*$C822),(G822*$E822))+IF($I829="LCFF Rate",(I822*$C822),(I822*$E822))+IF($K829="LCFF Rate",(K822*$C822),(K822*$E822))+IF($M829="LCFF Rate",(M822*$C822),(M822*$E822))+IF($O829="LCFF Rate",(O822*$C822),(O822*$E822))+IF($Q829="LCFF Rate",(Q822*$C822),(Q822*$E822)),0)</f>
        <v>0</v>
      </c>
      <c r="V822" s="524"/>
      <c r="X822" s="496"/>
    </row>
    <row r="823" spans="1:24" s="8" customFormat="1" ht="14.4">
      <c r="A823" s="521"/>
      <c r="B823" s="510" t="s">
        <v>2</v>
      </c>
      <c r="C823" s="525">
        <f>IFERROR(VLOOKUP($B820,'PY1 TFR ADA'!$F:$AU,MATCH("A-1.2",'PY1 TFR ADA'!$F$5:$AU$5,0),FALSE),0)</f>
        <v>0</v>
      </c>
      <c r="D823" s="167"/>
      <c r="E823" s="525">
        <f>IFERROR(VALUE(VLOOKUP($B820,'PY1 TFR ADA'!$F:$AU,MATCH("A-2.2",'PY1 TFR ADA'!$F$5:$AU$5,0),FALSE)),0)</f>
        <v>0</v>
      </c>
      <c r="F823" s="167"/>
      <c r="G823" s="609">
        <f>IFERROR(VLOOKUP($B820,'PY1 TFR ADA'!$F:$AU,MATCH("b-1.2",'PY1 TFR ADA'!$F$5:$AU$5,0),FALSE),0)</f>
        <v>0</v>
      </c>
      <c r="H823" s="527"/>
      <c r="I823" s="609">
        <f>IFERROR(VLOOKUP($B820,'PY1 TFR ADA'!$F:$AU,MATCH("b-2.2",'PY1 TFR ADA'!$F$5:$AU$5,0),FALSE),0)</f>
        <v>0</v>
      </c>
      <c r="J823" s="527"/>
      <c r="K823" s="609">
        <f>IFERROR(VLOOKUP($B820,'PY1 TFR ADA'!$F:$AU,MATCH("b-3.2",'PY1 TFR ADA'!$F$5:$AU$5,0),FALSE),0)</f>
        <v>0</v>
      </c>
      <c r="L823" s="527"/>
      <c r="M823" s="609">
        <f>IFERROR(VLOOKUP($B820,'PY1 TFR ADA'!$F:$AU,MATCH("b-4.2",'PY1 TFR ADA'!$F$5:$AU$5,0),FALSE),0)</f>
        <v>0</v>
      </c>
      <c r="N823" s="527"/>
      <c r="O823" s="609">
        <f>IFERROR(VLOOKUP($B820,'PY1 TFR ADA'!$F:$AU,MATCH("b-5.2",'PY1 TFR ADA'!$F$5:$AU$5,0),FALSE),0)</f>
        <v>0</v>
      </c>
      <c r="P823" s="527"/>
      <c r="Q823" s="609">
        <f>IFERROR(VLOOKUP($B820,'PY1 TFR ADA'!$F:$AU,MATCH("b-6.2",'PY1 TFR ADA'!$F$5:$AU$5,0),FALSE),0)</f>
        <v>0</v>
      </c>
      <c r="R823" s="551"/>
      <c r="S823" s="601">
        <f t="shared" si="1218"/>
        <v>0</v>
      </c>
      <c r="T823" s="551"/>
      <c r="U823" s="536">
        <f t="shared" ref="U823" si="1220">ROUND(IF($G829="LCFF Rate",(G823*$C823),(G823*$E823))+IF($I829="LCFF Rate",(I823*$C823),(I823*$E823))+IF($K829="LCFF Rate",(K823*$C823),(K823*$E823))+IF($M829="LCFF Rate",(M823*$C823),(M823*$E823))+IF($O829="LCFF Rate",(O823*$C823),(O823*$E823))+IF($Q829="LCFF Rate",(Q823*$C823),(Q823*$E823)),0)</f>
        <v>0</v>
      </c>
      <c r="V823" s="524"/>
      <c r="X823" s="4"/>
    </row>
    <row r="824" spans="1:24" s="8" customFormat="1" ht="14.4">
      <c r="A824" s="521"/>
      <c r="B824" s="510" t="s">
        <v>3</v>
      </c>
      <c r="C824" s="525">
        <f>IFERROR(VLOOKUP($B820,'PY1 TFR ADA'!$F:$AU,MATCH("A-1.3",'PY1 TFR ADA'!$F$5:$AU$5,0),FALSE),0)</f>
        <v>0</v>
      </c>
      <c r="D824" s="167"/>
      <c r="E824" s="525">
        <f>IFERROR(VALUE(VLOOKUP($B820,'PY1 TFR ADA'!$F:$AU,MATCH("A-2.3",'PY1 TFR ADA'!$F$5:$AU$5,0),FALSE)),0)</f>
        <v>0</v>
      </c>
      <c r="F824" s="167"/>
      <c r="G824" s="609">
        <f>IFERROR(VLOOKUP($B820,'PY1 TFR ADA'!$F:$AU,MATCH("b-1.3",'PY1 TFR ADA'!$F$5:$AU$5,0),FALSE),0)</f>
        <v>0</v>
      </c>
      <c r="H824" s="527"/>
      <c r="I824" s="609">
        <f>IFERROR(VLOOKUP($B820,'PY1 TFR ADA'!$F:$AU,MATCH("b-2.3",'PY1 TFR ADA'!$F$5:$AU$5,0),FALSE),0)</f>
        <v>0</v>
      </c>
      <c r="J824" s="527"/>
      <c r="K824" s="609">
        <f>IFERROR(VLOOKUP($B820,'PY1 TFR ADA'!$F:$AU,MATCH("b-3.3",'PY1 TFR ADA'!$F$5:$AU$5,0),FALSE),0)</f>
        <v>0</v>
      </c>
      <c r="L824" s="527"/>
      <c r="M824" s="609">
        <f>IFERROR(VLOOKUP($B820,'PY1 TFR ADA'!$F:$AU,MATCH("b-4.3",'PY1 TFR ADA'!$F$5:$AU$5,0),FALSE),0)</f>
        <v>0</v>
      </c>
      <c r="N824" s="527"/>
      <c r="O824" s="609">
        <f>IFERROR(VLOOKUP($B820,'PY1 TFR ADA'!$F:$AU,MATCH("b-5.3",'PY1 TFR ADA'!$F$5:$AU$5,0),FALSE),0)</f>
        <v>0</v>
      </c>
      <c r="P824" s="527"/>
      <c r="Q824" s="609">
        <f>IFERROR(VLOOKUP($B820,'PY1 TFR ADA'!$F:$AU,MATCH("b-6.3",'PY1 TFR ADA'!$F$5:$AU$5,0),FALSE),0)</f>
        <v>0</v>
      </c>
      <c r="R824" s="551"/>
      <c r="S824" s="601">
        <f t="shared" si="1218"/>
        <v>0</v>
      </c>
      <c r="T824" s="551"/>
      <c r="U824" s="536">
        <f t="shared" ref="U824" si="1221">ROUND(IF($G829="LCFF Rate",(G824*$C824),(G824*$E824))+IF($I829="LCFF Rate",(I824*$C824),(I824*$E824))+IF($K829="LCFF Rate",(K824*$C824),(K824*$E824))+IF($M829="LCFF Rate",(M824*$C824),(M824*$E824))+IF($O829="LCFF Rate",(O824*$C824),(O824*$E824))+IF($Q829="LCFF Rate",(Q824*$C824),(Q824*$E824)),0)</f>
        <v>0</v>
      </c>
      <c r="V824" s="524"/>
      <c r="X824" s="4"/>
    </row>
    <row r="825" spans="1:24" s="8" customFormat="1" ht="14.4">
      <c r="A825" s="526"/>
      <c r="B825" s="510" t="s">
        <v>4</v>
      </c>
      <c r="C825" s="525">
        <f>IFERROR(VLOOKUP($B820,'PY1 TFR ADA'!$F:$AU,MATCH("A-1.4",'PY1 TFR ADA'!$F$5:$AU$5,0),FALSE),0)</f>
        <v>0</v>
      </c>
      <c r="D825" s="523"/>
      <c r="E825" s="525">
        <f>IFERROR(VALUE(VLOOKUP($B820,'PY1 TFR ADA'!$F:$AU,MATCH("A-2.4",'PY1 TFR ADA'!$F$5:$AU$5,0),FALSE)),0)</f>
        <v>0</v>
      </c>
      <c r="F825" s="523"/>
      <c r="G825" s="609">
        <f>IFERROR(VLOOKUP($B820,'PY1 TFR ADA'!$F:$AU,MATCH("b-1.4",'PY1 TFR ADA'!$F$5:$AU$5,0),FALSE),0)</f>
        <v>0</v>
      </c>
      <c r="H825" s="527"/>
      <c r="I825" s="609">
        <f>IFERROR(VLOOKUP($B820,'PY1 TFR ADA'!$F:$AU,MATCH("b-2.4",'PY1 TFR ADA'!$F$5:$AU$5,0),FALSE),0)</f>
        <v>0</v>
      </c>
      <c r="J825" s="527"/>
      <c r="K825" s="609">
        <f>IFERROR(VLOOKUP($B820,'PY1 TFR ADA'!$F:$AU,MATCH("b-3.4",'PY1 TFR ADA'!$F$5:$AU$5,0),FALSE),0)</f>
        <v>0</v>
      </c>
      <c r="L825" s="527"/>
      <c r="M825" s="609">
        <f>IFERROR(VLOOKUP($B820,'PY1 TFR ADA'!$F:$AU,MATCH("b-4.4",'PY1 TFR ADA'!$F$5:$AU$5,0),FALSE),0)</f>
        <v>0</v>
      </c>
      <c r="N825" s="527"/>
      <c r="O825" s="609">
        <f>IFERROR(VLOOKUP($B820,'PY1 TFR ADA'!$F:$AU,MATCH("b-5.4",'PY1 TFR ADA'!$F$5:$AU$5,0),FALSE),0)</f>
        <v>0</v>
      </c>
      <c r="P825" s="527"/>
      <c r="Q825" s="609">
        <f>IFERROR(VLOOKUP($B820,'PY1 TFR ADA'!$F:$AU,MATCH("b-6.4",'PY1 TFR ADA'!$F$5:$AU$5,0),FALSE),0)</f>
        <v>0</v>
      </c>
      <c r="R825" s="551"/>
      <c r="S825" s="601">
        <f t="shared" si="1218"/>
        <v>0</v>
      </c>
      <c r="T825" s="551"/>
      <c r="U825" s="536">
        <f t="shared" ref="U825" si="1222">ROUND(IF($G829="LCFF Rate",(G825*$C825),(G825*$E825))+IF($I829="LCFF Rate",(I825*$C825),(I825*$E825))+IF($K829="LCFF Rate",(K825*$C825),(K825*$E825))+IF($M829="LCFF Rate",(M825*$C825),(M825*$E825))+IF($O829="LCFF Rate",(O825*$C825),(O825*$E825))+IF($Q829="LCFF Rate",(Q825*$C825),(Q825*$E825)),0)</f>
        <v>0</v>
      </c>
      <c r="V825" s="522"/>
      <c r="X825" s="496"/>
    </row>
    <row r="826" spans="1:24" s="8" customFormat="1" ht="8.25" customHeight="1">
      <c r="A826" s="521"/>
      <c r="B826" s="167"/>
      <c r="C826" s="165"/>
      <c r="D826" s="523"/>
      <c r="E826" s="165"/>
      <c r="F826" s="523"/>
      <c r="G826" s="520"/>
      <c r="H826" s="523"/>
      <c r="I826" s="520"/>
      <c r="J826" s="523"/>
      <c r="K826" s="520"/>
      <c r="L826" s="523"/>
      <c r="M826" s="520"/>
      <c r="N826" s="523"/>
      <c r="O826" s="520"/>
      <c r="P826" s="523"/>
      <c r="Q826" s="520"/>
      <c r="R826" s="167"/>
      <c r="S826" s="520"/>
      <c r="T826" s="167"/>
      <c r="U826" s="602"/>
      <c r="V826" s="522"/>
      <c r="X826" s="4"/>
    </row>
    <row r="827" spans="1:24" s="8" customFormat="1" ht="14.4">
      <c r="A827" s="521"/>
      <c r="B827" s="167"/>
      <c r="C827" s="165"/>
      <c r="D827" s="523"/>
      <c r="E827" s="513" t="s">
        <v>1317</v>
      </c>
      <c r="F827" s="523"/>
      <c r="G827" s="601">
        <f t="shared" ref="G827" si="1223">SUM(G822:G825)</f>
        <v>0</v>
      </c>
      <c r="H827" s="527"/>
      <c r="I827" s="601">
        <f t="shared" ref="I827" si="1224">SUM(I822:I825)</f>
        <v>0</v>
      </c>
      <c r="J827" s="527"/>
      <c r="K827" s="601">
        <f t="shared" ref="K827" si="1225">SUM(K822:K825)</f>
        <v>0</v>
      </c>
      <c r="L827" s="527"/>
      <c r="M827" s="601">
        <f t="shared" ref="M827" si="1226">SUM(M822:M825)</f>
        <v>0</v>
      </c>
      <c r="N827" s="527"/>
      <c r="O827" s="601">
        <f t="shared" ref="O827" si="1227">SUM(O822:O825)</f>
        <v>0</v>
      </c>
      <c r="P827" s="527"/>
      <c r="Q827" s="601">
        <f t="shared" ref="Q827" si="1228">SUM(Q822:Q825)</f>
        <v>0</v>
      </c>
      <c r="R827" s="527"/>
      <c r="S827" s="601">
        <f t="shared" ref="S827" si="1229">SUM(S822:S825)</f>
        <v>0</v>
      </c>
      <c r="T827" s="527"/>
      <c r="U827" s="536">
        <f t="shared" ref="U827" si="1230">SUM(U822:U825)</f>
        <v>0</v>
      </c>
      <c r="V827" s="522"/>
      <c r="X827" s="4"/>
    </row>
    <row r="828" spans="1:24" s="8" customFormat="1" ht="8.25" customHeight="1">
      <c r="A828" s="521"/>
      <c r="B828" s="167"/>
      <c r="C828" s="165"/>
      <c r="D828" s="523"/>
      <c r="E828" s="165"/>
      <c r="F828" s="523"/>
      <c r="G828" s="520"/>
      <c r="H828" s="523"/>
      <c r="I828" s="520"/>
      <c r="J828" s="523"/>
      <c r="K828" s="520"/>
      <c r="L828" s="523"/>
      <c r="M828" s="520"/>
      <c r="N828" s="523"/>
      <c r="O828" s="520"/>
      <c r="P828" s="523"/>
      <c r="Q828" s="520"/>
      <c r="R828" s="167"/>
      <c r="S828" s="520"/>
      <c r="T828" s="167"/>
      <c r="U828" s="528"/>
      <c r="V828" s="522"/>
      <c r="X828" s="4"/>
    </row>
    <row r="829" spans="1:24" s="8" customFormat="1" ht="16.5" customHeight="1">
      <c r="A829" s="521"/>
      <c r="B829" s="167"/>
      <c r="C829" s="165"/>
      <c r="E829" s="513" t="s">
        <v>1304</v>
      </c>
      <c r="F829" s="523"/>
      <c r="G829" s="977">
        <f>_xlfn.IFNA(IF(VLOOKUP($B820,'PY1 TFR ADA'!$F:$AU,MATCH("B-1.5",'PY1 TFR ADA'!$F$5:$AU$5,0),FALSE)=TRUE,IF(VLOOKUP($B820,'PY1 TFR ADA'!$F:$AU,MATCH("C-1",'PY1 TFR ADA'!$F$5:$AU$5,0),FALSE)=TRUE,"Alternative Rate","LCFF Rate"),"LCFF Rate"),0)</f>
        <v>0</v>
      </c>
      <c r="H829" s="523"/>
      <c r="I829" s="977">
        <f>_xlfn.IFNA(IF(VLOOKUP($B820,'PY1 TFR ADA'!$F:$AU,MATCH("B-2.5",'PY1 TFR ADA'!$F$5:$AU$5,0),FALSE)=TRUE,IF(VLOOKUP($B820,'PY1 TFR ADA'!$F:$AU,MATCH("C-1",'PY1 TFR ADA'!$F$5:$AU$5,0),FALSE)=TRUE,"Alternative Rate","LCFF Rate"),"LCFF Rate"),0)</f>
        <v>0</v>
      </c>
      <c r="J829" s="523"/>
      <c r="K829" s="977">
        <f>_xlfn.IFNA(IF(VLOOKUP($B820,'PY1 TFR ADA'!$F:$AU,MATCH("B-3.5",'PY1 TFR ADA'!$F$5:$AU$5,0),FALSE)=TRUE,IF(VLOOKUP($B820,'PY1 TFR ADA'!$F:$AU,MATCH("C-1",'PY1 TFR ADA'!$F$5:$AU$5,0),FALSE)=TRUE,"Alternative Rate","LCFF Rate"),"LCFF Rate"),0)</f>
        <v>0</v>
      </c>
      <c r="L829" s="523"/>
      <c r="M829" s="977">
        <f>_xlfn.IFNA(IF(VLOOKUP($B820,'PY1 TFR ADA'!$F:$AU,MATCH("B-4.5",'PY1 TFR ADA'!$F$5:$AU$5,0),FALSE)=TRUE,IF(VLOOKUP($B820,'PY1 TFR ADA'!$F:$AU,MATCH("C-1",'PY1 TFR ADA'!$F$5:$AU$5,0),FALSE)=TRUE,"Alternative Rate","LCFF Rate"),"LCFF Rate"),0)</f>
        <v>0</v>
      </c>
      <c r="N829" s="523"/>
      <c r="O829" s="977">
        <f>_xlfn.IFNA(IF(VLOOKUP($B820,'PY1 TFR ADA'!$F:$AU,MATCH("B-5.5",'PY1 TFR ADA'!$F$5:$AU$5,0),FALSE)=TRUE,IF(VLOOKUP($B820,'PY1 TFR ADA'!$F:$AU,MATCH("C-1",'PY1 TFR ADA'!$F$5:$AU$5,0),FALSE)=TRUE,"Alternative Rate","LCFF Rate"),"LCFF Rate"),0)</f>
        <v>0</v>
      </c>
      <c r="P829" s="523"/>
      <c r="Q829" s="977">
        <f>_xlfn.IFNA(IF(VLOOKUP($B820,'PY1 TFR ADA'!$F:$AU,MATCH("B-6.5",'PY1 TFR ADA'!$F$5:$AU$5,0),FALSE)=TRUE,IF(VLOOKUP($B820,'PY1 TFR ADA'!$F:$AU,MATCH("C-1",'PY1 TFR ADA'!$F$5:$AU$5,0),FALSE)=TRUE,"Alternative Rate","LCFF Rate"),"LCFF Rate"),0)</f>
        <v>0</v>
      </c>
      <c r="R829" s="167"/>
      <c r="S829" s="520"/>
      <c r="T829" s="167"/>
      <c r="U829" s="528"/>
      <c r="V829" s="522"/>
      <c r="X829" s="283"/>
    </row>
    <row r="830" spans="1:24" s="8" customFormat="1" ht="8.25" customHeight="1">
      <c r="A830" s="521"/>
      <c r="B830" s="167"/>
      <c r="C830" s="165"/>
      <c r="D830" s="523"/>
      <c r="E830" s="165"/>
      <c r="F830" s="523"/>
      <c r="G830" s="520"/>
      <c r="H830" s="523"/>
      <c r="I830" s="520"/>
      <c r="J830" s="523"/>
      <c r="K830" s="520"/>
      <c r="L830" s="523"/>
      <c r="M830" s="520"/>
      <c r="N830" s="523"/>
      <c r="O830" s="520"/>
      <c r="P830" s="523"/>
      <c r="Q830" s="520"/>
      <c r="R830" s="167"/>
      <c r="S830" s="520"/>
      <c r="T830" s="167"/>
      <c r="U830" s="528"/>
      <c r="V830" s="522"/>
      <c r="X830" s="4"/>
    </row>
    <row r="831" spans="1:24" s="8" customFormat="1" ht="16.8">
      <c r="A831" s="521"/>
      <c r="B831" s="2"/>
      <c r="F831" s="523"/>
      <c r="G831" s="535">
        <f t="shared" ref="G831" si="1231">IF(G829="LCFF Rate",(G822*C822+G823*C823+G824*C824+G825*C825),(G827*E825))</f>
        <v>0</v>
      </c>
      <c r="H831" s="537"/>
      <c r="I831" s="535">
        <f t="shared" ref="I831" si="1232">IF(I829="LCFF Rate",(I822*C822+I823*C823+I824*C824+I825*C825),(I827*E825))</f>
        <v>0</v>
      </c>
      <c r="J831" s="537"/>
      <c r="K831" s="535">
        <f t="shared" ref="K831" si="1233">IF(K829="LCFF Rate",(K822*C822+K823*C823+K824*C824+K825*C825),(K827*E825))</f>
        <v>0</v>
      </c>
      <c r="L831" s="537"/>
      <c r="M831" s="535">
        <f t="shared" ref="M831" si="1234">IF(M829="LCFF Rate",(M822*C822+M823*C823+M824*C824+M825*C825),(M827*E825))</f>
        <v>0</v>
      </c>
      <c r="N831" s="537"/>
      <c r="O831" s="535">
        <f t="shared" ref="O831" si="1235">IF(O829="LCFF Rate",(O822*C822+O823*C823+O824*C824+O825*C825),(O827*E825))</f>
        <v>0</v>
      </c>
      <c r="P831" s="537"/>
      <c r="Q831" s="535">
        <f t="shared" ref="Q831" si="1236">IF(Q829="LCFF Rate",(Q822*C822+Q823*C823+Q824*C824+Q825*C825),(Q827*E825))</f>
        <v>0</v>
      </c>
      <c r="R831" s="167"/>
      <c r="S831" s="538">
        <f t="shared" ref="S831" si="1237">SUM(G831:Q831)</f>
        <v>0</v>
      </c>
      <c r="T831" s="167"/>
      <c r="U831" s="528"/>
      <c r="V831" s="522"/>
      <c r="X831" s="979"/>
    </row>
    <row r="832" spans="1:24" s="8" customFormat="1" ht="9" customHeight="1" thickBot="1">
      <c r="A832" s="529"/>
      <c r="B832" s="530"/>
      <c r="C832" s="531"/>
      <c r="D832" s="532"/>
      <c r="E832" s="533"/>
      <c r="F832" s="532"/>
      <c r="G832" s="530"/>
      <c r="H832" s="532"/>
      <c r="I832" s="530"/>
      <c r="J832" s="532"/>
      <c r="K832" s="530"/>
      <c r="L832" s="532"/>
      <c r="M832" s="530"/>
      <c r="N832" s="532"/>
      <c r="O832" s="530"/>
      <c r="P832" s="532"/>
      <c r="Q832" s="530"/>
      <c r="R832" s="532"/>
      <c r="S832" s="530"/>
      <c r="T832" s="532"/>
      <c r="U832" s="532"/>
      <c r="V832" s="534"/>
      <c r="X832" s="4"/>
    </row>
    <row r="833" spans="1:24" s="82" customFormat="1" ht="18" customHeight="1" thickBot="1">
      <c r="A833" s="890">
        <f>+A820+1</f>
        <v>64</v>
      </c>
      <c r="B833" s="891" t="str">
        <f>'Data Entry'!$B$3&amp;"-"&amp;C833</f>
        <v>-</v>
      </c>
      <c r="C833" s="891" t="str">
        <f>IFERROR(VLOOKUP('Data Entry'!$B$3&amp;"-"&amp;A833,'PY1 TFR ADA'!$D:$AT,2,FALSE),"")</f>
        <v/>
      </c>
      <c r="D833" s="892" t="str">
        <f>IFERROR(VLOOKUP('Data Entry'!$B$3&amp;"-"&amp;A833,'PY1 TFR ADA'!$D:$AT,4,FALSE),"")</f>
        <v/>
      </c>
      <c r="E833" s="893"/>
      <c r="F833" s="893"/>
      <c r="G833" s="893"/>
      <c r="H833" s="893"/>
      <c r="I833" s="893"/>
      <c r="J833" s="893"/>
      <c r="K833" s="893"/>
      <c r="L833" s="893"/>
      <c r="M833" s="893"/>
      <c r="N833" s="893"/>
      <c r="O833" s="893"/>
      <c r="P833" s="893"/>
      <c r="Q833" s="893"/>
      <c r="R833" s="893"/>
      <c r="S833" s="893"/>
      <c r="T833" s="893"/>
      <c r="U833" s="893"/>
      <c r="V833" s="894"/>
      <c r="X833" s="83"/>
    </row>
    <row r="834" spans="1:24" ht="75" customHeight="1">
      <c r="A834" s="521"/>
      <c r="C834" s="540" t="s">
        <v>1315</v>
      </c>
      <c r="D834" s="512"/>
      <c r="E834" s="540" t="s">
        <v>1316</v>
      </c>
      <c r="F834" s="512"/>
      <c r="G834" s="540" t="s">
        <v>1309</v>
      </c>
      <c r="H834" s="512"/>
      <c r="I834" s="540" t="s">
        <v>1310</v>
      </c>
      <c r="J834" s="512"/>
      <c r="K834" s="540" t="s">
        <v>1311</v>
      </c>
      <c r="L834" s="512"/>
      <c r="M834" s="540" t="s">
        <v>1312</v>
      </c>
      <c r="N834" s="512"/>
      <c r="O834" s="540" t="s">
        <v>1313</v>
      </c>
      <c r="P834" s="512"/>
      <c r="Q834" s="540" t="s">
        <v>1314</v>
      </c>
      <c r="R834" s="167"/>
      <c r="S834" s="540" t="s">
        <v>1308</v>
      </c>
      <c r="T834" s="167"/>
      <c r="U834" s="512" t="s">
        <v>1307</v>
      </c>
      <c r="V834" s="524"/>
      <c r="X834" s="283"/>
    </row>
    <row r="835" spans="1:24" s="8" customFormat="1" ht="14.4">
      <c r="A835" s="521"/>
      <c r="B835" s="510" t="s">
        <v>94</v>
      </c>
      <c r="C835" s="525">
        <f>IFERROR(VLOOKUP($B833,'PY1 TFR ADA'!$F:$AU,MATCH("A-1.1",'PY1 TFR ADA'!$F$5:$AU$5,0),FALSE),0)</f>
        <v>0</v>
      </c>
      <c r="D835" s="167"/>
      <c r="E835" s="525">
        <f>IFERROR(VALUE(VLOOKUP($B833,'PY1 TFR ADA'!$F:$AU,MATCH("A-2.1",'PY1 TFR ADA'!$F$5:$AU$5,0),FALSE)),0)</f>
        <v>0</v>
      </c>
      <c r="F835" s="167"/>
      <c r="G835" s="609">
        <f>IFERROR(VLOOKUP($B833,'PY1 TFR ADA'!$F:$AU,MATCH("b-1.1",'PY1 TFR ADA'!$F$5:$AU$5,0),FALSE),0)</f>
        <v>0</v>
      </c>
      <c r="H835" s="527"/>
      <c r="I835" s="609">
        <f>IFERROR(VLOOKUP($B833,'PY1 TFR ADA'!$F:$AU,MATCH("b-2.1",'PY1 TFR ADA'!$F$5:$AU$5,0),FALSE),0)</f>
        <v>0</v>
      </c>
      <c r="J835" s="527"/>
      <c r="K835" s="609">
        <f>IFERROR(VLOOKUP($B833,'PY1 TFR ADA'!$F:$AU,MATCH("b-3.1",'PY1 TFR ADA'!$F$5:$AU$5,0),FALSE),0)</f>
        <v>0</v>
      </c>
      <c r="L835" s="527"/>
      <c r="M835" s="609">
        <f>IFERROR(VLOOKUP($B833,'PY1 TFR ADA'!$F:$AU,MATCH("b-4.1",'PY1 TFR ADA'!$F$5:$AU$5,0),FALSE),0)</f>
        <v>0</v>
      </c>
      <c r="N835" s="527"/>
      <c r="O835" s="609">
        <f>IFERROR(VLOOKUP($B833,'PY1 TFR ADA'!$F:$AU,MATCH("b-5.1",'PY1 TFR ADA'!$F$5:$AU$5,0),FALSE),0)</f>
        <v>0</v>
      </c>
      <c r="P835" s="527"/>
      <c r="Q835" s="609">
        <f>IFERROR(VLOOKUP($B833,'PY1 TFR ADA'!$F:$AU,MATCH("b-6.1",'PY1 TFR ADA'!$F$5:$AU$5,0),FALSE),0)</f>
        <v>0</v>
      </c>
      <c r="R835" s="551"/>
      <c r="S835" s="601">
        <f t="shared" ref="S835:S838" si="1238">SUM(G835:Q835)</f>
        <v>0</v>
      </c>
      <c r="T835" s="551"/>
      <c r="U835" s="536">
        <f t="shared" ref="U835" si="1239">ROUND(IF($G842="LCFF Rate",(G835*$C835),(G835*$E835))+IF($I842="LCFF Rate",(I835*$C835),(I835*$E835))+IF($K842="LCFF Rate",(K835*$C835),(K835*$E835))+IF($M842="LCFF Rate",(M835*$C835),(M835*$E835))+IF($O842="LCFF Rate",(O835*$C835),(O835*$E835))+IF($Q842="LCFF Rate",(Q835*$C835),(Q835*$E835)),0)</f>
        <v>0</v>
      </c>
      <c r="V835" s="524"/>
      <c r="X835" s="496"/>
    </row>
    <row r="836" spans="1:24" s="8" customFormat="1" ht="14.4">
      <c r="A836" s="521"/>
      <c r="B836" s="510" t="s">
        <v>2</v>
      </c>
      <c r="C836" s="525">
        <f>IFERROR(VLOOKUP($B833,'PY1 TFR ADA'!$F:$AU,MATCH("A-1.2",'PY1 TFR ADA'!$F$5:$AU$5,0),FALSE),0)</f>
        <v>0</v>
      </c>
      <c r="D836" s="167"/>
      <c r="E836" s="525">
        <f>IFERROR(VALUE(VLOOKUP($B833,'PY1 TFR ADA'!$F:$AU,MATCH("A-2.2",'PY1 TFR ADA'!$F$5:$AU$5,0),FALSE)),0)</f>
        <v>0</v>
      </c>
      <c r="F836" s="167"/>
      <c r="G836" s="609">
        <f>IFERROR(VLOOKUP($B833,'PY1 TFR ADA'!$F:$AU,MATCH("b-1.2",'PY1 TFR ADA'!$F$5:$AU$5,0),FALSE),0)</f>
        <v>0</v>
      </c>
      <c r="H836" s="527"/>
      <c r="I836" s="609">
        <f>IFERROR(VLOOKUP($B833,'PY1 TFR ADA'!$F:$AU,MATCH("b-2.2",'PY1 TFR ADA'!$F$5:$AU$5,0),FALSE),0)</f>
        <v>0</v>
      </c>
      <c r="J836" s="527"/>
      <c r="K836" s="609">
        <f>IFERROR(VLOOKUP($B833,'PY1 TFR ADA'!$F:$AU,MATCH("b-3.2",'PY1 TFR ADA'!$F$5:$AU$5,0),FALSE),0)</f>
        <v>0</v>
      </c>
      <c r="L836" s="527"/>
      <c r="M836" s="609">
        <f>IFERROR(VLOOKUP($B833,'PY1 TFR ADA'!$F:$AU,MATCH("b-4.2",'PY1 TFR ADA'!$F$5:$AU$5,0),FALSE),0)</f>
        <v>0</v>
      </c>
      <c r="N836" s="527"/>
      <c r="O836" s="609">
        <f>IFERROR(VLOOKUP($B833,'PY1 TFR ADA'!$F:$AU,MATCH("b-5.2",'PY1 TFR ADA'!$F$5:$AU$5,0),FALSE),0)</f>
        <v>0</v>
      </c>
      <c r="P836" s="527"/>
      <c r="Q836" s="609">
        <f>IFERROR(VLOOKUP($B833,'PY1 TFR ADA'!$F:$AU,MATCH("b-6.2",'PY1 TFR ADA'!$F$5:$AU$5,0),FALSE),0)</f>
        <v>0</v>
      </c>
      <c r="R836" s="551"/>
      <c r="S836" s="601">
        <f t="shared" si="1238"/>
        <v>0</v>
      </c>
      <c r="T836" s="551"/>
      <c r="U836" s="536">
        <f t="shared" ref="U836" si="1240">ROUND(IF($G842="LCFF Rate",(G836*$C836),(G836*$E836))+IF($I842="LCFF Rate",(I836*$C836),(I836*$E836))+IF($K842="LCFF Rate",(K836*$C836),(K836*$E836))+IF($M842="LCFF Rate",(M836*$C836),(M836*$E836))+IF($O842="LCFF Rate",(O836*$C836),(O836*$E836))+IF($Q842="LCFF Rate",(Q836*$C836),(Q836*$E836)),0)</f>
        <v>0</v>
      </c>
      <c r="V836" s="524"/>
      <c r="X836" s="4"/>
    </row>
    <row r="837" spans="1:24" s="8" customFormat="1" ht="14.4">
      <c r="A837" s="521"/>
      <c r="B837" s="510" t="s">
        <v>3</v>
      </c>
      <c r="C837" s="525">
        <f>IFERROR(VLOOKUP($B833,'PY1 TFR ADA'!$F:$AU,MATCH("A-1.3",'PY1 TFR ADA'!$F$5:$AU$5,0),FALSE),0)</f>
        <v>0</v>
      </c>
      <c r="D837" s="167"/>
      <c r="E837" s="525">
        <f>IFERROR(VALUE(VLOOKUP($B833,'PY1 TFR ADA'!$F:$AU,MATCH("A-2.3",'PY1 TFR ADA'!$F$5:$AU$5,0),FALSE)),0)</f>
        <v>0</v>
      </c>
      <c r="F837" s="167"/>
      <c r="G837" s="609">
        <f>IFERROR(VLOOKUP($B833,'PY1 TFR ADA'!$F:$AU,MATCH("b-1.3",'PY1 TFR ADA'!$F$5:$AU$5,0),FALSE),0)</f>
        <v>0</v>
      </c>
      <c r="H837" s="527"/>
      <c r="I837" s="609">
        <f>IFERROR(VLOOKUP($B833,'PY1 TFR ADA'!$F:$AU,MATCH("b-2.3",'PY1 TFR ADA'!$F$5:$AU$5,0),FALSE),0)</f>
        <v>0</v>
      </c>
      <c r="J837" s="527"/>
      <c r="K837" s="609">
        <f>IFERROR(VLOOKUP($B833,'PY1 TFR ADA'!$F:$AU,MATCH("b-3.3",'PY1 TFR ADA'!$F$5:$AU$5,0),FALSE),0)</f>
        <v>0</v>
      </c>
      <c r="L837" s="527"/>
      <c r="M837" s="609">
        <f>IFERROR(VLOOKUP($B833,'PY1 TFR ADA'!$F:$AU,MATCH("b-4.3",'PY1 TFR ADA'!$F$5:$AU$5,0),FALSE),0)</f>
        <v>0</v>
      </c>
      <c r="N837" s="527"/>
      <c r="O837" s="609">
        <f>IFERROR(VLOOKUP($B833,'PY1 TFR ADA'!$F:$AU,MATCH("b-5.3",'PY1 TFR ADA'!$F$5:$AU$5,0),FALSE),0)</f>
        <v>0</v>
      </c>
      <c r="P837" s="527"/>
      <c r="Q837" s="609">
        <f>IFERROR(VLOOKUP($B833,'PY1 TFR ADA'!$F:$AU,MATCH("b-6.3",'PY1 TFR ADA'!$F$5:$AU$5,0),FALSE),0)</f>
        <v>0</v>
      </c>
      <c r="R837" s="551"/>
      <c r="S837" s="601">
        <f t="shared" si="1238"/>
        <v>0</v>
      </c>
      <c r="T837" s="551"/>
      <c r="U837" s="536">
        <f t="shared" ref="U837" si="1241">ROUND(IF($G842="LCFF Rate",(G837*$C837),(G837*$E837))+IF($I842="LCFF Rate",(I837*$C837),(I837*$E837))+IF($K842="LCFF Rate",(K837*$C837),(K837*$E837))+IF($M842="LCFF Rate",(M837*$C837),(M837*$E837))+IF($O842="LCFF Rate",(O837*$C837),(O837*$E837))+IF($Q842="LCFF Rate",(Q837*$C837),(Q837*$E837)),0)</f>
        <v>0</v>
      </c>
      <c r="V837" s="524"/>
      <c r="X837" s="4"/>
    </row>
    <row r="838" spans="1:24" s="8" customFormat="1" ht="14.4">
      <c r="A838" s="526"/>
      <c r="B838" s="510" t="s">
        <v>4</v>
      </c>
      <c r="C838" s="525">
        <f>IFERROR(VLOOKUP($B833,'PY1 TFR ADA'!$F:$AU,MATCH("A-1.4",'PY1 TFR ADA'!$F$5:$AU$5,0),FALSE),0)</f>
        <v>0</v>
      </c>
      <c r="D838" s="523"/>
      <c r="E838" s="525">
        <f>IFERROR(VALUE(VLOOKUP($B833,'PY1 TFR ADA'!$F:$AU,MATCH("A-2.4",'PY1 TFR ADA'!$F$5:$AU$5,0),FALSE)),0)</f>
        <v>0</v>
      </c>
      <c r="F838" s="523"/>
      <c r="G838" s="609">
        <f>IFERROR(VLOOKUP($B833,'PY1 TFR ADA'!$F:$AU,MATCH("b-1.4",'PY1 TFR ADA'!$F$5:$AU$5,0),FALSE),0)</f>
        <v>0</v>
      </c>
      <c r="H838" s="527"/>
      <c r="I838" s="609">
        <f>IFERROR(VLOOKUP($B833,'PY1 TFR ADA'!$F:$AU,MATCH("b-2.4",'PY1 TFR ADA'!$F$5:$AU$5,0),FALSE),0)</f>
        <v>0</v>
      </c>
      <c r="J838" s="527"/>
      <c r="K838" s="609">
        <f>IFERROR(VLOOKUP($B833,'PY1 TFR ADA'!$F:$AU,MATCH("b-3.4",'PY1 TFR ADA'!$F$5:$AU$5,0),FALSE),0)</f>
        <v>0</v>
      </c>
      <c r="L838" s="527"/>
      <c r="M838" s="609">
        <f>IFERROR(VLOOKUP($B833,'PY1 TFR ADA'!$F:$AU,MATCH("b-4.4",'PY1 TFR ADA'!$F$5:$AU$5,0),FALSE),0)</f>
        <v>0</v>
      </c>
      <c r="N838" s="527"/>
      <c r="O838" s="609">
        <f>IFERROR(VLOOKUP($B833,'PY1 TFR ADA'!$F:$AU,MATCH("b-5.4",'PY1 TFR ADA'!$F$5:$AU$5,0),FALSE),0)</f>
        <v>0</v>
      </c>
      <c r="P838" s="527"/>
      <c r="Q838" s="609">
        <f>IFERROR(VLOOKUP($B833,'PY1 TFR ADA'!$F:$AU,MATCH("b-6.4",'PY1 TFR ADA'!$F$5:$AU$5,0),FALSE),0)</f>
        <v>0</v>
      </c>
      <c r="R838" s="551"/>
      <c r="S838" s="601">
        <f t="shared" si="1238"/>
        <v>0</v>
      </c>
      <c r="T838" s="551"/>
      <c r="U838" s="536">
        <f t="shared" ref="U838" si="1242">ROUND(IF($G842="LCFF Rate",(G838*$C838),(G838*$E838))+IF($I842="LCFF Rate",(I838*$C838),(I838*$E838))+IF($K842="LCFF Rate",(K838*$C838),(K838*$E838))+IF($M842="LCFF Rate",(M838*$C838),(M838*$E838))+IF($O842="LCFF Rate",(O838*$C838),(O838*$E838))+IF($Q842="LCFF Rate",(Q838*$C838),(Q838*$E838)),0)</f>
        <v>0</v>
      </c>
      <c r="V838" s="522"/>
      <c r="X838" s="496"/>
    </row>
    <row r="839" spans="1:24" s="8" customFormat="1" ht="8.25" customHeight="1">
      <c r="A839" s="521"/>
      <c r="B839" s="167"/>
      <c r="C839" s="165"/>
      <c r="D839" s="523"/>
      <c r="E839" s="165"/>
      <c r="F839" s="523"/>
      <c r="G839" s="520"/>
      <c r="H839" s="523"/>
      <c r="I839" s="520"/>
      <c r="J839" s="523"/>
      <c r="K839" s="520"/>
      <c r="L839" s="523"/>
      <c r="M839" s="520"/>
      <c r="N839" s="523"/>
      <c r="O839" s="520"/>
      <c r="P839" s="523"/>
      <c r="Q839" s="520"/>
      <c r="R839" s="167"/>
      <c r="S839" s="520"/>
      <c r="T839" s="167"/>
      <c r="U839" s="602"/>
      <c r="V839" s="522"/>
      <c r="X839" s="4"/>
    </row>
    <row r="840" spans="1:24" s="8" customFormat="1" ht="14.4">
      <c r="A840" s="521"/>
      <c r="B840" s="167"/>
      <c r="C840" s="165"/>
      <c r="D840" s="523"/>
      <c r="E840" s="513" t="s">
        <v>1317</v>
      </c>
      <c r="F840" s="523"/>
      <c r="G840" s="601">
        <f t="shared" ref="G840" si="1243">SUM(G835:G838)</f>
        <v>0</v>
      </c>
      <c r="H840" s="527"/>
      <c r="I840" s="601">
        <f t="shared" ref="I840" si="1244">SUM(I835:I838)</f>
        <v>0</v>
      </c>
      <c r="J840" s="527"/>
      <c r="K840" s="601">
        <f t="shared" ref="K840" si="1245">SUM(K835:K838)</f>
        <v>0</v>
      </c>
      <c r="L840" s="527"/>
      <c r="M840" s="601">
        <f t="shared" ref="M840" si="1246">SUM(M835:M838)</f>
        <v>0</v>
      </c>
      <c r="N840" s="527"/>
      <c r="O840" s="601">
        <f t="shared" ref="O840" si="1247">SUM(O835:O838)</f>
        <v>0</v>
      </c>
      <c r="P840" s="527"/>
      <c r="Q840" s="601">
        <f t="shared" ref="Q840" si="1248">SUM(Q835:Q838)</f>
        <v>0</v>
      </c>
      <c r="R840" s="527"/>
      <c r="S840" s="601">
        <f t="shared" ref="S840" si="1249">SUM(S835:S838)</f>
        <v>0</v>
      </c>
      <c r="T840" s="527"/>
      <c r="U840" s="536">
        <f t="shared" ref="U840" si="1250">SUM(U835:U838)</f>
        <v>0</v>
      </c>
      <c r="V840" s="522"/>
      <c r="X840" s="4"/>
    </row>
    <row r="841" spans="1:24" s="8" customFormat="1" ht="8.25" customHeight="1">
      <c r="A841" s="521"/>
      <c r="B841" s="167"/>
      <c r="C841" s="165"/>
      <c r="D841" s="523"/>
      <c r="E841" s="165"/>
      <c r="F841" s="523"/>
      <c r="G841" s="520"/>
      <c r="H841" s="523"/>
      <c r="I841" s="520"/>
      <c r="J841" s="523"/>
      <c r="K841" s="520"/>
      <c r="L841" s="523"/>
      <c r="M841" s="520"/>
      <c r="N841" s="523"/>
      <c r="O841" s="520"/>
      <c r="P841" s="523"/>
      <c r="Q841" s="520"/>
      <c r="R841" s="167"/>
      <c r="S841" s="520"/>
      <c r="T841" s="167"/>
      <c r="U841" s="528"/>
      <c r="V841" s="522"/>
      <c r="X841" s="4"/>
    </row>
    <row r="842" spans="1:24" s="8" customFormat="1" ht="16.5" customHeight="1">
      <c r="A842" s="521"/>
      <c r="B842" s="167"/>
      <c r="C842" s="165"/>
      <c r="E842" s="513" t="s">
        <v>1304</v>
      </c>
      <c r="F842" s="523"/>
      <c r="G842" s="977">
        <f>_xlfn.IFNA(IF(VLOOKUP($B833,'PY1 TFR ADA'!$F:$AU,MATCH("B-1.5",'PY1 TFR ADA'!$F$5:$AU$5,0),FALSE)=TRUE,IF(VLOOKUP($B833,'PY1 TFR ADA'!$F:$AU,MATCH("C-1",'PY1 TFR ADA'!$F$5:$AU$5,0),FALSE)=TRUE,"Alternative Rate","LCFF Rate"),"LCFF Rate"),0)</f>
        <v>0</v>
      </c>
      <c r="H842" s="523"/>
      <c r="I842" s="977">
        <f>_xlfn.IFNA(IF(VLOOKUP($B833,'PY1 TFR ADA'!$F:$AU,MATCH("B-2.5",'PY1 TFR ADA'!$F$5:$AU$5,0),FALSE)=TRUE,IF(VLOOKUP($B833,'PY1 TFR ADA'!$F:$AU,MATCH("C-1",'PY1 TFR ADA'!$F$5:$AU$5,0),FALSE)=TRUE,"Alternative Rate","LCFF Rate"),"LCFF Rate"),0)</f>
        <v>0</v>
      </c>
      <c r="J842" s="523"/>
      <c r="K842" s="977">
        <f>_xlfn.IFNA(IF(VLOOKUP($B833,'PY1 TFR ADA'!$F:$AU,MATCH("B-3.5",'PY1 TFR ADA'!$F$5:$AU$5,0),FALSE)=TRUE,IF(VLOOKUP($B833,'PY1 TFR ADA'!$F:$AU,MATCH("C-1",'PY1 TFR ADA'!$F$5:$AU$5,0),FALSE)=TRUE,"Alternative Rate","LCFF Rate"),"LCFF Rate"),0)</f>
        <v>0</v>
      </c>
      <c r="L842" s="523"/>
      <c r="M842" s="977">
        <f>_xlfn.IFNA(IF(VLOOKUP($B833,'PY1 TFR ADA'!$F:$AU,MATCH("B-4.5",'PY1 TFR ADA'!$F$5:$AU$5,0),FALSE)=TRUE,IF(VLOOKUP($B833,'PY1 TFR ADA'!$F:$AU,MATCH("C-1",'PY1 TFR ADA'!$F$5:$AU$5,0),FALSE)=TRUE,"Alternative Rate","LCFF Rate"),"LCFF Rate"),0)</f>
        <v>0</v>
      </c>
      <c r="N842" s="523"/>
      <c r="O842" s="977">
        <f>_xlfn.IFNA(IF(VLOOKUP($B833,'PY1 TFR ADA'!$F:$AU,MATCH("B-5.5",'PY1 TFR ADA'!$F$5:$AU$5,0),FALSE)=TRUE,IF(VLOOKUP($B833,'PY1 TFR ADA'!$F:$AU,MATCH("C-1",'PY1 TFR ADA'!$F$5:$AU$5,0),FALSE)=TRUE,"Alternative Rate","LCFF Rate"),"LCFF Rate"),0)</f>
        <v>0</v>
      </c>
      <c r="P842" s="523"/>
      <c r="Q842" s="977">
        <f>_xlfn.IFNA(IF(VLOOKUP($B833,'PY1 TFR ADA'!$F:$AU,MATCH("B-6.5",'PY1 TFR ADA'!$F$5:$AU$5,0),FALSE)=TRUE,IF(VLOOKUP($B833,'PY1 TFR ADA'!$F:$AU,MATCH("C-1",'PY1 TFR ADA'!$F$5:$AU$5,0),FALSE)=TRUE,"Alternative Rate","LCFF Rate"),"LCFF Rate"),0)</f>
        <v>0</v>
      </c>
      <c r="R842" s="167"/>
      <c r="S842" s="520"/>
      <c r="T842" s="167"/>
      <c r="U842" s="528"/>
      <c r="V842" s="522"/>
      <c r="X842" s="283"/>
    </row>
    <row r="843" spans="1:24" s="8" customFormat="1" ht="8.25" customHeight="1">
      <c r="A843" s="521"/>
      <c r="B843" s="167"/>
      <c r="C843" s="165"/>
      <c r="D843" s="523"/>
      <c r="E843" s="165"/>
      <c r="F843" s="523"/>
      <c r="G843" s="520"/>
      <c r="H843" s="523"/>
      <c r="I843" s="520"/>
      <c r="J843" s="523"/>
      <c r="K843" s="520"/>
      <c r="L843" s="523"/>
      <c r="M843" s="520"/>
      <c r="N843" s="523"/>
      <c r="O843" s="520"/>
      <c r="P843" s="523"/>
      <c r="Q843" s="520"/>
      <c r="R843" s="167"/>
      <c r="S843" s="520"/>
      <c r="T843" s="167"/>
      <c r="U843" s="528"/>
      <c r="V843" s="522"/>
      <c r="X843" s="4"/>
    </row>
    <row r="844" spans="1:24" s="8" customFormat="1" ht="16.8">
      <c r="A844" s="521"/>
      <c r="B844" s="2"/>
      <c r="F844" s="523"/>
      <c r="G844" s="535">
        <f t="shared" ref="G844" si="1251">IF(G842="LCFF Rate",(G835*C835+G836*C836+G837*C837+G838*C838),(G840*E838))</f>
        <v>0</v>
      </c>
      <c r="H844" s="537"/>
      <c r="I844" s="535">
        <f t="shared" ref="I844" si="1252">IF(I842="LCFF Rate",(I835*C835+I836*C836+I837*C837+I838*C838),(I840*E838))</f>
        <v>0</v>
      </c>
      <c r="J844" s="537"/>
      <c r="K844" s="535">
        <f t="shared" ref="K844" si="1253">IF(K842="LCFF Rate",(K835*C835+K836*C836+K837*C837+K838*C838),(K840*E838))</f>
        <v>0</v>
      </c>
      <c r="L844" s="537"/>
      <c r="M844" s="535">
        <f t="shared" ref="M844" si="1254">IF(M842="LCFF Rate",(M835*C835+M836*C836+M837*C837+M838*C838),(M840*E838))</f>
        <v>0</v>
      </c>
      <c r="N844" s="537"/>
      <c r="O844" s="535">
        <f t="shared" ref="O844" si="1255">IF(O842="LCFF Rate",(O835*C835+O836*C836+O837*C837+O838*C838),(O840*E838))</f>
        <v>0</v>
      </c>
      <c r="P844" s="537"/>
      <c r="Q844" s="535">
        <f t="shared" ref="Q844" si="1256">IF(Q842="LCFF Rate",(Q835*C835+Q836*C836+Q837*C837+Q838*C838),(Q840*E838))</f>
        <v>0</v>
      </c>
      <c r="R844" s="167"/>
      <c r="S844" s="538">
        <f t="shared" ref="S844" si="1257">SUM(G844:Q844)</f>
        <v>0</v>
      </c>
      <c r="T844" s="167"/>
      <c r="U844" s="528"/>
      <c r="V844" s="522"/>
      <c r="X844" s="979"/>
    </row>
    <row r="845" spans="1:24" s="8" customFormat="1" ht="9" customHeight="1" thickBot="1">
      <c r="A845" s="529"/>
      <c r="B845" s="530"/>
      <c r="C845" s="531"/>
      <c r="D845" s="532"/>
      <c r="E845" s="533"/>
      <c r="F845" s="532"/>
      <c r="G845" s="530"/>
      <c r="H845" s="532"/>
      <c r="I845" s="530"/>
      <c r="J845" s="532"/>
      <c r="K845" s="530"/>
      <c r="L845" s="532"/>
      <c r="M845" s="530"/>
      <c r="N845" s="532"/>
      <c r="O845" s="530"/>
      <c r="P845" s="532"/>
      <c r="Q845" s="530"/>
      <c r="R845" s="532"/>
      <c r="S845" s="530"/>
      <c r="T845" s="532"/>
      <c r="U845" s="532"/>
      <c r="V845" s="534"/>
      <c r="X845" s="4"/>
    </row>
    <row r="846" spans="1:24" s="82" customFormat="1" ht="18" customHeight="1" thickBot="1">
      <c r="A846" s="890">
        <f>+A833+1</f>
        <v>65</v>
      </c>
      <c r="B846" s="891" t="str">
        <f>'Data Entry'!$B$3&amp;"-"&amp;C846</f>
        <v>-</v>
      </c>
      <c r="C846" s="891" t="str">
        <f>IFERROR(VLOOKUP('Data Entry'!$B$3&amp;"-"&amp;A846,'PY1 TFR ADA'!$D:$AT,2,FALSE),"")</f>
        <v/>
      </c>
      <c r="D846" s="892" t="str">
        <f>IFERROR(VLOOKUP('Data Entry'!$B$3&amp;"-"&amp;A846,'PY1 TFR ADA'!$D:$AT,4,FALSE),"")</f>
        <v/>
      </c>
      <c r="E846" s="893"/>
      <c r="F846" s="893"/>
      <c r="G846" s="893"/>
      <c r="H846" s="893"/>
      <c r="I846" s="893"/>
      <c r="J846" s="893"/>
      <c r="K846" s="893"/>
      <c r="L846" s="893"/>
      <c r="M846" s="893"/>
      <c r="N846" s="893"/>
      <c r="O846" s="893"/>
      <c r="P846" s="893"/>
      <c r="Q846" s="893"/>
      <c r="R846" s="893"/>
      <c r="S846" s="893"/>
      <c r="T846" s="893"/>
      <c r="U846" s="893"/>
      <c r="V846" s="894"/>
      <c r="X846" s="83"/>
    </row>
    <row r="847" spans="1:24" ht="75" customHeight="1">
      <c r="A847" s="521"/>
      <c r="C847" s="540" t="s">
        <v>1315</v>
      </c>
      <c r="D847" s="512"/>
      <c r="E847" s="540" t="s">
        <v>1316</v>
      </c>
      <c r="F847" s="512"/>
      <c r="G847" s="540" t="s">
        <v>1309</v>
      </c>
      <c r="H847" s="512"/>
      <c r="I847" s="540" t="s">
        <v>1310</v>
      </c>
      <c r="J847" s="512"/>
      <c r="K847" s="540" t="s">
        <v>1311</v>
      </c>
      <c r="L847" s="512"/>
      <c r="M847" s="540" t="s">
        <v>1312</v>
      </c>
      <c r="N847" s="512"/>
      <c r="O847" s="540" t="s">
        <v>1313</v>
      </c>
      <c r="P847" s="512"/>
      <c r="Q847" s="540" t="s">
        <v>1314</v>
      </c>
      <c r="R847" s="167"/>
      <c r="S847" s="540" t="s">
        <v>1308</v>
      </c>
      <c r="T847" s="167"/>
      <c r="U847" s="512" t="s">
        <v>1307</v>
      </c>
      <c r="V847" s="524"/>
      <c r="X847" s="283"/>
    </row>
    <row r="848" spans="1:24" s="8" customFormat="1" ht="14.4">
      <c r="A848" s="521"/>
      <c r="B848" s="510" t="s">
        <v>94</v>
      </c>
      <c r="C848" s="525">
        <f>IFERROR(VLOOKUP($B846,'PY1 TFR ADA'!$F:$AU,MATCH("A-1.1",'PY1 TFR ADA'!$F$5:$AU$5,0),FALSE),0)</f>
        <v>0</v>
      </c>
      <c r="D848" s="167"/>
      <c r="E848" s="525">
        <f>IFERROR(VALUE(VLOOKUP($B846,'PY1 TFR ADA'!$F:$AU,MATCH("A-2.1",'PY1 TFR ADA'!$F$5:$AU$5,0),FALSE)),0)</f>
        <v>0</v>
      </c>
      <c r="F848" s="167"/>
      <c r="G848" s="609">
        <f>IFERROR(VLOOKUP($B846,'PY1 TFR ADA'!$F:$AU,MATCH("b-1.1",'PY1 TFR ADA'!$F$5:$AU$5,0),FALSE),0)</f>
        <v>0</v>
      </c>
      <c r="H848" s="527"/>
      <c r="I848" s="609">
        <f>IFERROR(VLOOKUP($B846,'PY1 TFR ADA'!$F:$AU,MATCH("b-2.1",'PY1 TFR ADA'!$F$5:$AU$5,0),FALSE),0)</f>
        <v>0</v>
      </c>
      <c r="J848" s="527"/>
      <c r="K848" s="609">
        <f>IFERROR(VLOOKUP($B846,'PY1 TFR ADA'!$F:$AU,MATCH("b-3.1",'PY1 TFR ADA'!$F$5:$AU$5,0),FALSE),0)</f>
        <v>0</v>
      </c>
      <c r="L848" s="527"/>
      <c r="M848" s="609">
        <f>IFERROR(VLOOKUP($B846,'PY1 TFR ADA'!$F:$AU,MATCH("b-4.1",'PY1 TFR ADA'!$F$5:$AU$5,0),FALSE),0)</f>
        <v>0</v>
      </c>
      <c r="N848" s="527"/>
      <c r="O848" s="609">
        <f>IFERROR(VLOOKUP($B846,'PY1 TFR ADA'!$F:$AU,MATCH("b-5.1",'PY1 TFR ADA'!$F$5:$AU$5,0),FALSE),0)</f>
        <v>0</v>
      </c>
      <c r="P848" s="527"/>
      <c r="Q848" s="609">
        <f>IFERROR(VLOOKUP($B846,'PY1 TFR ADA'!$F:$AU,MATCH("b-6.1",'PY1 TFR ADA'!$F$5:$AU$5,0),FALSE),0)</f>
        <v>0</v>
      </c>
      <c r="R848" s="551"/>
      <c r="S848" s="601">
        <f t="shared" ref="S848:S851" si="1258">SUM(G848:Q848)</f>
        <v>0</v>
      </c>
      <c r="T848" s="551"/>
      <c r="U848" s="536">
        <f t="shared" ref="U848" si="1259">ROUND(IF($G855="LCFF Rate",(G848*$C848),(G848*$E848))+IF($I855="LCFF Rate",(I848*$C848),(I848*$E848))+IF($K855="LCFF Rate",(K848*$C848),(K848*$E848))+IF($M855="LCFF Rate",(M848*$C848),(M848*$E848))+IF($O855="LCFF Rate",(O848*$C848),(O848*$E848))+IF($Q855="LCFF Rate",(Q848*$C848),(Q848*$E848)),0)</f>
        <v>0</v>
      </c>
      <c r="V848" s="524"/>
      <c r="X848" s="496"/>
    </row>
    <row r="849" spans="1:24" s="8" customFormat="1" ht="14.4">
      <c r="A849" s="521"/>
      <c r="B849" s="510" t="s">
        <v>2</v>
      </c>
      <c r="C849" s="525">
        <f>IFERROR(VLOOKUP($B846,'PY1 TFR ADA'!$F:$AU,MATCH("A-1.2",'PY1 TFR ADA'!$F$5:$AU$5,0),FALSE),0)</f>
        <v>0</v>
      </c>
      <c r="D849" s="167"/>
      <c r="E849" s="525">
        <f>IFERROR(VALUE(VLOOKUP($B846,'PY1 TFR ADA'!$F:$AU,MATCH("A-2.2",'PY1 TFR ADA'!$F$5:$AU$5,0),FALSE)),0)</f>
        <v>0</v>
      </c>
      <c r="F849" s="167"/>
      <c r="G849" s="609">
        <f>IFERROR(VLOOKUP($B846,'PY1 TFR ADA'!$F:$AU,MATCH("b-1.2",'PY1 TFR ADA'!$F$5:$AU$5,0),FALSE),0)</f>
        <v>0</v>
      </c>
      <c r="H849" s="527"/>
      <c r="I849" s="609">
        <f>IFERROR(VLOOKUP($B846,'PY1 TFR ADA'!$F:$AU,MATCH("b-2.2",'PY1 TFR ADA'!$F$5:$AU$5,0),FALSE),0)</f>
        <v>0</v>
      </c>
      <c r="J849" s="527"/>
      <c r="K849" s="609">
        <f>IFERROR(VLOOKUP($B846,'PY1 TFR ADA'!$F:$AU,MATCH("b-3.2",'PY1 TFR ADA'!$F$5:$AU$5,0),FALSE),0)</f>
        <v>0</v>
      </c>
      <c r="L849" s="527"/>
      <c r="M849" s="609">
        <f>IFERROR(VLOOKUP($B846,'PY1 TFR ADA'!$F:$AU,MATCH("b-4.2",'PY1 TFR ADA'!$F$5:$AU$5,0),FALSE),0)</f>
        <v>0</v>
      </c>
      <c r="N849" s="527"/>
      <c r="O849" s="609">
        <f>IFERROR(VLOOKUP($B846,'PY1 TFR ADA'!$F:$AU,MATCH("b-5.2",'PY1 TFR ADA'!$F$5:$AU$5,0),FALSE),0)</f>
        <v>0</v>
      </c>
      <c r="P849" s="527"/>
      <c r="Q849" s="609">
        <f>IFERROR(VLOOKUP($B846,'PY1 TFR ADA'!$F:$AU,MATCH("b-6.2",'PY1 TFR ADA'!$F$5:$AU$5,0),FALSE),0)</f>
        <v>0</v>
      </c>
      <c r="R849" s="551"/>
      <c r="S849" s="601">
        <f t="shared" si="1258"/>
        <v>0</v>
      </c>
      <c r="T849" s="551"/>
      <c r="U849" s="536">
        <f t="shared" ref="U849" si="1260">ROUND(IF($G855="LCFF Rate",(G849*$C849),(G849*$E849))+IF($I855="LCFF Rate",(I849*$C849),(I849*$E849))+IF($K855="LCFF Rate",(K849*$C849),(K849*$E849))+IF($M855="LCFF Rate",(M849*$C849),(M849*$E849))+IF($O855="LCFF Rate",(O849*$C849),(O849*$E849))+IF($Q855="LCFF Rate",(Q849*$C849),(Q849*$E849)),0)</f>
        <v>0</v>
      </c>
      <c r="V849" s="524"/>
      <c r="X849" s="4"/>
    </row>
    <row r="850" spans="1:24" s="8" customFormat="1" ht="14.4">
      <c r="A850" s="521"/>
      <c r="B850" s="510" t="s">
        <v>3</v>
      </c>
      <c r="C850" s="525">
        <f>IFERROR(VLOOKUP($B846,'PY1 TFR ADA'!$F:$AU,MATCH("A-1.3",'PY1 TFR ADA'!$F$5:$AU$5,0),FALSE),0)</f>
        <v>0</v>
      </c>
      <c r="D850" s="167"/>
      <c r="E850" s="525">
        <f>IFERROR(VALUE(VLOOKUP($B846,'PY1 TFR ADA'!$F:$AU,MATCH("A-2.3",'PY1 TFR ADA'!$F$5:$AU$5,0),FALSE)),0)</f>
        <v>0</v>
      </c>
      <c r="F850" s="167"/>
      <c r="G850" s="609">
        <f>IFERROR(VLOOKUP($B846,'PY1 TFR ADA'!$F:$AU,MATCH("b-1.3",'PY1 TFR ADA'!$F$5:$AU$5,0),FALSE),0)</f>
        <v>0</v>
      </c>
      <c r="H850" s="527"/>
      <c r="I850" s="609">
        <f>IFERROR(VLOOKUP($B846,'PY1 TFR ADA'!$F:$AU,MATCH("b-2.3",'PY1 TFR ADA'!$F$5:$AU$5,0),FALSE),0)</f>
        <v>0</v>
      </c>
      <c r="J850" s="527"/>
      <c r="K850" s="609">
        <f>IFERROR(VLOOKUP($B846,'PY1 TFR ADA'!$F:$AU,MATCH("b-3.3",'PY1 TFR ADA'!$F$5:$AU$5,0),FALSE),0)</f>
        <v>0</v>
      </c>
      <c r="L850" s="527"/>
      <c r="M850" s="609">
        <f>IFERROR(VLOOKUP($B846,'PY1 TFR ADA'!$F:$AU,MATCH("b-4.3",'PY1 TFR ADA'!$F$5:$AU$5,0),FALSE),0)</f>
        <v>0</v>
      </c>
      <c r="N850" s="527"/>
      <c r="O850" s="609">
        <f>IFERROR(VLOOKUP($B846,'PY1 TFR ADA'!$F:$AU,MATCH("b-5.3",'PY1 TFR ADA'!$F$5:$AU$5,0),FALSE),0)</f>
        <v>0</v>
      </c>
      <c r="P850" s="527"/>
      <c r="Q850" s="609">
        <f>IFERROR(VLOOKUP($B846,'PY1 TFR ADA'!$F:$AU,MATCH("b-6.3",'PY1 TFR ADA'!$F$5:$AU$5,0),FALSE),0)</f>
        <v>0</v>
      </c>
      <c r="R850" s="551"/>
      <c r="S850" s="601">
        <f t="shared" si="1258"/>
        <v>0</v>
      </c>
      <c r="T850" s="551"/>
      <c r="U850" s="536">
        <f t="shared" ref="U850" si="1261">ROUND(IF($G855="LCFF Rate",(G850*$C850),(G850*$E850))+IF($I855="LCFF Rate",(I850*$C850),(I850*$E850))+IF($K855="LCFF Rate",(K850*$C850),(K850*$E850))+IF($M855="LCFF Rate",(M850*$C850),(M850*$E850))+IF($O855="LCFF Rate",(O850*$C850),(O850*$E850))+IF($Q855="LCFF Rate",(Q850*$C850),(Q850*$E850)),0)</f>
        <v>0</v>
      </c>
      <c r="V850" s="524"/>
      <c r="X850" s="4"/>
    </row>
    <row r="851" spans="1:24" s="8" customFormat="1" ht="14.4">
      <c r="A851" s="526"/>
      <c r="B851" s="510" t="s">
        <v>4</v>
      </c>
      <c r="C851" s="525">
        <f>IFERROR(VLOOKUP($B846,'PY1 TFR ADA'!$F:$AU,MATCH("A-1.4",'PY1 TFR ADA'!$F$5:$AU$5,0),FALSE),0)</f>
        <v>0</v>
      </c>
      <c r="D851" s="523"/>
      <c r="E851" s="525">
        <f>IFERROR(VALUE(VLOOKUP($B846,'PY1 TFR ADA'!$F:$AU,MATCH("A-2.4",'PY1 TFR ADA'!$F$5:$AU$5,0),FALSE)),0)</f>
        <v>0</v>
      </c>
      <c r="F851" s="523"/>
      <c r="G851" s="609">
        <f>IFERROR(VLOOKUP($B846,'PY1 TFR ADA'!$F:$AU,MATCH("b-1.4",'PY1 TFR ADA'!$F$5:$AU$5,0),FALSE),0)</f>
        <v>0</v>
      </c>
      <c r="H851" s="527"/>
      <c r="I851" s="609">
        <f>IFERROR(VLOOKUP($B846,'PY1 TFR ADA'!$F:$AU,MATCH("b-2.4",'PY1 TFR ADA'!$F$5:$AU$5,0),FALSE),0)</f>
        <v>0</v>
      </c>
      <c r="J851" s="527"/>
      <c r="K851" s="609">
        <f>IFERROR(VLOOKUP($B846,'PY1 TFR ADA'!$F:$AU,MATCH("b-3.4",'PY1 TFR ADA'!$F$5:$AU$5,0),FALSE),0)</f>
        <v>0</v>
      </c>
      <c r="L851" s="527"/>
      <c r="M851" s="609">
        <f>IFERROR(VLOOKUP($B846,'PY1 TFR ADA'!$F:$AU,MATCH("b-4.4",'PY1 TFR ADA'!$F$5:$AU$5,0),FALSE),0)</f>
        <v>0</v>
      </c>
      <c r="N851" s="527"/>
      <c r="O851" s="609">
        <f>IFERROR(VLOOKUP($B846,'PY1 TFR ADA'!$F:$AU,MATCH("b-5.4",'PY1 TFR ADA'!$F$5:$AU$5,0),FALSE),0)</f>
        <v>0</v>
      </c>
      <c r="P851" s="527"/>
      <c r="Q851" s="609">
        <f>IFERROR(VLOOKUP($B846,'PY1 TFR ADA'!$F:$AU,MATCH("b-6.4",'PY1 TFR ADA'!$F$5:$AU$5,0),FALSE),0)</f>
        <v>0</v>
      </c>
      <c r="R851" s="551"/>
      <c r="S851" s="601">
        <f t="shared" si="1258"/>
        <v>0</v>
      </c>
      <c r="T851" s="551"/>
      <c r="U851" s="536">
        <f t="shared" ref="U851" si="1262">ROUND(IF($G855="LCFF Rate",(G851*$C851),(G851*$E851))+IF($I855="LCFF Rate",(I851*$C851),(I851*$E851))+IF($K855="LCFF Rate",(K851*$C851),(K851*$E851))+IF($M855="LCFF Rate",(M851*$C851),(M851*$E851))+IF($O855="LCFF Rate",(O851*$C851),(O851*$E851))+IF($Q855="LCFF Rate",(Q851*$C851),(Q851*$E851)),0)</f>
        <v>0</v>
      </c>
      <c r="V851" s="522"/>
      <c r="X851" s="496"/>
    </row>
    <row r="852" spans="1:24" s="8" customFormat="1" ht="8.25" customHeight="1">
      <c r="A852" s="521"/>
      <c r="B852" s="167"/>
      <c r="C852" s="165"/>
      <c r="D852" s="523"/>
      <c r="E852" s="165"/>
      <c r="F852" s="523"/>
      <c r="G852" s="520"/>
      <c r="H852" s="523"/>
      <c r="I852" s="520"/>
      <c r="J852" s="523"/>
      <c r="K852" s="520"/>
      <c r="L852" s="523"/>
      <c r="M852" s="520"/>
      <c r="N852" s="523"/>
      <c r="O852" s="520"/>
      <c r="P852" s="523"/>
      <c r="Q852" s="520"/>
      <c r="R852" s="167"/>
      <c r="S852" s="520"/>
      <c r="T852" s="167"/>
      <c r="U852" s="602"/>
      <c r="V852" s="522"/>
      <c r="X852" s="4"/>
    </row>
    <row r="853" spans="1:24" s="8" customFormat="1" ht="14.4">
      <c r="A853" s="521"/>
      <c r="B853" s="167"/>
      <c r="C853" s="165"/>
      <c r="D853" s="523"/>
      <c r="E853" s="513" t="s">
        <v>1317</v>
      </c>
      <c r="F853" s="523"/>
      <c r="G853" s="601">
        <f t="shared" ref="G853" si="1263">SUM(G848:G851)</f>
        <v>0</v>
      </c>
      <c r="H853" s="527"/>
      <c r="I853" s="601">
        <f t="shared" ref="I853" si="1264">SUM(I848:I851)</f>
        <v>0</v>
      </c>
      <c r="J853" s="527"/>
      <c r="K853" s="601">
        <f t="shared" ref="K853" si="1265">SUM(K848:K851)</f>
        <v>0</v>
      </c>
      <c r="L853" s="527"/>
      <c r="M853" s="601">
        <f t="shared" ref="M853" si="1266">SUM(M848:M851)</f>
        <v>0</v>
      </c>
      <c r="N853" s="527"/>
      <c r="O853" s="601">
        <f t="shared" ref="O853" si="1267">SUM(O848:O851)</f>
        <v>0</v>
      </c>
      <c r="P853" s="527"/>
      <c r="Q853" s="601">
        <f t="shared" ref="Q853" si="1268">SUM(Q848:Q851)</f>
        <v>0</v>
      </c>
      <c r="R853" s="527"/>
      <c r="S853" s="601">
        <f t="shared" ref="S853" si="1269">SUM(S848:S851)</f>
        <v>0</v>
      </c>
      <c r="T853" s="527"/>
      <c r="U853" s="536">
        <f t="shared" ref="U853" si="1270">SUM(U848:U851)</f>
        <v>0</v>
      </c>
      <c r="V853" s="522"/>
      <c r="X853" s="4"/>
    </row>
    <row r="854" spans="1:24" s="8" customFormat="1" ht="8.25" customHeight="1">
      <c r="A854" s="521"/>
      <c r="B854" s="167"/>
      <c r="C854" s="165"/>
      <c r="D854" s="523"/>
      <c r="E854" s="165"/>
      <c r="F854" s="523"/>
      <c r="G854" s="520"/>
      <c r="H854" s="523"/>
      <c r="I854" s="520"/>
      <c r="J854" s="523"/>
      <c r="K854" s="520"/>
      <c r="L854" s="523"/>
      <c r="M854" s="520"/>
      <c r="N854" s="523"/>
      <c r="O854" s="520"/>
      <c r="P854" s="523"/>
      <c r="Q854" s="520"/>
      <c r="R854" s="167"/>
      <c r="S854" s="520"/>
      <c r="T854" s="167"/>
      <c r="U854" s="528"/>
      <c r="V854" s="522"/>
      <c r="X854" s="4"/>
    </row>
    <row r="855" spans="1:24" s="8" customFormat="1" ht="16.5" customHeight="1">
      <c r="A855" s="521"/>
      <c r="B855" s="167"/>
      <c r="C855" s="165"/>
      <c r="E855" s="513" t="s">
        <v>1304</v>
      </c>
      <c r="F855" s="523"/>
      <c r="G855" s="977">
        <f>_xlfn.IFNA(IF(VLOOKUP($B846,'PY1 TFR ADA'!$F:$AU,MATCH("B-1.5",'PY1 TFR ADA'!$F$5:$AU$5,0),FALSE)=TRUE,IF(VLOOKUP($B846,'PY1 TFR ADA'!$F:$AU,MATCH("C-1",'PY1 TFR ADA'!$F$5:$AU$5,0),FALSE)=TRUE,"Alternative Rate","LCFF Rate"),"LCFF Rate"),0)</f>
        <v>0</v>
      </c>
      <c r="H855" s="523"/>
      <c r="I855" s="977">
        <f>_xlfn.IFNA(IF(VLOOKUP($B846,'PY1 TFR ADA'!$F:$AU,MATCH("B-2.5",'PY1 TFR ADA'!$F$5:$AU$5,0),FALSE)=TRUE,IF(VLOOKUP($B846,'PY1 TFR ADA'!$F:$AU,MATCH("C-1",'PY1 TFR ADA'!$F$5:$AU$5,0),FALSE)=TRUE,"Alternative Rate","LCFF Rate"),"LCFF Rate"),0)</f>
        <v>0</v>
      </c>
      <c r="J855" s="523"/>
      <c r="K855" s="977">
        <f>_xlfn.IFNA(IF(VLOOKUP($B846,'PY1 TFR ADA'!$F:$AU,MATCH("B-3.5",'PY1 TFR ADA'!$F$5:$AU$5,0),FALSE)=TRUE,IF(VLOOKUP($B846,'PY1 TFR ADA'!$F:$AU,MATCH("C-1",'PY1 TFR ADA'!$F$5:$AU$5,0),FALSE)=TRUE,"Alternative Rate","LCFF Rate"),"LCFF Rate"),0)</f>
        <v>0</v>
      </c>
      <c r="L855" s="523"/>
      <c r="M855" s="977">
        <f>_xlfn.IFNA(IF(VLOOKUP($B846,'PY1 TFR ADA'!$F:$AU,MATCH("B-4.5",'PY1 TFR ADA'!$F$5:$AU$5,0),FALSE)=TRUE,IF(VLOOKUP($B846,'PY1 TFR ADA'!$F:$AU,MATCH("C-1",'PY1 TFR ADA'!$F$5:$AU$5,0),FALSE)=TRUE,"Alternative Rate","LCFF Rate"),"LCFF Rate"),0)</f>
        <v>0</v>
      </c>
      <c r="N855" s="523"/>
      <c r="O855" s="977">
        <f>_xlfn.IFNA(IF(VLOOKUP($B846,'PY1 TFR ADA'!$F:$AU,MATCH("B-5.5",'PY1 TFR ADA'!$F$5:$AU$5,0),FALSE)=TRUE,IF(VLOOKUP($B846,'PY1 TFR ADA'!$F:$AU,MATCH("C-1",'PY1 TFR ADA'!$F$5:$AU$5,0),FALSE)=TRUE,"Alternative Rate","LCFF Rate"),"LCFF Rate"),0)</f>
        <v>0</v>
      </c>
      <c r="P855" s="523"/>
      <c r="Q855" s="977">
        <f>_xlfn.IFNA(IF(VLOOKUP($B846,'PY1 TFR ADA'!$F:$AU,MATCH("B-6.5",'PY1 TFR ADA'!$F$5:$AU$5,0),FALSE)=TRUE,IF(VLOOKUP($B846,'PY1 TFR ADA'!$F:$AU,MATCH("C-1",'PY1 TFR ADA'!$F$5:$AU$5,0),FALSE)=TRUE,"Alternative Rate","LCFF Rate"),"LCFF Rate"),0)</f>
        <v>0</v>
      </c>
      <c r="R855" s="167"/>
      <c r="S855" s="520"/>
      <c r="T855" s="167"/>
      <c r="U855" s="528"/>
      <c r="V855" s="522"/>
      <c r="X855" s="283"/>
    </row>
    <row r="856" spans="1:24" s="8" customFormat="1" ht="8.25" customHeight="1">
      <c r="A856" s="521"/>
      <c r="B856" s="167"/>
      <c r="C856" s="165"/>
      <c r="D856" s="523"/>
      <c r="E856" s="165"/>
      <c r="F856" s="523"/>
      <c r="G856" s="520"/>
      <c r="H856" s="523"/>
      <c r="I856" s="520"/>
      <c r="J856" s="523"/>
      <c r="K856" s="520"/>
      <c r="L856" s="523"/>
      <c r="M856" s="520"/>
      <c r="N856" s="523"/>
      <c r="O856" s="520"/>
      <c r="P856" s="523"/>
      <c r="Q856" s="520"/>
      <c r="R856" s="167"/>
      <c r="S856" s="520"/>
      <c r="T856" s="167"/>
      <c r="U856" s="528"/>
      <c r="V856" s="522"/>
      <c r="X856" s="4"/>
    </row>
    <row r="857" spans="1:24" s="8" customFormat="1" ht="16.8">
      <c r="A857" s="521"/>
      <c r="B857" s="2"/>
      <c r="F857" s="523"/>
      <c r="G857" s="535">
        <f t="shared" ref="G857" si="1271">IF(G855="LCFF Rate",(G848*C848+G849*C849+G850*C850+G851*C851),(G853*E851))</f>
        <v>0</v>
      </c>
      <c r="H857" s="537"/>
      <c r="I857" s="535">
        <f t="shared" ref="I857" si="1272">IF(I855="LCFF Rate",(I848*C848+I849*C849+I850*C850+I851*C851),(I853*E851))</f>
        <v>0</v>
      </c>
      <c r="J857" s="537"/>
      <c r="K857" s="535">
        <f t="shared" ref="K857" si="1273">IF(K855="LCFF Rate",(K848*C848+K849*C849+K850*C850+K851*C851),(K853*E851))</f>
        <v>0</v>
      </c>
      <c r="L857" s="537"/>
      <c r="M857" s="535">
        <f t="shared" ref="M857" si="1274">IF(M855="LCFF Rate",(M848*C848+M849*C849+M850*C850+M851*C851),(M853*E851))</f>
        <v>0</v>
      </c>
      <c r="N857" s="537"/>
      <c r="O857" s="535">
        <f t="shared" ref="O857" si="1275">IF(O855="LCFF Rate",(O848*C848+O849*C849+O850*C850+O851*C851),(O853*E851))</f>
        <v>0</v>
      </c>
      <c r="P857" s="537"/>
      <c r="Q857" s="535">
        <f t="shared" ref="Q857" si="1276">IF(Q855="LCFF Rate",(Q848*C848+Q849*C849+Q850*C850+Q851*C851),(Q853*E851))</f>
        <v>0</v>
      </c>
      <c r="R857" s="167"/>
      <c r="S857" s="538">
        <f t="shared" ref="S857" si="1277">SUM(G857:Q857)</f>
        <v>0</v>
      </c>
      <c r="T857" s="167"/>
      <c r="U857" s="528"/>
      <c r="V857" s="522"/>
      <c r="X857" s="979"/>
    </row>
    <row r="858" spans="1:24" s="8" customFormat="1" ht="9" customHeight="1" thickBot="1">
      <c r="A858" s="529"/>
      <c r="B858" s="530"/>
      <c r="C858" s="531"/>
      <c r="D858" s="532"/>
      <c r="E858" s="533"/>
      <c r="F858" s="532"/>
      <c r="G858" s="530"/>
      <c r="H858" s="532"/>
      <c r="I858" s="530"/>
      <c r="J858" s="532"/>
      <c r="K858" s="530"/>
      <c r="L858" s="532"/>
      <c r="M858" s="530"/>
      <c r="N858" s="532"/>
      <c r="O858" s="530"/>
      <c r="P858" s="532"/>
      <c r="Q858" s="530"/>
      <c r="R858" s="532"/>
      <c r="S858" s="530"/>
      <c r="T858" s="532"/>
      <c r="U858" s="532"/>
      <c r="V858" s="534"/>
      <c r="X858" s="4"/>
    </row>
    <row r="859" spans="1:24" s="82" customFormat="1" ht="18" customHeight="1" thickBot="1">
      <c r="A859" s="890">
        <f>+A846+1</f>
        <v>66</v>
      </c>
      <c r="B859" s="891" t="str">
        <f>'Data Entry'!$B$3&amp;"-"&amp;C859</f>
        <v>-</v>
      </c>
      <c r="C859" s="891" t="str">
        <f>IFERROR(VLOOKUP('Data Entry'!$B$3&amp;"-"&amp;A859,'PY1 TFR ADA'!$D:$AT,2,FALSE),"")</f>
        <v/>
      </c>
      <c r="D859" s="892" t="str">
        <f>IFERROR(VLOOKUP('Data Entry'!$B$3&amp;"-"&amp;A859,'PY1 TFR ADA'!$D:$AT,4,FALSE),"")</f>
        <v/>
      </c>
      <c r="E859" s="893"/>
      <c r="F859" s="893"/>
      <c r="G859" s="893"/>
      <c r="H859" s="893"/>
      <c r="I859" s="893"/>
      <c r="J859" s="893"/>
      <c r="K859" s="893"/>
      <c r="L859" s="893"/>
      <c r="M859" s="893"/>
      <c r="N859" s="893"/>
      <c r="O859" s="893"/>
      <c r="P859" s="893"/>
      <c r="Q859" s="893"/>
      <c r="R859" s="893"/>
      <c r="S859" s="893"/>
      <c r="T859" s="893"/>
      <c r="U859" s="893"/>
      <c r="V859" s="894"/>
      <c r="X859" s="83"/>
    </row>
    <row r="860" spans="1:24" ht="75" customHeight="1">
      <c r="A860" s="521"/>
      <c r="C860" s="540" t="s">
        <v>1315</v>
      </c>
      <c r="D860" s="512"/>
      <c r="E860" s="540" t="s">
        <v>1316</v>
      </c>
      <c r="F860" s="512"/>
      <c r="G860" s="540" t="s">
        <v>1309</v>
      </c>
      <c r="H860" s="512"/>
      <c r="I860" s="540" t="s">
        <v>1310</v>
      </c>
      <c r="J860" s="512"/>
      <c r="K860" s="540" t="s">
        <v>1311</v>
      </c>
      <c r="L860" s="512"/>
      <c r="M860" s="540" t="s">
        <v>1312</v>
      </c>
      <c r="N860" s="512"/>
      <c r="O860" s="540" t="s">
        <v>1313</v>
      </c>
      <c r="P860" s="512"/>
      <c r="Q860" s="540" t="s">
        <v>1314</v>
      </c>
      <c r="R860" s="167"/>
      <c r="S860" s="540" t="s">
        <v>1308</v>
      </c>
      <c r="T860" s="167"/>
      <c r="U860" s="512" t="s">
        <v>1307</v>
      </c>
      <c r="V860" s="524"/>
      <c r="X860" s="283"/>
    </row>
    <row r="861" spans="1:24" s="8" customFormat="1" ht="14.4">
      <c r="A861" s="521"/>
      <c r="B861" s="510" t="s">
        <v>94</v>
      </c>
      <c r="C861" s="525">
        <f>IFERROR(VLOOKUP($B859,'PY1 TFR ADA'!$F:$AU,MATCH("A-1.1",'PY1 TFR ADA'!$F$5:$AU$5,0),FALSE),0)</f>
        <v>0</v>
      </c>
      <c r="D861" s="167"/>
      <c r="E861" s="525">
        <f>IFERROR(VALUE(VLOOKUP($B859,'PY1 TFR ADA'!$F:$AU,MATCH("A-2.1",'PY1 TFR ADA'!$F$5:$AU$5,0),FALSE)),0)</f>
        <v>0</v>
      </c>
      <c r="F861" s="167"/>
      <c r="G861" s="609">
        <f>IFERROR(VLOOKUP($B859,'PY1 TFR ADA'!$F:$AU,MATCH("b-1.1",'PY1 TFR ADA'!$F$5:$AU$5,0),FALSE),0)</f>
        <v>0</v>
      </c>
      <c r="H861" s="527"/>
      <c r="I861" s="609">
        <f>IFERROR(VLOOKUP($B859,'PY1 TFR ADA'!$F:$AU,MATCH("b-2.1",'PY1 TFR ADA'!$F$5:$AU$5,0),FALSE),0)</f>
        <v>0</v>
      </c>
      <c r="J861" s="527"/>
      <c r="K861" s="609">
        <f>IFERROR(VLOOKUP($B859,'PY1 TFR ADA'!$F:$AU,MATCH("b-3.1",'PY1 TFR ADA'!$F$5:$AU$5,0),FALSE),0)</f>
        <v>0</v>
      </c>
      <c r="L861" s="527"/>
      <c r="M861" s="609">
        <f>IFERROR(VLOOKUP($B859,'PY1 TFR ADA'!$F:$AU,MATCH("b-4.1",'PY1 TFR ADA'!$F$5:$AU$5,0),FALSE),0)</f>
        <v>0</v>
      </c>
      <c r="N861" s="527"/>
      <c r="O861" s="609">
        <f>IFERROR(VLOOKUP($B859,'PY1 TFR ADA'!$F:$AU,MATCH("b-5.1",'PY1 TFR ADA'!$F$5:$AU$5,0),FALSE),0)</f>
        <v>0</v>
      </c>
      <c r="P861" s="527"/>
      <c r="Q861" s="609">
        <f>IFERROR(VLOOKUP($B859,'PY1 TFR ADA'!$F:$AU,MATCH("b-6.1",'PY1 TFR ADA'!$F$5:$AU$5,0),FALSE),0)</f>
        <v>0</v>
      </c>
      <c r="R861" s="551"/>
      <c r="S861" s="601">
        <f t="shared" ref="S861:S864" si="1278">SUM(G861:Q861)</f>
        <v>0</v>
      </c>
      <c r="T861" s="551"/>
      <c r="U861" s="536">
        <f t="shared" ref="U861" si="1279">ROUND(IF($G868="LCFF Rate",(G861*$C861),(G861*$E861))+IF($I868="LCFF Rate",(I861*$C861),(I861*$E861))+IF($K868="LCFF Rate",(K861*$C861),(K861*$E861))+IF($M868="LCFF Rate",(M861*$C861),(M861*$E861))+IF($O868="LCFF Rate",(O861*$C861),(O861*$E861))+IF($Q868="LCFF Rate",(Q861*$C861),(Q861*$E861)),0)</f>
        <v>0</v>
      </c>
      <c r="V861" s="524"/>
      <c r="X861" s="496"/>
    </row>
    <row r="862" spans="1:24" s="8" customFormat="1" ht="14.4">
      <c r="A862" s="521"/>
      <c r="B862" s="510" t="s">
        <v>2</v>
      </c>
      <c r="C862" s="525">
        <f>IFERROR(VLOOKUP($B859,'PY1 TFR ADA'!$F:$AU,MATCH("A-1.2",'PY1 TFR ADA'!$F$5:$AU$5,0),FALSE),0)</f>
        <v>0</v>
      </c>
      <c r="D862" s="167"/>
      <c r="E862" s="525">
        <f>IFERROR(VALUE(VLOOKUP($B859,'PY1 TFR ADA'!$F:$AU,MATCH("A-2.2",'PY1 TFR ADA'!$F$5:$AU$5,0),FALSE)),0)</f>
        <v>0</v>
      </c>
      <c r="F862" s="167"/>
      <c r="G862" s="609">
        <f>IFERROR(VLOOKUP($B859,'PY1 TFR ADA'!$F:$AU,MATCH("b-1.2",'PY1 TFR ADA'!$F$5:$AU$5,0),FALSE),0)</f>
        <v>0</v>
      </c>
      <c r="H862" s="527"/>
      <c r="I862" s="609">
        <f>IFERROR(VLOOKUP($B859,'PY1 TFR ADA'!$F:$AU,MATCH("b-2.2",'PY1 TFR ADA'!$F$5:$AU$5,0),FALSE),0)</f>
        <v>0</v>
      </c>
      <c r="J862" s="527"/>
      <c r="K862" s="609">
        <f>IFERROR(VLOOKUP($B859,'PY1 TFR ADA'!$F:$AU,MATCH("b-3.2",'PY1 TFR ADA'!$F$5:$AU$5,0),FALSE),0)</f>
        <v>0</v>
      </c>
      <c r="L862" s="527"/>
      <c r="M862" s="609">
        <f>IFERROR(VLOOKUP($B859,'PY1 TFR ADA'!$F:$AU,MATCH("b-4.2",'PY1 TFR ADA'!$F$5:$AU$5,0),FALSE),0)</f>
        <v>0</v>
      </c>
      <c r="N862" s="527"/>
      <c r="O862" s="609">
        <f>IFERROR(VLOOKUP($B859,'PY1 TFR ADA'!$F:$AU,MATCH("b-5.2",'PY1 TFR ADA'!$F$5:$AU$5,0),FALSE),0)</f>
        <v>0</v>
      </c>
      <c r="P862" s="527"/>
      <c r="Q862" s="609">
        <f>IFERROR(VLOOKUP($B859,'PY1 TFR ADA'!$F:$AU,MATCH("b-6.2",'PY1 TFR ADA'!$F$5:$AU$5,0),FALSE),0)</f>
        <v>0</v>
      </c>
      <c r="R862" s="551"/>
      <c r="S862" s="601">
        <f t="shared" si="1278"/>
        <v>0</v>
      </c>
      <c r="T862" s="551"/>
      <c r="U862" s="536">
        <f t="shared" ref="U862" si="1280">ROUND(IF($G868="LCFF Rate",(G862*$C862),(G862*$E862))+IF($I868="LCFF Rate",(I862*$C862),(I862*$E862))+IF($K868="LCFF Rate",(K862*$C862),(K862*$E862))+IF($M868="LCFF Rate",(M862*$C862),(M862*$E862))+IF($O868="LCFF Rate",(O862*$C862),(O862*$E862))+IF($Q868="LCFF Rate",(Q862*$C862),(Q862*$E862)),0)</f>
        <v>0</v>
      </c>
      <c r="V862" s="524"/>
      <c r="X862" s="4"/>
    </row>
    <row r="863" spans="1:24" s="8" customFormat="1" ht="14.4">
      <c r="A863" s="521"/>
      <c r="B863" s="510" t="s">
        <v>3</v>
      </c>
      <c r="C863" s="525">
        <f>IFERROR(VLOOKUP($B859,'PY1 TFR ADA'!$F:$AU,MATCH("A-1.3",'PY1 TFR ADA'!$F$5:$AU$5,0),FALSE),0)</f>
        <v>0</v>
      </c>
      <c r="D863" s="167"/>
      <c r="E863" s="525">
        <f>IFERROR(VALUE(VLOOKUP($B859,'PY1 TFR ADA'!$F:$AU,MATCH("A-2.3",'PY1 TFR ADA'!$F$5:$AU$5,0),FALSE)),0)</f>
        <v>0</v>
      </c>
      <c r="F863" s="167"/>
      <c r="G863" s="609">
        <f>IFERROR(VLOOKUP($B859,'PY1 TFR ADA'!$F:$AU,MATCH("b-1.3",'PY1 TFR ADA'!$F$5:$AU$5,0),FALSE),0)</f>
        <v>0</v>
      </c>
      <c r="H863" s="527"/>
      <c r="I863" s="609">
        <f>IFERROR(VLOOKUP($B859,'PY1 TFR ADA'!$F:$AU,MATCH("b-2.3",'PY1 TFR ADA'!$F$5:$AU$5,0),FALSE),0)</f>
        <v>0</v>
      </c>
      <c r="J863" s="527"/>
      <c r="K863" s="609">
        <f>IFERROR(VLOOKUP($B859,'PY1 TFR ADA'!$F:$AU,MATCH("b-3.3",'PY1 TFR ADA'!$F$5:$AU$5,0),FALSE),0)</f>
        <v>0</v>
      </c>
      <c r="L863" s="527"/>
      <c r="M863" s="609">
        <f>IFERROR(VLOOKUP($B859,'PY1 TFR ADA'!$F:$AU,MATCH("b-4.3",'PY1 TFR ADA'!$F$5:$AU$5,0),FALSE),0)</f>
        <v>0</v>
      </c>
      <c r="N863" s="527"/>
      <c r="O863" s="609">
        <f>IFERROR(VLOOKUP($B859,'PY1 TFR ADA'!$F:$AU,MATCH("b-5.3",'PY1 TFR ADA'!$F$5:$AU$5,0),FALSE),0)</f>
        <v>0</v>
      </c>
      <c r="P863" s="527"/>
      <c r="Q863" s="609">
        <f>IFERROR(VLOOKUP($B859,'PY1 TFR ADA'!$F:$AU,MATCH("b-6.3",'PY1 TFR ADA'!$F$5:$AU$5,0),FALSE),0)</f>
        <v>0</v>
      </c>
      <c r="R863" s="551"/>
      <c r="S863" s="601">
        <f t="shared" si="1278"/>
        <v>0</v>
      </c>
      <c r="T863" s="551"/>
      <c r="U863" s="536">
        <f t="shared" ref="U863" si="1281">ROUND(IF($G868="LCFF Rate",(G863*$C863),(G863*$E863))+IF($I868="LCFF Rate",(I863*$C863),(I863*$E863))+IF($K868="LCFF Rate",(K863*$C863),(K863*$E863))+IF($M868="LCFF Rate",(M863*$C863),(M863*$E863))+IF($O868="LCFF Rate",(O863*$C863),(O863*$E863))+IF($Q868="LCFF Rate",(Q863*$C863),(Q863*$E863)),0)</f>
        <v>0</v>
      </c>
      <c r="V863" s="524"/>
      <c r="X863" s="4"/>
    </row>
    <row r="864" spans="1:24" s="8" customFormat="1" ht="14.4">
      <c r="A864" s="526"/>
      <c r="B864" s="510" t="s">
        <v>4</v>
      </c>
      <c r="C864" s="525">
        <f>IFERROR(VLOOKUP($B859,'PY1 TFR ADA'!$F:$AU,MATCH("A-1.4",'PY1 TFR ADA'!$F$5:$AU$5,0),FALSE),0)</f>
        <v>0</v>
      </c>
      <c r="D864" s="523"/>
      <c r="E864" s="525">
        <f>IFERROR(VALUE(VLOOKUP($B859,'PY1 TFR ADA'!$F:$AU,MATCH("A-2.4",'PY1 TFR ADA'!$F$5:$AU$5,0),FALSE)),0)</f>
        <v>0</v>
      </c>
      <c r="F864" s="523"/>
      <c r="G864" s="609">
        <f>IFERROR(VLOOKUP($B859,'PY1 TFR ADA'!$F:$AU,MATCH("b-1.4",'PY1 TFR ADA'!$F$5:$AU$5,0),FALSE),0)</f>
        <v>0</v>
      </c>
      <c r="H864" s="527"/>
      <c r="I864" s="609">
        <f>IFERROR(VLOOKUP($B859,'PY1 TFR ADA'!$F:$AU,MATCH("b-2.4",'PY1 TFR ADA'!$F$5:$AU$5,0),FALSE),0)</f>
        <v>0</v>
      </c>
      <c r="J864" s="527"/>
      <c r="K864" s="609">
        <f>IFERROR(VLOOKUP($B859,'PY1 TFR ADA'!$F:$AU,MATCH("b-3.4",'PY1 TFR ADA'!$F$5:$AU$5,0),FALSE),0)</f>
        <v>0</v>
      </c>
      <c r="L864" s="527"/>
      <c r="M864" s="609">
        <f>IFERROR(VLOOKUP($B859,'PY1 TFR ADA'!$F:$AU,MATCH("b-4.4",'PY1 TFR ADA'!$F$5:$AU$5,0),FALSE),0)</f>
        <v>0</v>
      </c>
      <c r="N864" s="527"/>
      <c r="O864" s="609">
        <f>IFERROR(VLOOKUP($B859,'PY1 TFR ADA'!$F:$AU,MATCH("b-5.4",'PY1 TFR ADA'!$F$5:$AU$5,0),FALSE),0)</f>
        <v>0</v>
      </c>
      <c r="P864" s="527"/>
      <c r="Q864" s="609">
        <f>IFERROR(VLOOKUP($B859,'PY1 TFR ADA'!$F:$AU,MATCH("b-6.4",'PY1 TFR ADA'!$F$5:$AU$5,0),FALSE),0)</f>
        <v>0</v>
      </c>
      <c r="R864" s="551"/>
      <c r="S864" s="601">
        <f t="shared" si="1278"/>
        <v>0</v>
      </c>
      <c r="T864" s="551"/>
      <c r="U864" s="536">
        <f t="shared" ref="U864" si="1282">ROUND(IF($G868="LCFF Rate",(G864*$C864),(G864*$E864))+IF($I868="LCFF Rate",(I864*$C864),(I864*$E864))+IF($K868="LCFF Rate",(K864*$C864),(K864*$E864))+IF($M868="LCFF Rate",(M864*$C864),(M864*$E864))+IF($O868="LCFF Rate",(O864*$C864),(O864*$E864))+IF($Q868="LCFF Rate",(Q864*$C864),(Q864*$E864)),0)</f>
        <v>0</v>
      </c>
      <c r="V864" s="522"/>
      <c r="X864" s="496"/>
    </row>
    <row r="865" spans="1:24" s="8" customFormat="1" ht="8.25" customHeight="1">
      <c r="A865" s="521"/>
      <c r="B865" s="167"/>
      <c r="C865" s="165"/>
      <c r="D865" s="523"/>
      <c r="E865" s="165"/>
      <c r="F865" s="523"/>
      <c r="G865" s="520"/>
      <c r="H865" s="523"/>
      <c r="I865" s="520"/>
      <c r="J865" s="523"/>
      <c r="K865" s="520"/>
      <c r="L865" s="523"/>
      <c r="M865" s="520"/>
      <c r="N865" s="523"/>
      <c r="O865" s="520"/>
      <c r="P865" s="523"/>
      <c r="Q865" s="520"/>
      <c r="R865" s="167"/>
      <c r="S865" s="520"/>
      <c r="T865" s="167"/>
      <c r="U865" s="602"/>
      <c r="V865" s="522"/>
      <c r="X865" s="4"/>
    </row>
    <row r="866" spans="1:24" s="8" customFormat="1" ht="14.4">
      <c r="A866" s="521"/>
      <c r="B866" s="167"/>
      <c r="C866" s="165"/>
      <c r="D866" s="523"/>
      <c r="E866" s="513" t="s">
        <v>1317</v>
      </c>
      <c r="F866" s="523"/>
      <c r="G866" s="601">
        <f t="shared" ref="G866" si="1283">SUM(G861:G864)</f>
        <v>0</v>
      </c>
      <c r="H866" s="527"/>
      <c r="I866" s="601">
        <f t="shared" ref="I866" si="1284">SUM(I861:I864)</f>
        <v>0</v>
      </c>
      <c r="J866" s="527"/>
      <c r="K866" s="601">
        <f t="shared" ref="K866" si="1285">SUM(K861:K864)</f>
        <v>0</v>
      </c>
      <c r="L866" s="527"/>
      <c r="M866" s="601">
        <f t="shared" ref="M866" si="1286">SUM(M861:M864)</f>
        <v>0</v>
      </c>
      <c r="N866" s="527"/>
      <c r="O866" s="601">
        <f t="shared" ref="O866" si="1287">SUM(O861:O864)</f>
        <v>0</v>
      </c>
      <c r="P866" s="527"/>
      <c r="Q866" s="601">
        <f t="shared" ref="Q866" si="1288">SUM(Q861:Q864)</f>
        <v>0</v>
      </c>
      <c r="R866" s="527"/>
      <c r="S866" s="601">
        <f t="shared" ref="S866" si="1289">SUM(S861:S864)</f>
        <v>0</v>
      </c>
      <c r="T866" s="527"/>
      <c r="U866" s="536">
        <f t="shared" ref="U866" si="1290">SUM(U861:U864)</f>
        <v>0</v>
      </c>
      <c r="V866" s="522"/>
      <c r="X866" s="4"/>
    </row>
    <row r="867" spans="1:24" s="8" customFormat="1" ht="8.25" customHeight="1">
      <c r="A867" s="521"/>
      <c r="B867" s="167"/>
      <c r="C867" s="165"/>
      <c r="D867" s="523"/>
      <c r="E867" s="165"/>
      <c r="F867" s="523"/>
      <c r="G867" s="520"/>
      <c r="H867" s="523"/>
      <c r="I867" s="520"/>
      <c r="J867" s="523"/>
      <c r="K867" s="520"/>
      <c r="L867" s="523"/>
      <c r="M867" s="520"/>
      <c r="N867" s="523"/>
      <c r="O867" s="520"/>
      <c r="P867" s="523"/>
      <c r="Q867" s="520"/>
      <c r="R867" s="167"/>
      <c r="S867" s="520"/>
      <c r="T867" s="167"/>
      <c r="U867" s="528"/>
      <c r="V867" s="522"/>
      <c r="X867" s="4"/>
    </row>
    <row r="868" spans="1:24" s="8" customFormat="1" ht="16.5" customHeight="1">
      <c r="A868" s="521"/>
      <c r="B868" s="167"/>
      <c r="C868" s="165"/>
      <c r="E868" s="513" t="s">
        <v>1304</v>
      </c>
      <c r="F868" s="523"/>
      <c r="G868" s="977">
        <f>_xlfn.IFNA(IF(VLOOKUP($B859,'PY1 TFR ADA'!$F:$AU,MATCH("B-1.5",'PY1 TFR ADA'!$F$5:$AU$5,0),FALSE)=TRUE,IF(VLOOKUP($B859,'PY1 TFR ADA'!$F:$AU,MATCH("C-1",'PY1 TFR ADA'!$F$5:$AU$5,0),FALSE)=TRUE,"Alternative Rate","LCFF Rate"),"LCFF Rate"),0)</f>
        <v>0</v>
      </c>
      <c r="H868" s="523"/>
      <c r="I868" s="977">
        <f>_xlfn.IFNA(IF(VLOOKUP($B859,'PY1 TFR ADA'!$F:$AU,MATCH("B-2.5",'PY1 TFR ADA'!$F$5:$AU$5,0),FALSE)=TRUE,IF(VLOOKUP($B859,'PY1 TFR ADA'!$F:$AU,MATCH("C-1",'PY1 TFR ADA'!$F$5:$AU$5,0),FALSE)=TRUE,"Alternative Rate","LCFF Rate"),"LCFF Rate"),0)</f>
        <v>0</v>
      </c>
      <c r="J868" s="523"/>
      <c r="K868" s="977">
        <f>_xlfn.IFNA(IF(VLOOKUP($B859,'PY1 TFR ADA'!$F:$AU,MATCH("B-3.5",'PY1 TFR ADA'!$F$5:$AU$5,0),FALSE)=TRUE,IF(VLOOKUP($B859,'PY1 TFR ADA'!$F:$AU,MATCH("C-1",'PY1 TFR ADA'!$F$5:$AU$5,0),FALSE)=TRUE,"Alternative Rate","LCFF Rate"),"LCFF Rate"),0)</f>
        <v>0</v>
      </c>
      <c r="L868" s="523"/>
      <c r="M868" s="977">
        <f>_xlfn.IFNA(IF(VLOOKUP($B859,'PY1 TFR ADA'!$F:$AU,MATCH("B-4.5",'PY1 TFR ADA'!$F$5:$AU$5,0),FALSE)=TRUE,IF(VLOOKUP($B859,'PY1 TFR ADA'!$F:$AU,MATCH("C-1",'PY1 TFR ADA'!$F$5:$AU$5,0),FALSE)=TRUE,"Alternative Rate","LCFF Rate"),"LCFF Rate"),0)</f>
        <v>0</v>
      </c>
      <c r="N868" s="523"/>
      <c r="O868" s="977">
        <f>_xlfn.IFNA(IF(VLOOKUP($B859,'PY1 TFR ADA'!$F:$AU,MATCH("B-5.5",'PY1 TFR ADA'!$F$5:$AU$5,0),FALSE)=TRUE,IF(VLOOKUP($B859,'PY1 TFR ADA'!$F:$AU,MATCH("C-1",'PY1 TFR ADA'!$F$5:$AU$5,0),FALSE)=TRUE,"Alternative Rate","LCFF Rate"),"LCFF Rate"),0)</f>
        <v>0</v>
      </c>
      <c r="P868" s="523"/>
      <c r="Q868" s="977">
        <f>_xlfn.IFNA(IF(VLOOKUP($B859,'PY1 TFR ADA'!$F:$AU,MATCH("B-6.5",'PY1 TFR ADA'!$F$5:$AU$5,0),FALSE)=TRUE,IF(VLOOKUP($B859,'PY1 TFR ADA'!$F:$AU,MATCH("C-1",'PY1 TFR ADA'!$F$5:$AU$5,0),FALSE)=TRUE,"Alternative Rate","LCFF Rate"),"LCFF Rate"),0)</f>
        <v>0</v>
      </c>
      <c r="R868" s="167"/>
      <c r="S868" s="520"/>
      <c r="T868" s="167"/>
      <c r="U868" s="528"/>
      <c r="V868" s="522"/>
      <c r="X868" s="283"/>
    </row>
    <row r="869" spans="1:24" s="8" customFormat="1" ht="8.25" customHeight="1">
      <c r="A869" s="521"/>
      <c r="B869" s="167"/>
      <c r="C869" s="165"/>
      <c r="D869" s="523"/>
      <c r="E869" s="165"/>
      <c r="F869" s="523"/>
      <c r="G869" s="520"/>
      <c r="H869" s="523"/>
      <c r="I869" s="520"/>
      <c r="J869" s="523"/>
      <c r="K869" s="520"/>
      <c r="L869" s="523"/>
      <c r="M869" s="520"/>
      <c r="N869" s="523"/>
      <c r="O869" s="520"/>
      <c r="P869" s="523"/>
      <c r="Q869" s="520"/>
      <c r="R869" s="167"/>
      <c r="S869" s="520"/>
      <c r="T869" s="167"/>
      <c r="U869" s="528"/>
      <c r="V869" s="522"/>
      <c r="X869" s="4"/>
    </row>
    <row r="870" spans="1:24" s="8" customFormat="1" ht="16.8">
      <c r="A870" s="521"/>
      <c r="B870" s="2"/>
      <c r="F870" s="523"/>
      <c r="G870" s="535">
        <f t="shared" ref="G870" si="1291">IF(G868="LCFF Rate",(G861*C861+G862*C862+G863*C863+G864*C864),(G866*E864))</f>
        <v>0</v>
      </c>
      <c r="H870" s="537"/>
      <c r="I870" s="535">
        <f t="shared" ref="I870" si="1292">IF(I868="LCFF Rate",(I861*C861+I862*C862+I863*C863+I864*C864),(I866*E864))</f>
        <v>0</v>
      </c>
      <c r="J870" s="537"/>
      <c r="K870" s="535">
        <f t="shared" ref="K870" si="1293">IF(K868="LCFF Rate",(K861*C861+K862*C862+K863*C863+K864*C864),(K866*E864))</f>
        <v>0</v>
      </c>
      <c r="L870" s="537"/>
      <c r="M870" s="535">
        <f t="shared" ref="M870" si="1294">IF(M868="LCFF Rate",(M861*C861+M862*C862+M863*C863+M864*C864),(M866*E864))</f>
        <v>0</v>
      </c>
      <c r="N870" s="537"/>
      <c r="O870" s="535">
        <f t="shared" ref="O870" si="1295">IF(O868="LCFF Rate",(O861*C861+O862*C862+O863*C863+O864*C864),(O866*E864))</f>
        <v>0</v>
      </c>
      <c r="P870" s="537"/>
      <c r="Q870" s="535">
        <f t="shared" ref="Q870" si="1296">IF(Q868="LCFF Rate",(Q861*C861+Q862*C862+Q863*C863+Q864*C864),(Q866*E864))</f>
        <v>0</v>
      </c>
      <c r="R870" s="167"/>
      <c r="S870" s="538">
        <f t="shared" ref="S870" si="1297">SUM(G870:Q870)</f>
        <v>0</v>
      </c>
      <c r="T870" s="167"/>
      <c r="U870" s="528"/>
      <c r="V870" s="522"/>
      <c r="X870" s="979"/>
    </row>
    <row r="871" spans="1:24" s="8" customFormat="1" ht="9" customHeight="1" thickBot="1">
      <c r="A871" s="529"/>
      <c r="B871" s="530"/>
      <c r="C871" s="531"/>
      <c r="D871" s="532"/>
      <c r="E871" s="533"/>
      <c r="F871" s="532"/>
      <c r="G871" s="530"/>
      <c r="H871" s="532"/>
      <c r="I871" s="530"/>
      <c r="J871" s="532"/>
      <c r="K871" s="530"/>
      <c r="L871" s="532"/>
      <c r="M871" s="530"/>
      <c r="N871" s="532"/>
      <c r="O871" s="530"/>
      <c r="P871" s="532"/>
      <c r="Q871" s="530"/>
      <c r="R871" s="532"/>
      <c r="S871" s="530"/>
      <c r="T871" s="532"/>
      <c r="U871" s="532"/>
      <c r="V871" s="534"/>
      <c r="X871" s="4"/>
    </row>
    <row r="872" spans="1:24" s="82" customFormat="1" ht="18" customHeight="1" thickBot="1">
      <c r="A872" s="890">
        <f>+A859+1</f>
        <v>67</v>
      </c>
      <c r="B872" s="891" t="str">
        <f>'Data Entry'!$B$3&amp;"-"&amp;C872</f>
        <v>-</v>
      </c>
      <c r="C872" s="891" t="str">
        <f>IFERROR(VLOOKUP('Data Entry'!$B$3&amp;"-"&amp;A872,'PY1 TFR ADA'!$D:$AT,2,FALSE),"")</f>
        <v/>
      </c>
      <c r="D872" s="892" t="str">
        <f>IFERROR(VLOOKUP('Data Entry'!$B$3&amp;"-"&amp;A872,'PY1 TFR ADA'!$D:$AT,4,FALSE),"")</f>
        <v/>
      </c>
      <c r="E872" s="893"/>
      <c r="F872" s="893"/>
      <c r="G872" s="893"/>
      <c r="H872" s="893"/>
      <c r="I872" s="893"/>
      <c r="J872" s="893"/>
      <c r="K872" s="893"/>
      <c r="L872" s="893"/>
      <c r="M872" s="893"/>
      <c r="N872" s="893"/>
      <c r="O872" s="893"/>
      <c r="P872" s="893"/>
      <c r="Q872" s="893"/>
      <c r="R872" s="893"/>
      <c r="S872" s="893"/>
      <c r="T872" s="893"/>
      <c r="U872" s="893"/>
      <c r="V872" s="894"/>
      <c r="X872" s="83"/>
    </row>
    <row r="873" spans="1:24" ht="75" customHeight="1">
      <c r="A873" s="521"/>
      <c r="C873" s="540" t="s">
        <v>1315</v>
      </c>
      <c r="D873" s="512"/>
      <c r="E873" s="540" t="s">
        <v>1316</v>
      </c>
      <c r="F873" s="512"/>
      <c r="G873" s="540" t="s">
        <v>1309</v>
      </c>
      <c r="H873" s="512"/>
      <c r="I873" s="540" t="s">
        <v>1310</v>
      </c>
      <c r="J873" s="512"/>
      <c r="K873" s="540" t="s">
        <v>1311</v>
      </c>
      <c r="L873" s="512"/>
      <c r="M873" s="540" t="s">
        <v>1312</v>
      </c>
      <c r="N873" s="512"/>
      <c r="O873" s="540" t="s">
        <v>1313</v>
      </c>
      <c r="P873" s="512"/>
      <c r="Q873" s="540" t="s">
        <v>1314</v>
      </c>
      <c r="R873" s="167"/>
      <c r="S873" s="540" t="s">
        <v>1308</v>
      </c>
      <c r="T873" s="167"/>
      <c r="U873" s="512" t="s">
        <v>1307</v>
      </c>
      <c r="V873" s="524"/>
      <c r="X873" s="283"/>
    </row>
    <row r="874" spans="1:24" s="8" customFormat="1" ht="14.4">
      <c r="A874" s="521"/>
      <c r="B874" s="510" t="s">
        <v>94</v>
      </c>
      <c r="C874" s="525">
        <f>IFERROR(VLOOKUP($B872,'PY1 TFR ADA'!$F:$AU,MATCH("A-1.1",'PY1 TFR ADA'!$F$5:$AU$5,0),FALSE),0)</f>
        <v>0</v>
      </c>
      <c r="D874" s="167"/>
      <c r="E874" s="525">
        <f>IFERROR(VALUE(VLOOKUP($B872,'PY1 TFR ADA'!$F:$AU,MATCH("A-2.1",'PY1 TFR ADA'!$F$5:$AU$5,0),FALSE)),0)</f>
        <v>0</v>
      </c>
      <c r="F874" s="167"/>
      <c r="G874" s="609">
        <f>IFERROR(VLOOKUP($B872,'PY1 TFR ADA'!$F:$AU,MATCH("b-1.1",'PY1 TFR ADA'!$F$5:$AU$5,0),FALSE),0)</f>
        <v>0</v>
      </c>
      <c r="H874" s="527"/>
      <c r="I874" s="609">
        <f>IFERROR(VLOOKUP($B872,'PY1 TFR ADA'!$F:$AU,MATCH("b-2.1",'PY1 TFR ADA'!$F$5:$AU$5,0),FALSE),0)</f>
        <v>0</v>
      </c>
      <c r="J874" s="527"/>
      <c r="K874" s="609">
        <f>IFERROR(VLOOKUP($B872,'PY1 TFR ADA'!$F:$AU,MATCH("b-3.1",'PY1 TFR ADA'!$F$5:$AU$5,0),FALSE),0)</f>
        <v>0</v>
      </c>
      <c r="L874" s="527"/>
      <c r="M874" s="609">
        <f>IFERROR(VLOOKUP($B872,'PY1 TFR ADA'!$F:$AU,MATCH("b-4.1",'PY1 TFR ADA'!$F$5:$AU$5,0),FALSE),0)</f>
        <v>0</v>
      </c>
      <c r="N874" s="527"/>
      <c r="O874" s="609">
        <f>IFERROR(VLOOKUP($B872,'PY1 TFR ADA'!$F:$AU,MATCH("b-5.1",'PY1 TFR ADA'!$F$5:$AU$5,0),FALSE),0)</f>
        <v>0</v>
      </c>
      <c r="P874" s="527"/>
      <c r="Q874" s="609">
        <f>IFERROR(VLOOKUP($B872,'PY1 TFR ADA'!$F:$AU,MATCH("b-6.1",'PY1 TFR ADA'!$F$5:$AU$5,0),FALSE),0)</f>
        <v>0</v>
      </c>
      <c r="R874" s="551"/>
      <c r="S874" s="601">
        <f t="shared" ref="S874:S877" si="1298">SUM(G874:Q874)</f>
        <v>0</v>
      </c>
      <c r="T874" s="551"/>
      <c r="U874" s="536">
        <f t="shared" ref="U874" si="1299">ROUND(IF($G881="LCFF Rate",(G874*$C874),(G874*$E874))+IF($I881="LCFF Rate",(I874*$C874),(I874*$E874))+IF($K881="LCFF Rate",(K874*$C874),(K874*$E874))+IF($M881="LCFF Rate",(M874*$C874),(M874*$E874))+IF($O881="LCFF Rate",(O874*$C874),(O874*$E874))+IF($Q881="LCFF Rate",(Q874*$C874),(Q874*$E874)),0)</f>
        <v>0</v>
      </c>
      <c r="V874" s="524"/>
      <c r="X874" s="496"/>
    </row>
    <row r="875" spans="1:24" s="8" customFormat="1" ht="14.4">
      <c r="A875" s="521"/>
      <c r="B875" s="510" t="s">
        <v>2</v>
      </c>
      <c r="C875" s="525">
        <f>IFERROR(VLOOKUP($B872,'PY1 TFR ADA'!$F:$AU,MATCH("A-1.2",'PY1 TFR ADA'!$F$5:$AU$5,0),FALSE),0)</f>
        <v>0</v>
      </c>
      <c r="D875" s="167"/>
      <c r="E875" s="525">
        <f>IFERROR(VALUE(VLOOKUP($B872,'PY1 TFR ADA'!$F:$AU,MATCH("A-2.2",'PY1 TFR ADA'!$F$5:$AU$5,0),FALSE)),0)</f>
        <v>0</v>
      </c>
      <c r="F875" s="167"/>
      <c r="G875" s="609">
        <f>IFERROR(VLOOKUP($B872,'PY1 TFR ADA'!$F:$AU,MATCH("b-1.2",'PY1 TFR ADA'!$F$5:$AU$5,0),FALSE),0)</f>
        <v>0</v>
      </c>
      <c r="H875" s="527"/>
      <c r="I875" s="609">
        <f>IFERROR(VLOOKUP($B872,'PY1 TFR ADA'!$F:$AU,MATCH("b-2.2",'PY1 TFR ADA'!$F$5:$AU$5,0),FALSE),0)</f>
        <v>0</v>
      </c>
      <c r="J875" s="527"/>
      <c r="K875" s="609">
        <f>IFERROR(VLOOKUP($B872,'PY1 TFR ADA'!$F:$AU,MATCH("b-3.2",'PY1 TFR ADA'!$F$5:$AU$5,0),FALSE),0)</f>
        <v>0</v>
      </c>
      <c r="L875" s="527"/>
      <c r="M875" s="609">
        <f>IFERROR(VLOOKUP($B872,'PY1 TFR ADA'!$F:$AU,MATCH("b-4.2",'PY1 TFR ADA'!$F$5:$AU$5,0),FALSE),0)</f>
        <v>0</v>
      </c>
      <c r="N875" s="527"/>
      <c r="O875" s="609">
        <f>IFERROR(VLOOKUP($B872,'PY1 TFR ADA'!$F:$AU,MATCH("b-5.2",'PY1 TFR ADA'!$F$5:$AU$5,0),FALSE),0)</f>
        <v>0</v>
      </c>
      <c r="P875" s="527"/>
      <c r="Q875" s="609">
        <f>IFERROR(VLOOKUP($B872,'PY1 TFR ADA'!$F:$AU,MATCH("b-6.2",'PY1 TFR ADA'!$F$5:$AU$5,0),FALSE),0)</f>
        <v>0</v>
      </c>
      <c r="R875" s="551"/>
      <c r="S875" s="601">
        <f t="shared" si="1298"/>
        <v>0</v>
      </c>
      <c r="T875" s="551"/>
      <c r="U875" s="536">
        <f t="shared" ref="U875" si="1300">ROUND(IF($G881="LCFF Rate",(G875*$C875),(G875*$E875))+IF($I881="LCFF Rate",(I875*$C875),(I875*$E875))+IF($K881="LCFF Rate",(K875*$C875),(K875*$E875))+IF($M881="LCFF Rate",(M875*$C875),(M875*$E875))+IF($O881="LCFF Rate",(O875*$C875),(O875*$E875))+IF($Q881="LCFF Rate",(Q875*$C875),(Q875*$E875)),0)</f>
        <v>0</v>
      </c>
      <c r="V875" s="524"/>
      <c r="X875" s="4"/>
    </row>
    <row r="876" spans="1:24" s="8" customFormat="1" ht="14.4">
      <c r="A876" s="521"/>
      <c r="B876" s="510" t="s">
        <v>3</v>
      </c>
      <c r="C876" s="525">
        <f>IFERROR(VLOOKUP($B872,'PY1 TFR ADA'!$F:$AU,MATCH("A-1.3",'PY1 TFR ADA'!$F$5:$AU$5,0),FALSE),0)</f>
        <v>0</v>
      </c>
      <c r="D876" s="167"/>
      <c r="E876" s="525">
        <f>IFERROR(VALUE(VLOOKUP($B872,'PY1 TFR ADA'!$F:$AU,MATCH("A-2.3",'PY1 TFR ADA'!$F$5:$AU$5,0),FALSE)),0)</f>
        <v>0</v>
      </c>
      <c r="F876" s="167"/>
      <c r="G876" s="609">
        <f>IFERROR(VLOOKUP($B872,'PY1 TFR ADA'!$F:$AU,MATCH("b-1.3",'PY1 TFR ADA'!$F$5:$AU$5,0),FALSE),0)</f>
        <v>0</v>
      </c>
      <c r="H876" s="527"/>
      <c r="I876" s="609">
        <f>IFERROR(VLOOKUP($B872,'PY1 TFR ADA'!$F:$AU,MATCH("b-2.3",'PY1 TFR ADA'!$F$5:$AU$5,0),FALSE),0)</f>
        <v>0</v>
      </c>
      <c r="J876" s="527"/>
      <c r="K876" s="609">
        <f>IFERROR(VLOOKUP($B872,'PY1 TFR ADA'!$F:$AU,MATCH("b-3.3",'PY1 TFR ADA'!$F$5:$AU$5,0),FALSE),0)</f>
        <v>0</v>
      </c>
      <c r="L876" s="527"/>
      <c r="M876" s="609">
        <f>IFERROR(VLOOKUP($B872,'PY1 TFR ADA'!$F:$AU,MATCH("b-4.3",'PY1 TFR ADA'!$F$5:$AU$5,0),FALSE),0)</f>
        <v>0</v>
      </c>
      <c r="N876" s="527"/>
      <c r="O876" s="609">
        <f>IFERROR(VLOOKUP($B872,'PY1 TFR ADA'!$F:$AU,MATCH("b-5.3",'PY1 TFR ADA'!$F$5:$AU$5,0),FALSE),0)</f>
        <v>0</v>
      </c>
      <c r="P876" s="527"/>
      <c r="Q876" s="609">
        <f>IFERROR(VLOOKUP($B872,'PY1 TFR ADA'!$F:$AU,MATCH("b-6.3",'PY1 TFR ADA'!$F$5:$AU$5,0),FALSE),0)</f>
        <v>0</v>
      </c>
      <c r="R876" s="551"/>
      <c r="S876" s="601">
        <f t="shared" si="1298"/>
        <v>0</v>
      </c>
      <c r="T876" s="551"/>
      <c r="U876" s="536">
        <f t="shared" ref="U876" si="1301">ROUND(IF($G881="LCFF Rate",(G876*$C876),(G876*$E876))+IF($I881="LCFF Rate",(I876*$C876),(I876*$E876))+IF($K881="LCFF Rate",(K876*$C876),(K876*$E876))+IF($M881="LCFF Rate",(M876*$C876),(M876*$E876))+IF($O881="LCFF Rate",(O876*$C876),(O876*$E876))+IF($Q881="LCFF Rate",(Q876*$C876),(Q876*$E876)),0)</f>
        <v>0</v>
      </c>
      <c r="V876" s="524"/>
      <c r="X876" s="4"/>
    </row>
    <row r="877" spans="1:24" s="8" customFormat="1" ht="14.4">
      <c r="A877" s="526"/>
      <c r="B877" s="510" t="s">
        <v>4</v>
      </c>
      <c r="C877" s="525">
        <f>IFERROR(VLOOKUP($B872,'PY1 TFR ADA'!$F:$AU,MATCH("A-1.4",'PY1 TFR ADA'!$F$5:$AU$5,0),FALSE),0)</f>
        <v>0</v>
      </c>
      <c r="D877" s="523"/>
      <c r="E877" s="525">
        <f>IFERROR(VALUE(VLOOKUP($B872,'PY1 TFR ADA'!$F:$AU,MATCH("A-2.4",'PY1 TFR ADA'!$F$5:$AU$5,0),FALSE)),0)</f>
        <v>0</v>
      </c>
      <c r="F877" s="523"/>
      <c r="G877" s="609">
        <f>IFERROR(VLOOKUP($B872,'PY1 TFR ADA'!$F:$AU,MATCH("b-1.4",'PY1 TFR ADA'!$F$5:$AU$5,0),FALSE),0)</f>
        <v>0</v>
      </c>
      <c r="H877" s="527"/>
      <c r="I877" s="609">
        <f>IFERROR(VLOOKUP($B872,'PY1 TFR ADA'!$F:$AU,MATCH("b-2.4",'PY1 TFR ADA'!$F$5:$AU$5,0),FALSE),0)</f>
        <v>0</v>
      </c>
      <c r="J877" s="527"/>
      <c r="K877" s="609">
        <f>IFERROR(VLOOKUP($B872,'PY1 TFR ADA'!$F:$AU,MATCH("b-3.4",'PY1 TFR ADA'!$F$5:$AU$5,0),FALSE),0)</f>
        <v>0</v>
      </c>
      <c r="L877" s="527"/>
      <c r="M877" s="609">
        <f>IFERROR(VLOOKUP($B872,'PY1 TFR ADA'!$F:$AU,MATCH("b-4.4",'PY1 TFR ADA'!$F$5:$AU$5,0),FALSE),0)</f>
        <v>0</v>
      </c>
      <c r="N877" s="527"/>
      <c r="O877" s="609">
        <f>IFERROR(VLOOKUP($B872,'PY1 TFR ADA'!$F:$AU,MATCH("b-5.4",'PY1 TFR ADA'!$F$5:$AU$5,0),FALSE),0)</f>
        <v>0</v>
      </c>
      <c r="P877" s="527"/>
      <c r="Q877" s="609">
        <f>IFERROR(VLOOKUP($B872,'PY1 TFR ADA'!$F:$AU,MATCH("b-6.4",'PY1 TFR ADA'!$F$5:$AU$5,0),FALSE),0)</f>
        <v>0</v>
      </c>
      <c r="R877" s="551"/>
      <c r="S877" s="601">
        <f t="shared" si="1298"/>
        <v>0</v>
      </c>
      <c r="T877" s="551"/>
      <c r="U877" s="536">
        <f t="shared" ref="U877" si="1302">ROUND(IF($G881="LCFF Rate",(G877*$C877),(G877*$E877))+IF($I881="LCFF Rate",(I877*$C877),(I877*$E877))+IF($K881="LCFF Rate",(K877*$C877),(K877*$E877))+IF($M881="LCFF Rate",(M877*$C877),(M877*$E877))+IF($O881="LCFF Rate",(O877*$C877),(O877*$E877))+IF($Q881="LCFF Rate",(Q877*$C877),(Q877*$E877)),0)</f>
        <v>0</v>
      </c>
      <c r="V877" s="522"/>
      <c r="X877" s="496"/>
    </row>
    <row r="878" spans="1:24" s="8" customFormat="1" ht="8.25" customHeight="1">
      <c r="A878" s="521"/>
      <c r="B878" s="167"/>
      <c r="C878" s="165"/>
      <c r="D878" s="523"/>
      <c r="E878" s="165"/>
      <c r="F878" s="523"/>
      <c r="G878" s="520"/>
      <c r="H878" s="523"/>
      <c r="I878" s="520"/>
      <c r="J878" s="523"/>
      <c r="K878" s="520"/>
      <c r="L878" s="523"/>
      <c r="M878" s="520"/>
      <c r="N878" s="523"/>
      <c r="O878" s="520"/>
      <c r="P878" s="523"/>
      <c r="Q878" s="520"/>
      <c r="R878" s="167"/>
      <c r="S878" s="520"/>
      <c r="T878" s="167"/>
      <c r="U878" s="602"/>
      <c r="V878" s="522"/>
      <c r="X878" s="4"/>
    </row>
    <row r="879" spans="1:24" s="8" customFormat="1" ht="14.4">
      <c r="A879" s="521"/>
      <c r="B879" s="167"/>
      <c r="C879" s="165"/>
      <c r="D879" s="523"/>
      <c r="E879" s="513" t="s">
        <v>1317</v>
      </c>
      <c r="F879" s="523"/>
      <c r="G879" s="601">
        <f t="shared" ref="G879" si="1303">SUM(G874:G877)</f>
        <v>0</v>
      </c>
      <c r="H879" s="527"/>
      <c r="I879" s="601">
        <f t="shared" ref="I879" si="1304">SUM(I874:I877)</f>
        <v>0</v>
      </c>
      <c r="J879" s="527"/>
      <c r="K879" s="601">
        <f t="shared" ref="K879" si="1305">SUM(K874:K877)</f>
        <v>0</v>
      </c>
      <c r="L879" s="527"/>
      <c r="M879" s="601">
        <f t="shared" ref="M879" si="1306">SUM(M874:M877)</f>
        <v>0</v>
      </c>
      <c r="N879" s="527"/>
      <c r="O879" s="601">
        <f t="shared" ref="O879" si="1307">SUM(O874:O877)</f>
        <v>0</v>
      </c>
      <c r="P879" s="527"/>
      <c r="Q879" s="601">
        <f t="shared" ref="Q879" si="1308">SUM(Q874:Q877)</f>
        <v>0</v>
      </c>
      <c r="R879" s="527"/>
      <c r="S879" s="601">
        <f t="shared" ref="S879" si="1309">SUM(S874:S877)</f>
        <v>0</v>
      </c>
      <c r="T879" s="527"/>
      <c r="U879" s="536">
        <f t="shared" ref="U879" si="1310">SUM(U874:U877)</f>
        <v>0</v>
      </c>
      <c r="V879" s="522"/>
      <c r="X879" s="4"/>
    </row>
    <row r="880" spans="1:24" s="8" customFormat="1" ht="8.25" customHeight="1">
      <c r="A880" s="521"/>
      <c r="B880" s="167"/>
      <c r="C880" s="165"/>
      <c r="D880" s="523"/>
      <c r="E880" s="165"/>
      <c r="F880" s="523"/>
      <c r="G880" s="520"/>
      <c r="H880" s="523"/>
      <c r="I880" s="520"/>
      <c r="J880" s="523"/>
      <c r="K880" s="520"/>
      <c r="L880" s="523"/>
      <c r="M880" s="520"/>
      <c r="N880" s="523"/>
      <c r="O880" s="520"/>
      <c r="P880" s="523"/>
      <c r="Q880" s="520"/>
      <c r="R880" s="167"/>
      <c r="S880" s="520"/>
      <c r="T880" s="167"/>
      <c r="U880" s="528"/>
      <c r="V880" s="522"/>
      <c r="X880" s="4"/>
    </row>
    <row r="881" spans="1:24" s="8" customFormat="1" ht="16.5" customHeight="1">
      <c r="A881" s="521"/>
      <c r="B881" s="167"/>
      <c r="C881" s="165"/>
      <c r="E881" s="513" t="s">
        <v>1304</v>
      </c>
      <c r="F881" s="523"/>
      <c r="G881" s="977">
        <f>_xlfn.IFNA(IF(VLOOKUP($B872,'PY1 TFR ADA'!$F:$AU,MATCH("B-1.5",'PY1 TFR ADA'!$F$5:$AU$5,0),FALSE)=TRUE,IF(VLOOKUP($B872,'PY1 TFR ADA'!$F:$AU,MATCH("C-1",'PY1 TFR ADA'!$F$5:$AU$5,0),FALSE)=TRUE,"Alternative Rate","LCFF Rate"),"LCFF Rate"),0)</f>
        <v>0</v>
      </c>
      <c r="H881" s="523"/>
      <c r="I881" s="977">
        <f>_xlfn.IFNA(IF(VLOOKUP($B872,'PY1 TFR ADA'!$F:$AU,MATCH("B-2.5",'PY1 TFR ADA'!$F$5:$AU$5,0),FALSE)=TRUE,IF(VLOOKUP($B872,'PY1 TFR ADA'!$F:$AU,MATCH("C-1",'PY1 TFR ADA'!$F$5:$AU$5,0),FALSE)=TRUE,"Alternative Rate","LCFF Rate"),"LCFF Rate"),0)</f>
        <v>0</v>
      </c>
      <c r="J881" s="523"/>
      <c r="K881" s="977">
        <f>_xlfn.IFNA(IF(VLOOKUP($B872,'PY1 TFR ADA'!$F:$AU,MATCH("B-3.5",'PY1 TFR ADA'!$F$5:$AU$5,0),FALSE)=TRUE,IF(VLOOKUP($B872,'PY1 TFR ADA'!$F:$AU,MATCH("C-1",'PY1 TFR ADA'!$F$5:$AU$5,0),FALSE)=TRUE,"Alternative Rate","LCFF Rate"),"LCFF Rate"),0)</f>
        <v>0</v>
      </c>
      <c r="L881" s="523"/>
      <c r="M881" s="977">
        <f>_xlfn.IFNA(IF(VLOOKUP($B872,'PY1 TFR ADA'!$F:$AU,MATCH("B-4.5",'PY1 TFR ADA'!$F$5:$AU$5,0),FALSE)=TRUE,IF(VLOOKUP($B872,'PY1 TFR ADA'!$F:$AU,MATCH("C-1",'PY1 TFR ADA'!$F$5:$AU$5,0),FALSE)=TRUE,"Alternative Rate","LCFF Rate"),"LCFF Rate"),0)</f>
        <v>0</v>
      </c>
      <c r="N881" s="523"/>
      <c r="O881" s="977">
        <f>_xlfn.IFNA(IF(VLOOKUP($B872,'PY1 TFR ADA'!$F:$AU,MATCH("B-5.5",'PY1 TFR ADA'!$F$5:$AU$5,0),FALSE)=TRUE,IF(VLOOKUP($B872,'PY1 TFR ADA'!$F:$AU,MATCH("C-1",'PY1 TFR ADA'!$F$5:$AU$5,0),FALSE)=TRUE,"Alternative Rate","LCFF Rate"),"LCFF Rate"),0)</f>
        <v>0</v>
      </c>
      <c r="P881" s="523"/>
      <c r="Q881" s="977">
        <f>_xlfn.IFNA(IF(VLOOKUP($B872,'PY1 TFR ADA'!$F:$AU,MATCH("B-6.5",'PY1 TFR ADA'!$F$5:$AU$5,0),FALSE)=TRUE,IF(VLOOKUP($B872,'PY1 TFR ADA'!$F:$AU,MATCH("C-1",'PY1 TFR ADA'!$F$5:$AU$5,0),FALSE)=TRUE,"Alternative Rate","LCFF Rate"),"LCFF Rate"),0)</f>
        <v>0</v>
      </c>
      <c r="R881" s="167"/>
      <c r="S881" s="520"/>
      <c r="T881" s="167"/>
      <c r="U881" s="528"/>
      <c r="V881" s="522"/>
      <c r="X881" s="283"/>
    </row>
    <row r="882" spans="1:24" s="8" customFormat="1" ht="8.25" customHeight="1">
      <c r="A882" s="521"/>
      <c r="B882" s="167"/>
      <c r="C882" s="165"/>
      <c r="D882" s="523"/>
      <c r="E882" s="165"/>
      <c r="F882" s="523"/>
      <c r="G882" s="520"/>
      <c r="H882" s="523"/>
      <c r="I882" s="520"/>
      <c r="J882" s="523"/>
      <c r="K882" s="520"/>
      <c r="L882" s="523"/>
      <c r="M882" s="520"/>
      <c r="N882" s="523"/>
      <c r="O882" s="520"/>
      <c r="P882" s="523"/>
      <c r="Q882" s="520"/>
      <c r="R882" s="167"/>
      <c r="S882" s="520"/>
      <c r="T882" s="167"/>
      <c r="U882" s="528"/>
      <c r="V882" s="522"/>
      <c r="X882" s="4"/>
    </row>
    <row r="883" spans="1:24" s="8" customFormat="1" ht="16.8">
      <c r="A883" s="521"/>
      <c r="B883" s="2"/>
      <c r="F883" s="523"/>
      <c r="G883" s="535">
        <f t="shared" ref="G883" si="1311">IF(G881="LCFF Rate",(G874*C874+G875*C875+G876*C876+G877*C877),(G879*E877))</f>
        <v>0</v>
      </c>
      <c r="H883" s="537"/>
      <c r="I883" s="535">
        <f t="shared" ref="I883" si="1312">IF(I881="LCFF Rate",(I874*C874+I875*C875+I876*C876+I877*C877),(I879*E877))</f>
        <v>0</v>
      </c>
      <c r="J883" s="537"/>
      <c r="K883" s="535">
        <f t="shared" ref="K883" si="1313">IF(K881="LCFF Rate",(K874*C874+K875*C875+K876*C876+K877*C877),(K879*E877))</f>
        <v>0</v>
      </c>
      <c r="L883" s="537"/>
      <c r="M883" s="535">
        <f t="shared" ref="M883" si="1314">IF(M881="LCFF Rate",(M874*C874+M875*C875+M876*C876+M877*C877),(M879*E877))</f>
        <v>0</v>
      </c>
      <c r="N883" s="537"/>
      <c r="O883" s="535">
        <f t="shared" ref="O883" si="1315">IF(O881="LCFF Rate",(O874*C874+O875*C875+O876*C876+O877*C877),(O879*E877))</f>
        <v>0</v>
      </c>
      <c r="P883" s="537"/>
      <c r="Q883" s="535">
        <f t="shared" ref="Q883" si="1316">IF(Q881="LCFF Rate",(Q874*C874+Q875*C875+Q876*C876+Q877*C877),(Q879*E877))</f>
        <v>0</v>
      </c>
      <c r="R883" s="167"/>
      <c r="S883" s="538">
        <f t="shared" ref="S883" si="1317">SUM(G883:Q883)</f>
        <v>0</v>
      </c>
      <c r="T883" s="167"/>
      <c r="U883" s="528"/>
      <c r="V883" s="522"/>
      <c r="X883" s="979"/>
    </row>
    <row r="884" spans="1:24" s="8" customFormat="1" ht="9" customHeight="1" thickBot="1">
      <c r="A884" s="529"/>
      <c r="B884" s="530"/>
      <c r="C884" s="531"/>
      <c r="D884" s="532"/>
      <c r="E884" s="533"/>
      <c r="F884" s="532"/>
      <c r="G884" s="530"/>
      <c r="H884" s="532"/>
      <c r="I884" s="530"/>
      <c r="J884" s="532"/>
      <c r="K884" s="530"/>
      <c r="L884" s="532"/>
      <c r="M884" s="530"/>
      <c r="N884" s="532"/>
      <c r="O884" s="530"/>
      <c r="P884" s="532"/>
      <c r="Q884" s="530"/>
      <c r="R884" s="532"/>
      <c r="S884" s="530"/>
      <c r="T884" s="532"/>
      <c r="U884" s="532"/>
      <c r="V884" s="534"/>
      <c r="X884" s="4"/>
    </row>
    <row r="885" spans="1:24" s="82" customFormat="1" ht="18" customHeight="1" thickBot="1">
      <c r="A885" s="890">
        <f>+A872+1</f>
        <v>68</v>
      </c>
      <c r="B885" s="891" t="str">
        <f>'Data Entry'!$B$3&amp;"-"&amp;C885</f>
        <v>-</v>
      </c>
      <c r="C885" s="891" t="str">
        <f>IFERROR(VLOOKUP('Data Entry'!$B$3&amp;"-"&amp;A885,'PY1 TFR ADA'!$D:$AT,2,FALSE),"")</f>
        <v/>
      </c>
      <c r="D885" s="892" t="str">
        <f>IFERROR(VLOOKUP('Data Entry'!$B$3&amp;"-"&amp;A885,'PY1 TFR ADA'!$D:$AT,4,FALSE),"")</f>
        <v/>
      </c>
      <c r="E885" s="893"/>
      <c r="F885" s="893"/>
      <c r="G885" s="893"/>
      <c r="H885" s="893"/>
      <c r="I885" s="893"/>
      <c r="J885" s="893"/>
      <c r="K885" s="893"/>
      <c r="L885" s="893"/>
      <c r="M885" s="893"/>
      <c r="N885" s="893"/>
      <c r="O885" s="893"/>
      <c r="P885" s="893"/>
      <c r="Q885" s="893"/>
      <c r="R885" s="893"/>
      <c r="S885" s="893"/>
      <c r="T885" s="893"/>
      <c r="U885" s="893"/>
      <c r="V885" s="894"/>
      <c r="X885" s="83"/>
    </row>
    <row r="886" spans="1:24" ht="75" customHeight="1">
      <c r="A886" s="521"/>
      <c r="C886" s="540" t="s">
        <v>1315</v>
      </c>
      <c r="D886" s="512"/>
      <c r="E886" s="540" t="s">
        <v>1316</v>
      </c>
      <c r="F886" s="512"/>
      <c r="G886" s="540" t="s">
        <v>1309</v>
      </c>
      <c r="H886" s="512"/>
      <c r="I886" s="540" t="s">
        <v>1310</v>
      </c>
      <c r="J886" s="512"/>
      <c r="K886" s="540" t="s">
        <v>1311</v>
      </c>
      <c r="L886" s="512"/>
      <c r="M886" s="540" t="s">
        <v>1312</v>
      </c>
      <c r="N886" s="512"/>
      <c r="O886" s="540" t="s">
        <v>1313</v>
      </c>
      <c r="P886" s="512"/>
      <c r="Q886" s="540" t="s">
        <v>1314</v>
      </c>
      <c r="R886" s="167"/>
      <c r="S886" s="540" t="s">
        <v>1308</v>
      </c>
      <c r="T886" s="167"/>
      <c r="U886" s="512" t="s">
        <v>1307</v>
      </c>
      <c r="V886" s="524"/>
      <c r="X886" s="283"/>
    </row>
    <row r="887" spans="1:24" s="8" customFormat="1" ht="14.4">
      <c r="A887" s="521"/>
      <c r="B887" s="510" t="s">
        <v>94</v>
      </c>
      <c r="C887" s="525">
        <f>IFERROR(VLOOKUP($B885,'PY1 TFR ADA'!$F:$AU,MATCH("A-1.1",'PY1 TFR ADA'!$F$5:$AU$5,0),FALSE),0)</f>
        <v>0</v>
      </c>
      <c r="D887" s="167"/>
      <c r="E887" s="525">
        <f>IFERROR(VALUE(VLOOKUP($B885,'PY1 TFR ADA'!$F:$AU,MATCH("A-2.1",'PY1 TFR ADA'!$F$5:$AU$5,0),FALSE)),0)</f>
        <v>0</v>
      </c>
      <c r="F887" s="167"/>
      <c r="G887" s="609">
        <f>IFERROR(VLOOKUP($B885,'PY1 TFR ADA'!$F:$AU,MATCH("b-1.1",'PY1 TFR ADA'!$F$5:$AU$5,0),FALSE),0)</f>
        <v>0</v>
      </c>
      <c r="H887" s="527"/>
      <c r="I887" s="609">
        <f>IFERROR(VLOOKUP($B885,'PY1 TFR ADA'!$F:$AU,MATCH("b-2.1",'PY1 TFR ADA'!$F$5:$AU$5,0),FALSE),0)</f>
        <v>0</v>
      </c>
      <c r="J887" s="527"/>
      <c r="K887" s="609">
        <f>IFERROR(VLOOKUP($B885,'PY1 TFR ADA'!$F:$AU,MATCH("b-3.1",'PY1 TFR ADA'!$F$5:$AU$5,0),FALSE),0)</f>
        <v>0</v>
      </c>
      <c r="L887" s="527"/>
      <c r="M887" s="609">
        <f>IFERROR(VLOOKUP($B885,'PY1 TFR ADA'!$F:$AU,MATCH("b-4.1",'PY1 TFR ADA'!$F$5:$AU$5,0),FALSE),0)</f>
        <v>0</v>
      </c>
      <c r="N887" s="527"/>
      <c r="O887" s="609">
        <f>IFERROR(VLOOKUP($B885,'PY1 TFR ADA'!$F:$AU,MATCH("b-5.1",'PY1 TFR ADA'!$F$5:$AU$5,0),FALSE),0)</f>
        <v>0</v>
      </c>
      <c r="P887" s="527"/>
      <c r="Q887" s="609">
        <f>IFERROR(VLOOKUP($B885,'PY1 TFR ADA'!$F:$AU,MATCH("b-6.1",'PY1 TFR ADA'!$F$5:$AU$5,0),FALSE),0)</f>
        <v>0</v>
      </c>
      <c r="R887" s="551"/>
      <c r="S887" s="601">
        <f t="shared" ref="S887:S890" si="1318">SUM(G887:Q887)</f>
        <v>0</v>
      </c>
      <c r="T887" s="551"/>
      <c r="U887" s="536">
        <f t="shared" ref="U887" si="1319">ROUND(IF($G894="LCFF Rate",(G887*$C887),(G887*$E887))+IF($I894="LCFF Rate",(I887*$C887),(I887*$E887))+IF($K894="LCFF Rate",(K887*$C887),(K887*$E887))+IF($M894="LCFF Rate",(M887*$C887),(M887*$E887))+IF($O894="LCFF Rate",(O887*$C887),(O887*$E887))+IF($Q894="LCFF Rate",(Q887*$C887),(Q887*$E887)),0)</f>
        <v>0</v>
      </c>
      <c r="V887" s="524"/>
      <c r="X887" s="496"/>
    </row>
    <row r="888" spans="1:24" s="8" customFormat="1" ht="14.4">
      <c r="A888" s="521"/>
      <c r="B888" s="510" t="s">
        <v>2</v>
      </c>
      <c r="C888" s="525">
        <f>IFERROR(VLOOKUP($B885,'PY1 TFR ADA'!$F:$AU,MATCH("A-1.2",'PY1 TFR ADA'!$F$5:$AU$5,0),FALSE),0)</f>
        <v>0</v>
      </c>
      <c r="D888" s="167"/>
      <c r="E888" s="525">
        <f>IFERROR(VALUE(VLOOKUP($B885,'PY1 TFR ADA'!$F:$AU,MATCH("A-2.2",'PY1 TFR ADA'!$F$5:$AU$5,0),FALSE)),0)</f>
        <v>0</v>
      </c>
      <c r="F888" s="167"/>
      <c r="G888" s="609">
        <f>IFERROR(VLOOKUP($B885,'PY1 TFR ADA'!$F:$AU,MATCH("b-1.2",'PY1 TFR ADA'!$F$5:$AU$5,0),FALSE),0)</f>
        <v>0</v>
      </c>
      <c r="H888" s="527"/>
      <c r="I888" s="609">
        <f>IFERROR(VLOOKUP($B885,'PY1 TFR ADA'!$F:$AU,MATCH("b-2.2",'PY1 TFR ADA'!$F$5:$AU$5,0),FALSE),0)</f>
        <v>0</v>
      </c>
      <c r="J888" s="527"/>
      <c r="K888" s="609">
        <f>IFERROR(VLOOKUP($B885,'PY1 TFR ADA'!$F:$AU,MATCH("b-3.2",'PY1 TFR ADA'!$F$5:$AU$5,0),FALSE),0)</f>
        <v>0</v>
      </c>
      <c r="L888" s="527"/>
      <c r="M888" s="609">
        <f>IFERROR(VLOOKUP($B885,'PY1 TFR ADA'!$F:$AU,MATCH("b-4.2",'PY1 TFR ADA'!$F$5:$AU$5,0),FALSE),0)</f>
        <v>0</v>
      </c>
      <c r="N888" s="527"/>
      <c r="O888" s="609">
        <f>IFERROR(VLOOKUP($B885,'PY1 TFR ADA'!$F:$AU,MATCH("b-5.2",'PY1 TFR ADA'!$F$5:$AU$5,0),FALSE),0)</f>
        <v>0</v>
      </c>
      <c r="P888" s="527"/>
      <c r="Q888" s="609">
        <f>IFERROR(VLOOKUP($B885,'PY1 TFR ADA'!$F:$AU,MATCH("b-6.2",'PY1 TFR ADA'!$F$5:$AU$5,0),FALSE),0)</f>
        <v>0</v>
      </c>
      <c r="R888" s="551"/>
      <c r="S888" s="601">
        <f t="shared" si="1318"/>
        <v>0</v>
      </c>
      <c r="T888" s="551"/>
      <c r="U888" s="536">
        <f t="shared" ref="U888" si="1320">ROUND(IF($G894="LCFF Rate",(G888*$C888),(G888*$E888))+IF($I894="LCFF Rate",(I888*$C888),(I888*$E888))+IF($K894="LCFF Rate",(K888*$C888),(K888*$E888))+IF($M894="LCFF Rate",(M888*$C888),(M888*$E888))+IF($O894="LCFF Rate",(O888*$C888),(O888*$E888))+IF($Q894="LCFF Rate",(Q888*$C888),(Q888*$E888)),0)</f>
        <v>0</v>
      </c>
      <c r="V888" s="524"/>
      <c r="X888" s="4"/>
    </row>
    <row r="889" spans="1:24" s="8" customFormat="1" ht="14.4">
      <c r="A889" s="521"/>
      <c r="B889" s="510" t="s">
        <v>3</v>
      </c>
      <c r="C889" s="525">
        <f>IFERROR(VLOOKUP($B885,'PY1 TFR ADA'!$F:$AU,MATCH("A-1.3",'PY1 TFR ADA'!$F$5:$AU$5,0),FALSE),0)</f>
        <v>0</v>
      </c>
      <c r="D889" s="167"/>
      <c r="E889" s="525">
        <f>IFERROR(VALUE(VLOOKUP($B885,'PY1 TFR ADA'!$F:$AU,MATCH("A-2.3",'PY1 TFR ADA'!$F$5:$AU$5,0),FALSE)),0)</f>
        <v>0</v>
      </c>
      <c r="F889" s="167"/>
      <c r="G889" s="609">
        <f>IFERROR(VLOOKUP($B885,'PY1 TFR ADA'!$F:$AU,MATCH("b-1.3",'PY1 TFR ADA'!$F$5:$AU$5,0),FALSE),0)</f>
        <v>0</v>
      </c>
      <c r="H889" s="527"/>
      <c r="I889" s="609">
        <f>IFERROR(VLOOKUP($B885,'PY1 TFR ADA'!$F:$AU,MATCH("b-2.3",'PY1 TFR ADA'!$F$5:$AU$5,0),FALSE),0)</f>
        <v>0</v>
      </c>
      <c r="J889" s="527"/>
      <c r="K889" s="609">
        <f>IFERROR(VLOOKUP($B885,'PY1 TFR ADA'!$F:$AU,MATCH("b-3.3",'PY1 TFR ADA'!$F$5:$AU$5,0),FALSE),0)</f>
        <v>0</v>
      </c>
      <c r="L889" s="527"/>
      <c r="M889" s="609">
        <f>IFERROR(VLOOKUP($B885,'PY1 TFR ADA'!$F:$AU,MATCH("b-4.3",'PY1 TFR ADA'!$F$5:$AU$5,0),FALSE),0)</f>
        <v>0</v>
      </c>
      <c r="N889" s="527"/>
      <c r="O889" s="609">
        <f>IFERROR(VLOOKUP($B885,'PY1 TFR ADA'!$F:$AU,MATCH("b-5.3",'PY1 TFR ADA'!$F$5:$AU$5,0),FALSE),0)</f>
        <v>0</v>
      </c>
      <c r="P889" s="527"/>
      <c r="Q889" s="609">
        <f>IFERROR(VLOOKUP($B885,'PY1 TFR ADA'!$F:$AU,MATCH("b-6.3",'PY1 TFR ADA'!$F$5:$AU$5,0),FALSE),0)</f>
        <v>0</v>
      </c>
      <c r="R889" s="551"/>
      <c r="S889" s="601">
        <f t="shared" si="1318"/>
        <v>0</v>
      </c>
      <c r="T889" s="551"/>
      <c r="U889" s="536">
        <f t="shared" ref="U889" si="1321">ROUND(IF($G894="LCFF Rate",(G889*$C889),(G889*$E889))+IF($I894="LCFF Rate",(I889*$C889),(I889*$E889))+IF($K894="LCFF Rate",(K889*$C889),(K889*$E889))+IF($M894="LCFF Rate",(M889*$C889),(M889*$E889))+IF($O894="LCFF Rate",(O889*$C889),(O889*$E889))+IF($Q894="LCFF Rate",(Q889*$C889),(Q889*$E889)),0)</f>
        <v>0</v>
      </c>
      <c r="V889" s="524"/>
      <c r="X889" s="4"/>
    </row>
    <row r="890" spans="1:24" s="8" customFormat="1" ht="14.4">
      <c r="A890" s="526"/>
      <c r="B890" s="510" t="s">
        <v>4</v>
      </c>
      <c r="C890" s="525">
        <f>IFERROR(VLOOKUP($B885,'PY1 TFR ADA'!$F:$AU,MATCH("A-1.4",'PY1 TFR ADA'!$F$5:$AU$5,0),FALSE),0)</f>
        <v>0</v>
      </c>
      <c r="D890" s="523"/>
      <c r="E890" s="525">
        <f>IFERROR(VALUE(VLOOKUP($B885,'PY1 TFR ADA'!$F:$AU,MATCH("A-2.4",'PY1 TFR ADA'!$F$5:$AU$5,0),FALSE)),0)</f>
        <v>0</v>
      </c>
      <c r="F890" s="523"/>
      <c r="G890" s="609">
        <f>IFERROR(VLOOKUP($B885,'PY1 TFR ADA'!$F:$AU,MATCH("b-1.4",'PY1 TFR ADA'!$F$5:$AU$5,0),FALSE),0)</f>
        <v>0</v>
      </c>
      <c r="H890" s="527"/>
      <c r="I890" s="609">
        <f>IFERROR(VLOOKUP($B885,'PY1 TFR ADA'!$F:$AU,MATCH("b-2.4",'PY1 TFR ADA'!$F$5:$AU$5,0),FALSE),0)</f>
        <v>0</v>
      </c>
      <c r="J890" s="527"/>
      <c r="K890" s="609">
        <f>IFERROR(VLOOKUP($B885,'PY1 TFR ADA'!$F:$AU,MATCH("b-3.4",'PY1 TFR ADA'!$F$5:$AU$5,0),FALSE),0)</f>
        <v>0</v>
      </c>
      <c r="L890" s="527"/>
      <c r="M890" s="609">
        <f>IFERROR(VLOOKUP($B885,'PY1 TFR ADA'!$F:$AU,MATCH("b-4.4",'PY1 TFR ADA'!$F$5:$AU$5,0),FALSE),0)</f>
        <v>0</v>
      </c>
      <c r="N890" s="527"/>
      <c r="O890" s="609">
        <f>IFERROR(VLOOKUP($B885,'PY1 TFR ADA'!$F:$AU,MATCH("b-5.4",'PY1 TFR ADA'!$F$5:$AU$5,0),FALSE),0)</f>
        <v>0</v>
      </c>
      <c r="P890" s="527"/>
      <c r="Q890" s="609">
        <f>IFERROR(VLOOKUP($B885,'PY1 TFR ADA'!$F:$AU,MATCH("b-6.4",'PY1 TFR ADA'!$F$5:$AU$5,0),FALSE),0)</f>
        <v>0</v>
      </c>
      <c r="R890" s="551"/>
      <c r="S890" s="601">
        <f t="shared" si="1318"/>
        <v>0</v>
      </c>
      <c r="T890" s="551"/>
      <c r="U890" s="536">
        <f t="shared" ref="U890" si="1322">ROUND(IF($G894="LCFF Rate",(G890*$C890),(G890*$E890))+IF($I894="LCFF Rate",(I890*$C890),(I890*$E890))+IF($K894="LCFF Rate",(K890*$C890),(K890*$E890))+IF($M894="LCFF Rate",(M890*$C890),(M890*$E890))+IF($O894="LCFF Rate",(O890*$C890),(O890*$E890))+IF($Q894="LCFF Rate",(Q890*$C890),(Q890*$E890)),0)</f>
        <v>0</v>
      </c>
      <c r="V890" s="522"/>
      <c r="X890" s="496"/>
    </row>
    <row r="891" spans="1:24" s="8" customFormat="1" ht="8.25" customHeight="1">
      <c r="A891" s="521"/>
      <c r="B891" s="167"/>
      <c r="C891" s="165"/>
      <c r="D891" s="523"/>
      <c r="E891" s="165"/>
      <c r="F891" s="523"/>
      <c r="G891" s="520"/>
      <c r="H891" s="523"/>
      <c r="I891" s="520"/>
      <c r="J891" s="523"/>
      <c r="K891" s="520"/>
      <c r="L891" s="523"/>
      <c r="M891" s="520"/>
      <c r="N891" s="523"/>
      <c r="O891" s="520"/>
      <c r="P891" s="523"/>
      <c r="Q891" s="520"/>
      <c r="R891" s="167"/>
      <c r="S891" s="520"/>
      <c r="T891" s="167"/>
      <c r="U891" s="602"/>
      <c r="V891" s="522"/>
      <c r="X891" s="4"/>
    </row>
    <row r="892" spans="1:24" s="8" customFormat="1" ht="14.4">
      <c r="A892" s="521"/>
      <c r="B892" s="167"/>
      <c r="C892" s="165"/>
      <c r="D892" s="523"/>
      <c r="E892" s="513" t="s">
        <v>1317</v>
      </c>
      <c r="F892" s="523"/>
      <c r="G892" s="601">
        <f t="shared" ref="G892" si="1323">SUM(G887:G890)</f>
        <v>0</v>
      </c>
      <c r="H892" s="527"/>
      <c r="I892" s="601">
        <f t="shared" ref="I892" si="1324">SUM(I887:I890)</f>
        <v>0</v>
      </c>
      <c r="J892" s="527"/>
      <c r="K892" s="601">
        <f t="shared" ref="K892" si="1325">SUM(K887:K890)</f>
        <v>0</v>
      </c>
      <c r="L892" s="527"/>
      <c r="M892" s="601">
        <f t="shared" ref="M892" si="1326">SUM(M887:M890)</f>
        <v>0</v>
      </c>
      <c r="N892" s="527"/>
      <c r="O892" s="601">
        <f t="shared" ref="O892" si="1327">SUM(O887:O890)</f>
        <v>0</v>
      </c>
      <c r="P892" s="527"/>
      <c r="Q892" s="601">
        <f t="shared" ref="Q892" si="1328">SUM(Q887:Q890)</f>
        <v>0</v>
      </c>
      <c r="R892" s="527"/>
      <c r="S892" s="601">
        <f t="shared" ref="S892" si="1329">SUM(S887:S890)</f>
        <v>0</v>
      </c>
      <c r="T892" s="527"/>
      <c r="U892" s="536">
        <f t="shared" ref="U892" si="1330">SUM(U887:U890)</f>
        <v>0</v>
      </c>
      <c r="V892" s="522"/>
      <c r="X892" s="4"/>
    </row>
    <row r="893" spans="1:24" s="8" customFormat="1" ht="8.25" customHeight="1">
      <c r="A893" s="521"/>
      <c r="B893" s="167"/>
      <c r="C893" s="165"/>
      <c r="D893" s="523"/>
      <c r="E893" s="165"/>
      <c r="F893" s="523"/>
      <c r="G893" s="520"/>
      <c r="H893" s="523"/>
      <c r="I893" s="520"/>
      <c r="J893" s="523"/>
      <c r="K893" s="520"/>
      <c r="L893" s="523"/>
      <c r="M893" s="520"/>
      <c r="N893" s="523"/>
      <c r="O893" s="520"/>
      <c r="P893" s="523"/>
      <c r="Q893" s="520"/>
      <c r="R893" s="167"/>
      <c r="S893" s="520"/>
      <c r="T893" s="167"/>
      <c r="U893" s="528"/>
      <c r="V893" s="522"/>
      <c r="X893" s="4"/>
    </row>
    <row r="894" spans="1:24" s="8" customFormat="1" ht="16.5" customHeight="1">
      <c r="A894" s="521"/>
      <c r="B894" s="167"/>
      <c r="C894" s="165"/>
      <c r="E894" s="513" t="s">
        <v>1304</v>
      </c>
      <c r="F894" s="523"/>
      <c r="G894" s="977">
        <f>_xlfn.IFNA(IF(VLOOKUP($B885,'PY1 TFR ADA'!$F:$AU,MATCH("B-1.5",'PY1 TFR ADA'!$F$5:$AU$5,0),FALSE)=TRUE,IF(VLOOKUP($B885,'PY1 TFR ADA'!$F:$AU,MATCH("C-1",'PY1 TFR ADA'!$F$5:$AU$5,0),FALSE)=TRUE,"Alternative Rate","LCFF Rate"),"LCFF Rate"),0)</f>
        <v>0</v>
      </c>
      <c r="H894" s="523"/>
      <c r="I894" s="977">
        <f>_xlfn.IFNA(IF(VLOOKUP($B885,'PY1 TFR ADA'!$F:$AU,MATCH("B-2.5",'PY1 TFR ADA'!$F$5:$AU$5,0),FALSE)=TRUE,IF(VLOOKUP($B885,'PY1 TFR ADA'!$F:$AU,MATCH("C-1",'PY1 TFR ADA'!$F$5:$AU$5,0),FALSE)=TRUE,"Alternative Rate","LCFF Rate"),"LCFF Rate"),0)</f>
        <v>0</v>
      </c>
      <c r="J894" s="523"/>
      <c r="K894" s="977">
        <f>_xlfn.IFNA(IF(VLOOKUP($B885,'PY1 TFR ADA'!$F:$AU,MATCH("B-3.5",'PY1 TFR ADA'!$F$5:$AU$5,0),FALSE)=TRUE,IF(VLOOKUP($B885,'PY1 TFR ADA'!$F:$AU,MATCH("C-1",'PY1 TFR ADA'!$F$5:$AU$5,0),FALSE)=TRUE,"Alternative Rate","LCFF Rate"),"LCFF Rate"),0)</f>
        <v>0</v>
      </c>
      <c r="L894" s="523"/>
      <c r="M894" s="977">
        <f>_xlfn.IFNA(IF(VLOOKUP($B885,'PY1 TFR ADA'!$F:$AU,MATCH("B-4.5",'PY1 TFR ADA'!$F$5:$AU$5,0),FALSE)=TRUE,IF(VLOOKUP($B885,'PY1 TFR ADA'!$F:$AU,MATCH("C-1",'PY1 TFR ADA'!$F$5:$AU$5,0),FALSE)=TRUE,"Alternative Rate","LCFF Rate"),"LCFF Rate"),0)</f>
        <v>0</v>
      </c>
      <c r="N894" s="523"/>
      <c r="O894" s="977">
        <f>_xlfn.IFNA(IF(VLOOKUP($B885,'PY1 TFR ADA'!$F:$AU,MATCH("B-5.5",'PY1 TFR ADA'!$F$5:$AU$5,0),FALSE)=TRUE,IF(VLOOKUP($B885,'PY1 TFR ADA'!$F:$AU,MATCH("C-1",'PY1 TFR ADA'!$F$5:$AU$5,0),FALSE)=TRUE,"Alternative Rate","LCFF Rate"),"LCFF Rate"),0)</f>
        <v>0</v>
      </c>
      <c r="P894" s="523"/>
      <c r="Q894" s="977">
        <f>_xlfn.IFNA(IF(VLOOKUP($B885,'PY1 TFR ADA'!$F:$AU,MATCH("B-6.5",'PY1 TFR ADA'!$F$5:$AU$5,0),FALSE)=TRUE,IF(VLOOKUP($B885,'PY1 TFR ADA'!$F:$AU,MATCH("C-1",'PY1 TFR ADA'!$F$5:$AU$5,0),FALSE)=TRUE,"Alternative Rate","LCFF Rate"),"LCFF Rate"),0)</f>
        <v>0</v>
      </c>
      <c r="R894" s="167"/>
      <c r="S894" s="520"/>
      <c r="T894" s="167"/>
      <c r="U894" s="528"/>
      <c r="V894" s="522"/>
      <c r="X894" s="283"/>
    </row>
    <row r="895" spans="1:24" s="8" customFormat="1" ht="8.25" customHeight="1">
      <c r="A895" s="521"/>
      <c r="B895" s="167"/>
      <c r="C895" s="165"/>
      <c r="D895" s="523"/>
      <c r="E895" s="165"/>
      <c r="F895" s="523"/>
      <c r="G895" s="520"/>
      <c r="H895" s="523"/>
      <c r="I895" s="520"/>
      <c r="J895" s="523"/>
      <c r="K895" s="520"/>
      <c r="L895" s="523"/>
      <c r="M895" s="520"/>
      <c r="N895" s="523"/>
      <c r="O895" s="520"/>
      <c r="P895" s="523"/>
      <c r="Q895" s="520"/>
      <c r="R895" s="167"/>
      <c r="S895" s="520"/>
      <c r="T895" s="167"/>
      <c r="U895" s="528"/>
      <c r="V895" s="522"/>
      <c r="X895" s="4"/>
    </row>
    <row r="896" spans="1:24" s="8" customFormat="1" ht="16.8">
      <c r="A896" s="521"/>
      <c r="B896" s="2"/>
      <c r="F896" s="523"/>
      <c r="G896" s="535">
        <f t="shared" ref="G896" si="1331">IF(G894="LCFF Rate",(G887*C887+G888*C888+G889*C889+G890*C890),(G892*E890))</f>
        <v>0</v>
      </c>
      <c r="H896" s="537"/>
      <c r="I896" s="535">
        <f t="shared" ref="I896" si="1332">IF(I894="LCFF Rate",(I887*C887+I888*C888+I889*C889+I890*C890),(I892*E890))</f>
        <v>0</v>
      </c>
      <c r="J896" s="537"/>
      <c r="K896" s="535">
        <f t="shared" ref="K896" si="1333">IF(K894="LCFF Rate",(K887*C887+K888*C888+K889*C889+K890*C890),(K892*E890))</f>
        <v>0</v>
      </c>
      <c r="L896" s="537"/>
      <c r="M896" s="535">
        <f t="shared" ref="M896" si="1334">IF(M894="LCFF Rate",(M887*C887+M888*C888+M889*C889+M890*C890),(M892*E890))</f>
        <v>0</v>
      </c>
      <c r="N896" s="537"/>
      <c r="O896" s="535">
        <f t="shared" ref="O896" si="1335">IF(O894="LCFF Rate",(O887*C887+O888*C888+O889*C889+O890*C890),(O892*E890))</f>
        <v>0</v>
      </c>
      <c r="P896" s="537"/>
      <c r="Q896" s="535">
        <f t="shared" ref="Q896" si="1336">IF(Q894="LCFF Rate",(Q887*C887+Q888*C888+Q889*C889+Q890*C890),(Q892*E890))</f>
        <v>0</v>
      </c>
      <c r="R896" s="167"/>
      <c r="S896" s="538">
        <f t="shared" ref="S896" si="1337">SUM(G896:Q896)</f>
        <v>0</v>
      </c>
      <c r="T896" s="167"/>
      <c r="U896" s="528"/>
      <c r="V896" s="522"/>
      <c r="X896" s="979"/>
    </row>
    <row r="897" spans="1:24" s="8" customFormat="1" ht="9" customHeight="1" thickBot="1">
      <c r="A897" s="529"/>
      <c r="B897" s="530"/>
      <c r="C897" s="531"/>
      <c r="D897" s="532"/>
      <c r="E897" s="533"/>
      <c r="F897" s="532"/>
      <c r="G897" s="530"/>
      <c r="H897" s="532"/>
      <c r="I897" s="530"/>
      <c r="J897" s="532"/>
      <c r="K897" s="530"/>
      <c r="L897" s="532"/>
      <c r="M897" s="530"/>
      <c r="N897" s="532"/>
      <c r="O897" s="530"/>
      <c r="P897" s="532"/>
      <c r="Q897" s="530"/>
      <c r="R897" s="532"/>
      <c r="S897" s="530"/>
      <c r="T897" s="532"/>
      <c r="U897" s="532"/>
      <c r="V897" s="534"/>
      <c r="X897" s="4"/>
    </row>
    <row r="898" spans="1:24" s="82" customFormat="1" ht="18" customHeight="1" thickBot="1">
      <c r="A898" s="890">
        <f>+A885+1</f>
        <v>69</v>
      </c>
      <c r="B898" s="891" t="str">
        <f>'Data Entry'!$B$3&amp;"-"&amp;C898</f>
        <v>-</v>
      </c>
      <c r="C898" s="891" t="str">
        <f>IFERROR(VLOOKUP('Data Entry'!$B$3&amp;"-"&amp;A898,'PY1 TFR ADA'!$D:$AT,2,FALSE),"")</f>
        <v/>
      </c>
      <c r="D898" s="892" t="str">
        <f>IFERROR(VLOOKUP('Data Entry'!$B$3&amp;"-"&amp;A898,'PY1 TFR ADA'!$D:$AT,4,FALSE),"")</f>
        <v/>
      </c>
      <c r="E898" s="893"/>
      <c r="F898" s="893"/>
      <c r="G898" s="893"/>
      <c r="H898" s="893"/>
      <c r="I898" s="893"/>
      <c r="J898" s="893"/>
      <c r="K898" s="893"/>
      <c r="L898" s="893"/>
      <c r="M898" s="893"/>
      <c r="N898" s="893"/>
      <c r="O898" s="893"/>
      <c r="P898" s="893"/>
      <c r="Q898" s="893"/>
      <c r="R898" s="893"/>
      <c r="S898" s="893"/>
      <c r="T898" s="893"/>
      <c r="U898" s="893"/>
      <c r="V898" s="894"/>
      <c r="X898" s="83"/>
    </row>
    <row r="899" spans="1:24" ht="75" customHeight="1">
      <c r="A899" s="521"/>
      <c r="C899" s="540" t="s">
        <v>1315</v>
      </c>
      <c r="D899" s="512"/>
      <c r="E899" s="540" t="s">
        <v>1316</v>
      </c>
      <c r="F899" s="512"/>
      <c r="G899" s="540" t="s">
        <v>1309</v>
      </c>
      <c r="H899" s="512"/>
      <c r="I899" s="540" t="s">
        <v>1310</v>
      </c>
      <c r="J899" s="512"/>
      <c r="K899" s="540" t="s">
        <v>1311</v>
      </c>
      <c r="L899" s="512"/>
      <c r="M899" s="540" t="s">
        <v>1312</v>
      </c>
      <c r="N899" s="512"/>
      <c r="O899" s="540" t="s">
        <v>1313</v>
      </c>
      <c r="P899" s="512"/>
      <c r="Q899" s="540" t="s">
        <v>1314</v>
      </c>
      <c r="R899" s="167"/>
      <c r="S899" s="540" t="s">
        <v>1308</v>
      </c>
      <c r="T899" s="167"/>
      <c r="U899" s="512" t="s">
        <v>1307</v>
      </c>
      <c r="V899" s="524"/>
      <c r="X899" s="283"/>
    </row>
    <row r="900" spans="1:24" s="8" customFormat="1" ht="14.4">
      <c r="A900" s="521"/>
      <c r="B900" s="510" t="s">
        <v>94</v>
      </c>
      <c r="C900" s="525">
        <f>IFERROR(VLOOKUP($B898,'PY1 TFR ADA'!$F:$AU,MATCH("A-1.1",'PY1 TFR ADA'!$F$5:$AU$5,0),FALSE),0)</f>
        <v>0</v>
      </c>
      <c r="D900" s="167"/>
      <c r="E900" s="525">
        <f>IFERROR(VALUE(VLOOKUP($B898,'PY1 TFR ADA'!$F:$AU,MATCH("A-2.1",'PY1 TFR ADA'!$F$5:$AU$5,0),FALSE)),0)</f>
        <v>0</v>
      </c>
      <c r="F900" s="167"/>
      <c r="G900" s="609">
        <f>IFERROR(VLOOKUP($B898,'PY1 TFR ADA'!$F:$AU,MATCH("b-1.1",'PY1 TFR ADA'!$F$5:$AU$5,0),FALSE),0)</f>
        <v>0</v>
      </c>
      <c r="H900" s="527"/>
      <c r="I900" s="609">
        <f>IFERROR(VLOOKUP($B898,'PY1 TFR ADA'!$F:$AU,MATCH("b-2.1",'PY1 TFR ADA'!$F$5:$AU$5,0),FALSE),0)</f>
        <v>0</v>
      </c>
      <c r="J900" s="527"/>
      <c r="K900" s="609">
        <f>IFERROR(VLOOKUP($B898,'PY1 TFR ADA'!$F:$AU,MATCH("b-3.1",'PY1 TFR ADA'!$F$5:$AU$5,0),FALSE),0)</f>
        <v>0</v>
      </c>
      <c r="L900" s="527"/>
      <c r="M900" s="609">
        <f>IFERROR(VLOOKUP($B898,'PY1 TFR ADA'!$F:$AU,MATCH("b-4.1",'PY1 TFR ADA'!$F$5:$AU$5,0),FALSE),0)</f>
        <v>0</v>
      </c>
      <c r="N900" s="527"/>
      <c r="O900" s="609">
        <f>IFERROR(VLOOKUP($B898,'PY1 TFR ADA'!$F:$AU,MATCH("b-5.1",'PY1 TFR ADA'!$F$5:$AU$5,0),FALSE),0)</f>
        <v>0</v>
      </c>
      <c r="P900" s="527"/>
      <c r="Q900" s="609">
        <f>IFERROR(VLOOKUP($B898,'PY1 TFR ADA'!$F:$AU,MATCH("b-6.1",'PY1 TFR ADA'!$F$5:$AU$5,0),FALSE),0)</f>
        <v>0</v>
      </c>
      <c r="R900" s="551"/>
      <c r="S900" s="601">
        <f t="shared" ref="S900:S903" si="1338">SUM(G900:Q900)</f>
        <v>0</v>
      </c>
      <c r="T900" s="551"/>
      <c r="U900" s="536">
        <f t="shared" ref="U900" si="1339">ROUND(IF($G907="LCFF Rate",(G900*$C900),(G900*$E900))+IF($I907="LCFF Rate",(I900*$C900),(I900*$E900))+IF($K907="LCFF Rate",(K900*$C900),(K900*$E900))+IF($M907="LCFF Rate",(M900*$C900),(M900*$E900))+IF($O907="LCFF Rate",(O900*$C900),(O900*$E900))+IF($Q907="LCFF Rate",(Q900*$C900),(Q900*$E900)),0)</f>
        <v>0</v>
      </c>
      <c r="V900" s="524"/>
      <c r="X900" s="496"/>
    </row>
    <row r="901" spans="1:24" s="8" customFormat="1" ht="14.4">
      <c r="A901" s="521"/>
      <c r="B901" s="510" t="s">
        <v>2</v>
      </c>
      <c r="C901" s="525">
        <f>IFERROR(VLOOKUP($B898,'PY1 TFR ADA'!$F:$AU,MATCH("A-1.2",'PY1 TFR ADA'!$F$5:$AU$5,0),FALSE),0)</f>
        <v>0</v>
      </c>
      <c r="D901" s="167"/>
      <c r="E901" s="525">
        <f>IFERROR(VALUE(VLOOKUP($B898,'PY1 TFR ADA'!$F:$AU,MATCH("A-2.2",'PY1 TFR ADA'!$F$5:$AU$5,0),FALSE)),0)</f>
        <v>0</v>
      </c>
      <c r="F901" s="167"/>
      <c r="G901" s="609">
        <f>IFERROR(VLOOKUP($B898,'PY1 TFR ADA'!$F:$AU,MATCH("b-1.2",'PY1 TFR ADA'!$F$5:$AU$5,0),FALSE),0)</f>
        <v>0</v>
      </c>
      <c r="H901" s="527"/>
      <c r="I901" s="609">
        <f>IFERROR(VLOOKUP($B898,'PY1 TFR ADA'!$F:$AU,MATCH("b-2.2",'PY1 TFR ADA'!$F$5:$AU$5,0),FALSE),0)</f>
        <v>0</v>
      </c>
      <c r="J901" s="527"/>
      <c r="K901" s="609">
        <f>IFERROR(VLOOKUP($B898,'PY1 TFR ADA'!$F:$AU,MATCH("b-3.2",'PY1 TFR ADA'!$F$5:$AU$5,0),FALSE),0)</f>
        <v>0</v>
      </c>
      <c r="L901" s="527"/>
      <c r="M901" s="609">
        <f>IFERROR(VLOOKUP($B898,'PY1 TFR ADA'!$F:$AU,MATCH("b-4.2",'PY1 TFR ADA'!$F$5:$AU$5,0),FALSE),0)</f>
        <v>0</v>
      </c>
      <c r="N901" s="527"/>
      <c r="O901" s="609">
        <f>IFERROR(VLOOKUP($B898,'PY1 TFR ADA'!$F:$AU,MATCH("b-5.2",'PY1 TFR ADA'!$F$5:$AU$5,0),FALSE),0)</f>
        <v>0</v>
      </c>
      <c r="P901" s="527"/>
      <c r="Q901" s="609">
        <f>IFERROR(VLOOKUP($B898,'PY1 TFR ADA'!$F:$AU,MATCH("b-6.2",'PY1 TFR ADA'!$F$5:$AU$5,0),FALSE),0)</f>
        <v>0</v>
      </c>
      <c r="R901" s="551"/>
      <c r="S901" s="601">
        <f t="shared" si="1338"/>
        <v>0</v>
      </c>
      <c r="T901" s="551"/>
      <c r="U901" s="536">
        <f t="shared" ref="U901" si="1340">ROUND(IF($G907="LCFF Rate",(G901*$C901),(G901*$E901))+IF($I907="LCFF Rate",(I901*$C901),(I901*$E901))+IF($K907="LCFF Rate",(K901*$C901),(K901*$E901))+IF($M907="LCFF Rate",(M901*$C901),(M901*$E901))+IF($O907="LCFF Rate",(O901*$C901),(O901*$E901))+IF($Q907="LCFF Rate",(Q901*$C901),(Q901*$E901)),0)</f>
        <v>0</v>
      </c>
      <c r="V901" s="524"/>
      <c r="X901" s="4"/>
    </row>
    <row r="902" spans="1:24" s="8" customFormat="1" ht="14.4">
      <c r="A902" s="521"/>
      <c r="B902" s="510" t="s">
        <v>3</v>
      </c>
      <c r="C902" s="525">
        <f>IFERROR(VLOOKUP($B898,'PY1 TFR ADA'!$F:$AU,MATCH("A-1.3",'PY1 TFR ADA'!$F$5:$AU$5,0),FALSE),0)</f>
        <v>0</v>
      </c>
      <c r="D902" s="167"/>
      <c r="E902" s="525">
        <f>IFERROR(VALUE(VLOOKUP($B898,'PY1 TFR ADA'!$F:$AU,MATCH("A-2.3",'PY1 TFR ADA'!$F$5:$AU$5,0),FALSE)),0)</f>
        <v>0</v>
      </c>
      <c r="F902" s="167"/>
      <c r="G902" s="609">
        <f>IFERROR(VLOOKUP($B898,'PY1 TFR ADA'!$F:$AU,MATCH("b-1.3",'PY1 TFR ADA'!$F$5:$AU$5,0),FALSE),0)</f>
        <v>0</v>
      </c>
      <c r="H902" s="527"/>
      <c r="I902" s="609">
        <f>IFERROR(VLOOKUP($B898,'PY1 TFR ADA'!$F:$AU,MATCH("b-2.3",'PY1 TFR ADA'!$F$5:$AU$5,0),FALSE),0)</f>
        <v>0</v>
      </c>
      <c r="J902" s="527"/>
      <c r="K902" s="609">
        <f>IFERROR(VLOOKUP($B898,'PY1 TFR ADA'!$F:$AU,MATCH("b-3.3",'PY1 TFR ADA'!$F$5:$AU$5,0),FALSE),0)</f>
        <v>0</v>
      </c>
      <c r="L902" s="527"/>
      <c r="M902" s="609">
        <f>IFERROR(VLOOKUP($B898,'PY1 TFR ADA'!$F:$AU,MATCH("b-4.3",'PY1 TFR ADA'!$F$5:$AU$5,0),FALSE),0)</f>
        <v>0</v>
      </c>
      <c r="N902" s="527"/>
      <c r="O902" s="609">
        <f>IFERROR(VLOOKUP($B898,'PY1 TFR ADA'!$F:$AU,MATCH("b-5.3",'PY1 TFR ADA'!$F$5:$AU$5,0),FALSE),0)</f>
        <v>0</v>
      </c>
      <c r="P902" s="527"/>
      <c r="Q902" s="609">
        <f>IFERROR(VLOOKUP($B898,'PY1 TFR ADA'!$F:$AU,MATCH("b-6.3",'PY1 TFR ADA'!$F$5:$AU$5,0),FALSE),0)</f>
        <v>0</v>
      </c>
      <c r="R902" s="551"/>
      <c r="S902" s="601">
        <f t="shared" si="1338"/>
        <v>0</v>
      </c>
      <c r="T902" s="551"/>
      <c r="U902" s="536">
        <f t="shared" ref="U902" si="1341">ROUND(IF($G907="LCFF Rate",(G902*$C902),(G902*$E902))+IF($I907="LCFF Rate",(I902*$C902),(I902*$E902))+IF($K907="LCFF Rate",(K902*$C902),(K902*$E902))+IF($M907="LCFF Rate",(M902*$C902),(M902*$E902))+IF($O907="LCFF Rate",(O902*$C902),(O902*$E902))+IF($Q907="LCFF Rate",(Q902*$C902),(Q902*$E902)),0)</f>
        <v>0</v>
      </c>
      <c r="V902" s="524"/>
      <c r="X902" s="4"/>
    </row>
    <row r="903" spans="1:24" s="8" customFormat="1" ht="14.4">
      <c r="A903" s="526"/>
      <c r="B903" s="510" t="s">
        <v>4</v>
      </c>
      <c r="C903" s="525">
        <f>IFERROR(VLOOKUP($B898,'PY1 TFR ADA'!$F:$AU,MATCH("A-1.4",'PY1 TFR ADA'!$F$5:$AU$5,0),FALSE),0)</f>
        <v>0</v>
      </c>
      <c r="D903" s="523"/>
      <c r="E903" s="525">
        <f>IFERROR(VALUE(VLOOKUP($B898,'PY1 TFR ADA'!$F:$AU,MATCH("A-2.4",'PY1 TFR ADA'!$F$5:$AU$5,0),FALSE)),0)</f>
        <v>0</v>
      </c>
      <c r="F903" s="523"/>
      <c r="G903" s="609">
        <f>IFERROR(VLOOKUP($B898,'PY1 TFR ADA'!$F:$AU,MATCH("b-1.4",'PY1 TFR ADA'!$F$5:$AU$5,0),FALSE),0)</f>
        <v>0</v>
      </c>
      <c r="H903" s="527"/>
      <c r="I903" s="609">
        <f>IFERROR(VLOOKUP($B898,'PY1 TFR ADA'!$F:$AU,MATCH("b-2.4",'PY1 TFR ADA'!$F$5:$AU$5,0),FALSE),0)</f>
        <v>0</v>
      </c>
      <c r="J903" s="527"/>
      <c r="K903" s="609">
        <f>IFERROR(VLOOKUP($B898,'PY1 TFR ADA'!$F:$AU,MATCH("b-3.4",'PY1 TFR ADA'!$F$5:$AU$5,0),FALSE),0)</f>
        <v>0</v>
      </c>
      <c r="L903" s="527"/>
      <c r="M903" s="609">
        <f>IFERROR(VLOOKUP($B898,'PY1 TFR ADA'!$F:$AU,MATCH("b-4.4",'PY1 TFR ADA'!$F$5:$AU$5,0),FALSE),0)</f>
        <v>0</v>
      </c>
      <c r="N903" s="527"/>
      <c r="O903" s="609">
        <f>IFERROR(VLOOKUP($B898,'PY1 TFR ADA'!$F:$AU,MATCH("b-5.4",'PY1 TFR ADA'!$F$5:$AU$5,0),FALSE),0)</f>
        <v>0</v>
      </c>
      <c r="P903" s="527"/>
      <c r="Q903" s="609">
        <f>IFERROR(VLOOKUP($B898,'PY1 TFR ADA'!$F:$AU,MATCH("b-6.4",'PY1 TFR ADA'!$F$5:$AU$5,0),FALSE),0)</f>
        <v>0</v>
      </c>
      <c r="R903" s="551"/>
      <c r="S903" s="601">
        <f t="shared" si="1338"/>
        <v>0</v>
      </c>
      <c r="T903" s="551"/>
      <c r="U903" s="536">
        <f t="shared" ref="U903" si="1342">ROUND(IF($G907="LCFF Rate",(G903*$C903),(G903*$E903))+IF($I907="LCFF Rate",(I903*$C903),(I903*$E903))+IF($K907="LCFF Rate",(K903*$C903),(K903*$E903))+IF($M907="LCFF Rate",(M903*$C903),(M903*$E903))+IF($O907="LCFF Rate",(O903*$C903),(O903*$E903))+IF($Q907="LCFF Rate",(Q903*$C903),(Q903*$E903)),0)</f>
        <v>0</v>
      </c>
      <c r="V903" s="522"/>
      <c r="X903" s="496"/>
    </row>
    <row r="904" spans="1:24" s="8" customFormat="1" ht="8.25" customHeight="1">
      <c r="A904" s="521"/>
      <c r="B904" s="167"/>
      <c r="C904" s="165"/>
      <c r="D904" s="523"/>
      <c r="E904" s="165"/>
      <c r="F904" s="523"/>
      <c r="G904" s="520"/>
      <c r="H904" s="523"/>
      <c r="I904" s="520"/>
      <c r="J904" s="523"/>
      <c r="K904" s="520"/>
      <c r="L904" s="523"/>
      <c r="M904" s="520"/>
      <c r="N904" s="523"/>
      <c r="O904" s="520"/>
      <c r="P904" s="523"/>
      <c r="Q904" s="520"/>
      <c r="R904" s="167"/>
      <c r="S904" s="520"/>
      <c r="T904" s="167"/>
      <c r="U904" s="602"/>
      <c r="V904" s="522"/>
      <c r="X904" s="4"/>
    </row>
    <row r="905" spans="1:24" s="8" customFormat="1" ht="14.4">
      <c r="A905" s="521"/>
      <c r="B905" s="167"/>
      <c r="C905" s="165"/>
      <c r="D905" s="523"/>
      <c r="E905" s="513" t="s">
        <v>1317</v>
      </c>
      <c r="F905" s="523"/>
      <c r="G905" s="601">
        <f t="shared" ref="G905" si="1343">SUM(G900:G903)</f>
        <v>0</v>
      </c>
      <c r="H905" s="527"/>
      <c r="I905" s="601">
        <f t="shared" ref="I905" si="1344">SUM(I900:I903)</f>
        <v>0</v>
      </c>
      <c r="J905" s="527"/>
      <c r="K905" s="601">
        <f t="shared" ref="K905" si="1345">SUM(K900:K903)</f>
        <v>0</v>
      </c>
      <c r="L905" s="527"/>
      <c r="M905" s="601">
        <f t="shared" ref="M905" si="1346">SUM(M900:M903)</f>
        <v>0</v>
      </c>
      <c r="N905" s="527"/>
      <c r="O905" s="601">
        <f t="shared" ref="O905" si="1347">SUM(O900:O903)</f>
        <v>0</v>
      </c>
      <c r="P905" s="527"/>
      <c r="Q905" s="601">
        <f t="shared" ref="Q905" si="1348">SUM(Q900:Q903)</f>
        <v>0</v>
      </c>
      <c r="R905" s="527"/>
      <c r="S905" s="601">
        <f t="shared" ref="S905" si="1349">SUM(S900:S903)</f>
        <v>0</v>
      </c>
      <c r="T905" s="527"/>
      <c r="U905" s="536">
        <f t="shared" ref="U905" si="1350">SUM(U900:U903)</f>
        <v>0</v>
      </c>
      <c r="V905" s="522"/>
      <c r="X905" s="4"/>
    </row>
    <row r="906" spans="1:24" s="8" customFormat="1" ht="8.25" customHeight="1">
      <c r="A906" s="521"/>
      <c r="B906" s="167"/>
      <c r="C906" s="165"/>
      <c r="D906" s="523"/>
      <c r="E906" s="165"/>
      <c r="F906" s="523"/>
      <c r="G906" s="520"/>
      <c r="H906" s="523"/>
      <c r="I906" s="520"/>
      <c r="J906" s="523"/>
      <c r="K906" s="520"/>
      <c r="L906" s="523"/>
      <c r="M906" s="520"/>
      <c r="N906" s="523"/>
      <c r="O906" s="520"/>
      <c r="P906" s="523"/>
      <c r="Q906" s="520"/>
      <c r="R906" s="167"/>
      <c r="S906" s="520"/>
      <c r="T906" s="167"/>
      <c r="U906" s="528"/>
      <c r="V906" s="522"/>
      <c r="X906" s="4"/>
    </row>
    <row r="907" spans="1:24" s="8" customFormat="1" ht="16.5" customHeight="1">
      <c r="A907" s="521"/>
      <c r="B907" s="167"/>
      <c r="C907" s="165"/>
      <c r="E907" s="513" t="s">
        <v>1304</v>
      </c>
      <c r="F907" s="523"/>
      <c r="G907" s="977">
        <f>_xlfn.IFNA(IF(VLOOKUP($B898,'PY1 TFR ADA'!$F:$AU,MATCH("B-1.5",'PY1 TFR ADA'!$F$5:$AU$5,0),FALSE)=TRUE,IF(VLOOKUP($B898,'PY1 TFR ADA'!$F:$AU,MATCH("C-1",'PY1 TFR ADA'!$F$5:$AU$5,0),FALSE)=TRUE,"Alternative Rate","LCFF Rate"),"LCFF Rate"),0)</f>
        <v>0</v>
      </c>
      <c r="H907" s="523"/>
      <c r="I907" s="977">
        <f>_xlfn.IFNA(IF(VLOOKUP($B898,'PY1 TFR ADA'!$F:$AU,MATCH("B-2.5",'PY1 TFR ADA'!$F$5:$AU$5,0),FALSE)=TRUE,IF(VLOOKUP($B898,'PY1 TFR ADA'!$F:$AU,MATCH("C-1",'PY1 TFR ADA'!$F$5:$AU$5,0),FALSE)=TRUE,"Alternative Rate","LCFF Rate"),"LCFF Rate"),0)</f>
        <v>0</v>
      </c>
      <c r="J907" s="523"/>
      <c r="K907" s="977">
        <f>_xlfn.IFNA(IF(VLOOKUP($B898,'PY1 TFR ADA'!$F:$AU,MATCH("B-3.5",'PY1 TFR ADA'!$F$5:$AU$5,0),FALSE)=TRUE,IF(VLOOKUP($B898,'PY1 TFR ADA'!$F:$AU,MATCH("C-1",'PY1 TFR ADA'!$F$5:$AU$5,0),FALSE)=TRUE,"Alternative Rate","LCFF Rate"),"LCFF Rate"),0)</f>
        <v>0</v>
      </c>
      <c r="L907" s="523"/>
      <c r="M907" s="977">
        <f>_xlfn.IFNA(IF(VLOOKUP($B898,'PY1 TFR ADA'!$F:$AU,MATCH("B-4.5",'PY1 TFR ADA'!$F$5:$AU$5,0),FALSE)=TRUE,IF(VLOOKUP($B898,'PY1 TFR ADA'!$F:$AU,MATCH("C-1",'PY1 TFR ADA'!$F$5:$AU$5,0),FALSE)=TRUE,"Alternative Rate","LCFF Rate"),"LCFF Rate"),0)</f>
        <v>0</v>
      </c>
      <c r="N907" s="523"/>
      <c r="O907" s="977">
        <f>_xlfn.IFNA(IF(VLOOKUP($B898,'PY1 TFR ADA'!$F:$AU,MATCH("B-5.5",'PY1 TFR ADA'!$F$5:$AU$5,0),FALSE)=TRUE,IF(VLOOKUP($B898,'PY1 TFR ADA'!$F:$AU,MATCH("C-1",'PY1 TFR ADA'!$F$5:$AU$5,0),FALSE)=TRUE,"Alternative Rate","LCFF Rate"),"LCFF Rate"),0)</f>
        <v>0</v>
      </c>
      <c r="P907" s="523"/>
      <c r="Q907" s="977">
        <f>_xlfn.IFNA(IF(VLOOKUP($B898,'PY1 TFR ADA'!$F:$AU,MATCH("B-6.5",'PY1 TFR ADA'!$F$5:$AU$5,0),FALSE)=TRUE,IF(VLOOKUP($B898,'PY1 TFR ADA'!$F:$AU,MATCH("C-1",'PY1 TFR ADA'!$F$5:$AU$5,0),FALSE)=TRUE,"Alternative Rate","LCFF Rate"),"LCFF Rate"),0)</f>
        <v>0</v>
      </c>
      <c r="R907" s="167"/>
      <c r="S907" s="520"/>
      <c r="T907" s="167"/>
      <c r="U907" s="528"/>
      <c r="V907" s="522"/>
      <c r="X907" s="283"/>
    </row>
    <row r="908" spans="1:24" s="8" customFormat="1" ht="8.25" customHeight="1">
      <c r="A908" s="521"/>
      <c r="B908" s="167"/>
      <c r="C908" s="165"/>
      <c r="D908" s="523"/>
      <c r="E908" s="165"/>
      <c r="F908" s="523"/>
      <c r="G908" s="520"/>
      <c r="H908" s="523"/>
      <c r="I908" s="520"/>
      <c r="J908" s="523"/>
      <c r="K908" s="520"/>
      <c r="L908" s="523"/>
      <c r="M908" s="520"/>
      <c r="N908" s="523"/>
      <c r="O908" s="520"/>
      <c r="P908" s="523"/>
      <c r="Q908" s="520"/>
      <c r="R908" s="167"/>
      <c r="S908" s="520"/>
      <c r="T908" s="167"/>
      <c r="U908" s="528"/>
      <c r="V908" s="522"/>
      <c r="X908" s="4"/>
    </row>
    <row r="909" spans="1:24" s="8" customFormat="1" ht="16.8">
      <c r="A909" s="521"/>
      <c r="B909" s="2"/>
      <c r="F909" s="523"/>
      <c r="G909" s="535">
        <f t="shared" ref="G909" si="1351">IF(G907="LCFF Rate",(G900*C900+G901*C901+G902*C902+G903*C903),(G905*E903))</f>
        <v>0</v>
      </c>
      <c r="H909" s="537"/>
      <c r="I909" s="535">
        <f t="shared" ref="I909" si="1352">IF(I907="LCFF Rate",(I900*C900+I901*C901+I902*C902+I903*C903),(I905*E903))</f>
        <v>0</v>
      </c>
      <c r="J909" s="537"/>
      <c r="K909" s="535">
        <f t="shared" ref="K909" si="1353">IF(K907="LCFF Rate",(K900*C900+K901*C901+K902*C902+K903*C903),(K905*E903))</f>
        <v>0</v>
      </c>
      <c r="L909" s="537"/>
      <c r="M909" s="535">
        <f t="shared" ref="M909" si="1354">IF(M907="LCFF Rate",(M900*C900+M901*C901+M902*C902+M903*C903),(M905*E903))</f>
        <v>0</v>
      </c>
      <c r="N909" s="537"/>
      <c r="O909" s="535">
        <f t="shared" ref="O909" si="1355">IF(O907="LCFF Rate",(O900*C900+O901*C901+O902*C902+O903*C903),(O905*E903))</f>
        <v>0</v>
      </c>
      <c r="P909" s="537"/>
      <c r="Q909" s="535">
        <f t="shared" ref="Q909" si="1356">IF(Q907="LCFF Rate",(Q900*C900+Q901*C901+Q902*C902+Q903*C903),(Q905*E903))</f>
        <v>0</v>
      </c>
      <c r="R909" s="167"/>
      <c r="S909" s="538">
        <f t="shared" ref="S909" si="1357">SUM(G909:Q909)</f>
        <v>0</v>
      </c>
      <c r="T909" s="167"/>
      <c r="U909" s="528"/>
      <c r="V909" s="522"/>
      <c r="X909" s="979"/>
    </row>
    <row r="910" spans="1:24" s="8" customFormat="1" ht="9" customHeight="1" thickBot="1">
      <c r="A910" s="529"/>
      <c r="B910" s="530"/>
      <c r="C910" s="531"/>
      <c r="D910" s="532"/>
      <c r="E910" s="533"/>
      <c r="F910" s="532"/>
      <c r="G910" s="530"/>
      <c r="H910" s="532"/>
      <c r="I910" s="530"/>
      <c r="J910" s="532"/>
      <c r="K910" s="530"/>
      <c r="L910" s="532"/>
      <c r="M910" s="530"/>
      <c r="N910" s="532"/>
      <c r="O910" s="530"/>
      <c r="P910" s="532"/>
      <c r="Q910" s="530"/>
      <c r="R910" s="532"/>
      <c r="S910" s="530"/>
      <c r="T910" s="532"/>
      <c r="U910" s="532"/>
      <c r="V910" s="534"/>
      <c r="X910" s="4"/>
    </row>
    <row r="911" spans="1:24" s="82" customFormat="1" ht="18" customHeight="1" thickBot="1">
      <c r="A911" s="890">
        <f>+A898+1</f>
        <v>70</v>
      </c>
      <c r="B911" s="891" t="str">
        <f>'Data Entry'!$B$3&amp;"-"&amp;C911</f>
        <v>-</v>
      </c>
      <c r="C911" s="891" t="str">
        <f>IFERROR(VLOOKUP('Data Entry'!$B$3&amp;"-"&amp;A911,'PY1 TFR ADA'!$D:$AT,2,FALSE),"")</f>
        <v/>
      </c>
      <c r="D911" s="892" t="str">
        <f>IFERROR(VLOOKUP('Data Entry'!$B$3&amp;"-"&amp;A911,'PY1 TFR ADA'!$D:$AT,4,FALSE),"")</f>
        <v/>
      </c>
      <c r="E911" s="893"/>
      <c r="F911" s="893"/>
      <c r="G911" s="893"/>
      <c r="H911" s="893"/>
      <c r="I911" s="893"/>
      <c r="J911" s="893"/>
      <c r="K911" s="893"/>
      <c r="L911" s="893"/>
      <c r="M911" s="893"/>
      <c r="N911" s="893"/>
      <c r="O911" s="893"/>
      <c r="P911" s="893"/>
      <c r="Q911" s="893"/>
      <c r="R911" s="893"/>
      <c r="S911" s="893"/>
      <c r="T911" s="893"/>
      <c r="U911" s="893"/>
      <c r="V911" s="894"/>
      <c r="X911" s="83"/>
    </row>
    <row r="912" spans="1:24" ht="75" customHeight="1">
      <c r="A912" s="521"/>
      <c r="C912" s="540" t="s">
        <v>1315</v>
      </c>
      <c r="D912" s="512"/>
      <c r="E912" s="540" t="s">
        <v>1316</v>
      </c>
      <c r="F912" s="512"/>
      <c r="G912" s="540" t="s">
        <v>1309</v>
      </c>
      <c r="H912" s="512"/>
      <c r="I912" s="540" t="s">
        <v>1310</v>
      </c>
      <c r="J912" s="512"/>
      <c r="K912" s="540" t="s">
        <v>1311</v>
      </c>
      <c r="L912" s="512"/>
      <c r="M912" s="540" t="s">
        <v>1312</v>
      </c>
      <c r="N912" s="512"/>
      <c r="O912" s="540" t="s">
        <v>1313</v>
      </c>
      <c r="P912" s="512"/>
      <c r="Q912" s="540" t="s">
        <v>1314</v>
      </c>
      <c r="R912" s="167"/>
      <c r="S912" s="540" t="s">
        <v>1308</v>
      </c>
      <c r="T912" s="167"/>
      <c r="U912" s="512" t="s">
        <v>1307</v>
      </c>
      <c r="V912" s="524"/>
      <c r="X912" s="283"/>
    </row>
    <row r="913" spans="1:24" s="8" customFormat="1" ht="14.4">
      <c r="A913" s="521"/>
      <c r="B913" s="510" t="s">
        <v>94</v>
      </c>
      <c r="C913" s="525">
        <f>IFERROR(VLOOKUP($B911,'PY1 TFR ADA'!$F:$AU,MATCH("A-1.1",'PY1 TFR ADA'!$F$5:$AU$5,0),FALSE),0)</f>
        <v>0</v>
      </c>
      <c r="D913" s="167"/>
      <c r="E913" s="525">
        <f>IFERROR(VALUE(VLOOKUP($B911,'PY1 TFR ADA'!$F:$AU,MATCH("A-2.1",'PY1 TFR ADA'!$F$5:$AU$5,0),FALSE)),0)</f>
        <v>0</v>
      </c>
      <c r="F913" s="167"/>
      <c r="G913" s="609">
        <f>IFERROR(VLOOKUP($B911,'PY1 TFR ADA'!$F:$AU,MATCH("b-1.1",'PY1 TFR ADA'!$F$5:$AU$5,0),FALSE),0)</f>
        <v>0</v>
      </c>
      <c r="H913" s="527"/>
      <c r="I913" s="609">
        <f>IFERROR(VLOOKUP($B911,'PY1 TFR ADA'!$F:$AU,MATCH("b-2.1",'PY1 TFR ADA'!$F$5:$AU$5,0),FALSE),0)</f>
        <v>0</v>
      </c>
      <c r="J913" s="527"/>
      <c r="K913" s="609">
        <f>IFERROR(VLOOKUP($B911,'PY1 TFR ADA'!$F:$AU,MATCH("b-3.1",'PY1 TFR ADA'!$F$5:$AU$5,0),FALSE),0)</f>
        <v>0</v>
      </c>
      <c r="L913" s="527"/>
      <c r="M913" s="609">
        <f>IFERROR(VLOOKUP($B911,'PY1 TFR ADA'!$F:$AU,MATCH("b-4.1",'PY1 TFR ADA'!$F$5:$AU$5,0),FALSE),0)</f>
        <v>0</v>
      </c>
      <c r="N913" s="527"/>
      <c r="O913" s="609">
        <f>IFERROR(VLOOKUP($B911,'PY1 TFR ADA'!$F:$AU,MATCH("b-5.1",'PY1 TFR ADA'!$F$5:$AU$5,0),FALSE),0)</f>
        <v>0</v>
      </c>
      <c r="P913" s="527"/>
      <c r="Q913" s="609">
        <f>IFERROR(VLOOKUP($B911,'PY1 TFR ADA'!$F:$AU,MATCH("b-6.1",'PY1 TFR ADA'!$F$5:$AU$5,0),FALSE),0)</f>
        <v>0</v>
      </c>
      <c r="R913" s="551"/>
      <c r="S913" s="601">
        <f t="shared" ref="S913:S916" si="1358">SUM(G913:Q913)</f>
        <v>0</v>
      </c>
      <c r="T913" s="551"/>
      <c r="U913" s="536">
        <f t="shared" ref="U913" si="1359">ROUND(IF($G920="LCFF Rate",(G913*$C913),(G913*$E913))+IF($I920="LCFF Rate",(I913*$C913),(I913*$E913))+IF($K920="LCFF Rate",(K913*$C913),(K913*$E913))+IF($M920="LCFF Rate",(M913*$C913),(M913*$E913))+IF($O920="LCFF Rate",(O913*$C913),(O913*$E913))+IF($Q920="LCFF Rate",(Q913*$C913),(Q913*$E913)),0)</f>
        <v>0</v>
      </c>
      <c r="V913" s="524"/>
      <c r="X913" s="496"/>
    </row>
    <row r="914" spans="1:24" s="8" customFormat="1" ht="14.4">
      <c r="A914" s="521"/>
      <c r="B914" s="510" t="s">
        <v>2</v>
      </c>
      <c r="C914" s="525">
        <f>IFERROR(VLOOKUP($B911,'PY1 TFR ADA'!$F:$AU,MATCH("A-1.2",'PY1 TFR ADA'!$F$5:$AU$5,0),FALSE),0)</f>
        <v>0</v>
      </c>
      <c r="D914" s="167"/>
      <c r="E914" s="525">
        <f>IFERROR(VALUE(VLOOKUP($B911,'PY1 TFR ADA'!$F:$AU,MATCH("A-2.2",'PY1 TFR ADA'!$F$5:$AU$5,0),FALSE)),0)</f>
        <v>0</v>
      </c>
      <c r="F914" s="167"/>
      <c r="G914" s="609">
        <f>IFERROR(VLOOKUP($B911,'PY1 TFR ADA'!$F:$AU,MATCH("b-1.2",'PY1 TFR ADA'!$F$5:$AU$5,0),FALSE),0)</f>
        <v>0</v>
      </c>
      <c r="H914" s="527"/>
      <c r="I914" s="609">
        <f>IFERROR(VLOOKUP($B911,'PY1 TFR ADA'!$F:$AU,MATCH("b-2.2",'PY1 TFR ADA'!$F$5:$AU$5,0),FALSE),0)</f>
        <v>0</v>
      </c>
      <c r="J914" s="527"/>
      <c r="K914" s="609">
        <f>IFERROR(VLOOKUP($B911,'PY1 TFR ADA'!$F:$AU,MATCH("b-3.2",'PY1 TFR ADA'!$F$5:$AU$5,0),FALSE),0)</f>
        <v>0</v>
      </c>
      <c r="L914" s="527"/>
      <c r="M914" s="609">
        <f>IFERROR(VLOOKUP($B911,'PY1 TFR ADA'!$F:$AU,MATCH("b-4.2",'PY1 TFR ADA'!$F$5:$AU$5,0),FALSE),0)</f>
        <v>0</v>
      </c>
      <c r="N914" s="527"/>
      <c r="O914" s="609">
        <f>IFERROR(VLOOKUP($B911,'PY1 TFR ADA'!$F:$AU,MATCH("b-5.2",'PY1 TFR ADA'!$F$5:$AU$5,0),FALSE),0)</f>
        <v>0</v>
      </c>
      <c r="P914" s="527"/>
      <c r="Q914" s="609">
        <f>IFERROR(VLOOKUP($B911,'PY1 TFR ADA'!$F:$AU,MATCH("b-6.2",'PY1 TFR ADA'!$F$5:$AU$5,0),FALSE),0)</f>
        <v>0</v>
      </c>
      <c r="R914" s="551"/>
      <c r="S914" s="601">
        <f t="shared" si="1358"/>
        <v>0</v>
      </c>
      <c r="T914" s="551"/>
      <c r="U914" s="536">
        <f t="shared" ref="U914" si="1360">ROUND(IF($G920="LCFF Rate",(G914*$C914),(G914*$E914))+IF($I920="LCFF Rate",(I914*$C914),(I914*$E914))+IF($K920="LCFF Rate",(K914*$C914),(K914*$E914))+IF($M920="LCFF Rate",(M914*$C914),(M914*$E914))+IF($O920="LCFF Rate",(O914*$C914),(O914*$E914))+IF($Q920="LCFF Rate",(Q914*$C914),(Q914*$E914)),0)</f>
        <v>0</v>
      </c>
      <c r="V914" s="524"/>
      <c r="X914" s="4"/>
    </row>
    <row r="915" spans="1:24" s="8" customFormat="1" ht="14.4">
      <c r="A915" s="521"/>
      <c r="B915" s="510" t="s">
        <v>3</v>
      </c>
      <c r="C915" s="525">
        <f>IFERROR(VLOOKUP($B911,'PY1 TFR ADA'!$F:$AU,MATCH("A-1.3",'PY1 TFR ADA'!$F$5:$AU$5,0),FALSE),0)</f>
        <v>0</v>
      </c>
      <c r="D915" s="167"/>
      <c r="E915" s="525">
        <f>IFERROR(VALUE(VLOOKUP($B911,'PY1 TFR ADA'!$F:$AU,MATCH("A-2.3",'PY1 TFR ADA'!$F$5:$AU$5,0),FALSE)),0)</f>
        <v>0</v>
      </c>
      <c r="F915" s="167"/>
      <c r="G915" s="609">
        <f>IFERROR(VLOOKUP($B911,'PY1 TFR ADA'!$F:$AU,MATCH("b-1.3",'PY1 TFR ADA'!$F$5:$AU$5,0),FALSE),0)</f>
        <v>0</v>
      </c>
      <c r="H915" s="527"/>
      <c r="I915" s="609">
        <f>IFERROR(VLOOKUP($B911,'PY1 TFR ADA'!$F:$AU,MATCH("b-2.3",'PY1 TFR ADA'!$F$5:$AU$5,0),FALSE),0)</f>
        <v>0</v>
      </c>
      <c r="J915" s="527"/>
      <c r="K915" s="609">
        <f>IFERROR(VLOOKUP($B911,'PY1 TFR ADA'!$F:$AU,MATCH("b-3.3",'PY1 TFR ADA'!$F$5:$AU$5,0),FALSE),0)</f>
        <v>0</v>
      </c>
      <c r="L915" s="527"/>
      <c r="M915" s="609">
        <f>IFERROR(VLOOKUP($B911,'PY1 TFR ADA'!$F:$AU,MATCH("b-4.3",'PY1 TFR ADA'!$F$5:$AU$5,0),FALSE),0)</f>
        <v>0</v>
      </c>
      <c r="N915" s="527"/>
      <c r="O915" s="609">
        <f>IFERROR(VLOOKUP($B911,'PY1 TFR ADA'!$F:$AU,MATCH("b-5.3",'PY1 TFR ADA'!$F$5:$AU$5,0),FALSE),0)</f>
        <v>0</v>
      </c>
      <c r="P915" s="527"/>
      <c r="Q915" s="609">
        <f>IFERROR(VLOOKUP($B911,'PY1 TFR ADA'!$F:$AU,MATCH("b-6.3",'PY1 TFR ADA'!$F$5:$AU$5,0),FALSE),0)</f>
        <v>0</v>
      </c>
      <c r="R915" s="551"/>
      <c r="S915" s="601">
        <f t="shared" si="1358"/>
        <v>0</v>
      </c>
      <c r="T915" s="551"/>
      <c r="U915" s="536">
        <f t="shared" ref="U915" si="1361">ROUND(IF($G920="LCFF Rate",(G915*$C915),(G915*$E915))+IF($I920="LCFF Rate",(I915*$C915),(I915*$E915))+IF($K920="LCFF Rate",(K915*$C915),(K915*$E915))+IF($M920="LCFF Rate",(M915*$C915),(M915*$E915))+IF($O920="LCFF Rate",(O915*$C915),(O915*$E915))+IF($Q920="LCFF Rate",(Q915*$C915),(Q915*$E915)),0)</f>
        <v>0</v>
      </c>
      <c r="V915" s="524"/>
      <c r="X915" s="4"/>
    </row>
    <row r="916" spans="1:24" s="8" customFormat="1" ht="14.4">
      <c r="A916" s="526"/>
      <c r="B916" s="510" t="s">
        <v>4</v>
      </c>
      <c r="C916" s="525">
        <f>IFERROR(VLOOKUP($B911,'PY1 TFR ADA'!$F:$AU,MATCH("A-1.4",'PY1 TFR ADA'!$F$5:$AU$5,0),FALSE),0)</f>
        <v>0</v>
      </c>
      <c r="D916" s="523"/>
      <c r="E916" s="525">
        <f>IFERROR(VALUE(VLOOKUP($B911,'PY1 TFR ADA'!$F:$AU,MATCH("A-2.4",'PY1 TFR ADA'!$F$5:$AU$5,0),FALSE)),0)</f>
        <v>0</v>
      </c>
      <c r="F916" s="523"/>
      <c r="G916" s="609">
        <f>IFERROR(VLOOKUP($B911,'PY1 TFR ADA'!$F:$AU,MATCH("b-1.4",'PY1 TFR ADA'!$F$5:$AU$5,0),FALSE),0)</f>
        <v>0</v>
      </c>
      <c r="H916" s="527"/>
      <c r="I916" s="609">
        <f>IFERROR(VLOOKUP($B911,'PY1 TFR ADA'!$F:$AU,MATCH("b-2.4",'PY1 TFR ADA'!$F$5:$AU$5,0),FALSE),0)</f>
        <v>0</v>
      </c>
      <c r="J916" s="527"/>
      <c r="K916" s="609">
        <f>IFERROR(VLOOKUP($B911,'PY1 TFR ADA'!$F:$AU,MATCH("b-3.4",'PY1 TFR ADA'!$F$5:$AU$5,0),FALSE),0)</f>
        <v>0</v>
      </c>
      <c r="L916" s="527"/>
      <c r="M916" s="609">
        <f>IFERROR(VLOOKUP($B911,'PY1 TFR ADA'!$F:$AU,MATCH("b-4.4",'PY1 TFR ADA'!$F$5:$AU$5,0),FALSE),0)</f>
        <v>0</v>
      </c>
      <c r="N916" s="527"/>
      <c r="O916" s="609">
        <f>IFERROR(VLOOKUP($B911,'PY1 TFR ADA'!$F:$AU,MATCH("b-5.4",'PY1 TFR ADA'!$F$5:$AU$5,0),FALSE),0)</f>
        <v>0</v>
      </c>
      <c r="P916" s="527"/>
      <c r="Q916" s="609">
        <f>IFERROR(VLOOKUP($B911,'PY1 TFR ADA'!$F:$AU,MATCH("b-6.4",'PY1 TFR ADA'!$F$5:$AU$5,0),FALSE),0)</f>
        <v>0</v>
      </c>
      <c r="R916" s="551"/>
      <c r="S916" s="601">
        <f t="shared" si="1358"/>
        <v>0</v>
      </c>
      <c r="T916" s="551"/>
      <c r="U916" s="536">
        <f t="shared" ref="U916" si="1362">ROUND(IF($G920="LCFF Rate",(G916*$C916),(G916*$E916))+IF($I920="LCFF Rate",(I916*$C916),(I916*$E916))+IF($K920="LCFF Rate",(K916*$C916),(K916*$E916))+IF($M920="LCFF Rate",(M916*$C916),(M916*$E916))+IF($O920="LCFF Rate",(O916*$C916),(O916*$E916))+IF($Q920="LCFF Rate",(Q916*$C916),(Q916*$E916)),0)</f>
        <v>0</v>
      </c>
      <c r="V916" s="522"/>
      <c r="X916" s="496"/>
    </row>
    <row r="917" spans="1:24" s="8" customFormat="1" ht="8.25" customHeight="1">
      <c r="A917" s="521"/>
      <c r="B917" s="167"/>
      <c r="C917" s="165"/>
      <c r="D917" s="523"/>
      <c r="E917" s="165"/>
      <c r="F917" s="523"/>
      <c r="G917" s="520"/>
      <c r="H917" s="523"/>
      <c r="I917" s="520"/>
      <c r="J917" s="523"/>
      <c r="K917" s="520"/>
      <c r="L917" s="523"/>
      <c r="M917" s="520"/>
      <c r="N917" s="523"/>
      <c r="O917" s="520"/>
      <c r="P917" s="523"/>
      <c r="Q917" s="520"/>
      <c r="R917" s="167"/>
      <c r="S917" s="520"/>
      <c r="T917" s="167"/>
      <c r="U917" s="602"/>
      <c r="V917" s="522"/>
      <c r="X917" s="4"/>
    </row>
    <row r="918" spans="1:24" s="8" customFormat="1" ht="14.4">
      <c r="A918" s="521"/>
      <c r="B918" s="167"/>
      <c r="C918" s="165"/>
      <c r="D918" s="523"/>
      <c r="E918" s="513" t="s">
        <v>1317</v>
      </c>
      <c r="F918" s="523"/>
      <c r="G918" s="601">
        <f t="shared" ref="G918" si="1363">SUM(G913:G916)</f>
        <v>0</v>
      </c>
      <c r="H918" s="527"/>
      <c r="I918" s="601">
        <f t="shared" ref="I918" si="1364">SUM(I913:I916)</f>
        <v>0</v>
      </c>
      <c r="J918" s="527"/>
      <c r="K918" s="601">
        <f t="shared" ref="K918" si="1365">SUM(K913:K916)</f>
        <v>0</v>
      </c>
      <c r="L918" s="527"/>
      <c r="M918" s="601">
        <f t="shared" ref="M918" si="1366">SUM(M913:M916)</f>
        <v>0</v>
      </c>
      <c r="N918" s="527"/>
      <c r="O918" s="601">
        <f t="shared" ref="O918" si="1367">SUM(O913:O916)</f>
        <v>0</v>
      </c>
      <c r="P918" s="527"/>
      <c r="Q918" s="601">
        <f t="shared" ref="Q918" si="1368">SUM(Q913:Q916)</f>
        <v>0</v>
      </c>
      <c r="R918" s="527"/>
      <c r="S918" s="601">
        <f t="shared" ref="S918" si="1369">SUM(S913:S916)</f>
        <v>0</v>
      </c>
      <c r="T918" s="527"/>
      <c r="U918" s="536">
        <f t="shared" ref="U918" si="1370">SUM(U913:U916)</f>
        <v>0</v>
      </c>
      <c r="V918" s="522"/>
      <c r="X918" s="4"/>
    </row>
    <row r="919" spans="1:24" s="8" customFormat="1" ht="8.25" customHeight="1">
      <c r="A919" s="521"/>
      <c r="B919" s="167"/>
      <c r="C919" s="165"/>
      <c r="D919" s="523"/>
      <c r="E919" s="165"/>
      <c r="F919" s="523"/>
      <c r="G919" s="520"/>
      <c r="H919" s="523"/>
      <c r="I919" s="520"/>
      <c r="J919" s="523"/>
      <c r="K919" s="520"/>
      <c r="L919" s="523"/>
      <c r="M919" s="520"/>
      <c r="N919" s="523"/>
      <c r="O919" s="520"/>
      <c r="P919" s="523"/>
      <c r="Q919" s="520"/>
      <c r="R919" s="167"/>
      <c r="S919" s="520"/>
      <c r="T919" s="167"/>
      <c r="U919" s="528"/>
      <c r="V919" s="522"/>
      <c r="X919" s="4"/>
    </row>
    <row r="920" spans="1:24" s="8" customFormat="1" ht="16.5" customHeight="1">
      <c r="A920" s="521"/>
      <c r="B920" s="167"/>
      <c r="C920" s="165"/>
      <c r="E920" s="513" t="s">
        <v>1304</v>
      </c>
      <c r="F920" s="523"/>
      <c r="G920" s="977">
        <f>_xlfn.IFNA(IF(VLOOKUP($B911,'PY1 TFR ADA'!$F:$AU,MATCH("B-1.5",'PY1 TFR ADA'!$F$5:$AU$5,0),FALSE)=TRUE,IF(VLOOKUP($B911,'PY1 TFR ADA'!$F:$AU,MATCH("C-1",'PY1 TFR ADA'!$F$5:$AU$5,0),FALSE)=TRUE,"Alternative Rate","LCFF Rate"),"LCFF Rate"),0)</f>
        <v>0</v>
      </c>
      <c r="H920" s="523"/>
      <c r="I920" s="977">
        <f>_xlfn.IFNA(IF(VLOOKUP($B911,'PY1 TFR ADA'!$F:$AU,MATCH("B-2.5",'PY1 TFR ADA'!$F$5:$AU$5,0),FALSE)=TRUE,IF(VLOOKUP($B911,'PY1 TFR ADA'!$F:$AU,MATCH("C-1",'PY1 TFR ADA'!$F$5:$AU$5,0),FALSE)=TRUE,"Alternative Rate","LCFF Rate"),"LCFF Rate"),0)</f>
        <v>0</v>
      </c>
      <c r="J920" s="523"/>
      <c r="K920" s="977">
        <f>_xlfn.IFNA(IF(VLOOKUP($B911,'PY1 TFR ADA'!$F:$AU,MATCH("B-3.5",'PY1 TFR ADA'!$F$5:$AU$5,0),FALSE)=TRUE,IF(VLOOKUP($B911,'PY1 TFR ADA'!$F:$AU,MATCH("C-1",'PY1 TFR ADA'!$F$5:$AU$5,0),FALSE)=TRUE,"Alternative Rate","LCFF Rate"),"LCFF Rate"),0)</f>
        <v>0</v>
      </c>
      <c r="L920" s="523"/>
      <c r="M920" s="977">
        <f>_xlfn.IFNA(IF(VLOOKUP($B911,'PY1 TFR ADA'!$F:$AU,MATCH("B-4.5",'PY1 TFR ADA'!$F$5:$AU$5,0),FALSE)=TRUE,IF(VLOOKUP($B911,'PY1 TFR ADA'!$F:$AU,MATCH("C-1",'PY1 TFR ADA'!$F$5:$AU$5,0),FALSE)=TRUE,"Alternative Rate","LCFF Rate"),"LCFF Rate"),0)</f>
        <v>0</v>
      </c>
      <c r="N920" s="523"/>
      <c r="O920" s="977">
        <f>_xlfn.IFNA(IF(VLOOKUP($B911,'PY1 TFR ADA'!$F:$AU,MATCH("B-5.5",'PY1 TFR ADA'!$F$5:$AU$5,0),FALSE)=TRUE,IF(VLOOKUP($B911,'PY1 TFR ADA'!$F:$AU,MATCH("C-1",'PY1 TFR ADA'!$F$5:$AU$5,0),FALSE)=TRUE,"Alternative Rate","LCFF Rate"),"LCFF Rate"),0)</f>
        <v>0</v>
      </c>
      <c r="P920" s="523"/>
      <c r="Q920" s="977">
        <f>_xlfn.IFNA(IF(VLOOKUP($B911,'PY1 TFR ADA'!$F:$AU,MATCH("B-6.5",'PY1 TFR ADA'!$F$5:$AU$5,0),FALSE)=TRUE,IF(VLOOKUP($B911,'PY1 TFR ADA'!$F:$AU,MATCH("C-1",'PY1 TFR ADA'!$F$5:$AU$5,0),FALSE)=TRUE,"Alternative Rate","LCFF Rate"),"LCFF Rate"),0)</f>
        <v>0</v>
      </c>
      <c r="R920" s="167"/>
      <c r="S920" s="520"/>
      <c r="T920" s="167"/>
      <c r="U920" s="528"/>
      <c r="V920" s="522"/>
      <c r="X920" s="283"/>
    </row>
    <row r="921" spans="1:24" s="8" customFormat="1" ht="8.25" customHeight="1">
      <c r="A921" s="521"/>
      <c r="B921" s="167"/>
      <c r="C921" s="165"/>
      <c r="D921" s="523"/>
      <c r="E921" s="165"/>
      <c r="F921" s="523"/>
      <c r="G921" s="520"/>
      <c r="H921" s="523"/>
      <c r="I921" s="520"/>
      <c r="J921" s="523"/>
      <c r="K921" s="520"/>
      <c r="L921" s="523"/>
      <c r="M921" s="520"/>
      <c r="N921" s="523"/>
      <c r="O921" s="520"/>
      <c r="P921" s="523"/>
      <c r="Q921" s="520"/>
      <c r="R921" s="167"/>
      <c r="S921" s="520"/>
      <c r="T921" s="167"/>
      <c r="U921" s="528"/>
      <c r="V921" s="522"/>
      <c r="X921" s="4"/>
    </row>
    <row r="922" spans="1:24" s="8" customFormat="1" ht="16.8">
      <c r="A922" s="521"/>
      <c r="B922" s="2"/>
      <c r="F922" s="523"/>
      <c r="G922" s="535">
        <f t="shared" ref="G922" si="1371">IF(G920="LCFF Rate",(G913*C913+G914*C914+G915*C915+G916*C916),(G918*E916))</f>
        <v>0</v>
      </c>
      <c r="H922" s="537"/>
      <c r="I922" s="535">
        <f t="shared" ref="I922" si="1372">IF(I920="LCFF Rate",(I913*C913+I914*C914+I915*C915+I916*C916),(I918*E916))</f>
        <v>0</v>
      </c>
      <c r="J922" s="537"/>
      <c r="K922" s="535">
        <f t="shared" ref="K922" si="1373">IF(K920="LCFF Rate",(K913*C913+K914*C914+K915*C915+K916*C916),(K918*E916))</f>
        <v>0</v>
      </c>
      <c r="L922" s="537"/>
      <c r="M922" s="535">
        <f t="shared" ref="M922" si="1374">IF(M920="LCFF Rate",(M913*C913+M914*C914+M915*C915+M916*C916),(M918*E916))</f>
        <v>0</v>
      </c>
      <c r="N922" s="537"/>
      <c r="O922" s="535">
        <f t="shared" ref="O922" si="1375">IF(O920="LCFF Rate",(O913*C913+O914*C914+O915*C915+O916*C916),(O918*E916))</f>
        <v>0</v>
      </c>
      <c r="P922" s="537"/>
      <c r="Q922" s="535">
        <f t="shared" ref="Q922" si="1376">IF(Q920="LCFF Rate",(Q913*C913+Q914*C914+Q915*C915+Q916*C916),(Q918*E916))</f>
        <v>0</v>
      </c>
      <c r="R922" s="167"/>
      <c r="S922" s="538">
        <f t="shared" ref="S922" si="1377">SUM(G922:Q922)</f>
        <v>0</v>
      </c>
      <c r="T922" s="167"/>
      <c r="U922" s="528"/>
      <c r="V922" s="522"/>
      <c r="X922" s="979"/>
    </row>
    <row r="923" spans="1:24" s="8" customFormat="1" ht="9" customHeight="1" thickBot="1">
      <c r="A923" s="529"/>
      <c r="B923" s="530"/>
      <c r="C923" s="531"/>
      <c r="D923" s="532"/>
      <c r="E923" s="533"/>
      <c r="F923" s="532"/>
      <c r="G923" s="530"/>
      <c r="H923" s="532"/>
      <c r="I923" s="530"/>
      <c r="J923" s="532"/>
      <c r="K923" s="530"/>
      <c r="L923" s="532"/>
      <c r="M923" s="530"/>
      <c r="N923" s="532"/>
      <c r="O923" s="530"/>
      <c r="P923" s="532"/>
      <c r="Q923" s="530"/>
      <c r="R923" s="532"/>
      <c r="S923" s="530"/>
      <c r="T923" s="532"/>
      <c r="U923" s="532"/>
      <c r="V923" s="534"/>
      <c r="X923" s="4"/>
    </row>
    <row r="924" spans="1:24" s="82" customFormat="1" ht="18" customHeight="1" thickBot="1">
      <c r="A924" s="890">
        <f>+A911+1</f>
        <v>71</v>
      </c>
      <c r="B924" s="891" t="str">
        <f>'Data Entry'!$B$3&amp;"-"&amp;C924</f>
        <v>-</v>
      </c>
      <c r="C924" s="891" t="str">
        <f>IFERROR(VLOOKUP('Data Entry'!$B$3&amp;"-"&amp;A924,'PY1 TFR ADA'!$D:$AT,2,FALSE),"")</f>
        <v/>
      </c>
      <c r="D924" s="892" t="str">
        <f>IFERROR(VLOOKUP('Data Entry'!$B$3&amp;"-"&amp;A924,'PY1 TFR ADA'!$D:$AT,4,FALSE),"")</f>
        <v/>
      </c>
      <c r="E924" s="893"/>
      <c r="F924" s="893"/>
      <c r="G924" s="893"/>
      <c r="H924" s="893"/>
      <c r="I924" s="893"/>
      <c r="J924" s="893"/>
      <c r="K924" s="893"/>
      <c r="L924" s="893"/>
      <c r="M924" s="893"/>
      <c r="N924" s="893"/>
      <c r="O924" s="893"/>
      <c r="P924" s="893"/>
      <c r="Q924" s="893"/>
      <c r="R924" s="893"/>
      <c r="S924" s="893"/>
      <c r="T924" s="893"/>
      <c r="U924" s="893"/>
      <c r="V924" s="894"/>
      <c r="X924" s="83"/>
    </row>
    <row r="925" spans="1:24" ht="75" customHeight="1">
      <c r="A925" s="521"/>
      <c r="C925" s="540" t="s">
        <v>1315</v>
      </c>
      <c r="D925" s="512"/>
      <c r="E925" s="540" t="s">
        <v>1316</v>
      </c>
      <c r="F925" s="512"/>
      <c r="G925" s="540" t="s">
        <v>1309</v>
      </c>
      <c r="H925" s="512"/>
      <c r="I925" s="540" t="s">
        <v>1310</v>
      </c>
      <c r="J925" s="512"/>
      <c r="K925" s="540" t="s">
        <v>1311</v>
      </c>
      <c r="L925" s="512"/>
      <c r="M925" s="540" t="s">
        <v>1312</v>
      </c>
      <c r="N925" s="512"/>
      <c r="O925" s="540" t="s">
        <v>1313</v>
      </c>
      <c r="P925" s="512"/>
      <c r="Q925" s="540" t="s">
        <v>1314</v>
      </c>
      <c r="R925" s="167"/>
      <c r="S925" s="540" t="s">
        <v>1308</v>
      </c>
      <c r="T925" s="167"/>
      <c r="U925" s="512" t="s">
        <v>1307</v>
      </c>
      <c r="V925" s="524"/>
      <c r="X925" s="283"/>
    </row>
    <row r="926" spans="1:24" s="8" customFormat="1" ht="14.4">
      <c r="A926" s="521"/>
      <c r="B926" s="510" t="s">
        <v>94</v>
      </c>
      <c r="C926" s="525">
        <f>IFERROR(VLOOKUP($B924,'PY1 TFR ADA'!$F:$AU,MATCH("A-1.1",'PY1 TFR ADA'!$F$5:$AU$5,0),FALSE),0)</f>
        <v>0</v>
      </c>
      <c r="D926" s="167"/>
      <c r="E926" s="525">
        <f>IFERROR(VALUE(VLOOKUP($B924,'PY1 TFR ADA'!$F:$AU,MATCH("A-2.1",'PY1 TFR ADA'!$F$5:$AU$5,0),FALSE)),0)</f>
        <v>0</v>
      </c>
      <c r="F926" s="167"/>
      <c r="G926" s="609">
        <f>IFERROR(VLOOKUP($B924,'PY1 TFR ADA'!$F:$AU,MATCH("b-1.1",'PY1 TFR ADA'!$F$5:$AU$5,0),FALSE),0)</f>
        <v>0</v>
      </c>
      <c r="H926" s="527"/>
      <c r="I926" s="609">
        <f>IFERROR(VLOOKUP($B924,'PY1 TFR ADA'!$F:$AU,MATCH("b-2.1",'PY1 TFR ADA'!$F$5:$AU$5,0),FALSE),0)</f>
        <v>0</v>
      </c>
      <c r="J926" s="527"/>
      <c r="K926" s="609">
        <f>IFERROR(VLOOKUP($B924,'PY1 TFR ADA'!$F:$AU,MATCH("b-3.1",'PY1 TFR ADA'!$F$5:$AU$5,0),FALSE),0)</f>
        <v>0</v>
      </c>
      <c r="L926" s="527"/>
      <c r="M926" s="609">
        <f>IFERROR(VLOOKUP($B924,'PY1 TFR ADA'!$F:$AU,MATCH("b-4.1",'PY1 TFR ADA'!$F$5:$AU$5,0),FALSE),0)</f>
        <v>0</v>
      </c>
      <c r="N926" s="527"/>
      <c r="O926" s="609">
        <f>IFERROR(VLOOKUP($B924,'PY1 TFR ADA'!$F:$AU,MATCH("b-5.1",'PY1 TFR ADA'!$F$5:$AU$5,0),FALSE),0)</f>
        <v>0</v>
      </c>
      <c r="P926" s="527"/>
      <c r="Q926" s="609">
        <f>IFERROR(VLOOKUP($B924,'PY1 TFR ADA'!$F:$AU,MATCH("b-6.1",'PY1 TFR ADA'!$F$5:$AU$5,0),FALSE),0)</f>
        <v>0</v>
      </c>
      <c r="R926" s="551"/>
      <c r="S926" s="601">
        <f t="shared" ref="S926:S929" si="1378">SUM(G926:Q926)</f>
        <v>0</v>
      </c>
      <c r="T926" s="551"/>
      <c r="U926" s="536">
        <f t="shared" ref="U926" si="1379">ROUND(IF($G933="LCFF Rate",(G926*$C926),(G926*$E926))+IF($I933="LCFF Rate",(I926*$C926),(I926*$E926))+IF($K933="LCFF Rate",(K926*$C926),(K926*$E926))+IF($M933="LCFF Rate",(M926*$C926),(M926*$E926))+IF($O933="LCFF Rate",(O926*$C926),(O926*$E926))+IF($Q933="LCFF Rate",(Q926*$C926),(Q926*$E926)),0)</f>
        <v>0</v>
      </c>
      <c r="V926" s="524"/>
      <c r="X926" s="496"/>
    </row>
    <row r="927" spans="1:24" s="8" customFormat="1" ht="14.4">
      <c r="A927" s="521"/>
      <c r="B927" s="510" t="s">
        <v>2</v>
      </c>
      <c r="C927" s="525">
        <f>IFERROR(VLOOKUP($B924,'PY1 TFR ADA'!$F:$AU,MATCH("A-1.2",'PY1 TFR ADA'!$F$5:$AU$5,0),FALSE),0)</f>
        <v>0</v>
      </c>
      <c r="D927" s="167"/>
      <c r="E927" s="525">
        <f>IFERROR(VALUE(VLOOKUP($B924,'PY1 TFR ADA'!$F:$AU,MATCH("A-2.2",'PY1 TFR ADA'!$F$5:$AU$5,0),FALSE)),0)</f>
        <v>0</v>
      </c>
      <c r="F927" s="167"/>
      <c r="G927" s="609">
        <f>IFERROR(VLOOKUP($B924,'PY1 TFR ADA'!$F:$AU,MATCH("b-1.2",'PY1 TFR ADA'!$F$5:$AU$5,0),FALSE),0)</f>
        <v>0</v>
      </c>
      <c r="H927" s="527"/>
      <c r="I927" s="609">
        <f>IFERROR(VLOOKUP($B924,'PY1 TFR ADA'!$F:$AU,MATCH("b-2.2",'PY1 TFR ADA'!$F$5:$AU$5,0),FALSE),0)</f>
        <v>0</v>
      </c>
      <c r="J927" s="527"/>
      <c r="K927" s="609">
        <f>IFERROR(VLOOKUP($B924,'PY1 TFR ADA'!$F:$AU,MATCH("b-3.2",'PY1 TFR ADA'!$F$5:$AU$5,0),FALSE),0)</f>
        <v>0</v>
      </c>
      <c r="L927" s="527"/>
      <c r="M927" s="609">
        <f>IFERROR(VLOOKUP($B924,'PY1 TFR ADA'!$F:$AU,MATCH("b-4.2",'PY1 TFR ADA'!$F$5:$AU$5,0),FALSE),0)</f>
        <v>0</v>
      </c>
      <c r="N927" s="527"/>
      <c r="O927" s="609">
        <f>IFERROR(VLOOKUP($B924,'PY1 TFR ADA'!$F:$AU,MATCH("b-5.2",'PY1 TFR ADA'!$F$5:$AU$5,0),FALSE),0)</f>
        <v>0</v>
      </c>
      <c r="P927" s="527"/>
      <c r="Q927" s="609">
        <f>IFERROR(VLOOKUP($B924,'PY1 TFR ADA'!$F:$AU,MATCH("b-6.2",'PY1 TFR ADA'!$F$5:$AU$5,0),FALSE),0)</f>
        <v>0</v>
      </c>
      <c r="R927" s="551"/>
      <c r="S927" s="601">
        <f t="shared" si="1378"/>
        <v>0</v>
      </c>
      <c r="T927" s="551"/>
      <c r="U927" s="536">
        <f t="shared" ref="U927" si="1380">ROUND(IF($G933="LCFF Rate",(G927*$C927),(G927*$E927))+IF($I933="LCFF Rate",(I927*$C927),(I927*$E927))+IF($K933="LCFF Rate",(K927*$C927),(K927*$E927))+IF($M933="LCFF Rate",(M927*$C927),(M927*$E927))+IF($O933="LCFF Rate",(O927*$C927),(O927*$E927))+IF($Q933="LCFF Rate",(Q927*$C927),(Q927*$E927)),0)</f>
        <v>0</v>
      </c>
      <c r="V927" s="524"/>
      <c r="X927" s="4"/>
    </row>
    <row r="928" spans="1:24" s="8" customFormat="1" ht="14.4">
      <c r="A928" s="521"/>
      <c r="B928" s="510" t="s">
        <v>3</v>
      </c>
      <c r="C928" s="525">
        <f>IFERROR(VLOOKUP($B924,'PY1 TFR ADA'!$F:$AU,MATCH("A-1.3",'PY1 TFR ADA'!$F$5:$AU$5,0),FALSE),0)</f>
        <v>0</v>
      </c>
      <c r="D928" s="167"/>
      <c r="E928" s="525">
        <f>IFERROR(VALUE(VLOOKUP($B924,'PY1 TFR ADA'!$F:$AU,MATCH("A-2.3",'PY1 TFR ADA'!$F$5:$AU$5,0),FALSE)),0)</f>
        <v>0</v>
      </c>
      <c r="F928" s="167"/>
      <c r="G928" s="609">
        <f>IFERROR(VLOOKUP($B924,'PY1 TFR ADA'!$F:$AU,MATCH("b-1.3",'PY1 TFR ADA'!$F$5:$AU$5,0),FALSE),0)</f>
        <v>0</v>
      </c>
      <c r="H928" s="527"/>
      <c r="I928" s="609">
        <f>IFERROR(VLOOKUP($B924,'PY1 TFR ADA'!$F:$AU,MATCH("b-2.3",'PY1 TFR ADA'!$F$5:$AU$5,0),FALSE),0)</f>
        <v>0</v>
      </c>
      <c r="J928" s="527"/>
      <c r="K928" s="609">
        <f>IFERROR(VLOOKUP($B924,'PY1 TFR ADA'!$F:$AU,MATCH("b-3.3",'PY1 TFR ADA'!$F$5:$AU$5,0),FALSE),0)</f>
        <v>0</v>
      </c>
      <c r="L928" s="527"/>
      <c r="M928" s="609">
        <f>IFERROR(VLOOKUP($B924,'PY1 TFR ADA'!$F:$AU,MATCH("b-4.3",'PY1 TFR ADA'!$F$5:$AU$5,0),FALSE),0)</f>
        <v>0</v>
      </c>
      <c r="N928" s="527"/>
      <c r="O928" s="609">
        <f>IFERROR(VLOOKUP($B924,'PY1 TFR ADA'!$F:$AU,MATCH("b-5.3",'PY1 TFR ADA'!$F$5:$AU$5,0),FALSE),0)</f>
        <v>0</v>
      </c>
      <c r="P928" s="527"/>
      <c r="Q928" s="609">
        <f>IFERROR(VLOOKUP($B924,'PY1 TFR ADA'!$F:$AU,MATCH("b-6.3",'PY1 TFR ADA'!$F$5:$AU$5,0),FALSE),0)</f>
        <v>0</v>
      </c>
      <c r="R928" s="551"/>
      <c r="S928" s="601">
        <f t="shared" si="1378"/>
        <v>0</v>
      </c>
      <c r="T928" s="551"/>
      <c r="U928" s="536">
        <f t="shared" ref="U928" si="1381">ROUND(IF($G933="LCFF Rate",(G928*$C928),(G928*$E928))+IF($I933="LCFF Rate",(I928*$C928),(I928*$E928))+IF($K933="LCFF Rate",(K928*$C928),(K928*$E928))+IF($M933="LCFF Rate",(M928*$C928),(M928*$E928))+IF($O933="LCFF Rate",(O928*$C928),(O928*$E928))+IF($Q933="LCFF Rate",(Q928*$C928),(Q928*$E928)),0)</f>
        <v>0</v>
      </c>
      <c r="V928" s="524"/>
      <c r="X928" s="4"/>
    </row>
    <row r="929" spans="1:24" s="8" customFormat="1" ht="14.4">
      <c r="A929" s="526"/>
      <c r="B929" s="510" t="s">
        <v>4</v>
      </c>
      <c r="C929" s="525">
        <f>IFERROR(VLOOKUP($B924,'PY1 TFR ADA'!$F:$AU,MATCH("A-1.4",'PY1 TFR ADA'!$F$5:$AU$5,0),FALSE),0)</f>
        <v>0</v>
      </c>
      <c r="D929" s="523"/>
      <c r="E929" s="525">
        <f>IFERROR(VALUE(VLOOKUP($B924,'PY1 TFR ADA'!$F:$AU,MATCH("A-2.4",'PY1 TFR ADA'!$F$5:$AU$5,0),FALSE)),0)</f>
        <v>0</v>
      </c>
      <c r="F929" s="523"/>
      <c r="G929" s="609">
        <f>IFERROR(VLOOKUP($B924,'PY1 TFR ADA'!$F:$AU,MATCH("b-1.4",'PY1 TFR ADA'!$F$5:$AU$5,0),FALSE),0)</f>
        <v>0</v>
      </c>
      <c r="H929" s="527"/>
      <c r="I929" s="609">
        <f>IFERROR(VLOOKUP($B924,'PY1 TFR ADA'!$F:$AU,MATCH("b-2.4",'PY1 TFR ADA'!$F$5:$AU$5,0),FALSE),0)</f>
        <v>0</v>
      </c>
      <c r="J929" s="527"/>
      <c r="K929" s="609">
        <f>IFERROR(VLOOKUP($B924,'PY1 TFR ADA'!$F:$AU,MATCH("b-3.4",'PY1 TFR ADA'!$F$5:$AU$5,0),FALSE),0)</f>
        <v>0</v>
      </c>
      <c r="L929" s="527"/>
      <c r="M929" s="609">
        <f>IFERROR(VLOOKUP($B924,'PY1 TFR ADA'!$F:$AU,MATCH("b-4.4",'PY1 TFR ADA'!$F$5:$AU$5,0),FALSE),0)</f>
        <v>0</v>
      </c>
      <c r="N929" s="527"/>
      <c r="O929" s="609">
        <f>IFERROR(VLOOKUP($B924,'PY1 TFR ADA'!$F:$AU,MATCH("b-5.4",'PY1 TFR ADA'!$F$5:$AU$5,0),FALSE),0)</f>
        <v>0</v>
      </c>
      <c r="P929" s="527"/>
      <c r="Q929" s="609">
        <f>IFERROR(VLOOKUP($B924,'PY1 TFR ADA'!$F:$AU,MATCH("b-6.4",'PY1 TFR ADA'!$F$5:$AU$5,0),FALSE),0)</f>
        <v>0</v>
      </c>
      <c r="R929" s="551"/>
      <c r="S929" s="601">
        <f t="shared" si="1378"/>
        <v>0</v>
      </c>
      <c r="T929" s="551"/>
      <c r="U929" s="536">
        <f t="shared" ref="U929" si="1382">ROUND(IF($G933="LCFF Rate",(G929*$C929),(G929*$E929))+IF($I933="LCFF Rate",(I929*$C929),(I929*$E929))+IF($K933="LCFF Rate",(K929*$C929),(K929*$E929))+IF($M933="LCFF Rate",(M929*$C929),(M929*$E929))+IF($O933="LCFF Rate",(O929*$C929),(O929*$E929))+IF($Q933="LCFF Rate",(Q929*$C929),(Q929*$E929)),0)</f>
        <v>0</v>
      </c>
      <c r="V929" s="522"/>
      <c r="X929" s="496"/>
    </row>
    <row r="930" spans="1:24" s="8" customFormat="1" ht="8.25" customHeight="1">
      <c r="A930" s="521"/>
      <c r="B930" s="167"/>
      <c r="C930" s="165"/>
      <c r="D930" s="523"/>
      <c r="E930" s="165"/>
      <c r="F930" s="523"/>
      <c r="G930" s="520"/>
      <c r="H930" s="523"/>
      <c r="I930" s="520"/>
      <c r="J930" s="523"/>
      <c r="K930" s="520"/>
      <c r="L930" s="523"/>
      <c r="M930" s="520"/>
      <c r="N930" s="523"/>
      <c r="O930" s="520"/>
      <c r="P930" s="523"/>
      <c r="Q930" s="520"/>
      <c r="R930" s="167"/>
      <c r="S930" s="520"/>
      <c r="T930" s="167"/>
      <c r="U930" s="602"/>
      <c r="V930" s="522"/>
      <c r="X930" s="4"/>
    </row>
    <row r="931" spans="1:24" s="8" customFormat="1" ht="14.4">
      <c r="A931" s="521"/>
      <c r="B931" s="167"/>
      <c r="C931" s="165"/>
      <c r="D931" s="523"/>
      <c r="E931" s="513" t="s">
        <v>1317</v>
      </c>
      <c r="F931" s="523"/>
      <c r="G931" s="601">
        <f t="shared" ref="G931" si="1383">SUM(G926:G929)</f>
        <v>0</v>
      </c>
      <c r="H931" s="527"/>
      <c r="I931" s="601">
        <f t="shared" ref="I931" si="1384">SUM(I926:I929)</f>
        <v>0</v>
      </c>
      <c r="J931" s="527"/>
      <c r="K931" s="601">
        <f t="shared" ref="K931" si="1385">SUM(K926:K929)</f>
        <v>0</v>
      </c>
      <c r="L931" s="527"/>
      <c r="M931" s="601">
        <f t="shared" ref="M931" si="1386">SUM(M926:M929)</f>
        <v>0</v>
      </c>
      <c r="N931" s="527"/>
      <c r="O931" s="601">
        <f t="shared" ref="O931" si="1387">SUM(O926:O929)</f>
        <v>0</v>
      </c>
      <c r="P931" s="527"/>
      <c r="Q931" s="601">
        <f t="shared" ref="Q931" si="1388">SUM(Q926:Q929)</f>
        <v>0</v>
      </c>
      <c r="R931" s="527"/>
      <c r="S931" s="601">
        <f t="shared" ref="S931" si="1389">SUM(S926:S929)</f>
        <v>0</v>
      </c>
      <c r="T931" s="527"/>
      <c r="U931" s="536">
        <f t="shared" ref="U931" si="1390">SUM(U926:U929)</f>
        <v>0</v>
      </c>
      <c r="V931" s="522"/>
      <c r="X931" s="4"/>
    </row>
    <row r="932" spans="1:24" s="8" customFormat="1" ht="8.25" customHeight="1">
      <c r="A932" s="521"/>
      <c r="B932" s="167"/>
      <c r="C932" s="165"/>
      <c r="D932" s="523"/>
      <c r="E932" s="165"/>
      <c r="F932" s="523"/>
      <c r="G932" s="520"/>
      <c r="H932" s="523"/>
      <c r="I932" s="520"/>
      <c r="J932" s="523"/>
      <c r="K932" s="520"/>
      <c r="L932" s="523"/>
      <c r="M932" s="520"/>
      <c r="N932" s="523"/>
      <c r="O932" s="520"/>
      <c r="P932" s="523"/>
      <c r="Q932" s="520"/>
      <c r="R932" s="167"/>
      <c r="S932" s="520"/>
      <c r="T932" s="167"/>
      <c r="U932" s="528"/>
      <c r="V932" s="522"/>
      <c r="X932" s="4"/>
    </row>
    <row r="933" spans="1:24" s="8" customFormat="1" ht="16.5" customHeight="1">
      <c r="A933" s="521"/>
      <c r="B933" s="167"/>
      <c r="C933" s="165"/>
      <c r="E933" s="513" t="s">
        <v>1304</v>
      </c>
      <c r="F933" s="523"/>
      <c r="G933" s="977">
        <f>_xlfn.IFNA(IF(VLOOKUP($B924,'PY1 TFR ADA'!$F:$AU,MATCH("B-1.5",'PY1 TFR ADA'!$F$5:$AU$5,0),FALSE)=TRUE,IF(VLOOKUP($B924,'PY1 TFR ADA'!$F:$AU,MATCH("C-1",'PY1 TFR ADA'!$F$5:$AU$5,0),FALSE)=TRUE,"Alternative Rate","LCFF Rate"),"LCFF Rate"),0)</f>
        <v>0</v>
      </c>
      <c r="H933" s="523"/>
      <c r="I933" s="977">
        <f>_xlfn.IFNA(IF(VLOOKUP($B924,'PY1 TFR ADA'!$F:$AU,MATCH("B-2.5",'PY1 TFR ADA'!$F$5:$AU$5,0),FALSE)=TRUE,IF(VLOOKUP($B924,'PY1 TFR ADA'!$F:$AU,MATCH("C-1",'PY1 TFR ADA'!$F$5:$AU$5,0),FALSE)=TRUE,"Alternative Rate","LCFF Rate"),"LCFF Rate"),0)</f>
        <v>0</v>
      </c>
      <c r="J933" s="523"/>
      <c r="K933" s="977">
        <f>_xlfn.IFNA(IF(VLOOKUP($B924,'PY1 TFR ADA'!$F:$AU,MATCH("B-3.5",'PY1 TFR ADA'!$F$5:$AU$5,0),FALSE)=TRUE,IF(VLOOKUP($B924,'PY1 TFR ADA'!$F:$AU,MATCH("C-1",'PY1 TFR ADA'!$F$5:$AU$5,0),FALSE)=TRUE,"Alternative Rate","LCFF Rate"),"LCFF Rate"),0)</f>
        <v>0</v>
      </c>
      <c r="L933" s="523"/>
      <c r="M933" s="977">
        <f>_xlfn.IFNA(IF(VLOOKUP($B924,'PY1 TFR ADA'!$F:$AU,MATCH("B-4.5",'PY1 TFR ADA'!$F$5:$AU$5,0),FALSE)=TRUE,IF(VLOOKUP($B924,'PY1 TFR ADA'!$F:$AU,MATCH("C-1",'PY1 TFR ADA'!$F$5:$AU$5,0),FALSE)=TRUE,"Alternative Rate","LCFF Rate"),"LCFF Rate"),0)</f>
        <v>0</v>
      </c>
      <c r="N933" s="523"/>
      <c r="O933" s="977">
        <f>_xlfn.IFNA(IF(VLOOKUP($B924,'PY1 TFR ADA'!$F:$AU,MATCH("B-5.5",'PY1 TFR ADA'!$F$5:$AU$5,0),FALSE)=TRUE,IF(VLOOKUP($B924,'PY1 TFR ADA'!$F:$AU,MATCH("C-1",'PY1 TFR ADA'!$F$5:$AU$5,0),FALSE)=TRUE,"Alternative Rate","LCFF Rate"),"LCFF Rate"),0)</f>
        <v>0</v>
      </c>
      <c r="P933" s="523"/>
      <c r="Q933" s="977">
        <f>_xlfn.IFNA(IF(VLOOKUP($B924,'PY1 TFR ADA'!$F:$AU,MATCH("B-6.5",'PY1 TFR ADA'!$F$5:$AU$5,0),FALSE)=TRUE,IF(VLOOKUP($B924,'PY1 TFR ADA'!$F:$AU,MATCH("C-1",'PY1 TFR ADA'!$F$5:$AU$5,0),FALSE)=TRUE,"Alternative Rate","LCFF Rate"),"LCFF Rate"),0)</f>
        <v>0</v>
      </c>
      <c r="R933" s="167"/>
      <c r="S933" s="520"/>
      <c r="T933" s="167"/>
      <c r="U933" s="528"/>
      <c r="V933" s="522"/>
      <c r="X933" s="283"/>
    </row>
    <row r="934" spans="1:24" s="8" customFormat="1" ht="8.25" customHeight="1">
      <c r="A934" s="521"/>
      <c r="B934" s="167"/>
      <c r="C934" s="165"/>
      <c r="D934" s="523"/>
      <c r="E934" s="165"/>
      <c r="F934" s="523"/>
      <c r="G934" s="520"/>
      <c r="H934" s="523"/>
      <c r="I934" s="520"/>
      <c r="J934" s="523"/>
      <c r="K934" s="520"/>
      <c r="L934" s="523"/>
      <c r="M934" s="520"/>
      <c r="N934" s="523"/>
      <c r="O934" s="520"/>
      <c r="P934" s="523"/>
      <c r="Q934" s="520"/>
      <c r="R934" s="167"/>
      <c r="S934" s="520"/>
      <c r="T934" s="167"/>
      <c r="U934" s="528"/>
      <c r="V934" s="522"/>
      <c r="X934" s="4"/>
    </row>
    <row r="935" spans="1:24" s="8" customFormat="1" ht="16.8">
      <c r="A935" s="521"/>
      <c r="B935" s="2"/>
      <c r="F935" s="523"/>
      <c r="G935" s="535">
        <f t="shared" ref="G935" si="1391">IF(G933="LCFF Rate",(G926*C926+G927*C927+G928*C928+G929*C929),(G931*E929))</f>
        <v>0</v>
      </c>
      <c r="H935" s="537"/>
      <c r="I935" s="535">
        <f t="shared" ref="I935" si="1392">IF(I933="LCFF Rate",(I926*C926+I927*C927+I928*C928+I929*C929),(I931*E929))</f>
        <v>0</v>
      </c>
      <c r="J935" s="537"/>
      <c r="K935" s="535">
        <f t="shared" ref="K935" si="1393">IF(K933="LCFF Rate",(K926*C926+K927*C927+K928*C928+K929*C929),(K931*E929))</f>
        <v>0</v>
      </c>
      <c r="L935" s="537"/>
      <c r="M935" s="535">
        <f t="shared" ref="M935" si="1394">IF(M933="LCFF Rate",(M926*C926+M927*C927+M928*C928+M929*C929),(M931*E929))</f>
        <v>0</v>
      </c>
      <c r="N935" s="537"/>
      <c r="O935" s="535">
        <f t="shared" ref="O935" si="1395">IF(O933="LCFF Rate",(O926*C926+O927*C927+O928*C928+O929*C929),(O931*E929))</f>
        <v>0</v>
      </c>
      <c r="P935" s="537"/>
      <c r="Q935" s="535">
        <f t="shared" ref="Q935" si="1396">IF(Q933="LCFF Rate",(Q926*C926+Q927*C927+Q928*C928+Q929*C929),(Q931*E929))</f>
        <v>0</v>
      </c>
      <c r="R935" s="167"/>
      <c r="S935" s="538">
        <f t="shared" ref="S935" si="1397">SUM(G935:Q935)</f>
        <v>0</v>
      </c>
      <c r="T935" s="167"/>
      <c r="U935" s="528"/>
      <c r="V935" s="522"/>
      <c r="X935" s="979"/>
    </row>
    <row r="936" spans="1:24" s="8" customFormat="1" ht="9" customHeight="1" thickBot="1">
      <c r="A936" s="529"/>
      <c r="B936" s="530"/>
      <c r="C936" s="531"/>
      <c r="D936" s="532"/>
      <c r="E936" s="533"/>
      <c r="F936" s="532"/>
      <c r="G936" s="530"/>
      <c r="H936" s="532"/>
      <c r="I936" s="530"/>
      <c r="J936" s="532"/>
      <c r="K936" s="530"/>
      <c r="L936" s="532"/>
      <c r="M936" s="530"/>
      <c r="N936" s="532"/>
      <c r="O936" s="530"/>
      <c r="P936" s="532"/>
      <c r="Q936" s="530"/>
      <c r="R936" s="532"/>
      <c r="S936" s="530"/>
      <c r="T936" s="532"/>
      <c r="U936" s="532"/>
      <c r="V936" s="534"/>
      <c r="X936" s="4"/>
    </row>
    <row r="937" spans="1:24" s="82" customFormat="1" ht="18" customHeight="1" thickBot="1">
      <c r="A937" s="890">
        <f>+A924+1</f>
        <v>72</v>
      </c>
      <c r="B937" s="891" t="str">
        <f>'Data Entry'!$B$3&amp;"-"&amp;C937</f>
        <v>-</v>
      </c>
      <c r="C937" s="891" t="str">
        <f>IFERROR(VLOOKUP('Data Entry'!$B$3&amp;"-"&amp;A937,'PY1 TFR ADA'!$D:$AT,2,FALSE),"")</f>
        <v/>
      </c>
      <c r="D937" s="892" t="str">
        <f>IFERROR(VLOOKUP('Data Entry'!$B$3&amp;"-"&amp;A937,'PY1 TFR ADA'!$D:$AT,4,FALSE),"")</f>
        <v/>
      </c>
      <c r="E937" s="893"/>
      <c r="F937" s="893"/>
      <c r="G937" s="893"/>
      <c r="H937" s="893"/>
      <c r="I937" s="893"/>
      <c r="J937" s="893"/>
      <c r="K937" s="893"/>
      <c r="L937" s="893"/>
      <c r="M937" s="893"/>
      <c r="N937" s="893"/>
      <c r="O937" s="893"/>
      <c r="P937" s="893"/>
      <c r="Q937" s="893"/>
      <c r="R937" s="893"/>
      <c r="S937" s="893"/>
      <c r="T937" s="893"/>
      <c r="U937" s="893"/>
      <c r="V937" s="894"/>
      <c r="X937" s="83"/>
    </row>
    <row r="938" spans="1:24" ht="75" customHeight="1">
      <c r="A938" s="521"/>
      <c r="C938" s="540" t="s">
        <v>1315</v>
      </c>
      <c r="D938" s="512"/>
      <c r="E938" s="540" t="s">
        <v>1316</v>
      </c>
      <c r="F938" s="512"/>
      <c r="G938" s="540" t="s">
        <v>1309</v>
      </c>
      <c r="H938" s="512"/>
      <c r="I938" s="540" t="s">
        <v>1310</v>
      </c>
      <c r="J938" s="512"/>
      <c r="K938" s="540" t="s">
        <v>1311</v>
      </c>
      <c r="L938" s="512"/>
      <c r="M938" s="540" t="s">
        <v>1312</v>
      </c>
      <c r="N938" s="512"/>
      <c r="O938" s="540" t="s">
        <v>1313</v>
      </c>
      <c r="P938" s="512"/>
      <c r="Q938" s="540" t="s">
        <v>1314</v>
      </c>
      <c r="R938" s="167"/>
      <c r="S938" s="540" t="s">
        <v>1308</v>
      </c>
      <c r="T938" s="167"/>
      <c r="U938" s="512" t="s">
        <v>1307</v>
      </c>
      <c r="V938" s="524"/>
      <c r="X938" s="283"/>
    </row>
    <row r="939" spans="1:24" s="8" customFormat="1" ht="14.4">
      <c r="A939" s="521"/>
      <c r="B939" s="510" t="s">
        <v>94</v>
      </c>
      <c r="C939" s="525">
        <f>IFERROR(VLOOKUP($B937,'PY1 TFR ADA'!$F:$AU,MATCH("A-1.1",'PY1 TFR ADA'!$F$5:$AU$5,0),FALSE),0)</f>
        <v>0</v>
      </c>
      <c r="D939" s="167"/>
      <c r="E939" s="525">
        <f>IFERROR(VALUE(VLOOKUP($B937,'PY1 TFR ADA'!$F:$AU,MATCH("A-2.1",'PY1 TFR ADA'!$F$5:$AU$5,0),FALSE)),0)</f>
        <v>0</v>
      </c>
      <c r="F939" s="167"/>
      <c r="G939" s="609">
        <f>IFERROR(VLOOKUP($B937,'PY1 TFR ADA'!$F:$AU,MATCH("b-1.1",'PY1 TFR ADA'!$F$5:$AU$5,0),FALSE),0)</f>
        <v>0</v>
      </c>
      <c r="H939" s="527"/>
      <c r="I939" s="609">
        <f>IFERROR(VLOOKUP($B937,'PY1 TFR ADA'!$F:$AU,MATCH("b-2.1",'PY1 TFR ADA'!$F$5:$AU$5,0),FALSE),0)</f>
        <v>0</v>
      </c>
      <c r="J939" s="527"/>
      <c r="K939" s="609">
        <f>IFERROR(VLOOKUP($B937,'PY1 TFR ADA'!$F:$AU,MATCH("b-3.1",'PY1 TFR ADA'!$F$5:$AU$5,0),FALSE),0)</f>
        <v>0</v>
      </c>
      <c r="L939" s="527"/>
      <c r="M939" s="609">
        <f>IFERROR(VLOOKUP($B937,'PY1 TFR ADA'!$F:$AU,MATCH("b-4.1",'PY1 TFR ADA'!$F$5:$AU$5,0),FALSE),0)</f>
        <v>0</v>
      </c>
      <c r="N939" s="527"/>
      <c r="O939" s="609">
        <f>IFERROR(VLOOKUP($B937,'PY1 TFR ADA'!$F:$AU,MATCH("b-5.1",'PY1 TFR ADA'!$F$5:$AU$5,0),FALSE),0)</f>
        <v>0</v>
      </c>
      <c r="P939" s="527"/>
      <c r="Q939" s="609">
        <f>IFERROR(VLOOKUP($B937,'PY1 TFR ADA'!$F:$AU,MATCH("b-6.1",'PY1 TFR ADA'!$F$5:$AU$5,0),FALSE),0)</f>
        <v>0</v>
      </c>
      <c r="R939" s="551"/>
      <c r="S939" s="601">
        <f t="shared" ref="S939:S942" si="1398">SUM(G939:Q939)</f>
        <v>0</v>
      </c>
      <c r="T939" s="551"/>
      <c r="U939" s="536">
        <f t="shared" ref="U939" si="1399">ROUND(IF($G946="LCFF Rate",(G939*$C939),(G939*$E939))+IF($I946="LCFF Rate",(I939*$C939),(I939*$E939))+IF($K946="LCFF Rate",(K939*$C939),(K939*$E939))+IF($M946="LCFF Rate",(M939*$C939),(M939*$E939))+IF($O946="LCFF Rate",(O939*$C939),(O939*$E939))+IF($Q946="LCFF Rate",(Q939*$C939),(Q939*$E939)),0)</f>
        <v>0</v>
      </c>
      <c r="V939" s="524"/>
      <c r="X939" s="496"/>
    </row>
    <row r="940" spans="1:24" s="8" customFormat="1" ht="14.4">
      <c r="A940" s="521"/>
      <c r="B940" s="510" t="s">
        <v>2</v>
      </c>
      <c r="C940" s="525">
        <f>IFERROR(VLOOKUP($B937,'PY1 TFR ADA'!$F:$AU,MATCH("A-1.2",'PY1 TFR ADA'!$F$5:$AU$5,0),FALSE),0)</f>
        <v>0</v>
      </c>
      <c r="D940" s="167"/>
      <c r="E940" s="525">
        <f>IFERROR(VALUE(VLOOKUP($B937,'PY1 TFR ADA'!$F:$AU,MATCH("A-2.2",'PY1 TFR ADA'!$F$5:$AU$5,0),FALSE)),0)</f>
        <v>0</v>
      </c>
      <c r="F940" s="167"/>
      <c r="G940" s="609">
        <f>IFERROR(VLOOKUP($B937,'PY1 TFR ADA'!$F:$AU,MATCH("b-1.2",'PY1 TFR ADA'!$F$5:$AU$5,0),FALSE),0)</f>
        <v>0</v>
      </c>
      <c r="H940" s="527"/>
      <c r="I940" s="609">
        <f>IFERROR(VLOOKUP($B937,'PY1 TFR ADA'!$F:$AU,MATCH("b-2.2",'PY1 TFR ADA'!$F$5:$AU$5,0),FALSE),0)</f>
        <v>0</v>
      </c>
      <c r="J940" s="527"/>
      <c r="K940" s="609">
        <f>IFERROR(VLOOKUP($B937,'PY1 TFR ADA'!$F:$AU,MATCH("b-3.2",'PY1 TFR ADA'!$F$5:$AU$5,0),FALSE),0)</f>
        <v>0</v>
      </c>
      <c r="L940" s="527"/>
      <c r="M940" s="609">
        <f>IFERROR(VLOOKUP($B937,'PY1 TFR ADA'!$F:$AU,MATCH("b-4.2",'PY1 TFR ADA'!$F$5:$AU$5,0),FALSE),0)</f>
        <v>0</v>
      </c>
      <c r="N940" s="527"/>
      <c r="O940" s="609">
        <f>IFERROR(VLOOKUP($B937,'PY1 TFR ADA'!$F:$AU,MATCH("b-5.2",'PY1 TFR ADA'!$F$5:$AU$5,0),FALSE),0)</f>
        <v>0</v>
      </c>
      <c r="P940" s="527"/>
      <c r="Q940" s="609">
        <f>IFERROR(VLOOKUP($B937,'PY1 TFR ADA'!$F:$AU,MATCH("b-6.2",'PY1 TFR ADA'!$F$5:$AU$5,0),FALSE),0)</f>
        <v>0</v>
      </c>
      <c r="R940" s="551"/>
      <c r="S940" s="601">
        <f t="shared" si="1398"/>
        <v>0</v>
      </c>
      <c r="T940" s="551"/>
      <c r="U940" s="536">
        <f t="shared" ref="U940" si="1400">ROUND(IF($G946="LCFF Rate",(G940*$C940),(G940*$E940))+IF($I946="LCFF Rate",(I940*$C940),(I940*$E940))+IF($K946="LCFF Rate",(K940*$C940),(K940*$E940))+IF($M946="LCFF Rate",(M940*$C940),(M940*$E940))+IF($O946="LCFF Rate",(O940*$C940),(O940*$E940))+IF($Q946="LCFF Rate",(Q940*$C940),(Q940*$E940)),0)</f>
        <v>0</v>
      </c>
      <c r="V940" s="524"/>
      <c r="X940" s="4"/>
    </row>
    <row r="941" spans="1:24" s="8" customFormat="1" ht="14.4">
      <c r="A941" s="521"/>
      <c r="B941" s="510" t="s">
        <v>3</v>
      </c>
      <c r="C941" s="525">
        <f>IFERROR(VLOOKUP($B937,'PY1 TFR ADA'!$F:$AU,MATCH("A-1.3",'PY1 TFR ADA'!$F$5:$AU$5,0),FALSE),0)</f>
        <v>0</v>
      </c>
      <c r="D941" s="167"/>
      <c r="E941" s="525">
        <f>IFERROR(VALUE(VLOOKUP($B937,'PY1 TFR ADA'!$F:$AU,MATCH("A-2.3",'PY1 TFR ADA'!$F$5:$AU$5,0),FALSE)),0)</f>
        <v>0</v>
      </c>
      <c r="F941" s="167"/>
      <c r="G941" s="609">
        <f>IFERROR(VLOOKUP($B937,'PY1 TFR ADA'!$F:$AU,MATCH("b-1.3",'PY1 TFR ADA'!$F$5:$AU$5,0),FALSE),0)</f>
        <v>0</v>
      </c>
      <c r="H941" s="527"/>
      <c r="I941" s="609">
        <f>IFERROR(VLOOKUP($B937,'PY1 TFR ADA'!$F:$AU,MATCH("b-2.3",'PY1 TFR ADA'!$F$5:$AU$5,0),FALSE),0)</f>
        <v>0</v>
      </c>
      <c r="J941" s="527"/>
      <c r="K941" s="609">
        <f>IFERROR(VLOOKUP($B937,'PY1 TFR ADA'!$F:$AU,MATCH("b-3.3",'PY1 TFR ADA'!$F$5:$AU$5,0),FALSE),0)</f>
        <v>0</v>
      </c>
      <c r="L941" s="527"/>
      <c r="M941" s="609">
        <f>IFERROR(VLOOKUP($B937,'PY1 TFR ADA'!$F:$AU,MATCH("b-4.3",'PY1 TFR ADA'!$F$5:$AU$5,0),FALSE),0)</f>
        <v>0</v>
      </c>
      <c r="N941" s="527"/>
      <c r="O941" s="609">
        <f>IFERROR(VLOOKUP($B937,'PY1 TFR ADA'!$F:$AU,MATCH("b-5.3",'PY1 TFR ADA'!$F$5:$AU$5,0),FALSE),0)</f>
        <v>0</v>
      </c>
      <c r="P941" s="527"/>
      <c r="Q941" s="609">
        <f>IFERROR(VLOOKUP($B937,'PY1 TFR ADA'!$F:$AU,MATCH("b-6.3",'PY1 TFR ADA'!$F$5:$AU$5,0),FALSE),0)</f>
        <v>0</v>
      </c>
      <c r="R941" s="551"/>
      <c r="S941" s="601">
        <f t="shared" si="1398"/>
        <v>0</v>
      </c>
      <c r="T941" s="551"/>
      <c r="U941" s="536">
        <f t="shared" ref="U941" si="1401">ROUND(IF($G946="LCFF Rate",(G941*$C941),(G941*$E941))+IF($I946="LCFF Rate",(I941*$C941),(I941*$E941))+IF($K946="LCFF Rate",(K941*$C941),(K941*$E941))+IF($M946="LCFF Rate",(M941*$C941),(M941*$E941))+IF($O946="LCFF Rate",(O941*$C941),(O941*$E941))+IF($Q946="LCFF Rate",(Q941*$C941),(Q941*$E941)),0)</f>
        <v>0</v>
      </c>
      <c r="V941" s="524"/>
      <c r="X941" s="4"/>
    </row>
    <row r="942" spans="1:24" s="8" customFormat="1" ht="14.4">
      <c r="A942" s="526"/>
      <c r="B942" s="510" t="s">
        <v>4</v>
      </c>
      <c r="C942" s="525">
        <f>IFERROR(VLOOKUP($B937,'PY1 TFR ADA'!$F:$AU,MATCH("A-1.4",'PY1 TFR ADA'!$F$5:$AU$5,0),FALSE),0)</f>
        <v>0</v>
      </c>
      <c r="D942" s="523"/>
      <c r="E942" s="525">
        <f>IFERROR(VALUE(VLOOKUP($B937,'PY1 TFR ADA'!$F:$AU,MATCH("A-2.4",'PY1 TFR ADA'!$F$5:$AU$5,0),FALSE)),0)</f>
        <v>0</v>
      </c>
      <c r="F942" s="523"/>
      <c r="G942" s="609">
        <f>IFERROR(VLOOKUP($B937,'PY1 TFR ADA'!$F:$AU,MATCH("b-1.4",'PY1 TFR ADA'!$F$5:$AU$5,0),FALSE),0)</f>
        <v>0</v>
      </c>
      <c r="H942" s="527"/>
      <c r="I942" s="609">
        <f>IFERROR(VLOOKUP($B937,'PY1 TFR ADA'!$F:$AU,MATCH("b-2.4",'PY1 TFR ADA'!$F$5:$AU$5,0),FALSE),0)</f>
        <v>0</v>
      </c>
      <c r="J942" s="527"/>
      <c r="K942" s="609">
        <f>IFERROR(VLOOKUP($B937,'PY1 TFR ADA'!$F:$AU,MATCH("b-3.4",'PY1 TFR ADA'!$F$5:$AU$5,0),FALSE),0)</f>
        <v>0</v>
      </c>
      <c r="L942" s="527"/>
      <c r="M942" s="609">
        <f>IFERROR(VLOOKUP($B937,'PY1 TFR ADA'!$F:$AU,MATCH("b-4.4",'PY1 TFR ADA'!$F$5:$AU$5,0),FALSE),0)</f>
        <v>0</v>
      </c>
      <c r="N942" s="527"/>
      <c r="O942" s="609">
        <f>IFERROR(VLOOKUP($B937,'PY1 TFR ADA'!$F:$AU,MATCH("b-5.4",'PY1 TFR ADA'!$F$5:$AU$5,0),FALSE),0)</f>
        <v>0</v>
      </c>
      <c r="P942" s="527"/>
      <c r="Q942" s="609">
        <f>IFERROR(VLOOKUP($B937,'PY1 TFR ADA'!$F:$AU,MATCH("b-6.4",'PY1 TFR ADA'!$F$5:$AU$5,0),FALSE),0)</f>
        <v>0</v>
      </c>
      <c r="R942" s="551"/>
      <c r="S942" s="601">
        <f t="shared" si="1398"/>
        <v>0</v>
      </c>
      <c r="T942" s="551"/>
      <c r="U942" s="536">
        <f t="shared" ref="U942" si="1402">ROUND(IF($G946="LCFF Rate",(G942*$C942),(G942*$E942))+IF($I946="LCFF Rate",(I942*$C942),(I942*$E942))+IF($K946="LCFF Rate",(K942*$C942),(K942*$E942))+IF($M946="LCFF Rate",(M942*$C942),(M942*$E942))+IF($O946="LCFF Rate",(O942*$C942),(O942*$E942))+IF($Q946="LCFF Rate",(Q942*$C942),(Q942*$E942)),0)</f>
        <v>0</v>
      </c>
      <c r="V942" s="522"/>
      <c r="X942" s="496"/>
    </row>
    <row r="943" spans="1:24" s="8" customFormat="1" ht="8.25" customHeight="1">
      <c r="A943" s="521"/>
      <c r="B943" s="167"/>
      <c r="C943" s="165"/>
      <c r="D943" s="523"/>
      <c r="E943" s="165"/>
      <c r="F943" s="523"/>
      <c r="G943" s="520"/>
      <c r="H943" s="523"/>
      <c r="I943" s="520"/>
      <c r="J943" s="523"/>
      <c r="K943" s="520"/>
      <c r="L943" s="523"/>
      <c r="M943" s="520"/>
      <c r="N943" s="523"/>
      <c r="O943" s="520"/>
      <c r="P943" s="523"/>
      <c r="Q943" s="520"/>
      <c r="R943" s="167"/>
      <c r="S943" s="520"/>
      <c r="T943" s="167"/>
      <c r="U943" s="602"/>
      <c r="V943" s="522"/>
      <c r="X943" s="4"/>
    </row>
    <row r="944" spans="1:24" s="8" customFormat="1" ht="14.4">
      <c r="A944" s="521"/>
      <c r="B944" s="167"/>
      <c r="C944" s="165"/>
      <c r="D944" s="523"/>
      <c r="E944" s="513" t="s">
        <v>1317</v>
      </c>
      <c r="F944" s="523"/>
      <c r="G944" s="601">
        <f t="shared" ref="G944" si="1403">SUM(G939:G942)</f>
        <v>0</v>
      </c>
      <c r="H944" s="527"/>
      <c r="I944" s="601">
        <f t="shared" ref="I944" si="1404">SUM(I939:I942)</f>
        <v>0</v>
      </c>
      <c r="J944" s="527"/>
      <c r="K944" s="601">
        <f t="shared" ref="K944" si="1405">SUM(K939:K942)</f>
        <v>0</v>
      </c>
      <c r="L944" s="527"/>
      <c r="M944" s="601">
        <f t="shared" ref="M944" si="1406">SUM(M939:M942)</f>
        <v>0</v>
      </c>
      <c r="N944" s="527"/>
      <c r="O944" s="601">
        <f t="shared" ref="O944" si="1407">SUM(O939:O942)</f>
        <v>0</v>
      </c>
      <c r="P944" s="527"/>
      <c r="Q944" s="601">
        <f t="shared" ref="Q944" si="1408">SUM(Q939:Q942)</f>
        <v>0</v>
      </c>
      <c r="R944" s="527"/>
      <c r="S944" s="601">
        <f t="shared" ref="S944" si="1409">SUM(S939:S942)</f>
        <v>0</v>
      </c>
      <c r="T944" s="527"/>
      <c r="U944" s="536">
        <f t="shared" ref="U944" si="1410">SUM(U939:U942)</f>
        <v>0</v>
      </c>
      <c r="V944" s="522"/>
      <c r="X944" s="4"/>
    </row>
    <row r="945" spans="1:24" s="8" customFormat="1" ht="8.25" customHeight="1">
      <c r="A945" s="521"/>
      <c r="B945" s="167"/>
      <c r="C945" s="165"/>
      <c r="D945" s="523"/>
      <c r="E945" s="165"/>
      <c r="F945" s="523"/>
      <c r="G945" s="520"/>
      <c r="H945" s="523"/>
      <c r="I945" s="520"/>
      <c r="J945" s="523"/>
      <c r="K945" s="520"/>
      <c r="L945" s="523"/>
      <c r="M945" s="520"/>
      <c r="N945" s="523"/>
      <c r="O945" s="520"/>
      <c r="P945" s="523"/>
      <c r="Q945" s="520"/>
      <c r="R945" s="167"/>
      <c r="S945" s="520"/>
      <c r="T945" s="167"/>
      <c r="U945" s="528"/>
      <c r="V945" s="522"/>
      <c r="X945" s="4"/>
    </row>
    <row r="946" spans="1:24" s="8" customFormat="1" ht="16.5" customHeight="1">
      <c r="A946" s="521"/>
      <c r="B946" s="167"/>
      <c r="C946" s="165"/>
      <c r="E946" s="513" t="s">
        <v>1304</v>
      </c>
      <c r="F946" s="523"/>
      <c r="G946" s="977">
        <f>_xlfn.IFNA(IF(VLOOKUP($B937,'PY1 TFR ADA'!$F:$AU,MATCH("B-1.5",'PY1 TFR ADA'!$F$5:$AU$5,0),FALSE)=TRUE,IF(VLOOKUP($B937,'PY1 TFR ADA'!$F:$AU,MATCH("C-1",'PY1 TFR ADA'!$F$5:$AU$5,0),FALSE)=TRUE,"Alternative Rate","LCFF Rate"),"LCFF Rate"),0)</f>
        <v>0</v>
      </c>
      <c r="H946" s="523"/>
      <c r="I946" s="977">
        <f>_xlfn.IFNA(IF(VLOOKUP($B937,'PY1 TFR ADA'!$F:$AU,MATCH("B-2.5",'PY1 TFR ADA'!$F$5:$AU$5,0),FALSE)=TRUE,IF(VLOOKUP($B937,'PY1 TFR ADA'!$F:$AU,MATCH("C-1",'PY1 TFR ADA'!$F$5:$AU$5,0),FALSE)=TRUE,"Alternative Rate","LCFF Rate"),"LCFF Rate"),0)</f>
        <v>0</v>
      </c>
      <c r="J946" s="523"/>
      <c r="K946" s="977">
        <f>_xlfn.IFNA(IF(VLOOKUP($B937,'PY1 TFR ADA'!$F:$AU,MATCH("B-3.5",'PY1 TFR ADA'!$F$5:$AU$5,0),FALSE)=TRUE,IF(VLOOKUP($B937,'PY1 TFR ADA'!$F:$AU,MATCH("C-1",'PY1 TFR ADA'!$F$5:$AU$5,0),FALSE)=TRUE,"Alternative Rate","LCFF Rate"),"LCFF Rate"),0)</f>
        <v>0</v>
      </c>
      <c r="L946" s="523"/>
      <c r="M946" s="977">
        <f>_xlfn.IFNA(IF(VLOOKUP($B937,'PY1 TFR ADA'!$F:$AU,MATCH("B-4.5",'PY1 TFR ADA'!$F$5:$AU$5,0),FALSE)=TRUE,IF(VLOOKUP($B937,'PY1 TFR ADA'!$F:$AU,MATCH("C-1",'PY1 TFR ADA'!$F$5:$AU$5,0),FALSE)=TRUE,"Alternative Rate","LCFF Rate"),"LCFF Rate"),0)</f>
        <v>0</v>
      </c>
      <c r="N946" s="523"/>
      <c r="O946" s="977">
        <f>_xlfn.IFNA(IF(VLOOKUP($B937,'PY1 TFR ADA'!$F:$AU,MATCH("B-5.5",'PY1 TFR ADA'!$F$5:$AU$5,0),FALSE)=TRUE,IF(VLOOKUP($B937,'PY1 TFR ADA'!$F:$AU,MATCH("C-1",'PY1 TFR ADA'!$F$5:$AU$5,0),FALSE)=TRUE,"Alternative Rate","LCFF Rate"),"LCFF Rate"),0)</f>
        <v>0</v>
      </c>
      <c r="P946" s="523"/>
      <c r="Q946" s="977">
        <f>_xlfn.IFNA(IF(VLOOKUP($B937,'PY1 TFR ADA'!$F:$AU,MATCH("B-6.5",'PY1 TFR ADA'!$F$5:$AU$5,0),FALSE)=TRUE,IF(VLOOKUP($B937,'PY1 TFR ADA'!$F:$AU,MATCH("C-1",'PY1 TFR ADA'!$F$5:$AU$5,0),FALSE)=TRUE,"Alternative Rate","LCFF Rate"),"LCFF Rate"),0)</f>
        <v>0</v>
      </c>
      <c r="R946" s="167"/>
      <c r="S946" s="520"/>
      <c r="T946" s="167"/>
      <c r="U946" s="528"/>
      <c r="V946" s="522"/>
      <c r="X946" s="283"/>
    </row>
    <row r="947" spans="1:24" s="8" customFormat="1" ht="8.25" customHeight="1">
      <c r="A947" s="521"/>
      <c r="B947" s="167"/>
      <c r="C947" s="165"/>
      <c r="D947" s="523"/>
      <c r="E947" s="165"/>
      <c r="F947" s="523"/>
      <c r="G947" s="520"/>
      <c r="H947" s="523"/>
      <c r="I947" s="520"/>
      <c r="J947" s="523"/>
      <c r="K947" s="520"/>
      <c r="L947" s="523"/>
      <c r="M947" s="520"/>
      <c r="N947" s="523"/>
      <c r="O947" s="520"/>
      <c r="P947" s="523"/>
      <c r="Q947" s="520"/>
      <c r="R947" s="167"/>
      <c r="S947" s="520"/>
      <c r="T947" s="167"/>
      <c r="U947" s="528"/>
      <c r="V947" s="522"/>
      <c r="X947" s="4"/>
    </row>
    <row r="948" spans="1:24" s="8" customFormat="1" ht="16.8">
      <c r="A948" s="521"/>
      <c r="B948" s="2"/>
      <c r="F948" s="523"/>
      <c r="G948" s="535">
        <f t="shared" ref="G948" si="1411">IF(G946="LCFF Rate",(G939*C939+G940*C940+G941*C941+G942*C942),(G944*E942))</f>
        <v>0</v>
      </c>
      <c r="H948" s="537"/>
      <c r="I948" s="535">
        <f t="shared" ref="I948" si="1412">IF(I946="LCFF Rate",(I939*C939+I940*C940+I941*C941+I942*C942),(I944*E942))</f>
        <v>0</v>
      </c>
      <c r="J948" s="537"/>
      <c r="K948" s="535">
        <f t="shared" ref="K948" si="1413">IF(K946="LCFF Rate",(K939*C939+K940*C940+K941*C941+K942*C942),(K944*E942))</f>
        <v>0</v>
      </c>
      <c r="L948" s="537"/>
      <c r="M948" s="535">
        <f t="shared" ref="M948" si="1414">IF(M946="LCFF Rate",(M939*C939+M940*C940+M941*C941+M942*C942),(M944*E942))</f>
        <v>0</v>
      </c>
      <c r="N948" s="537"/>
      <c r="O948" s="535">
        <f t="shared" ref="O948" si="1415">IF(O946="LCFF Rate",(O939*C939+O940*C940+O941*C941+O942*C942),(O944*E942))</f>
        <v>0</v>
      </c>
      <c r="P948" s="537"/>
      <c r="Q948" s="535">
        <f t="shared" ref="Q948" si="1416">IF(Q946="LCFF Rate",(Q939*C939+Q940*C940+Q941*C941+Q942*C942),(Q944*E942))</f>
        <v>0</v>
      </c>
      <c r="R948" s="167"/>
      <c r="S948" s="538">
        <f t="shared" ref="S948" si="1417">SUM(G948:Q948)</f>
        <v>0</v>
      </c>
      <c r="T948" s="167"/>
      <c r="U948" s="528"/>
      <c r="V948" s="522"/>
      <c r="X948" s="979"/>
    </row>
    <row r="949" spans="1:24" s="8" customFormat="1" ht="9" customHeight="1" thickBot="1">
      <c r="A949" s="529"/>
      <c r="B949" s="530"/>
      <c r="C949" s="531"/>
      <c r="D949" s="532"/>
      <c r="E949" s="533"/>
      <c r="F949" s="532"/>
      <c r="G949" s="530"/>
      <c r="H949" s="532"/>
      <c r="I949" s="530"/>
      <c r="J949" s="532"/>
      <c r="K949" s="530"/>
      <c r="L949" s="532"/>
      <c r="M949" s="530"/>
      <c r="N949" s="532"/>
      <c r="O949" s="530"/>
      <c r="P949" s="532"/>
      <c r="Q949" s="530"/>
      <c r="R949" s="532"/>
      <c r="S949" s="530"/>
      <c r="T949" s="532"/>
      <c r="U949" s="532"/>
      <c r="V949" s="534"/>
      <c r="X949" s="4"/>
    </row>
    <row r="950" spans="1:24" s="82" customFormat="1" ht="18" customHeight="1" thickBot="1">
      <c r="A950" s="890">
        <f>+A937+1</f>
        <v>73</v>
      </c>
      <c r="B950" s="891" t="str">
        <f>'Data Entry'!$B$3&amp;"-"&amp;C950</f>
        <v>-</v>
      </c>
      <c r="C950" s="891" t="str">
        <f>IFERROR(VLOOKUP('Data Entry'!$B$3&amp;"-"&amp;A950,'PY1 TFR ADA'!$D:$AT,2,FALSE),"")</f>
        <v/>
      </c>
      <c r="D950" s="892" t="str">
        <f>IFERROR(VLOOKUP('Data Entry'!$B$3&amp;"-"&amp;A950,'PY1 TFR ADA'!$D:$AT,4,FALSE),"")</f>
        <v/>
      </c>
      <c r="E950" s="893"/>
      <c r="F950" s="893"/>
      <c r="G950" s="893"/>
      <c r="H950" s="893"/>
      <c r="I950" s="893"/>
      <c r="J950" s="893"/>
      <c r="K950" s="893"/>
      <c r="L950" s="893"/>
      <c r="M950" s="893"/>
      <c r="N950" s="893"/>
      <c r="O950" s="893"/>
      <c r="P950" s="893"/>
      <c r="Q950" s="893"/>
      <c r="R950" s="893"/>
      <c r="S950" s="893"/>
      <c r="T950" s="893"/>
      <c r="U950" s="893"/>
      <c r="V950" s="894"/>
      <c r="X950" s="83"/>
    </row>
    <row r="951" spans="1:24" ht="75" customHeight="1">
      <c r="A951" s="521"/>
      <c r="C951" s="540" t="s">
        <v>1315</v>
      </c>
      <c r="D951" s="512"/>
      <c r="E951" s="540" t="s">
        <v>1316</v>
      </c>
      <c r="F951" s="512"/>
      <c r="G951" s="540" t="s">
        <v>1309</v>
      </c>
      <c r="H951" s="512"/>
      <c r="I951" s="540" t="s">
        <v>1310</v>
      </c>
      <c r="J951" s="512"/>
      <c r="K951" s="540" t="s">
        <v>1311</v>
      </c>
      <c r="L951" s="512"/>
      <c r="M951" s="540" t="s">
        <v>1312</v>
      </c>
      <c r="N951" s="512"/>
      <c r="O951" s="540" t="s">
        <v>1313</v>
      </c>
      <c r="P951" s="512"/>
      <c r="Q951" s="540" t="s">
        <v>1314</v>
      </c>
      <c r="R951" s="167"/>
      <c r="S951" s="540" t="s">
        <v>1308</v>
      </c>
      <c r="T951" s="167"/>
      <c r="U951" s="512" t="s">
        <v>1307</v>
      </c>
      <c r="V951" s="524"/>
      <c r="X951" s="283"/>
    </row>
    <row r="952" spans="1:24" s="8" customFormat="1" ht="14.4">
      <c r="A952" s="521"/>
      <c r="B952" s="510" t="s">
        <v>94</v>
      </c>
      <c r="C952" s="525">
        <f>IFERROR(VLOOKUP($B950,'PY1 TFR ADA'!$F:$AU,MATCH("A-1.1",'PY1 TFR ADA'!$F$5:$AU$5,0),FALSE),0)</f>
        <v>0</v>
      </c>
      <c r="D952" s="167"/>
      <c r="E952" s="525">
        <f>IFERROR(VALUE(VLOOKUP($B950,'PY1 TFR ADA'!$F:$AU,MATCH("A-2.1",'PY1 TFR ADA'!$F$5:$AU$5,0),FALSE)),0)</f>
        <v>0</v>
      </c>
      <c r="F952" s="167"/>
      <c r="G952" s="609">
        <f>IFERROR(VLOOKUP($B950,'PY1 TFR ADA'!$F:$AU,MATCH("b-1.1",'PY1 TFR ADA'!$F$5:$AU$5,0),FALSE),0)</f>
        <v>0</v>
      </c>
      <c r="H952" s="527"/>
      <c r="I952" s="609">
        <f>IFERROR(VLOOKUP($B950,'PY1 TFR ADA'!$F:$AU,MATCH("b-2.1",'PY1 TFR ADA'!$F$5:$AU$5,0),FALSE),0)</f>
        <v>0</v>
      </c>
      <c r="J952" s="527"/>
      <c r="K952" s="609">
        <f>IFERROR(VLOOKUP($B950,'PY1 TFR ADA'!$F:$AU,MATCH("b-3.1",'PY1 TFR ADA'!$F$5:$AU$5,0),FALSE),0)</f>
        <v>0</v>
      </c>
      <c r="L952" s="527"/>
      <c r="M952" s="609">
        <f>IFERROR(VLOOKUP($B950,'PY1 TFR ADA'!$F:$AU,MATCH("b-4.1",'PY1 TFR ADA'!$F$5:$AU$5,0),FALSE),0)</f>
        <v>0</v>
      </c>
      <c r="N952" s="527"/>
      <c r="O952" s="609">
        <f>IFERROR(VLOOKUP($B950,'PY1 TFR ADA'!$F:$AU,MATCH("b-5.1",'PY1 TFR ADA'!$F$5:$AU$5,0),FALSE),0)</f>
        <v>0</v>
      </c>
      <c r="P952" s="527"/>
      <c r="Q952" s="609">
        <f>IFERROR(VLOOKUP($B950,'PY1 TFR ADA'!$F:$AU,MATCH("b-6.1",'PY1 TFR ADA'!$F$5:$AU$5,0),FALSE),0)</f>
        <v>0</v>
      </c>
      <c r="R952" s="551"/>
      <c r="S952" s="601">
        <f t="shared" ref="S952:S955" si="1418">SUM(G952:Q952)</f>
        <v>0</v>
      </c>
      <c r="T952" s="551"/>
      <c r="U952" s="536">
        <f t="shared" ref="U952" si="1419">ROUND(IF($G959="LCFF Rate",(G952*$C952),(G952*$E952))+IF($I959="LCFF Rate",(I952*$C952),(I952*$E952))+IF($K959="LCFF Rate",(K952*$C952),(K952*$E952))+IF($M959="LCFF Rate",(M952*$C952),(M952*$E952))+IF($O959="LCFF Rate",(O952*$C952),(O952*$E952))+IF($Q959="LCFF Rate",(Q952*$C952),(Q952*$E952)),0)</f>
        <v>0</v>
      </c>
      <c r="V952" s="524"/>
      <c r="X952" s="496"/>
    </row>
    <row r="953" spans="1:24" s="8" customFormat="1" ht="14.4">
      <c r="A953" s="521"/>
      <c r="B953" s="510" t="s">
        <v>2</v>
      </c>
      <c r="C953" s="525">
        <f>IFERROR(VLOOKUP($B950,'PY1 TFR ADA'!$F:$AU,MATCH("A-1.2",'PY1 TFR ADA'!$F$5:$AU$5,0),FALSE),0)</f>
        <v>0</v>
      </c>
      <c r="D953" s="167"/>
      <c r="E953" s="525">
        <f>IFERROR(VALUE(VLOOKUP($B950,'PY1 TFR ADA'!$F:$AU,MATCH("A-2.2",'PY1 TFR ADA'!$F$5:$AU$5,0),FALSE)),0)</f>
        <v>0</v>
      </c>
      <c r="F953" s="167"/>
      <c r="G953" s="609">
        <f>IFERROR(VLOOKUP($B950,'PY1 TFR ADA'!$F:$AU,MATCH("b-1.2",'PY1 TFR ADA'!$F$5:$AU$5,0),FALSE),0)</f>
        <v>0</v>
      </c>
      <c r="H953" s="527"/>
      <c r="I953" s="609">
        <f>IFERROR(VLOOKUP($B950,'PY1 TFR ADA'!$F:$AU,MATCH("b-2.2",'PY1 TFR ADA'!$F$5:$AU$5,0),FALSE),0)</f>
        <v>0</v>
      </c>
      <c r="J953" s="527"/>
      <c r="K953" s="609">
        <f>IFERROR(VLOOKUP($B950,'PY1 TFR ADA'!$F:$AU,MATCH("b-3.2",'PY1 TFR ADA'!$F$5:$AU$5,0),FALSE),0)</f>
        <v>0</v>
      </c>
      <c r="L953" s="527"/>
      <c r="M953" s="609">
        <f>IFERROR(VLOOKUP($B950,'PY1 TFR ADA'!$F:$AU,MATCH("b-4.2",'PY1 TFR ADA'!$F$5:$AU$5,0),FALSE),0)</f>
        <v>0</v>
      </c>
      <c r="N953" s="527"/>
      <c r="O953" s="609">
        <f>IFERROR(VLOOKUP($B950,'PY1 TFR ADA'!$F:$AU,MATCH("b-5.2",'PY1 TFR ADA'!$F$5:$AU$5,0),FALSE),0)</f>
        <v>0</v>
      </c>
      <c r="P953" s="527"/>
      <c r="Q953" s="609">
        <f>IFERROR(VLOOKUP($B950,'PY1 TFR ADA'!$F:$AU,MATCH("b-6.2",'PY1 TFR ADA'!$F$5:$AU$5,0),FALSE),0)</f>
        <v>0</v>
      </c>
      <c r="R953" s="551"/>
      <c r="S953" s="601">
        <f t="shared" si="1418"/>
        <v>0</v>
      </c>
      <c r="T953" s="551"/>
      <c r="U953" s="536">
        <f t="shared" ref="U953" si="1420">ROUND(IF($G959="LCFF Rate",(G953*$C953),(G953*$E953))+IF($I959="LCFF Rate",(I953*$C953),(I953*$E953))+IF($K959="LCFF Rate",(K953*$C953),(K953*$E953))+IF($M959="LCFF Rate",(M953*$C953),(M953*$E953))+IF($O959="LCFF Rate",(O953*$C953),(O953*$E953))+IF($Q959="LCFF Rate",(Q953*$C953),(Q953*$E953)),0)</f>
        <v>0</v>
      </c>
      <c r="V953" s="524"/>
      <c r="X953" s="4"/>
    </row>
    <row r="954" spans="1:24" s="8" customFormat="1" ht="14.4">
      <c r="A954" s="521"/>
      <c r="B954" s="510" t="s">
        <v>3</v>
      </c>
      <c r="C954" s="525">
        <f>IFERROR(VLOOKUP($B950,'PY1 TFR ADA'!$F:$AU,MATCH("A-1.3",'PY1 TFR ADA'!$F$5:$AU$5,0),FALSE),0)</f>
        <v>0</v>
      </c>
      <c r="D954" s="167"/>
      <c r="E954" s="525">
        <f>IFERROR(VALUE(VLOOKUP($B950,'PY1 TFR ADA'!$F:$AU,MATCH("A-2.3",'PY1 TFR ADA'!$F$5:$AU$5,0),FALSE)),0)</f>
        <v>0</v>
      </c>
      <c r="F954" s="167"/>
      <c r="G954" s="609">
        <f>IFERROR(VLOOKUP($B950,'PY1 TFR ADA'!$F:$AU,MATCH("b-1.3",'PY1 TFR ADA'!$F$5:$AU$5,0),FALSE),0)</f>
        <v>0</v>
      </c>
      <c r="H954" s="527"/>
      <c r="I954" s="609">
        <f>IFERROR(VLOOKUP($B950,'PY1 TFR ADA'!$F:$AU,MATCH("b-2.3",'PY1 TFR ADA'!$F$5:$AU$5,0),FALSE),0)</f>
        <v>0</v>
      </c>
      <c r="J954" s="527"/>
      <c r="K954" s="609">
        <f>IFERROR(VLOOKUP($B950,'PY1 TFR ADA'!$F:$AU,MATCH("b-3.3",'PY1 TFR ADA'!$F$5:$AU$5,0),FALSE),0)</f>
        <v>0</v>
      </c>
      <c r="L954" s="527"/>
      <c r="M954" s="609">
        <f>IFERROR(VLOOKUP($B950,'PY1 TFR ADA'!$F:$AU,MATCH("b-4.3",'PY1 TFR ADA'!$F$5:$AU$5,0),FALSE),0)</f>
        <v>0</v>
      </c>
      <c r="N954" s="527"/>
      <c r="O954" s="609">
        <f>IFERROR(VLOOKUP($B950,'PY1 TFR ADA'!$F:$AU,MATCH("b-5.3",'PY1 TFR ADA'!$F$5:$AU$5,0),FALSE),0)</f>
        <v>0</v>
      </c>
      <c r="P954" s="527"/>
      <c r="Q954" s="609">
        <f>IFERROR(VLOOKUP($B950,'PY1 TFR ADA'!$F:$AU,MATCH("b-6.3",'PY1 TFR ADA'!$F$5:$AU$5,0),FALSE),0)</f>
        <v>0</v>
      </c>
      <c r="R954" s="551"/>
      <c r="S954" s="601">
        <f t="shared" si="1418"/>
        <v>0</v>
      </c>
      <c r="T954" s="551"/>
      <c r="U954" s="536">
        <f t="shared" ref="U954" si="1421">ROUND(IF($G959="LCFF Rate",(G954*$C954),(G954*$E954))+IF($I959="LCFF Rate",(I954*$C954),(I954*$E954))+IF($K959="LCFF Rate",(K954*$C954),(K954*$E954))+IF($M959="LCFF Rate",(M954*$C954),(M954*$E954))+IF($O959="LCFF Rate",(O954*$C954),(O954*$E954))+IF($Q959="LCFF Rate",(Q954*$C954),(Q954*$E954)),0)</f>
        <v>0</v>
      </c>
      <c r="V954" s="524"/>
      <c r="X954" s="4"/>
    </row>
    <row r="955" spans="1:24" s="8" customFormat="1" ht="14.4">
      <c r="A955" s="526"/>
      <c r="B955" s="510" t="s">
        <v>4</v>
      </c>
      <c r="C955" s="525">
        <f>IFERROR(VLOOKUP($B950,'PY1 TFR ADA'!$F:$AU,MATCH("A-1.4",'PY1 TFR ADA'!$F$5:$AU$5,0),FALSE),0)</f>
        <v>0</v>
      </c>
      <c r="D955" s="523"/>
      <c r="E955" s="525">
        <f>IFERROR(VALUE(VLOOKUP($B950,'PY1 TFR ADA'!$F:$AU,MATCH("A-2.4",'PY1 TFR ADA'!$F$5:$AU$5,0),FALSE)),0)</f>
        <v>0</v>
      </c>
      <c r="F955" s="523"/>
      <c r="G955" s="609">
        <f>IFERROR(VLOOKUP($B950,'PY1 TFR ADA'!$F:$AU,MATCH("b-1.4",'PY1 TFR ADA'!$F$5:$AU$5,0),FALSE),0)</f>
        <v>0</v>
      </c>
      <c r="H955" s="527"/>
      <c r="I955" s="609">
        <f>IFERROR(VLOOKUP($B950,'PY1 TFR ADA'!$F:$AU,MATCH("b-2.4",'PY1 TFR ADA'!$F$5:$AU$5,0),FALSE),0)</f>
        <v>0</v>
      </c>
      <c r="J955" s="527"/>
      <c r="K955" s="609">
        <f>IFERROR(VLOOKUP($B950,'PY1 TFR ADA'!$F:$AU,MATCH("b-3.4",'PY1 TFR ADA'!$F$5:$AU$5,0),FALSE),0)</f>
        <v>0</v>
      </c>
      <c r="L955" s="527"/>
      <c r="M955" s="609">
        <f>IFERROR(VLOOKUP($B950,'PY1 TFR ADA'!$F:$AU,MATCH("b-4.4",'PY1 TFR ADA'!$F$5:$AU$5,0),FALSE),0)</f>
        <v>0</v>
      </c>
      <c r="N955" s="527"/>
      <c r="O955" s="609">
        <f>IFERROR(VLOOKUP($B950,'PY1 TFR ADA'!$F:$AU,MATCH("b-5.4",'PY1 TFR ADA'!$F$5:$AU$5,0),FALSE),0)</f>
        <v>0</v>
      </c>
      <c r="P955" s="527"/>
      <c r="Q955" s="609">
        <f>IFERROR(VLOOKUP($B950,'PY1 TFR ADA'!$F:$AU,MATCH("b-6.4",'PY1 TFR ADA'!$F$5:$AU$5,0),FALSE),0)</f>
        <v>0</v>
      </c>
      <c r="R955" s="551"/>
      <c r="S955" s="601">
        <f t="shared" si="1418"/>
        <v>0</v>
      </c>
      <c r="T955" s="551"/>
      <c r="U955" s="536">
        <f t="shared" ref="U955" si="1422">ROUND(IF($G959="LCFF Rate",(G955*$C955),(G955*$E955))+IF($I959="LCFF Rate",(I955*$C955),(I955*$E955))+IF($K959="LCFF Rate",(K955*$C955),(K955*$E955))+IF($M959="LCFF Rate",(M955*$C955),(M955*$E955))+IF($O959="LCFF Rate",(O955*$C955),(O955*$E955))+IF($Q959="LCFF Rate",(Q955*$C955),(Q955*$E955)),0)</f>
        <v>0</v>
      </c>
      <c r="V955" s="522"/>
      <c r="X955" s="496"/>
    </row>
    <row r="956" spans="1:24" s="8" customFormat="1" ht="8.25" customHeight="1">
      <c r="A956" s="521"/>
      <c r="B956" s="167"/>
      <c r="C956" s="165"/>
      <c r="D956" s="523"/>
      <c r="E956" s="165"/>
      <c r="F956" s="523"/>
      <c r="G956" s="520"/>
      <c r="H956" s="523"/>
      <c r="I956" s="520"/>
      <c r="J956" s="523"/>
      <c r="K956" s="520"/>
      <c r="L956" s="523"/>
      <c r="M956" s="520"/>
      <c r="N956" s="523"/>
      <c r="O956" s="520"/>
      <c r="P956" s="523"/>
      <c r="Q956" s="520"/>
      <c r="R956" s="167"/>
      <c r="S956" s="520"/>
      <c r="T956" s="167"/>
      <c r="U956" s="602"/>
      <c r="V956" s="522"/>
      <c r="X956" s="4"/>
    </row>
    <row r="957" spans="1:24" s="8" customFormat="1" ht="14.4">
      <c r="A957" s="521"/>
      <c r="B957" s="167"/>
      <c r="C957" s="165"/>
      <c r="D957" s="523"/>
      <c r="E957" s="513" t="s">
        <v>1317</v>
      </c>
      <c r="F957" s="523"/>
      <c r="G957" s="601">
        <f t="shared" ref="G957" si="1423">SUM(G952:G955)</f>
        <v>0</v>
      </c>
      <c r="H957" s="527"/>
      <c r="I957" s="601">
        <f t="shared" ref="I957" si="1424">SUM(I952:I955)</f>
        <v>0</v>
      </c>
      <c r="J957" s="527"/>
      <c r="K957" s="601">
        <f t="shared" ref="K957" si="1425">SUM(K952:K955)</f>
        <v>0</v>
      </c>
      <c r="L957" s="527"/>
      <c r="M957" s="601">
        <f t="shared" ref="M957" si="1426">SUM(M952:M955)</f>
        <v>0</v>
      </c>
      <c r="N957" s="527"/>
      <c r="O957" s="601">
        <f t="shared" ref="O957" si="1427">SUM(O952:O955)</f>
        <v>0</v>
      </c>
      <c r="P957" s="527"/>
      <c r="Q957" s="601">
        <f t="shared" ref="Q957" si="1428">SUM(Q952:Q955)</f>
        <v>0</v>
      </c>
      <c r="R957" s="527"/>
      <c r="S957" s="601">
        <f t="shared" ref="S957" si="1429">SUM(S952:S955)</f>
        <v>0</v>
      </c>
      <c r="T957" s="527"/>
      <c r="U957" s="536">
        <f t="shared" ref="U957" si="1430">SUM(U952:U955)</f>
        <v>0</v>
      </c>
      <c r="V957" s="522"/>
      <c r="X957" s="4"/>
    </row>
    <row r="958" spans="1:24" s="8" customFormat="1" ht="8.25" customHeight="1">
      <c r="A958" s="521"/>
      <c r="B958" s="167"/>
      <c r="C958" s="165"/>
      <c r="D958" s="523"/>
      <c r="E958" s="165"/>
      <c r="F958" s="523"/>
      <c r="G958" s="520"/>
      <c r="H958" s="523"/>
      <c r="I958" s="520"/>
      <c r="J958" s="523"/>
      <c r="K958" s="520"/>
      <c r="L958" s="523"/>
      <c r="M958" s="520"/>
      <c r="N958" s="523"/>
      <c r="O958" s="520"/>
      <c r="P958" s="523"/>
      <c r="Q958" s="520"/>
      <c r="R958" s="167"/>
      <c r="S958" s="520"/>
      <c r="T958" s="167"/>
      <c r="U958" s="528"/>
      <c r="V958" s="522"/>
      <c r="X958" s="4"/>
    </row>
    <row r="959" spans="1:24" s="8" customFormat="1" ht="16.5" customHeight="1">
      <c r="A959" s="521"/>
      <c r="B959" s="167"/>
      <c r="C959" s="165"/>
      <c r="E959" s="513" t="s">
        <v>1304</v>
      </c>
      <c r="F959" s="523"/>
      <c r="G959" s="977">
        <f>_xlfn.IFNA(IF(VLOOKUP($B950,'PY1 TFR ADA'!$F:$AU,MATCH("B-1.5",'PY1 TFR ADA'!$F$5:$AU$5,0),FALSE)=TRUE,IF(VLOOKUP($B950,'PY1 TFR ADA'!$F:$AU,MATCH("C-1",'PY1 TFR ADA'!$F$5:$AU$5,0),FALSE)=TRUE,"Alternative Rate","LCFF Rate"),"LCFF Rate"),0)</f>
        <v>0</v>
      </c>
      <c r="H959" s="523"/>
      <c r="I959" s="977">
        <f>_xlfn.IFNA(IF(VLOOKUP($B950,'PY1 TFR ADA'!$F:$AU,MATCH("B-2.5",'PY1 TFR ADA'!$F$5:$AU$5,0),FALSE)=TRUE,IF(VLOOKUP($B950,'PY1 TFR ADA'!$F:$AU,MATCH("C-1",'PY1 TFR ADA'!$F$5:$AU$5,0),FALSE)=TRUE,"Alternative Rate","LCFF Rate"),"LCFF Rate"),0)</f>
        <v>0</v>
      </c>
      <c r="J959" s="523"/>
      <c r="K959" s="977">
        <f>_xlfn.IFNA(IF(VLOOKUP($B950,'PY1 TFR ADA'!$F:$AU,MATCH("B-3.5",'PY1 TFR ADA'!$F$5:$AU$5,0),FALSE)=TRUE,IF(VLOOKUP($B950,'PY1 TFR ADA'!$F:$AU,MATCH("C-1",'PY1 TFR ADA'!$F$5:$AU$5,0),FALSE)=TRUE,"Alternative Rate","LCFF Rate"),"LCFF Rate"),0)</f>
        <v>0</v>
      </c>
      <c r="L959" s="523"/>
      <c r="M959" s="977">
        <f>_xlfn.IFNA(IF(VLOOKUP($B950,'PY1 TFR ADA'!$F:$AU,MATCH("B-4.5",'PY1 TFR ADA'!$F$5:$AU$5,0),FALSE)=TRUE,IF(VLOOKUP($B950,'PY1 TFR ADA'!$F:$AU,MATCH("C-1",'PY1 TFR ADA'!$F$5:$AU$5,0),FALSE)=TRUE,"Alternative Rate","LCFF Rate"),"LCFF Rate"),0)</f>
        <v>0</v>
      </c>
      <c r="N959" s="523"/>
      <c r="O959" s="977">
        <f>_xlfn.IFNA(IF(VLOOKUP($B950,'PY1 TFR ADA'!$F:$AU,MATCH("B-5.5",'PY1 TFR ADA'!$F$5:$AU$5,0),FALSE)=TRUE,IF(VLOOKUP($B950,'PY1 TFR ADA'!$F:$AU,MATCH("C-1",'PY1 TFR ADA'!$F$5:$AU$5,0),FALSE)=TRUE,"Alternative Rate","LCFF Rate"),"LCFF Rate"),0)</f>
        <v>0</v>
      </c>
      <c r="P959" s="523"/>
      <c r="Q959" s="977">
        <f>_xlfn.IFNA(IF(VLOOKUP($B950,'PY1 TFR ADA'!$F:$AU,MATCH("B-6.5",'PY1 TFR ADA'!$F$5:$AU$5,0),FALSE)=TRUE,IF(VLOOKUP($B950,'PY1 TFR ADA'!$F:$AU,MATCH("C-1",'PY1 TFR ADA'!$F$5:$AU$5,0),FALSE)=TRUE,"Alternative Rate","LCFF Rate"),"LCFF Rate"),0)</f>
        <v>0</v>
      </c>
      <c r="R959" s="167"/>
      <c r="S959" s="520"/>
      <c r="T959" s="167"/>
      <c r="U959" s="528"/>
      <c r="V959" s="522"/>
      <c r="X959" s="283"/>
    </row>
    <row r="960" spans="1:24" s="8" customFormat="1" ht="8.25" customHeight="1">
      <c r="A960" s="521"/>
      <c r="B960" s="167"/>
      <c r="C960" s="165"/>
      <c r="D960" s="523"/>
      <c r="E960" s="165"/>
      <c r="F960" s="523"/>
      <c r="G960" s="520"/>
      <c r="H960" s="523"/>
      <c r="I960" s="520"/>
      <c r="J960" s="523"/>
      <c r="K960" s="520"/>
      <c r="L960" s="523"/>
      <c r="M960" s="520"/>
      <c r="N960" s="523"/>
      <c r="O960" s="520"/>
      <c r="P960" s="523"/>
      <c r="Q960" s="520"/>
      <c r="R960" s="167"/>
      <c r="S960" s="520"/>
      <c r="T960" s="167"/>
      <c r="U960" s="528"/>
      <c r="V960" s="522"/>
      <c r="X960" s="4"/>
    </row>
    <row r="961" spans="1:24" s="8" customFormat="1" ht="16.8">
      <c r="A961" s="521"/>
      <c r="B961" s="2"/>
      <c r="F961" s="523"/>
      <c r="G961" s="535">
        <f t="shared" ref="G961" si="1431">IF(G959="LCFF Rate",(G952*C952+G953*C953+G954*C954+G955*C955),(G957*E955))</f>
        <v>0</v>
      </c>
      <c r="H961" s="537"/>
      <c r="I961" s="535">
        <f t="shared" ref="I961" si="1432">IF(I959="LCFF Rate",(I952*C952+I953*C953+I954*C954+I955*C955),(I957*E955))</f>
        <v>0</v>
      </c>
      <c r="J961" s="537"/>
      <c r="K961" s="535">
        <f t="shared" ref="K961" si="1433">IF(K959="LCFF Rate",(K952*C952+K953*C953+K954*C954+K955*C955),(K957*E955))</f>
        <v>0</v>
      </c>
      <c r="L961" s="537"/>
      <c r="M961" s="535">
        <f t="shared" ref="M961" si="1434">IF(M959="LCFF Rate",(M952*C952+M953*C953+M954*C954+M955*C955),(M957*E955))</f>
        <v>0</v>
      </c>
      <c r="N961" s="537"/>
      <c r="O961" s="535">
        <f t="shared" ref="O961" si="1435">IF(O959="LCFF Rate",(O952*C952+O953*C953+O954*C954+O955*C955),(O957*E955))</f>
        <v>0</v>
      </c>
      <c r="P961" s="537"/>
      <c r="Q961" s="535">
        <f t="shared" ref="Q961" si="1436">IF(Q959="LCFF Rate",(Q952*C952+Q953*C953+Q954*C954+Q955*C955),(Q957*E955))</f>
        <v>0</v>
      </c>
      <c r="R961" s="167"/>
      <c r="S961" s="538">
        <f t="shared" ref="S961" si="1437">SUM(G961:Q961)</f>
        <v>0</v>
      </c>
      <c r="T961" s="167"/>
      <c r="U961" s="528"/>
      <c r="V961" s="522"/>
      <c r="X961" s="979"/>
    </row>
    <row r="962" spans="1:24" s="8" customFormat="1" ht="9" customHeight="1" thickBot="1">
      <c r="A962" s="529"/>
      <c r="B962" s="530"/>
      <c r="C962" s="531"/>
      <c r="D962" s="532"/>
      <c r="E962" s="533"/>
      <c r="F962" s="532"/>
      <c r="G962" s="530"/>
      <c r="H962" s="532"/>
      <c r="I962" s="530"/>
      <c r="J962" s="532"/>
      <c r="K962" s="530"/>
      <c r="L962" s="532"/>
      <c r="M962" s="530"/>
      <c r="N962" s="532"/>
      <c r="O962" s="530"/>
      <c r="P962" s="532"/>
      <c r="Q962" s="530"/>
      <c r="R962" s="532"/>
      <c r="S962" s="530"/>
      <c r="T962" s="532"/>
      <c r="U962" s="532"/>
      <c r="V962" s="534"/>
      <c r="X962" s="4"/>
    </row>
    <row r="963" spans="1:24" s="82" customFormat="1" ht="18" customHeight="1" thickBot="1">
      <c r="A963" s="890">
        <f>+A950+1</f>
        <v>74</v>
      </c>
      <c r="B963" s="891" t="str">
        <f>'Data Entry'!$B$3&amp;"-"&amp;C963</f>
        <v>-</v>
      </c>
      <c r="C963" s="891" t="str">
        <f>IFERROR(VLOOKUP('Data Entry'!$B$3&amp;"-"&amp;A963,'PY1 TFR ADA'!$D:$AT,2,FALSE),"")</f>
        <v/>
      </c>
      <c r="D963" s="892" t="str">
        <f>IFERROR(VLOOKUP('Data Entry'!$B$3&amp;"-"&amp;A963,'PY1 TFR ADA'!$D:$AT,4,FALSE),"")</f>
        <v/>
      </c>
      <c r="E963" s="893"/>
      <c r="F963" s="893"/>
      <c r="G963" s="893"/>
      <c r="H963" s="893"/>
      <c r="I963" s="893"/>
      <c r="J963" s="893"/>
      <c r="K963" s="893"/>
      <c r="L963" s="893"/>
      <c r="M963" s="893"/>
      <c r="N963" s="893"/>
      <c r="O963" s="893"/>
      <c r="P963" s="893"/>
      <c r="Q963" s="893"/>
      <c r="R963" s="893"/>
      <c r="S963" s="893"/>
      <c r="T963" s="893"/>
      <c r="U963" s="893"/>
      <c r="V963" s="894"/>
      <c r="X963" s="83"/>
    </row>
    <row r="964" spans="1:24" ht="75" customHeight="1">
      <c r="A964" s="521"/>
      <c r="C964" s="540" t="s">
        <v>1315</v>
      </c>
      <c r="D964" s="512"/>
      <c r="E964" s="540" t="s">
        <v>1316</v>
      </c>
      <c r="F964" s="512"/>
      <c r="G964" s="540" t="s">
        <v>1309</v>
      </c>
      <c r="H964" s="512"/>
      <c r="I964" s="540" t="s">
        <v>1310</v>
      </c>
      <c r="J964" s="512"/>
      <c r="K964" s="540" t="s">
        <v>1311</v>
      </c>
      <c r="L964" s="512"/>
      <c r="M964" s="540" t="s">
        <v>1312</v>
      </c>
      <c r="N964" s="512"/>
      <c r="O964" s="540" t="s">
        <v>1313</v>
      </c>
      <c r="P964" s="512"/>
      <c r="Q964" s="540" t="s">
        <v>1314</v>
      </c>
      <c r="R964" s="167"/>
      <c r="S964" s="540" t="s">
        <v>1308</v>
      </c>
      <c r="T964" s="167"/>
      <c r="U964" s="512" t="s">
        <v>1307</v>
      </c>
      <c r="V964" s="524"/>
      <c r="X964" s="283"/>
    </row>
    <row r="965" spans="1:24" s="8" customFormat="1" ht="14.4">
      <c r="A965" s="521"/>
      <c r="B965" s="510" t="s">
        <v>94</v>
      </c>
      <c r="C965" s="525">
        <f>IFERROR(VLOOKUP($B963,'PY1 TFR ADA'!$F:$AU,MATCH("A-1.1",'PY1 TFR ADA'!$F$5:$AU$5,0),FALSE),0)</f>
        <v>0</v>
      </c>
      <c r="D965" s="167"/>
      <c r="E965" s="525">
        <f>IFERROR(VALUE(VLOOKUP($B963,'PY1 TFR ADA'!$F:$AU,MATCH("A-2.1",'PY1 TFR ADA'!$F$5:$AU$5,0),FALSE)),0)</f>
        <v>0</v>
      </c>
      <c r="F965" s="167"/>
      <c r="G965" s="609">
        <f>IFERROR(VLOOKUP($B963,'PY1 TFR ADA'!$F:$AU,MATCH("b-1.1",'PY1 TFR ADA'!$F$5:$AU$5,0),FALSE),0)</f>
        <v>0</v>
      </c>
      <c r="H965" s="527"/>
      <c r="I965" s="609">
        <f>IFERROR(VLOOKUP($B963,'PY1 TFR ADA'!$F:$AU,MATCH("b-2.1",'PY1 TFR ADA'!$F$5:$AU$5,0),FALSE),0)</f>
        <v>0</v>
      </c>
      <c r="J965" s="527"/>
      <c r="K965" s="609">
        <f>IFERROR(VLOOKUP($B963,'PY1 TFR ADA'!$F:$AU,MATCH("b-3.1",'PY1 TFR ADA'!$F$5:$AU$5,0),FALSE),0)</f>
        <v>0</v>
      </c>
      <c r="L965" s="527"/>
      <c r="M965" s="609">
        <f>IFERROR(VLOOKUP($B963,'PY1 TFR ADA'!$F:$AU,MATCH("b-4.1",'PY1 TFR ADA'!$F$5:$AU$5,0),FALSE),0)</f>
        <v>0</v>
      </c>
      <c r="N965" s="527"/>
      <c r="O965" s="609">
        <f>IFERROR(VLOOKUP($B963,'PY1 TFR ADA'!$F:$AU,MATCH("b-5.1",'PY1 TFR ADA'!$F$5:$AU$5,0),FALSE),0)</f>
        <v>0</v>
      </c>
      <c r="P965" s="527"/>
      <c r="Q965" s="609">
        <f>IFERROR(VLOOKUP($B963,'PY1 TFR ADA'!$F:$AU,MATCH("b-6.1",'PY1 TFR ADA'!$F$5:$AU$5,0),FALSE),0)</f>
        <v>0</v>
      </c>
      <c r="R965" s="551"/>
      <c r="S965" s="601">
        <f t="shared" ref="S965:S968" si="1438">SUM(G965:Q965)</f>
        <v>0</v>
      </c>
      <c r="T965" s="551"/>
      <c r="U965" s="536">
        <f t="shared" ref="U965" si="1439">ROUND(IF($G972="LCFF Rate",(G965*$C965),(G965*$E965))+IF($I972="LCFF Rate",(I965*$C965),(I965*$E965))+IF($K972="LCFF Rate",(K965*$C965),(K965*$E965))+IF($M972="LCFF Rate",(M965*$C965),(M965*$E965))+IF($O972="LCFF Rate",(O965*$C965),(O965*$E965))+IF($Q972="LCFF Rate",(Q965*$C965),(Q965*$E965)),0)</f>
        <v>0</v>
      </c>
      <c r="V965" s="524"/>
      <c r="X965" s="496"/>
    </row>
    <row r="966" spans="1:24" s="8" customFormat="1" ht="14.4">
      <c r="A966" s="521"/>
      <c r="B966" s="510" t="s">
        <v>2</v>
      </c>
      <c r="C966" s="525">
        <f>IFERROR(VLOOKUP($B963,'PY1 TFR ADA'!$F:$AU,MATCH("A-1.2",'PY1 TFR ADA'!$F$5:$AU$5,0),FALSE),0)</f>
        <v>0</v>
      </c>
      <c r="D966" s="167"/>
      <c r="E966" s="525">
        <f>IFERROR(VALUE(VLOOKUP($B963,'PY1 TFR ADA'!$F:$AU,MATCH("A-2.2",'PY1 TFR ADA'!$F$5:$AU$5,0),FALSE)),0)</f>
        <v>0</v>
      </c>
      <c r="F966" s="167"/>
      <c r="G966" s="609">
        <f>IFERROR(VLOOKUP($B963,'PY1 TFR ADA'!$F:$AU,MATCH("b-1.2",'PY1 TFR ADA'!$F$5:$AU$5,0),FALSE),0)</f>
        <v>0</v>
      </c>
      <c r="H966" s="527"/>
      <c r="I966" s="609">
        <f>IFERROR(VLOOKUP($B963,'PY1 TFR ADA'!$F:$AU,MATCH("b-2.2",'PY1 TFR ADA'!$F$5:$AU$5,0),FALSE),0)</f>
        <v>0</v>
      </c>
      <c r="J966" s="527"/>
      <c r="K966" s="609">
        <f>IFERROR(VLOOKUP($B963,'PY1 TFR ADA'!$F:$AU,MATCH("b-3.2",'PY1 TFR ADA'!$F$5:$AU$5,0),FALSE),0)</f>
        <v>0</v>
      </c>
      <c r="L966" s="527"/>
      <c r="M966" s="609">
        <f>IFERROR(VLOOKUP($B963,'PY1 TFR ADA'!$F:$AU,MATCH("b-4.2",'PY1 TFR ADA'!$F$5:$AU$5,0),FALSE),0)</f>
        <v>0</v>
      </c>
      <c r="N966" s="527"/>
      <c r="O966" s="609">
        <f>IFERROR(VLOOKUP($B963,'PY1 TFR ADA'!$F:$AU,MATCH("b-5.2",'PY1 TFR ADA'!$F$5:$AU$5,0),FALSE),0)</f>
        <v>0</v>
      </c>
      <c r="P966" s="527"/>
      <c r="Q966" s="609">
        <f>IFERROR(VLOOKUP($B963,'PY1 TFR ADA'!$F:$AU,MATCH("b-6.2",'PY1 TFR ADA'!$F$5:$AU$5,0),FALSE),0)</f>
        <v>0</v>
      </c>
      <c r="R966" s="551"/>
      <c r="S966" s="601">
        <f t="shared" si="1438"/>
        <v>0</v>
      </c>
      <c r="T966" s="551"/>
      <c r="U966" s="536">
        <f t="shared" ref="U966" si="1440">ROUND(IF($G972="LCFF Rate",(G966*$C966),(G966*$E966))+IF($I972="LCFF Rate",(I966*$C966),(I966*$E966))+IF($K972="LCFF Rate",(K966*$C966),(K966*$E966))+IF($M972="LCFF Rate",(M966*$C966),(M966*$E966))+IF($O972="LCFF Rate",(O966*$C966),(O966*$E966))+IF($Q972="LCFF Rate",(Q966*$C966),(Q966*$E966)),0)</f>
        <v>0</v>
      </c>
      <c r="V966" s="524"/>
      <c r="X966" s="4"/>
    </row>
    <row r="967" spans="1:24" s="8" customFormat="1" ht="14.4">
      <c r="A967" s="521"/>
      <c r="B967" s="510" t="s">
        <v>3</v>
      </c>
      <c r="C967" s="525">
        <f>IFERROR(VLOOKUP($B963,'PY1 TFR ADA'!$F:$AU,MATCH("A-1.3",'PY1 TFR ADA'!$F$5:$AU$5,0),FALSE),0)</f>
        <v>0</v>
      </c>
      <c r="D967" s="167"/>
      <c r="E967" s="525">
        <f>IFERROR(VALUE(VLOOKUP($B963,'PY1 TFR ADA'!$F:$AU,MATCH("A-2.3",'PY1 TFR ADA'!$F$5:$AU$5,0),FALSE)),0)</f>
        <v>0</v>
      </c>
      <c r="F967" s="167"/>
      <c r="G967" s="609">
        <f>IFERROR(VLOOKUP($B963,'PY1 TFR ADA'!$F:$AU,MATCH("b-1.3",'PY1 TFR ADA'!$F$5:$AU$5,0),FALSE),0)</f>
        <v>0</v>
      </c>
      <c r="H967" s="527"/>
      <c r="I967" s="609">
        <f>IFERROR(VLOOKUP($B963,'PY1 TFR ADA'!$F:$AU,MATCH("b-2.3",'PY1 TFR ADA'!$F$5:$AU$5,0),FALSE),0)</f>
        <v>0</v>
      </c>
      <c r="J967" s="527"/>
      <c r="K967" s="609">
        <f>IFERROR(VLOOKUP($B963,'PY1 TFR ADA'!$F:$AU,MATCH("b-3.3",'PY1 TFR ADA'!$F$5:$AU$5,0),FALSE),0)</f>
        <v>0</v>
      </c>
      <c r="L967" s="527"/>
      <c r="M967" s="609">
        <f>IFERROR(VLOOKUP($B963,'PY1 TFR ADA'!$F:$AU,MATCH("b-4.3",'PY1 TFR ADA'!$F$5:$AU$5,0),FALSE),0)</f>
        <v>0</v>
      </c>
      <c r="N967" s="527"/>
      <c r="O967" s="609">
        <f>IFERROR(VLOOKUP($B963,'PY1 TFR ADA'!$F:$AU,MATCH("b-5.3",'PY1 TFR ADA'!$F$5:$AU$5,0),FALSE),0)</f>
        <v>0</v>
      </c>
      <c r="P967" s="527"/>
      <c r="Q967" s="609">
        <f>IFERROR(VLOOKUP($B963,'PY1 TFR ADA'!$F:$AU,MATCH("b-6.3",'PY1 TFR ADA'!$F$5:$AU$5,0),FALSE),0)</f>
        <v>0</v>
      </c>
      <c r="R967" s="551"/>
      <c r="S967" s="601">
        <f t="shared" si="1438"/>
        <v>0</v>
      </c>
      <c r="T967" s="551"/>
      <c r="U967" s="536">
        <f t="shared" ref="U967" si="1441">ROUND(IF($G972="LCFF Rate",(G967*$C967),(G967*$E967))+IF($I972="LCFF Rate",(I967*$C967),(I967*$E967))+IF($K972="LCFF Rate",(K967*$C967),(K967*$E967))+IF($M972="LCFF Rate",(M967*$C967),(M967*$E967))+IF($O972="LCFF Rate",(O967*$C967),(O967*$E967))+IF($Q972="LCFF Rate",(Q967*$C967),(Q967*$E967)),0)</f>
        <v>0</v>
      </c>
      <c r="V967" s="524"/>
      <c r="X967" s="4"/>
    </row>
    <row r="968" spans="1:24" s="8" customFormat="1" ht="14.4">
      <c r="A968" s="526"/>
      <c r="B968" s="510" t="s">
        <v>4</v>
      </c>
      <c r="C968" s="525">
        <f>IFERROR(VLOOKUP($B963,'PY1 TFR ADA'!$F:$AU,MATCH("A-1.4",'PY1 TFR ADA'!$F$5:$AU$5,0),FALSE),0)</f>
        <v>0</v>
      </c>
      <c r="D968" s="523"/>
      <c r="E968" s="525">
        <f>IFERROR(VALUE(VLOOKUP($B963,'PY1 TFR ADA'!$F:$AU,MATCH("A-2.4",'PY1 TFR ADA'!$F$5:$AU$5,0),FALSE)),0)</f>
        <v>0</v>
      </c>
      <c r="F968" s="523"/>
      <c r="G968" s="609">
        <f>IFERROR(VLOOKUP($B963,'PY1 TFR ADA'!$F:$AU,MATCH("b-1.4",'PY1 TFR ADA'!$F$5:$AU$5,0),FALSE),0)</f>
        <v>0</v>
      </c>
      <c r="H968" s="527"/>
      <c r="I968" s="609">
        <f>IFERROR(VLOOKUP($B963,'PY1 TFR ADA'!$F:$AU,MATCH("b-2.4",'PY1 TFR ADA'!$F$5:$AU$5,0),FALSE),0)</f>
        <v>0</v>
      </c>
      <c r="J968" s="527"/>
      <c r="K968" s="609">
        <f>IFERROR(VLOOKUP($B963,'PY1 TFR ADA'!$F:$AU,MATCH("b-3.4",'PY1 TFR ADA'!$F$5:$AU$5,0),FALSE),0)</f>
        <v>0</v>
      </c>
      <c r="L968" s="527"/>
      <c r="M968" s="609">
        <f>IFERROR(VLOOKUP($B963,'PY1 TFR ADA'!$F:$AU,MATCH("b-4.4",'PY1 TFR ADA'!$F$5:$AU$5,0),FALSE),0)</f>
        <v>0</v>
      </c>
      <c r="N968" s="527"/>
      <c r="O968" s="609">
        <f>IFERROR(VLOOKUP($B963,'PY1 TFR ADA'!$F:$AU,MATCH("b-5.4",'PY1 TFR ADA'!$F$5:$AU$5,0),FALSE),0)</f>
        <v>0</v>
      </c>
      <c r="P968" s="527"/>
      <c r="Q968" s="609">
        <f>IFERROR(VLOOKUP($B963,'PY1 TFR ADA'!$F:$AU,MATCH("b-6.4",'PY1 TFR ADA'!$F$5:$AU$5,0),FALSE),0)</f>
        <v>0</v>
      </c>
      <c r="R968" s="551"/>
      <c r="S968" s="601">
        <f t="shared" si="1438"/>
        <v>0</v>
      </c>
      <c r="T968" s="551"/>
      <c r="U968" s="536">
        <f t="shared" ref="U968" si="1442">ROUND(IF($G972="LCFF Rate",(G968*$C968),(G968*$E968))+IF($I972="LCFF Rate",(I968*$C968),(I968*$E968))+IF($K972="LCFF Rate",(K968*$C968),(K968*$E968))+IF($M972="LCFF Rate",(M968*$C968),(M968*$E968))+IF($O972="LCFF Rate",(O968*$C968),(O968*$E968))+IF($Q972="LCFF Rate",(Q968*$C968),(Q968*$E968)),0)</f>
        <v>0</v>
      </c>
      <c r="V968" s="522"/>
      <c r="X968" s="496"/>
    </row>
    <row r="969" spans="1:24" s="8" customFormat="1" ht="8.25" customHeight="1">
      <c r="A969" s="521"/>
      <c r="B969" s="167"/>
      <c r="C969" s="165"/>
      <c r="D969" s="523"/>
      <c r="E969" s="165"/>
      <c r="F969" s="523"/>
      <c r="G969" s="520"/>
      <c r="H969" s="523"/>
      <c r="I969" s="520"/>
      <c r="J969" s="523"/>
      <c r="K969" s="520"/>
      <c r="L969" s="523"/>
      <c r="M969" s="520"/>
      <c r="N969" s="523"/>
      <c r="O969" s="520"/>
      <c r="P969" s="523"/>
      <c r="Q969" s="520"/>
      <c r="R969" s="167"/>
      <c r="S969" s="520"/>
      <c r="T969" s="167"/>
      <c r="U969" s="602"/>
      <c r="V969" s="522"/>
      <c r="X969" s="4"/>
    </row>
    <row r="970" spans="1:24" s="8" customFormat="1" ht="14.4">
      <c r="A970" s="521"/>
      <c r="B970" s="167"/>
      <c r="C970" s="165"/>
      <c r="D970" s="523"/>
      <c r="E970" s="513" t="s">
        <v>1317</v>
      </c>
      <c r="F970" s="523"/>
      <c r="G970" s="601">
        <f t="shared" ref="G970" si="1443">SUM(G965:G968)</f>
        <v>0</v>
      </c>
      <c r="H970" s="527"/>
      <c r="I970" s="601">
        <f t="shared" ref="I970" si="1444">SUM(I965:I968)</f>
        <v>0</v>
      </c>
      <c r="J970" s="527"/>
      <c r="K970" s="601">
        <f t="shared" ref="K970" si="1445">SUM(K965:K968)</f>
        <v>0</v>
      </c>
      <c r="L970" s="527"/>
      <c r="M970" s="601">
        <f t="shared" ref="M970" si="1446">SUM(M965:M968)</f>
        <v>0</v>
      </c>
      <c r="N970" s="527"/>
      <c r="O970" s="601">
        <f t="shared" ref="O970" si="1447">SUM(O965:O968)</f>
        <v>0</v>
      </c>
      <c r="P970" s="527"/>
      <c r="Q970" s="601">
        <f t="shared" ref="Q970" si="1448">SUM(Q965:Q968)</f>
        <v>0</v>
      </c>
      <c r="R970" s="527"/>
      <c r="S970" s="601">
        <f t="shared" ref="S970" si="1449">SUM(S965:S968)</f>
        <v>0</v>
      </c>
      <c r="T970" s="527"/>
      <c r="U970" s="536">
        <f t="shared" ref="U970" si="1450">SUM(U965:U968)</f>
        <v>0</v>
      </c>
      <c r="V970" s="522"/>
      <c r="X970" s="4"/>
    </row>
    <row r="971" spans="1:24" s="8" customFormat="1" ht="8.25" customHeight="1">
      <c r="A971" s="521"/>
      <c r="B971" s="167"/>
      <c r="C971" s="165"/>
      <c r="D971" s="523"/>
      <c r="E971" s="165"/>
      <c r="F971" s="523"/>
      <c r="G971" s="520"/>
      <c r="H971" s="523"/>
      <c r="I971" s="520"/>
      <c r="J971" s="523"/>
      <c r="K971" s="520"/>
      <c r="L971" s="523"/>
      <c r="M971" s="520"/>
      <c r="N971" s="523"/>
      <c r="O971" s="520"/>
      <c r="P971" s="523"/>
      <c r="Q971" s="520"/>
      <c r="R971" s="167"/>
      <c r="S971" s="520"/>
      <c r="T971" s="167"/>
      <c r="U971" s="528"/>
      <c r="V971" s="522"/>
      <c r="X971" s="4"/>
    </row>
    <row r="972" spans="1:24" s="8" customFormat="1" ht="16.5" customHeight="1">
      <c r="A972" s="521"/>
      <c r="B972" s="167"/>
      <c r="C972" s="165"/>
      <c r="E972" s="513" t="s">
        <v>1304</v>
      </c>
      <c r="F972" s="523"/>
      <c r="G972" s="977">
        <f>_xlfn.IFNA(IF(VLOOKUP($B963,'PY1 TFR ADA'!$F:$AU,MATCH("B-1.5",'PY1 TFR ADA'!$F$5:$AU$5,0),FALSE)=TRUE,IF(VLOOKUP($B963,'PY1 TFR ADA'!$F:$AU,MATCH("C-1",'PY1 TFR ADA'!$F$5:$AU$5,0),FALSE)=TRUE,"Alternative Rate","LCFF Rate"),"LCFF Rate"),0)</f>
        <v>0</v>
      </c>
      <c r="H972" s="523"/>
      <c r="I972" s="977">
        <f>_xlfn.IFNA(IF(VLOOKUP($B963,'PY1 TFR ADA'!$F:$AU,MATCH("B-2.5",'PY1 TFR ADA'!$F$5:$AU$5,0),FALSE)=TRUE,IF(VLOOKUP($B963,'PY1 TFR ADA'!$F:$AU,MATCH("C-1",'PY1 TFR ADA'!$F$5:$AU$5,0),FALSE)=TRUE,"Alternative Rate","LCFF Rate"),"LCFF Rate"),0)</f>
        <v>0</v>
      </c>
      <c r="J972" s="523"/>
      <c r="K972" s="977">
        <f>_xlfn.IFNA(IF(VLOOKUP($B963,'PY1 TFR ADA'!$F:$AU,MATCH("B-3.5",'PY1 TFR ADA'!$F$5:$AU$5,0),FALSE)=TRUE,IF(VLOOKUP($B963,'PY1 TFR ADA'!$F:$AU,MATCH("C-1",'PY1 TFR ADA'!$F$5:$AU$5,0),FALSE)=TRUE,"Alternative Rate","LCFF Rate"),"LCFF Rate"),0)</f>
        <v>0</v>
      </c>
      <c r="L972" s="523"/>
      <c r="M972" s="977">
        <f>_xlfn.IFNA(IF(VLOOKUP($B963,'PY1 TFR ADA'!$F:$AU,MATCH("B-4.5",'PY1 TFR ADA'!$F$5:$AU$5,0),FALSE)=TRUE,IF(VLOOKUP($B963,'PY1 TFR ADA'!$F:$AU,MATCH("C-1",'PY1 TFR ADA'!$F$5:$AU$5,0),FALSE)=TRUE,"Alternative Rate","LCFF Rate"),"LCFF Rate"),0)</f>
        <v>0</v>
      </c>
      <c r="N972" s="523"/>
      <c r="O972" s="977">
        <f>_xlfn.IFNA(IF(VLOOKUP($B963,'PY1 TFR ADA'!$F:$AU,MATCH("B-5.5",'PY1 TFR ADA'!$F$5:$AU$5,0),FALSE)=TRUE,IF(VLOOKUP($B963,'PY1 TFR ADA'!$F:$AU,MATCH("C-1",'PY1 TFR ADA'!$F$5:$AU$5,0),FALSE)=TRUE,"Alternative Rate","LCFF Rate"),"LCFF Rate"),0)</f>
        <v>0</v>
      </c>
      <c r="P972" s="523"/>
      <c r="Q972" s="977">
        <f>_xlfn.IFNA(IF(VLOOKUP($B963,'PY1 TFR ADA'!$F:$AU,MATCH("B-6.5",'PY1 TFR ADA'!$F$5:$AU$5,0),FALSE)=TRUE,IF(VLOOKUP($B963,'PY1 TFR ADA'!$F:$AU,MATCH("C-1",'PY1 TFR ADA'!$F$5:$AU$5,0),FALSE)=TRUE,"Alternative Rate","LCFF Rate"),"LCFF Rate"),0)</f>
        <v>0</v>
      </c>
      <c r="R972" s="167"/>
      <c r="S972" s="520"/>
      <c r="T972" s="167"/>
      <c r="U972" s="528"/>
      <c r="V972" s="522"/>
      <c r="X972" s="283"/>
    </row>
    <row r="973" spans="1:24" s="8" customFormat="1" ht="8.25" customHeight="1">
      <c r="A973" s="521"/>
      <c r="B973" s="167"/>
      <c r="C973" s="165"/>
      <c r="D973" s="523"/>
      <c r="E973" s="165"/>
      <c r="F973" s="523"/>
      <c r="G973" s="520"/>
      <c r="H973" s="523"/>
      <c r="I973" s="520"/>
      <c r="J973" s="523"/>
      <c r="K973" s="520"/>
      <c r="L973" s="523"/>
      <c r="M973" s="520"/>
      <c r="N973" s="523"/>
      <c r="O973" s="520"/>
      <c r="P973" s="523"/>
      <c r="Q973" s="520"/>
      <c r="R973" s="167"/>
      <c r="S973" s="520"/>
      <c r="T973" s="167"/>
      <c r="U973" s="528"/>
      <c r="V973" s="522"/>
      <c r="X973" s="4"/>
    </row>
    <row r="974" spans="1:24" s="8" customFormat="1" ht="16.8">
      <c r="A974" s="521"/>
      <c r="B974" s="2"/>
      <c r="F974" s="523"/>
      <c r="G974" s="535">
        <f t="shared" ref="G974" si="1451">IF(G972="LCFF Rate",(G965*C965+G966*C966+G967*C967+G968*C968),(G970*E968))</f>
        <v>0</v>
      </c>
      <c r="H974" s="537"/>
      <c r="I974" s="535">
        <f t="shared" ref="I974" si="1452">IF(I972="LCFF Rate",(I965*C965+I966*C966+I967*C967+I968*C968),(I970*E968))</f>
        <v>0</v>
      </c>
      <c r="J974" s="537"/>
      <c r="K974" s="535">
        <f t="shared" ref="K974" si="1453">IF(K972="LCFF Rate",(K965*C965+K966*C966+K967*C967+K968*C968),(K970*E968))</f>
        <v>0</v>
      </c>
      <c r="L974" s="537"/>
      <c r="M974" s="535">
        <f t="shared" ref="M974" si="1454">IF(M972="LCFF Rate",(M965*C965+M966*C966+M967*C967+M968*C968),(M970*E968))</f>
        <v>0</v>
      </c>
      <c r="N974" s="537"/>
      <c r="O974" s="535">
        <f t="shared" ref="O974" si="1455">IF(O972="LCFF Rate",(O965*C965+O966*C966+O967*C967+O968*C968),(O970*E968))</f>
        <v>0</v>
      </c>
      <c r="P974" s="537"/>
      <c r="Q974" s="535">
        <f t="shared" ref="Q974" si="1456">IF(Q972="LCFF Rate",(Q965*C965+Q966*C966+Q967*C967+Q968*C968),(Q970*E968))</f>
        <v>0</v>
      </c>
      <c r="R974" s="167"/>
      <c r="S974" s="538">
        <f t="shared" ref="S974" si="1457">SUM(G974:Q974)</f>
        <v>0</v>
      </c>
      <c r="T974" s="167"/>
      <c r="U974" s="528"/>
      <c r="V974" s="522"/>
      <c r="X974" s="979"/>
    </row>
    <row r="975" spans="1:24" s="8" customFormat="1" ht="9" customHeight="1" thickBot="1">
      <c r="A975" s="529"/>
      <c r="B975" s="530"/>
      <c r="C975" s="531"/>
      <c r="D975" s="532"/>
      <c r="E975" s="533"/>
      <c r="F975" s="532"/>
      <c r="G975" s="530"/>
      <c r="H975" s="532"/>
      <c r="I975" s="530"/>
      <c r="J975" s="532"/>
      <c r="K975" s="530"/>
      <c r="L975" s="532"/>
      <c r="M975" s="530"/>
      <c r="N975" s="532"/>
      <c r="O975" s="530"/>
      <c r="P975" s="532"/>
      <c r="Q975" s="530"/>
      <c r="R975" s="532"/>
      <c r="S975" s="530"/>
      <c r="T975" s="532"/>
      <c r="U975" s="532"/>
      <c r="V975" s="534"/>
      <c r="X975" s="4"/>
    </row>
    <row r="976" spans="1:24" s="82" customFormat="1" ht="18" customHeight="1" thickBot="1">
      <c r="A976" s="890">
        <f>+A963+1</f>
        <v>75</v>
      </c>
      <c r="B976" s="891" t="str">
        <f>'Data Entry'!$B$3&amp;"-"&amp;C976</f>
        <v>-</v>
      </c>
      <c r="C976" s="891" t="str">
        <f>IFERROR(VLOOKUP('Data Entry'!$B$3&amp;"-"&amp;A976,'PY1 TFR ADA'!$D:$AT,2,FALSE),"")</f>
        <v/>
      </c>
      <c r="D976" s="892" t="str">
        <f>IFERROR(VLOOKUP('Data Entry'!$B$3&amp;"-"&amp;A976,'PY1 TFR ADA'!$D:$AT,4,FALSE),"")</f>
        <v/>
      </c>
      <c r="E976" s="893"/>
      <c r="F976" s="893"/>
      <c r="G976" s="893"/>
      <c r="H976" s="893"/>
      <c r="I976" s="893"/>
      <c r="J976" s="893"/>
      <c r="K976" s="893"/>
      <c r="L976" s="893"/>
      <c r="M976" s="893"/>
      <c r="N976" s="893"/>
      <c r="O976" s="893"/>
      <c r="P976" s="893"/>
      <c r="Q976" s="893"/>
      <c r="R976" s="893"/>
      <c r="S976" s="893"/>
      <c r="T976" s="893"/>
      <c r="U976" s="893"/>
      <c r="V976" s="894"/>
      <c r="X976" s="83"/>
    </row>
    <row r="977" spans="1:24" ht="75" customHeight="1">
      <c r="A977" s="521"/>
      <c r="C977" s="540" t="s">
        <v>1315</v>
      </c>
      <c r="D977" s="512"/>
      <c r="E977" s="540" t="s">
        <v>1316</v>
      </c>
      <c r="F977" s="512"/>
      <c r="G977" s="540" t="s">
        <v>1309</v>
      </c>
      <c r="H977" s="512"/>
      <c r="I977" s="540" t="s">
        <v>1310</v>
      </c>
      <c r="J977" s="512"/>
      <c r="K977" s="540" t="s">
        <v>1311</v>
      </c>
      <c r="L977" s="512"/>
      <c r="M977" s="540" t="s">
        <v>1312</v>
      </c>
      <c r="N977" s="512"/>
      <c r="O977" s="540" t="s">
        <v>1313</v>
      </c>
      <c r="P977" s="512"/>
      <c r="Q977" s="540" t="s">
        <v>1314</v>
      </c>
      <c r="R977" s="167"/>
      <c r="S977" s="540" t="s">
        <v>1308</v>
      </c>
      <c r="T977" s="167"/>
      <c r="U977" s="512" t="s">
        <v>1307</v>
      </c>
      <c r="V977" s="524"/>
      <c r="X977" s="283"/>
    </row>
    <row r="978" spans="1:24" s="8" customFormat="1" ht="14.4">
      <c r="A978" s="521"/>
      <c r="B978" s="510" t="s">
        <v>94</v>
      </c>
      <c r="C978" s="525">
        <f>IFERROR(VLOOKUP($B976,'PY1 TFR ADA'!$F:$AU,MATCH("A-1.1",'PY1 TFR ADA'!$F$5:$AU$5,0),FALSE),0)</f>
        <v>0</v>
      </c>
      <c r="D978" s="167"/>
      <c r="E978" s="525">
        <f>IFERROR(VALUE(VLOOKUP($B976,'PY1 TFR ADA'!$F:$AU,MATCH("A-2.1",'PY1 TFR ADA'!$F$5:$AU$5,0),FALSE)),0)</f>
        <v>0</v>
      </c>
      <c r="F978" s="167"/>
      <c r="G978" s="609">
        <f>IFERROR(VLOOKUP($B976,'PY1 TFR ADA'!$F:$AU,MATCH("b-1.1",'PY1 TFR ADA'!$F$5:$AU$5,0),FALSE),0)</f>
        <v>0</v>
      </c>
      <c r="H978" s="527"/>
      <c r="I978" s="609">
        <f>IFERROR(VLOOKUP($B976,'PY1 TFR ADA'!$F:$AU,MATCH("b-2.1",'PY1 TFR ADA'!$F$5:$AU$5,0),FALSE),0)</f>
        <v>0</v>
      </c>
      <c r="J978" s="527"/>
      <c r="K978" s="609">
        <f>IFERROR(VLOOKUP($B976,'PY1 TFR ADA'!$F:$AU,MATCH("b-3.1",'PY1 TFR ADA'!$F$5:$AU$5,0),FALSE),0)</f>
        <v>0</v>
      </c>
      <c r="L978" s="527"/>
      <c r="M978" s="609">
        <f>IFERROR(VLOOKUP($B976,'PY1 TFR ADA'!$F:$AU,MATCH("b-4.1",'PY1 TFR ADA'!$F$5:$AU$5,0),FALSE),0)</f>
        <v>0</v>
      </c>
      <c r="N978" s="527"/>
      <c r="O978" s="609">
        <f>IFERROR(VLOOKUP($B976,'PY1 TFR ADA'!$F:$AU,MATCH("b-5.1",'PY1 TFR ADA'!$F$5:$AU$5,0),FALSE),0)</f>
        <v>0</v>
      </c>
      <c r="P978" s="527"/>
      <c r="Q978" s="609">
        <f>IFERROR(VLOOKUP($B976,'PY1 TFR ADA'!$F:$AU,MATCH("b-6.1",'PY1 TFR ADA'!$F$5:$AU$5,0),FALSE),0)</f>
        <v>0</v>
      </c>
      <c r="R978" s="551"/>
      <c r="S978" s="601">
        <f t="shared" ref="S978:S981" si="1458">SUM(G978:Q978)</f>
        <v>0</v>
      </c>
      <c r="T978" s="551"/>
      <c r="U978" s="536">
        <f t="shared" ref="U978" si="1459">ROUND(IF($G985="LCFF Rate",(G978*$C978),(G978*$E978))+IF($I985="LCFF Rate",(I978*$C978),(I978*$E978))+IF($K985="LCFF Rate",(K978*$C978),(K978*$E978))+IF($M985="LCFF Rate",(M978*$C978),(M978*$E978))+IF($O985="LCFF Rate",(O978*$C978),(O978*$E978))+IF($Q985="LCFF Rate",(Q978*$C978),(Q978*$E978)),0)</f>
        <v>0</v>
      </c>
      <c r="V978" s="524"/>
      <c r="X978" s="496"/>
    </row>
    <row r="979" spans="1:24" s="8" customFormat="1" ht="14.4">
      <c r="A979" s="521"/>
      <c r="B979" s="510" t="s">
        <v>2</v>
      </c>
      <c r="C979" s="525">
        <f>IFERROR(VLOOKUP($B976,'PY1 TFR ADA'!$F:$AU,MATCH("A-1.2",'PY1 TFR ADA'!$F$5:$AU$5,0),FALSE),0)</f>
        <v>0</v>
      </c>
      <c r="D979" s="167"/>
      <c r="E979" s="525">
        <f>IFERROR(VALUE(VLOOKUP($B976,'PY1 TFR ADA'!$F:$AU,MATCH("A-2.2",'PY1 TFR ADA'!$F$5:$AU$5,0),FALSE)),0)</f>
        <v>0</v>
      </c>
      <c r="F979" s="167"/>
      <c r="G979" s="609">
        <f>IFERROR(VLOOKUP($B976,'PY1 TFR ADA'!$F:$AU,MATCH("b-1.2",'PY1 TFR ADA'!$F$5:$AU$5,0),FALSE),0)</f>
        <v>0</v>
      </c>
      <c r="H979" s="527"/>
      <c r="I979" s="609">
        <f>IFERROR(VLOOKUP($B976,'PY1 TFR ADA'!$F:$AU,MATCH("b-2.2",'PY1 TFR ADA'!$F$5:$AU$5,0),FALSE),0)</f>
        <v>0</v>
      </c>
      <c r="J979" s="527"/>
      <c r="K979" s="609">
        <f>IFERROR(VLOOKUP($B976,'PY1 TFR ADA'!$F:$AU,MATCH("b-3.2",'PY1 TFR ADA'!$F$5:$AU$5,0),FALSE),0)</f>
        <v>0</v>
      </c>
      <c r="L979" s="527"/>
      <c r="M979" s="609">
        <f>IFERROR(VLOOKUP($B976,'PY1 TFR ADA'!$F:$AU,MATCH("b-4.2",'PY1 TFR ADA'!$F$5:$AU$5,0),FALSE),0)</f>
        <v>0</v>
      </c>
      <c r="N979" s="527"/>
      <c r="O979" s="609">
        <f>IFERROR(VLOOKUP($B976,'PY1 TFR ADA'!$F:$AU,MATCH("b-5.2",'PY1 TFR ADA'!$F$5:$AU$5,0),FALSE),0)</f>
        <v>0</v>
      </c>
      <c r="P979" s="527"/>
      <c r="Q979" s="609">
        <f>IFERROR(VLOOKUP($B976,'PY1 TFR ADA'!$F:$AU,MATCH("b-6.2",'PY1 TFR ADA'!$F$5:$AU$5,0),FALSE),0)</f>
        <v>0</v>
      </c>
      <c r="R979" s="551"/>
      <c r="S979" s="601">
        <f t="shared" si="1458"/>
        <v>0</v>
      </c>
      <c r="T979" s="551"/>
      <c r="U979" s="536">
        <f t="shared" ref="U979" si="1460">ROUND(IF($G985="LCFF Rate",(G979*$C979),(G979*$E979))+IF($I985="LCFF Rate",(I979*$C979),(I979*$E979))+IF($K985="LCFF Rate",(K979*$C979),(K979*$E979))+IF($M985="LCFF Rate",(M979*$C979),(M979*$E979))+IF($O985="LCFF Rate",(O979*$C979),(O979*$E979))+IF($Q985="LCFF Rate",(Q979*$C979),(Q979*$E979)),0)</f>
        <v>0</v>
      </c>
      <c r="V979" s="524"/>
      <c r="X979" s="4"/>
    </row>
    <row r="980" spans="1:24" s="8" customFormat="1" ht="14.4">
      <c r="A980" s="521"/>
      <c r="B980" s="510" t="s">
        <v>3</v>
      </c>
      <c r="C980" s="525">
        <f>IFERROR(VLOOKUP($B976,'PY1 TFR ADA'!$F:$AU,MATCH("A-1.3",'PY1 TFR ADA'!$F$5:$AU$5,0),FALSE),0)</f>
        <v>0</v>
      </c>
      <c r="D980" s="167"/>
      <c r="E980" s="525">
        <f>IFERROR(VALUE(VLOOKUP($B976,'PY1 TFR ADA'!$F:$AU,MATCH("A-2.3",'PY1 TFR ADA'!$F$5:$AU$5,0),FALSE)),0)</f>
        <v>0</v>
      </c>
      <c r="F980" s="167"/>
      <c r="G980" s="609">
        <f>IFERROR(VLOOKUP($B976,'PY1 TFR ADA'!$F:$AU,MATCH("b-1.3",'PY1 TFR ADA'!$F$5:$AU$5,0),FALSE),0)</f>
        <v>0</v>
      </c>
      <c r="H980" s="527"/>
      <c r="I980" s="609">
        <f>IFERROR(VLOOKUP($B976,'PY1 TFR ADA'!$F:$AU,MATCH("b-2.3",'PY1 TFR ADA'!$F$5:$AU$5,0),FALSE),0)</f>
        <v>0</v>
      </c>
      <c r="J980" s="527"/>
      <c r="K980" s="609">
        <f>IFERROR(VLOOKUP($B976,'PY1 TFR ADA'!$F:$AU,MATCH("b-3.3",'PY1 TFR ADA'!$F$5:$AU$5,0),FALSE),0)</f>
        <v>0</v>
      </c>
      <c r="L980" s="527"/>
      <c r="M980" s="609">
        <f>IFERROR(VLOOKUP($B976,'PY1 TFR ADA'!$F:$AU,MATCH("b-4.3",'PY1 TFR ADA'!$F$5:$AU$5,0),FALSE),0)</f>
        <v>0</v>
      </c>
      <c r="N980" s="527"/>
      <c r="O980" s="609">
        <f>IFERROR(VLOOKUP($B976,'PY1 TFR ADA'!$F:$AU,MATCH("b-5.3",'PY1 TFR ADA'!$F$5:$AU$5,0),FALSE),0)</f>
        <v>0</v>
      </c>
      <c r="P980" s="527"/>
      <c r="Q980" s="609">
        <f>IFERROR(VLOOKUP($B976,'PY1 TFR ADA'!$F:$AU,MATCH("b-6.3",'PY1 TFR ADA'!$F$5:$AU$5,0),FALSE),0)</f>
        <v>0</v>
      </c>
      <c r="R980" s="551"/>
      <c r="S980" s="601">
        <f t="shared" si="1458"/>
        <v>0</v>
      </c>
      <c r="T980" s="551"/>
      <c r="U980" s="536">
        <f t="shared" ref="U980" si="1461">ROUND(IF($G985="LCFF Rate",(G980*$C980),(G980*$E980))+IF($I985="LCFF Rate",(I980*$C980),(I980*$E980))+IF($K985="LCFF Rate",(K980*$C980),(K980*$E980))+IF($M985="LCFF Rate",(M980*$C980),(M980*$E980))+IF($O985="LCFF Rate",(O980*$C980),(O980*$E980))+IF($Q985="LCFF Rate",(Q980*$C980),(Q980*$E980)),0)</f>
        <v>0</v>
      </c>
      <c r="V980" s="524"/>
      <c r="X980" s="4"/>
    </row>
    <row r="981" spans="1:24" s="8" customFormat="1" ht="14.4">
      <c r="A981" s="526"/>
      <c r="B981" s="510" t="s">
        <v>4</v>
      </c>
      <c r="C981" s="525">
        <f>IFERROR(VLOOKUP($B976,'PY1 TFR ADA'!$F:$AU,MATCH("A-1.4",'PY1 TFR ADA'!$F$5:$AU$5,0),FALSE),0)</f>
        <v>0</v>
      </c>
      <c r="D981" s="523"/>
      <c r="E981" s="525">
        <f>IFERROR(VALUE(VLOOKUP($B976,'PY1 TFR ADA'!$F:$AU,MATCH("A-2.4",'PY1 TFR ADA'!$F$5:$AU$5,0),FALSE)),0)</f>
        <v>0</v>
      </c>
      <c r="F981" s="523"/>
      <c r="G981" s="609">
        <f>IFERROR(VLOOKUP($B976,'PY1 TFR ADA'!$F:$AU,MATCH("b-1.4",'PY1 TFR ADA'!$F$5:$AU$5,0),FALSE),0)</f>
        <v>0</v>
      </c>
      <c r="H981" s="527"/>
      <c r="I981" s="609">
        <f>IFERROR(VLOOKUP($B976,'PY1 TFR ADA'!$F:$AU,MATCH("b-2.4",'PY1 TFR ADA'!$F$5:$AU$5,0),FALSE),0)</f>
        <v>0</v>
      </c>
      <c r="J981" s="527"/>
      <c r="K981" s="609">
        <f>IFERROR(VLOOKUP($B976,'PY1 TFR ADA'!$F:$AU,MATCH("b-3.4",'PY1 TFR ADA'!$F$5:$AU$5,0),FALSE),0)</f>
        <v>0</v>
      </c>
      <c r="L981" s="527"/>
      <c r="M981" s="609">
        <f>IFERROR(VLOOKUP($B976,'PY1 TFR ADA'!$F:$AU,MATCH("b-4.4",'PY1 TFR ADA'!$F$5:$AU$5,0),FALSE),0)</f>
        <v>0</v>
      </c>
      <c r="N981" s="527"/>
      <c r="O981" s="609">
        <f>IFERROR(VLOOKUP($B976,'PY1 TFR ADA'!$F:$AU,MATCH("b-5.4",'PY1 TFR ADA'!$F$5:$AU$5,0),FALSE),0)</f>
        <v>0</v>
      </c>
      <c r="P981" s="527"/>
      <c r="Q981" s="609">
        <f>IFERROR(VLOOKUP($B976,'PY1 TFR ADA'!$F:$AU,MATCH("b-6.4",'PY1 TFR ADA'!$F$5:$AU$5,0),FALSE),0)</f>
        <v>0</v>
      </c>
      <c r="R981" s="551"/>
      <c r="S981" s="601">
        <f t="shared" si="1458"/>
        <v>0</v>
      </c>
      <c r="T981" s="551"/>
      <c r="U981" s="536">
        <f t="shared" ref="U981" si="1462">ROUND(IF($G985="LCFF Rate",(G981*$C981),(G981*$E981))+IF($I985="LCFF Rate",(I981*$C981),(I981*$E981))+IF($K985="LCFF Rate",(K981*$C981),(K981*$E981))+IF($M985="LCFF Rate",(M981*$C981),(M981*$E981))+IF($O985="LCFF Rate",(O981*$C981),(O981*$E981))+IF($Q985="LCFF Rate",(Q981*$C981),(Q981*$E981)),0)</f>
        <v>0</v>
      </c>
      <c r="V981" s="522"/>
      <c r="X981" s="496"/>
    </row>
    <row r="982" spans="1:24" s="8" customFormat="1" ht="8.25" customHeight="1">
      <c r="A982" s="521"/>
      <c r="B982" s="167"/>
      <c r="C982" s="165"/>
      <c r="D982" s="523"/>
      <c r="E982" s="165"/>
      <c r="F982" s="523"/>
      <c r="G982" s="520"/>
      <c r="H982" s="523"/>
      <c r="I982" s="520"/>
      <c r="J982" s="523"/>
      <c r="K982" s="520"/>
      <c r="L982" s="523"/>
      <c r="M982" s="520"/>
      <c r="N982" s="523"/>
      <c r="O982" s="520"/>
      <c r="P982" s="523"/>
      <c r="Q982" s="520"/>
      <c r="R982" s="167"/>
      <c r="S982" s="520"/>
      <c r="T982" s="167"/>
      <c r="U982" s="602"/>
      <c r="V982" s="522"/>
      <c r="X982" s="4"/>
    </row>
    <row r="983" spans="1:24" s="8" customFormat="1" ht="14.4">
      <c r="A983" s="521"/>
      <c r="B983" s="167"/>
      <c r="C983" s="165"/>
      <c r="D983" s="523"/>
      <c r="E983" s="513" t="s">
        <v>1317</v>
      </c>
      <c r="F983" s="523"/>
      <c r="G983" s="601">
        <f t="shared" ref="G983" si="1463">SUM(G978:G981)</f>
        <v>0</v>
      </c>
      <c r="H983" s="527"/>
      <c r="I983" s="601">
        <f t="shared" ref="I983" si="1464">SUM(I978:I981)</f>
        <v>0</v>
      </c>
      <c r="J983" s="527"/>
      <c r="K983" s="601">
        <f t="shared" ref="K983" si="1465">SUM(K978:K981)</f>
        <v>0</v>
      </c>
      <c r="L983" s="527"/>
      <c r="M983" s="601">
        <f t="shared" ref="M983" si="1466">SUM(M978:M981)</f>
        <v>0</v>
      </c>
      <c r="N983" s="527"/>
      <c r="O983" s="601">
        <f t="shared" ref="O983" si="1467">SUM(O978:O981)</f>
        <v>0</v>
      </c>
      <c r="P983" s="527"/>
      <c r="Q983" s="601">
        <f t="shared" ref="Q983" si="1468">SUM(Q978:Q981)</f>
        <v>0</v>
      </c>
      <c r="R983" s="527"/>
      <c r="S983" s="601">
        <f t="shared" ref="S983" si="1469">SUM(S978:S981)</f>
        <v>0</v>
      </c>
      <c r="T983" s="527"/>
      <c r="U983" s="536">
        <f t="shared" ref="U983" si="1470">SUM(U978:U981)</f>
        <v>0</v>
      </c>
      <c r="V983" s="522"/>
      <c r="X983" s="4"/>
    </row>
    <row r="984" spans="1:24" s="8" customFormat="1" ht="8.25" customHeight="1">
      <c r="A984" s="521"/>
      <c r="B984" s="167"/>
      <c r="C984" s="165"/>
      <c r="D984" s="523"/>
      <c r="E984" s="165"/>
      <c r="F984" s="523"/>
      <c r="G984" s="520"/>
      <c r="H984" s="523"/>
      <c r="I984" s="520"/>
      <c r="J984" s="523"/>
      <c r="K984" s="520"/>
      <c r="L984" s="523"/>
      <c r="M984" s="520"/>
      <c r="N984" s="523"/>
      <c r="O984" s="520"/>
      <c r="P984" s="523"/>
      <c r="Q984" s="520"/>
      <c r="R984" s="167"/>
      <c r="S984" s="520"/>
      <c r="T984" s="167"/>
      <c r="U984" s="528"/>
      <c r="V984" s="522"/>
      <c r="X984" s="4"/>
    </row>
    <row r="985" spans="1:24" s="8" customFormat="1" ht="16.5" customHeight="1">
      <c r="A985" s="521"/>
      <c r="B985" s="167"/>
      <c r="C985" s="165"/>
      <c r="E985" s="513" t="s">
        <v>1304</v>
      </c>
      <c r="F985" s="523"/>
      <c r="G985" s="977">
        <f>_xlfn.IFNA(IF(VLOOKUP($B976,'PY1 TFR ADA'!$F:$AU,MATCH("B-1.5",'PY1 TFR ADA'!$F$5:$AU$5,0),FALSE)=TRUE,IF(VLOOKUP($B976,'PY1 TFR ADA'!$F:$AU,MATCH("C-1",'PY1 TFR ADA'!$F$5:$AU$5,0),FALSE)=TRUE,"Alternative Rate","LCFF Rate"),"LCFF Rate"),0)</f>
        <v>0</v>
      </c>
      <c r="H985" s="523"/>
      <c r="I985" s="977">
        <f>_xlfn.IFNA(IF(VLOOKUP($B976,'PY1 TFR ADA'!$F:$AU,MATCH("B-2.5",'PY1 TFR ADA'!$F$5:$AU$5,0),FALSE)=TRUE,IF(VLOOKUP($B976,'PY1 TFR ADA'!$F:$AU,MATCH("C-1",'PY1 TFR ADA'!$F$5:$AU$5,0),FALSE)=TRUE,"Alternative Rate","LCFF Rate"),"LCFF Rate"),0)</f>
        <v>0</v>
      </c>
      <c r="J985" s="523"/>
      <c r="K985" s="977">
        <f>_xlfn.IFNA(IF(VLOOKUP($B976,'PY1 TFR ADA'!$F:$AU,MATCH("B-3.5",'PY1 TFR ADA'!$F$5:$AU$5,0),FALSE)=TRUE,IF(VLOOKUP($B976,'PY1 TFR ADA'!$F:$AU,MATCH("C-1",'PY1 TFR ADA'!$F$5:$AU$5,0),FALSE)=TRUE,"Alternative Rate","LCFF Rate"),"LCFF Rate"),0)</f>
        <v>0</v>
      </c>
      <c r="L985" s="523"/>
      <c r="M985" s="977">
        <f>_xlfn.IFNA(IF(VLOOKUP($B976,'PY1 TFR ADA'!$F:$AU,MATCH("B-4.5",'PY1 TFR ADA'!$F$5:$AU$5,0),FALSE)=TRUE,IF(VLOOKUP($B976,'PY1 TFR ADA'!$F:$AU,MATCH("C-1",'PY1 TFR ADA'!$F$5:$AU$5,0),FALSE)=TRUE,"Alternative Rate","LCFF Rate"),"LCFF Rate"),0)</f>
        <v>0</v>
      </c>
      <c r="N985" s="523"/>
      <c r="O985" s="977">
        <f>_xlfn.IFNA(IF(VLOOKUP($B976,'PY1 TFR ADA'!$F:$AU,MATCH("B-5.5",'PY1 TFR ADA'!$F$5:$AU$5,0),FALSE)=TRUE,IF(VLOOKUP($B976,'PY1 TFR ADA'!$F:$AU,MATCH("C-1",'PY1 TFR ADA'!$F$5:$AU$5,0),FALSE)=TRUE,"Alternative Rate","LCFF Rate"),"LCFF Rate"),0)</f>
        <v>0</v>
      </c>
      <c r="P985" s="523"/>
      <c r="Q985" s="977">
        <f>_xlfn.IFNA(IF(VLOOKUP($B976,'PY1 TFR ADA'!$F:$AU,MATCH("B-6.5",'PY1 TFR ADA'!$F$5:$AU$5,0),FALSE)=TRUE,IF(VLOOKUP($B976,'PY1 TFR ADA'!$F:$AU,MATCH("C-1",'PY1 TFR ADA'!$F$5:$AU$5,0),FALSE)=TRUE,"Alternative Rate","LCFF Rate"),"LCFF Rate"),0)</f>
        <v>0</v>
      </c>
      <c r="R985" s="167"/>
      <c r="S985" s="520"/>
      <c r="T985" s="167"/>
      <c r="U985" s="528"/>
      <c r="V985" s="522"/>
      <c r="X985" s="283"/>
    </row>
    <row r="986" spans="1:24" s="8" customFormat="1" ht="8.25" customHeight="1">
      <c r="A986" s="521"/>
      <c r="B986" s="167"/>
      <c r="C986" s="165"/>
      <c r="D986" s="523"/>
      <c r="E986" s="165"/>
      <c r="F986" s="523"/>
      <c r="G986" s="520"/>
      <c r="H986" s="523"/>
      <c r="I986" s="520"/>
      <c r="J986" s="523"/>
      <c r="K986" s="520"/>
      <c r="L986" s="523"/>
      <c r="M986" s="520"/>
      <c r="N986" s="523"/>
      <c r="O986" s="520"/>
      <c r="P986" s="523"/>
      <c r="Q986" s="520"/>
      <c r="R986" s="167"/>
      <c r="S986" s="520"/>
      <c r="T986" s="167"/>
      <c r="U986" s="528"/>
      <c r="V986" s="522"/>
      <c r="X986" s="4"/>
    </row>
    <row r="987" spans="1:24" s="8" customFormat="1" ht="16.8">
      <c r="A987" s="521"/>
      <c r="B987" s="2"/>
      <c r="F987" s="523"/>
      <c r="G987" s="535">
        <f t="shared" ref="G987" si="1471">IF(G985="LCFF Rate",(G978*C978+G979*C979+G980*C980+G981*C981),(G983*E981))</f>
        <v>0</v>
      </c>
      <c r="H987" s="537"/>
      <c r="I987" s="535">
        <f t="shared" ref="I987" si="1472">IF(I985="LCFF Rate",(I978*C978+I979*C979+I980*C980+I981*C981),(I983*E981))</f>
        <v>0</v>
      </c>
      <c r="J987" s="537"/>
      <c r="K987" s="535">
        <f t="shared" ref="K987" si="1473">IF(K985="LCFF Rate",(K978*C978+K979*C979+K980*C980+K981*C981),(K983*E981))</f>
        <v>0</v>
      </c>
      <c r="L987" s="537"/>
      <c r="M987" s="535">
        <f t="shared" ref="M987" si="1474">IF(M985="LCFF Rate",(M978*C978+M979*C979+M980*C980+M981*C981),(M983*E981))</f>
        <v>0</v>
      </c>
      <c r="N987" s="537"/>
      <c r="O987" s="535">
        <f t="shared" ref="O987" si="1475">IF(O985="LCFF Rate",(O978*C978+O979*C979+O980*C980+O981*C981),(O983*E981))</f>
        <v>0</v>
      </c>
      <c r="P987" s="537"/>
      <c r="Q987" s="535">
        <f t="shared" ref="Q987" si="1476">IF(Q985="LCFF Rate",(Q978*C978+Q979*C979+Q980*C980+Q981*C981),(Q983*E981))</f>
        <v>0</v>
      </c>
      <c r="R987" s="167"/>
      <c r="S987" s="538">
        <f t="shared" ref="S987" si="1477">SUM(G987:Q987)</f>
        <v>0</v>
      </c>
      <c r="T987" s="167"/>
      <c r="U987" s="528"/>
      <c r="V987" s="522"/>
      <c r="X987" s="979"/>
    </row>
    <row r="988" spans="1:24" s="8" customFormat="1" ht="9" customHeight="1" thickBot="1">
      <c r="A988" s="529"/>
      <c r="B988" s="530"/>
      <c r="C988" s="531"/>
      <c r="D988" s="532"/>
      <c r="E988" s="533"/>
      <c r="F988" s="532"/>
      <c r="G988" s="530"/>
      <c r="H988" s="532"/>
      <c r="I988" s="530"/>
      <c r="J988" s="532"/>
      <c r="K988" s="530"/>
      <c r="L988" s="532"/>
      <c r="M988" s="530"/>
      <c r="N988" s="532"/>
      <c r="O988" s="530"/>
      <c r="P988" s="532"/>
      <c r="Q988" s="530"/>
      <c r="R988" s="532"/>
      <c r="S988" s="530"/>
      <c r="T988" s="532"/>
      <c r="U988" s="532"/>
      <c r="V988" s="534"/>
      <c r="X988" s="4"/>
    </row>
    <row r="989" spans="1:24" s="82" customFormat="1" ht="18" customHeight="1" thickBot="1">
      <c r="A989" s="890">
        <f>+A976+1</f>
        <v>76</v>
      </c>
      <c r="B989" s="891" t="str">
        <f>'Data Entry'!$B$3&amp;"-"&amp;C989</f>
        <v>-</v>
      </c>
      <c r="C989" s="891" t="str">
        <f>IFERROR(VLOOKUP('Data Entry'!$B$3&amp;"-"&amp;A989,'PY1 TFR ADA'!$D:$AT,2,FALSE),"")</f>
        <v/>
      </c>
      <c r="D989" s="892" t="str">
        <f>IFERROR(VLOOKUP('Data Entry'!$B$3&amp;"-"&amp;A989,'PY1 TFR ADA'!$D:$AT,4,FALSE),"")</f>
        <v/>
      </c>
      <c r="E989" s="893"/>
      <c r="F989" s="893"/>
      <c r="G989" s="893"/>
      <c r="H989" s="893"/>
      <c r="I989" s="893"/>
      <c r="J989" s="893"/>
      <c r="K989" s="893"/>
      <c r="L989" s="893"/>
      <c r="M989" s="893"/>
      <c r="N989" s="893"/>
      <c r="O989" s="893"/>
      <c r="P989" s="893"/>
      <c r="Q989" s="893"/>
      <c r="R989" s="893"/>
      <c r="S989" s="893"/>
      <c r="T989" s="893"/>
      <c r="U989" s="893"/>
      <c r="V989" s="894"/>
      <c r="X989" s="83"/>
    </row>
    <row r="990" spans="1:24" ht="75" customHeight="1">
      <c r="A990" s="521"/>
      <c r="C990" s="540" t="s">
        <v>1315</v>
      </c>
      <c r="D990" s="512"/>
      <c r="E990" s="540" t="s">
        <v>1316</v>
      </c>
      <c r="F990" s="512"/>
      <c r="G990" s="540" t="s">
        <v>1309</v>
      </c>
      <c r="H990" s="512"/>
      <c r="I990" s="540" t="s">
        <v>1310</v>
      </c>
      <c r="J990" s="512"/>
      <c r="K990" s="540" t="s">
        <v>1311</v>
      </c>
      <c r="L990" s="512"/>
      <c r="M990" s="540" t="s">
        <v>1312</v>
      </c>
      <c r="N990" s="512"/>
      <c r="O990" s="540" t="s">
        <v>1313</v>
      </c>
      <c r="P990" s="512"/>
      <c r="Q990" s="540" t="s">
        <v>1314</v>
      </c>
      <c r="R990" s="167"/>
      <c r="S990" s="540" t="s">
        <v>1308</v>
      </c>
      <c r="T990" s="167"/>
      <c r="U990" s="512" t="s">
        <v>1307</v>
      </c>
      <c r="V990" s="524"/>
      <c r="X990" s="283"/>
    </row>
    <row r="991" spans="1:24" s="8" customFormat="1" ht="14.4">
      <c r="A991" s="521"/>
      <c r="B991" s="510" t="s">
        <v>94</v>
      </c>
      <c r="C991" s="525">
        <f>IFERROR(VLOOKUP($B989,'PY1 TFR ADA'!$F:$AU,MATCH("A-1.1",'PY1 TFR ADA'!$F$5:$AU$5,0),FALSE),0)</f>
        <v>0</v>
      </c>
      <c r="D991" s="167"/>
      <c r="E991" s="525">
        <f>IFERROR(VALUE(VLOOKUP($B989,'PY1 TFR ADA'!$F:$AU,MATCH("A-2.1",'PY1 TFR ADA'!$F$5:$AU$5,0),FALSE)),0)</f>
        <v>0</v>
      </c>
      <c r="F991" s="167"/>
      <c r="G991" s="609">
        <f>IFERROR(VLOOKUP($B989,'PY1 TFR ADA'!$F:$AU,MATCH("b-1.1",'PY1 TFR ADA'!$F$5:$AU$5,0),FALSE),0)</f>
        <v>0</v>
      </c>
      <c r="H991" s="527"/>
      <c r="I991" s="609">
        <f>IFERROR(VLOOKUP($B989,'PY1 TFR ADA'!$F:$AU,MATCH("b-2.1",'PY1 TFR ADA'!$F$5:$AU$5,0),FALSE),0)</f>
        <v>0</v>
      </c>
      <c r="J991" s="527"/>
      <c r="K991" s="609">
        <f>IFERROR(VLOOKUP($B989,'PY1 TFR ADA'!$F:$AU,MATCH("b-3.1",'PY1 TFR ADA'!$F$5:$AU$5,0),FALSE),0)</f>
        <v>0</v>
      </c>
      <c r="L991" s="527"/>
      <c r="M991" s="609">
        <f>IFERROR(VLOOKUP($B989,'PY1 TFR ADA'!$F:$AU,MATCH("b-4.1",'PY1 TFR ADA'!$F$5:$AU$5,0),FALSE),0)</f>
        <v>0</v>
      </c>
      <c r="N991" s="527"/>
      <c r="O991" s="609">
        <f>IFERROR(VLOOKUP($B989,'PY1 TFR ADA'!$F:$AU,MATCH("b-5.1",'PY1 TFR ADA'!$F$5:$AU$5,0),FALSE),0)</f>
        <v>0</v>
      </c>
      <c r="P991" s="527"/>
      <c r="Q991" s="609">
        <f>IFERROR(VLOOKUP($B989,'PY1 TFR ADA'!$F:$AU,MATCH("b-6.1",'PY1 TFR ADA'!$F$5:$AU$5,0),FALSE),0)</f>
        <v>0</v>
      </c>
      <c r="R991" s="551"/>
      <c r="S991" s="601">
        <f t="shared" ref="S991:S994" si="1478">SUM(G991:Q991)</f>
        <v>0</v>
      </c>
      <c r="T991" s="551"/>
      <c r="U991" s="536">
        <f t="shared" ref="U991" si="1479">ROUND(IF($G998="LCFF Rate",(G991*$C991),(G991*$E991))+IF($I998="LCFF Rate",(I991*$C991),(I991*$E991))+IF($K998="LCFF Rate",(K991*$C991),(K991*$E991))+IF($M998="LCFF Rate",(M991*$C991),(M991*$E991))+IF($O998="LCFF Rate",(O991*$C991),(O991*$E991))+IF($Q998="LCFF Rate",(Q991*$C991),(Q991*$E991)),0)</f>
        <v>0</v>
      </c>
      <c r="V991" s="524"/>
      <c r="X991" s="496"/>
    </row>
    <row r="992" spans="1:24" s="8" customFormat="1" ht="14.4">
      <c r="A992" s="521"/>
      <c r="B992" s="510" t="s">
        <v>2</v>
      </c>
      <c r="C992" s="525">
        <f>IFERROR(VLOOKUP($B989,'PY1 TFR ADA'!$F:$AU,MATCH("A-1.2",'PY1 TFR ADA'!$F$5:$AU$5,0),FALSE),0)</f>
        <v>0</v>
      </c>
      <c r="D992" s="167"/>
      <c r="E992" s="525">
        <f>IFERROR(VALUE(VLOOKUP($B989,'PY1 TFR ADA'!$F:$AU,MATCH("A-2.2",'PY1 TFR ADA'!$F$5:$AU$5,0),FALSE)),0)</f>
        <v>0</v>
      </c>
      <c r="F992" s="167"/>
      <c r="G992" s="609">
        <f>IFERROR(VLOOKUP($B989,'PY1 TFR ADA'!$F:$AU,MATCH("b-1.2",'PY1 TFR ADA'!$F$5:$AU$5,0),FALSE),0)</f>
        <v>0</v>
      </c>
      <c r="H992" s="527"/>
      <c r="I992" s="609">
        <f>IFERROR(VLOOKUP($B989,'PY1 TFR ADA'!$F:$AU,MATCH("b-2.2",'PY1 TFR ADA'!$F$5:$AU$5,0),FALSE),0)</f>
        <v>0</v>
      </c>
      <c r="J992" s="527"/>
      <c r="K992" s="609">
        <f>IFERROR(VLOOKUP($B989,'PY1 TFR ADA'!$F:$AU,MATCH("b-3.2",'PY1 TFR ADA'!$F$5:$AU$5,0),FALSE),0)</f>
        <v>0</v>
      </c>
      <c r="L992" s="527"/>
      <c r="M992" s="609">
        <f>IFERROR(VLOOKUP($B989,'PY1 TFR ADA'!$F:$AU,MATCH("b-4.2",'PY1 TFR ADA'!$F$5:$AU$5,0),FALSE),0)</f>
        <v>0</v>
      </c>
      <c r="N992" s="527"/>
      <c r="O992" s="609">
        <f>IFERROR(VLOOKUP($B989,'PY1 TFR ADA'!$F:$AU,MATCH("b-5.2",'PY1 TFR ADA'!$F$5:$AU$5,0),FALSE),0)</f>
        <v>0</v>
      </c>
      <c r="P992" s="527"/>
      <c r="Q992" s="609">
        <f>IFERROR(VLOOKUP($B989,'PY1 TFR ADA'!$F:$AU,MATCH("b-6.2",'PY1 TFR ADA'!$F$5:$AU$5,0),FALSE),0)</f>
        <v>0</v>
      </c>
      <c r="R992" s="551"/>
      <c r="S992" s="601">
        <f t="shared" si="1478"/>
        <v>0</v>
      </c>
      <c r="T992" s="551"/>
      <c r="U992" s="536">
        <f t="shared" ref="U992" si="1480">ROUND(IF($G998="LCFF Rate",(G992*$C992),(G992*$E992))+IF($I998="LCFF Rate",(I992*$C992),(I992*$E992))+IF($K998="LCFF Rate",(K992*$C992),(K992*$E992))+IF($M998="LCFF Rate",(M992*$C992),(M992*$E992))+IF($O998="LCFF Rate",(O992*$C992),(O992*$E992))+IF($Q998="LCFF Rate",(Q992*$C992),(Q992*$E992)),0)</f>
        <v>0</v>
      </c>
      <c r="V992" s="524"/>
      <c r="X992" s="4"/>
    </row>
    <row r="993" spans="1:24" s="8" customFormat="1" ht="14.4">
      <c r="A993" s="521"/>
      <c r="B993" s="510" t="s">
        <v>3</v>
      </c>
      <c r="C993" s="525">
        <f>IFERROR(VLOOKUP($B989,'PY1 TFR ADA'!$F:$AU,MATCH("A-1.3",'PY1 TFR ADA'!$F$5:$AU$5,0),FALSE),0)</f>
        <v>0</v>
      </c>
      <c r="D993" s="167"/>
      <c r="E993" s="525">
        <f>IFERROR(VALUE(VLOOKUP($B989,'PY1 TFR ADA'!$F:$AU,MATCH("A-2.3",'PY1 TFR ADA'!$F$5:$AU$5,0),FALSE)),0)</f>
        <v>0</v>
      </c>
      <c r="F993" s="167"/>
      <c r="G993" s="609">
        <f>IFERROR(VLOOKUP($B989,'PY1 TFR ADA'!$F:$AU,MATCH("b-1.3",'PY1 TFR ADA'!$F$5:$AU$5,0),FALSE),0)</f>
        <v>0</v>
      </c>
      <c r="H993" s="527"/>
      <c r="I993" s="609">
        <f>IFERROR(VLOOKUP($B989,'PY1 TFR ADA'!$F:$AU,MATCH("b-2.3",'PY1 TFR ADA'!$F$5:$AU$5,0),FALSE),0)</f>
        <v>0</v>
      </c>
      <c r="J993" s="527"/>
      <c r="K993" s="609">
        <f>IFERROR(VLOOKUP($B989,'PY1 TFR ADA'!$F:$AU,MATCH("b-3.3",'PY1 TFR ADA'!$F$5:$AU$5,0),FALSE),0)</f>
        <v>0</v>
      </c>
      <c r="L993" s="527"/>
      <c r="M993" s="609">
        <f>IFERROR(VLOOKUP($B989,'PY1 TFR ADA'!$F:$AU,MATCH("b-4.3",'PY1 TFR ADA'!$F$5:$AU$5,0),FALSE),0)</f>
        <v>0</v>
      </c>
      <c r="N993" s="527"/>
      <c r="O993" s="609">
        <f>IFERROR(VLOOKUP($B989,'PY1 TFR ADA'!$F:$AU,MATCH("b-5.3",'PY1 TFR ADA'!$F$5:$AU$5,0),FALSE),0)</f>
        <v>0</v>
      </c>
      <c r="P993" s="527"/>
      <c r="Q993" s="609">
        <f>IFERROR(VLOOKUP($B989,'PY1 TFR ADA'!$F:$AU,MATCH("b-6.3",'PY1 TFR ADA'!$F$5:$AU$5,0),FALSE),0)</f>
        <v>0</v>
      </c>
      <c r="R993" s="551"/>
      <c r="S993" s="601">
        <f t="shared" si="1478"/>
        <v>0</v>
      </c>
      <c r="T993" s="551"/>
      <c r="U993" s="536">
        <f t="shared" ref="U993" si="1481">ROUND(IF($G998="LCFF Rate",(G993*$C993),(G993*$E993))+IF($I998="LCFF Rate",(I993*$C993),(I993*$E993))+IF($K998="LCFF Rate",(K993*$C993),(K993*$E993))+IF($M998="LCFF Rate",(M993*$C993),(M993*$E993))+IF($O998="LCFF Rate",(O993*$C993),(O993*$E993))+IF($Q998="LCFF Rate",(Q993*$C993),(Q993*$E993)),0)</f>
        <v>0</v>
      </c>
      <c r="V993" s="524"/>
      <c r="X993" s="4"/>
    </row>
    <row r="994" spans="1:24" s="8" customFormat="1" ht="14.4">
      <c r="A994" s="526"/>
      <c r="B994" s="510" t="s">
        <v>4</v>
      </c>
      <c r="C994" s="525">
        <f>IFERROR(VLOOKUP($B989,'PY1 TFR ADA'!$F:$AU,MATCH("A-1.4",'PY1 TFR ADA'!$F$5:$AU$5,0),FALSE),0)</f>
        <v>0</v>
      </c>
      <c r="D994" s="523"/>
      <c r="E994" s="525">
        <f>IFERROR(VALUE(VLOOKUP($B989,'PY1 TFR ADA'!$F:$AU,MATCH("A-2.4",'PY1 TFR ADA'!$F$5:$AU$5,0),FALSE)),0)</f>
        <v>0</v>
      </c>
      <c r="F994" s="523"/>
      <c r="G994" s="609">
        <f>IFERROR(VLOOKUP($B989,'PY1 TFR ADA'!$F:$AU,MATCH("b-1.4",'PY1 TFR ADA'!$F$5:$AU$5,0),FALSE),0)</f>
        <v>0</v>
      </c>
      <c r="H994" s="527"/>
      <c r="I994" s="609">
        <f>IFERROR(VLOOKUP($B989,'PY1 TFR ADA'!$F:$AU,MATCH("b-2.4",'PY1 TFR ADA'!$F$5:$AU$5,0),FALSE),0)</f>
        <v>0</v>
      </c>
      <c r="J994" s="527"/>
      <c r="K994" s="609">
        <f>IFERROR(VLOOKUP($B989,'PY1 TFR ADA'!$F:$AU,MATCH("b-3.4",'PY1 TFR ADA'!$F$5:$AU$5,0),FALSE),0)</f>
        <v>0</v>
      </c>
      <c r="L994" s="527"/>
      <c r="M994" s="609">
        <f>IFERROR(VLOOKUP($B989,'PY1 TFR ADA'!$F:$AU,MATCH("b-4.4",'PY1 TFR ADA'!$F$5:$AU$5,0),FALSE),0)</f>
        <v>0</v>
      </c>
      <c r="N994" s="527"/>
      <c r="O994" s="609">
        <f>IFERROR(VLOOKUP($B989,'PY1 TFR ADA'!$F:$AU,MATCH("b-5.4",'PY1 TFR ADA'!$F$5:$AU$5,0),FALSE),0)</f>
        <v>0</v>
      </c>
      <c r="P994" s="527"/>
      <c r="Q994" s="609">
        <f>IFERROR(VLOOKUP($B989,'PY1 TFR ADA'!$F:$AU,MATCH("b-6.4",'PY1 TFR ADA'!$F$5:$AU$5,0),FALSE),0)</f>
        <v>0</v>
      </c>
      <c r="R994" s="551"/>
      <c r="S994" s="601">
        <f t="shared" si="1478"/>
        <v>0</v>
      </c>
      <c r="T994" s="551"/>
      <c r="U994" s="536">
        <f t="shared" ref="U994" si="1482">ROUND(IF($G998="LCFF Rate",(G994*$C994),(G994*$E994))+IF($I998="LCFF Rate",(I994*$C994),(I994*$E994))+IF($K998="LCFF Rate",(K994*$C994),(K994*$E994))+IF($M998="LCFF Rate",(M994*$C994),(M994*$E994))+IF($O998="LCFF Rate",(O994*$C994),(O994*$E994))+IF($Q998="LCFF Rate",(Q994*$C994),(Q994*$E994)),0)</f>
        <v>0</v>
      </c>
      <c r="V994" s="522"/>
      <c r="X994" s="496"/>
    </row>
    <row r="995" spans="1:24" s="8" customFormat="1" ht="8.25" customHeight="1">
      <c r="A995" s="521"/>
      <c r="B995" s="167"/>
      <c r="C995" s="165"/>
      <c r="D995" s="523"/>
      <c r="E995" s="165"/>
      <c r="F995" s="523"/>
      <c r="G995" s="520"/>
      <c r="H995" s="523"/>
      <c r="I995" s="520"/>
      <c r="J995" s="523"/>
      <c r="K995" s="520"/>
      <c r="L995" s="523"/>
      <c r="M995" s="520"/>
      <c r="N995" s="523"/>
      <c r="O995" s="520"/>
      <c r="P995" s="523"/>
      <c r="Q995" s="520"/>
      <c r="R995" s="167"/>
      <c r="S995" s="520"/>
      <c r="T995" s="167"/>
      <c r="U995" s="602"/>
      <c r="V995" s="522"/>
      <c r="X995" s="4"/>
    </row>
    <row r="996" spans="1:24" s="8" customFormat="1" ht="14.4">
      <c r="A996" s="521"/>
      <c r="B996" s="167"/>
      <c r="C996" s="165"/>
      <c r="D996" s="523"/>
      <c r="E996" s="513" t="s">
        <v>1317</v>
      </c>
      <c r="F996" s="523"/>
      <c r="G996" s="601">
        <f t="shared" ref="G996" si="1483">SUM(G991:G994)</f>
        <v>0</v>
      </c>
      <c r="H996" s="527"/>
      <c r="I996" s="601">
        <f t="shared" ref="I996" si="1484">SUM(I991:I994)</f>
        <v>0</v>
      </c>
      <c r="J996" s="527"/>
      <c r="K996" s="601">
        <f t="shared" ref="K996" si="1485">SUM(K991:K994)</f>
        <v>0</v>
      </c>
      <c r="L996" s="527"/>
      <c r="M996" s="601">
        <f t="shared" ref="M996" si="1486">SUM(M991:M994)</f>
        <v>0</v>
      </c>
      <c r="N996" s="527"/>
      <c r="O996" s="601">
        <f t="shared" ref="O996" si="1487">SUM(O991:O994)</f>
        <v>0</v>
      </c>
      <c r="P996" s="527"/>
      <c r="Q996" s="601">
        <f t="shared" ref="Q996" si="1488">SUM(Q991:Q994)</f>
        <v>0</v>
      </c>
      <c r="R996" s="527"/>
      <c r="S996" s="601">
        <f t="shared" ref="S996" si="1489">SUM(S991:S994)</f>
        <v>0</v>
      </c>
      <c r="T996" s="527"/>
      <c r="U996" s="536">
        <f t="shared" ref="U996" si="1490">SUM(U991:U994)</f>
        <v>0</v>
      </c>
      <c r="V996" s="522"/>
      <c r="X996" s="4"/>
    </row>
    <row r="997" spans="1:24" s="8" customFormat="1" ht="8.25" customHeight="1">
      <c r="A997" s="521"/>
      <c r="B997" s="167"/>
      <c r="C997" s="165"/>
      <c r="D997" s="523"/>
      <c r="E997" s="165"/>
      <c r="F997" s="523"/>
      <c r="G997" s="520"/>
      <c r="H997" s="523"/>
      <c r="I997" s="520"/>
      <c r="J997" s="523"/>
      <c r="K997" s="520"/>
      <c r="L997" s="523"/>
      <c r="M997" s="520"/>
      <c r="N997" s="523"/>
      <c r="O997" s="520"/>
      <c r="P997" s="523"/>
      <c r="Q997" s="520"/>
      <c r="R997" s="167"/>
      <c r="S997" s="520"/>
      <c r="T997" s="167"/>
      <c r="U997" s="528"/>
      <c r="V997" s="522"/>
      <c r="X997" s="4"/>
    </row>
    <row r="998" spans="1:24" s="8" customFormat="1" ht="16.5" customHeight="1">
      <c r="A998" s="521"/>
      <c r="B998" s="167"/>
      <c r="C998" s="165"/>
      <c r="E998" s="513" t="s">
        <v>1304</v>
      </c>
      <c r="F998" s="523"/>
      <c r="G998" s="977">
        <f>_xlfn.IFNA(IF(VLOOKUP($B989,'PY1 TFR ADA'!$F:$AU,MATCH("B-1.5",'PY1 TFR ADA'!$F$5:$AU$5,0),FALSE)=TRUE,IF(VLOOKUP($B989,'PY1 TFR ADA'!$F:$AU,MATCH("C-1",'PY1 TFR ADA'!$F$5:$AU$5,0),FALSE)=TRUE,"Alternative Rate","LCFF Rate"),"LCFF Rate"),0)</f>
        <v>0</v>
      </c>
      <c r="H998" s="523"/>
      <c r="I998" s="977">
        <f>_xlfn.IFNA(IF(VLOOKUP($B989,'PY1 TFR ADA'!$F:$AU,MATCH("B-2.5",'PY1 TFR ADA'!$F$5:$AU$5,0),FALSE)=TRUE,IF(VLOOKUP($B989,'PY1 TFR ADA'!$F:$AU,MATCH("C-1",'PY1 TFR ADA'!$F$5:$AU$5,0),FALSE)=TRUE,"Alternative Rate","LCFF Rate"),"LCFF Rate"),0)</f>
        <v>0</v>
      </c>
      <c r="J998" s="523"/>
      <c r="K998" s="977">
        <f>_xlfn.IFNA(IF(VLOOKUP($B989,'PY1 TFR ADA'!$F:$AU,MATCH("B-3.5",'PY1 TFR ADA'!$F$5:$AU$5,0),FALSE)=TRUE,IF(VLOOKUP($B989,'PY1 TFR ADA'!$F:$AU,MATCH("C-1",'PY1 TFR ADA'!$F$5:$AU$5,0),FALSE)=TRUE,"Alternative Rate","LCFF Rate"),"LCFF Rate"),0)</f>
        <v>0</v>
      </c>
      <c r="L998" s="523"/>
      <c r="M998" s="977">
        <f>_xlfn.IFNA(IF(VLOOKUP($B989,'PY1 TFR ADA'!$F:$AU,MATCH("B-4.5",'PY1 TFR ADA'!$F$5:$AU$5,0),FALSE)=TRUE,IF(VLOOKUP($B989,'PY1 TFR ADA'!$F:$AU,MATCH("C-1",'PY1 TFR ADA'!$F$5:$AU$5,0),FALSE)=TRUE,"Alternative Rate","LCFF Rate"),"LCFF Rate"),0)</f>
        <v>0</v>
      </c>
      <c r="N998" s="523"/>
      <c r="O998" s="977">
        <f>_xlfn.IFNA(IF(VLOOKUP($B989,'PY1 TFR ADA'!$F:$AU,MATCH("B-5.5",'PY1 TFR ADA'!$F$5:$AU$5,0),FALSE)=TRUE,IF(VLOOKUP($B989,'PY1 TFR ADA'!$F:$AU,MATCH("C-1",'PY1 TFR ADA'!$F$5:$AU$5,0),FALSE)=TRUE,"Alternative Rate","LCFF Rate"),"LCFF Rate"),0)</f>
        <v>0</v>
      </c>
      <c r="P998" s="523"/>
      <c r="Q998" s="977">
        <f>_xlfn.IFNA(IF(VLOOKUP($B989,'PY1 TFR ADA'!$F:$AU,MATCH("B-6.5",'PY1 TFR ADA'!$F$5:$AU$5,0),FALSE)=TRUE,IF(VLOOKUP($B989,'PY1 TFR ADA'!$F:$AU,MATCH("C-1",'PY1 TFR ADA'!$F$5:$AU$5,0),FALSE)=TRUE,"Alternative Rate","LCFF Rate"),"LCFF Rate"),0)</f>
        <v>0</v>
      </c>
      <c r="R998" s="167"/>
      <c r="S998" s="520"/>
      <c r="T998" s="167"/>
      <c r="U998" s="528"/>
      <c r="V998" s="522"/>
      <c r="X998" s="283"/>
    </row>
    <row r="999" spans="1:24" s="8" customFormat="1" ht="8.25" customHeight="1">
      <c r="A999" s="521"/>
      <c r="B999" s="167"/>
      <c r="C999" s="165"/>
      <c r="D999" s="523"/>
      <c r="E999" s="165"/>
      <c r="F999" s="523"/>
      <c r="G999" s="520"/>
      <c r="H999" s="523"/>
      <c r="I999" s="520"/>
      <c r="J999" s="523"/>
      <c r="K999" s="520"/>
      <c r="L999" s="523"/>
      <c r="M999" s="520"/>
      <c r="N999" s="523"/>
      <c r="O999" s="520"/>
      <c r="P999" s="523"/>
      <c r="Q999" s="520"/>
      <c r="R999" s="167"/>
      <c r="S999" s="520"/>
      <c r="T999" s="167"/>
      <c r="U999" s="528"/>
      <c r="V999" s="522"/>
      <c r="X999" s="4"/>
    </row>
    <row r="1000" spans="1:24" s="8" customFormat="1" ht="16.8">
      <c r="A1000" s="521"/>
      <c r="B1000" s="2"/>
      <c r="F1000" s="523"/>
      <c r="G1000" s="535">
        <f t="shared" ref="G1000" si="1491">IF(G998="LCFF Rate",(G991*C991+G992*C992+G993*C993+G994*C994),(G996*E994))</f>
        <v>0</v>
      </c>
      <c r="H1000" s="537"/>
      <c r="I1000" s="535">
        <f t="shared" ref="I1000" si="1492">IF(I998="LCFF Rate",(I991*C991+I992*C992+I993*C993+I994*C994),(I996*E994))</f>
        <v>0</v>
      </c>
      <c r="J1000" s="537"/>
      <c r="K1000" s="535">
        <f t="shared" ref="K1000" si="1493">IF(K998="LCFF Rate",(K991*C991+K992*C992+K993*C993+K994*C994),(K996*E994))</f>
        <v>0</v>
      </c>
      <c r="L1000" s="537"/>
      <c r="M1000" s="535">
        <f t="shared" ref="M1000" si="1494">IF(M998="LCFF Rate",(M991*C991+M992*C992+M993*C993+M994*C994),(M996*E994))</f>
        <v>0</v>
      </c>
      <c r="N1000" s="537"/>
      <c r="O1000" s="535">
        <f t="shared" ref="O1000" si="1495">IF(O998="LCFF Rate",(O991*C991+O992*C992+O993*C993+O994*C994),(O996*E994))</f>
        <v>0</v>
      </c>
      <c r="P1000" s="537"/>
      <c r="Q1000" s="535">
        <f t="shared" ref="Q1000" si="1496">IF(Q998="LCFF Rate",(Q991*C991+Q992*C992+Q993*C993+Q994*C994),(Q996*E994))</f>
        <v>0</v>
      </c>
      <c r="R1000" s="167"/>
      <c r="S1000" s="538">
        <f t="shared" ref="S1000" si="1497">SUM(G1000:Q1000)</f>
        <v>0</v>
      </c>
      <c r="T1000" s="167"/>
      <c r="U1000" s="528"/>
      <c r="V1000" s="522"/>
      <c r="X1000" s="979"/>
    </row>
    <row r="1001" spans="1:24" s="8" customFormat="1" ht="9" customHeight="1" thickBot="1">
      <c r="A1001" s="529"/>
      <c r="B1001" s="530"/>
      <c r="C1001" s="531"/>
      <c r="D1001" s="532"/>
      <c r="E1001" s="533"/>
      <c r="F1001" s="532"/>
      <c r="G1001" s="530"/>
      <c r="H1001" s="532"/>
      <c r="I1001" s="530"/>
      <c r="J1001" s="532"/>
      <c r="K1001" s="530"/>
      <c r="L1001" s="532"/>
      <c r="M1001" s="530"/>
      <c r="N1001" s="532"/>
      <c r="O1001" s="530"/>
      <c r="P1001" s="532"/>
      <c r="Q1001" s="530"/>
      <c r="R1001" s="532"/>
      <c r="S1001" s="530"/>
      <c r="T1001" s="532"/>
      <c r="U1001" s="532"/>
      <c r="V1001" s="534"/>
      <c r="X1001" s="4"/>
    </row>
    <row r="1002" spans="1:24" s="82" customFormat="1" ht="18" customHeight="1" thickBot="1">
      <c r="A1002" s="890">
        <f>+A989+1</f>
        <v>77</v>
      </c>
      <c r="B1002" s="891" t="str">
        <f>'Data Entry'!$B$3&amp;"-"&amp;C1002</f>
        <v>-</v>
      </c>
      <c r="C1002" s="891" t="str">
        <f>IFERROR(VLOOKUP('Data Entry'!$B$3&amp;"-"&amp;A1002,'PY1 TFR ADA'!$D:$AT,2,FALSE),"")</f>
        <v/>
      </c>
      <c r="D1002" s="892" t="str">
        <f>IFERROR(VLOOKUP('Data Entry'!$B$3&amp;"-"&amp;A1002,'PY1 TFR ADA'!$D:$AT,4,FALSE),"")</f>
        <v/>
      </c>
      <c r="E1002" s="893"/>
      <c r="F1002" s="893"/>
      <c r="G1002" s="893"/>
      <c r="H1002" s="893"/>
      <c r="I1002" s="893"/>
      <c r="J1002" s="893"/>
      <c r="K1002" s="893"/>
      <c r="L1002" s="893"/>
      <c r="M1002" s="893"/>
      <c r="N1002" s="893"/>
      <c r="O1002" s="893"/>
      <c r="P1002" s="893"/>
      <c r="Q1002" s="893"/>
      <c r="R1002" s="893"/>
      <c r="S1002" s="893"/>
      <c r="T1002" s="893"/>
      <c r="U1002" s="893"/>
      <c r="V1002" s="894"/>
      <c r="X1002" s="83"/>
    </row>
    <row r="1003" spans="1:24" ht="75" customHeight="1">
      <c r="A1003" s="521"/>
      <c r="C1003" s="540" t="s">
        <v>1315</v>
      </c>
      <c r="D1003" s="512"/>
      <c r="E1003" s="540" t="s">
        <v>1316</v>
      </c>
      <c r="F1003" s="512"/>
      <c r="G1003" s="540" t="s">
        <v>1309</v>
      </c>
      <c r="H1003" s="512"/>
      <c r="I1003" s="540" t="s">
        <v>1310</v>
      </c>
      <c r="J1003" s="512"/>
      <c r="K1003" s="540" t="s">
        <v>1311</v>
      </c>
      <c r="L1003" s="512"/>
      <c r="M1003" s="540" t="s">
        <v>1312</v>
      </c>
      <c r="N1003" s="512"/>
      <c r="O1003" s="540" t="s">
        <v>1313</v>
      </c>
      <c r="P1003" s="512"/>
      <c r="Q1003" s="540" t="s">
        <v>1314</v>
      </c>
      <c r="R1003" s="167"/>
      <c r="S1003" s="540" t="s">
        <v>1308</v>
      </c>
      <c r="T1003" s="167"/>
      <c r="U1003" s="512" t="s">
        <v>1307</v>
      </c>
      <c r="V1003" s="524"/>
      <c r="X1003" s="283"/>
    </row>
    <row r="1004" spans="1:24" s="8" customFormat="1" ht="14.4">
      <c r="A1004" s="521"/>
      <c r="B1004" s="510" t="s">
        <v>94</v>
      </c>
      <c r="C1004" s="525">
        <f>IFERROR(VLOOKUP($B1002,'PY1 TFR ADA'!$F:$AU,MATCH("A-1.1",'PY1 TFR ADA'!$F$5:$AU$5,0),FALSE),0)</f>
        <v>0</v>
      </c>
      <c r="D1004" s="167"/>
      <c r="E1004" s="525">
        <f>IFERROR(VALUE(VLOOKUP($B1002,'PY1 TFR ADA'!$F:$AU,MATCH("A-2.1",'PY1 TFR ADA'!$F$5:$AU$5,0),FALSE)),0)</f>
        <v>0</v>
      </c>
      <c r="F1004" s="167"/>
      <c r="G1004" s="609">
        <f>IFERROR(VLOOKUP($B1002,'PY1 TFR ADA'!$F:$AU,MATCH("b-1.1",'PY1 TFR ADA'!$F$5:$AU$5,0),FALSE),0)</f>
        <v>0</v>
      </c>
      <c r="H1004" s="527"/>
      <c r="I1004" s="609">
        <f>IFERROR(VLOOKUP($B1002,'PY1 TFR ADA'!$F:$AU,MATCH("b-2.1",'PY1 TFR ADA'!$F$5:$AU$5,0),FALSE),0)</f>
        <v>0</v>
      </c>
      <c r="J1004" s="527"/>
      <c r="K1004" s="609">
        <f>IFERROR(VLOOKUP($B1002,'PY1 TFR ADA'!$F:$AU,MATCH("b-3.1",'PY1 TFR ADA'!$F$5:$AU$5,0),FALSE),0)</f>
        <v>0</v>
      </c>
      <c r="L1004" s="527"/>
      <c r="M1004" s="609">
        <f>IFERROR(VLOOKUP($B1002,'PY1 TFR ADA'!$F:$AU,MATCH("b-4.1",'PY1 TFR ADA'!$F$5:$AU$5,0),FALSE),0)</f>
        <v>0</v>
      </c>
      <c r="N1004" s="527"/>
      <c r="O1004" s="609">
        <f>IFERROR(VLOOKUP($B1002,'PY1 TFR ADA'!$F:$AU,MATCH("b-5.1",'PY1 TFR ADA'!$F$5:$AU$5,0),FALSE),0)</f>
        <v>0</v>
      </c>
      <c r="P1004" s="527"/>
      <c r="Q1004" s="609">
        <f>IFERROR(VLOOKUP($B1002,'PY1 TFR ADA'!$F:$AU,MATCH("b-6.1",'PY1 TFR ADA'!$F$5:$AU$5,0),FALSE),0)</f>
        <v>0</v>
      </c>
      <c r="R1004" s="551"/>
      <c r="S1004" s="601">
        <f t="shared" ref="S1004:S1007" si="1498">SUM(G1004:Q1004)</f>
        <v>0</v>
      </c>
      <c r="T1004" s="551"/>
      <c r="U1004" s="536">
        <f t="shared" ref="U1004" si="1499">ROUND(IF($G1011="LCFF Rate",(G1004*$C1004),(G1004*$E1004))+IF($I1011="LCFF Rate",(I1004*$C1004),(I1004*$E1004))+IF($K1011="LCFF Rate",(K1004*$C1004),(K1004*$E1004))+IF($M1011="LCFF Rate",(M1004*$C1004),(M1004*$E1004))+IF($O1011="LCFF Rate",(O1004*$C1004),(O1004*$E1004))+IF($Q1011="LCFF Rate",(Q1004*$C1004),(Q1004*$E1004)),0)</f>
        <v>0</v>
      </c>
      <c r="V1004" s="524"/>
      <c r="X1004" s="496"/>
    </row>
    <row r="1005" spans="1:24" s="8" customFormat="1" ht="14.4">
      <c r="A1005" s="521"/>
      <c r="B1005" s="510" t="s">
        <v>2</v>
      </c>
      <c r="C1005" s="525">
        <f>IFERROR(VLOOKUP($B1002,'PY1 TFR ADA'!$F:$AU,MATCH("A-1.2",'PY1 TFR ADA'!$F$5:$AU$5,0),FALSE),0)</f>
        <v>0</v>
      </c>
      <c r="D1005" s="167"/>
      <c r="E1005" s="525">
        <f>IFERROR(VALUE(VLOOKUP($B1002,'PY1 TFR ADA'!$F:$AU,MATCH("A-2.2",'PY1 TFR ADA'!$F$5:$AU$5,0),FALSE)),0)</f>
        <v>0</v>
      </c>
      <c r="F1005" s="167"/>
      <c r="G1005" s="609">
        <f>IFERROR(VLOOKUP($B1002,'PY1 TFR ADA'!$F:$AU,MATCH("b-1.2",'PY1 TFR ADA'!$F$5:$AU$5,0),FALSE),0)</f>
        <v>0</v>
      </c>
      <c r="H1005" s="527"/>
      <c r="I1005" s="609">
        <f>IFERROR(VLOOKUP($B1002,'PY1 TFR ADA'!$F:$AU,MATCH("b-2.2",'PY1 TFR ADA'!$F$5:$AU$5,0),FALSE),0)</f>
        <v>0</v>
      </c>
      <c r="J1005" s="527"/>
      <c r="K1005" s="609">
        <f>IFERROR(VLOOKUP($B1002,'PY1 TFR ADA'!$F:$AU,MATCH("b-3.2",'PY1 TFR ADA'!$F$5:$AU$5,0),FALSE),0)</f>
        <v>0</v>
      </c>
      <c r="L1005" s="527"/>
      <c r="M1005" s="609">
        <f>IFERROR(VLOOKUP($B1002,'PY1 TFR ADA'!$F:$AU,MATCH("b-4.2",'PY1 TFR ADA'!$F$5:$AU$5,0),FALSE),0)</f>
        <v>0</v>
      </c>
      <c r="N1005" s="527"/>
      <c r="O1005" s="609">
        <f>IFERROR(VLOOKUP($B1002,'PY1 TFR ADA'!$F:$AU,MATCH("b-5.2",'PY1 TFR ADA'!$F$5:$AU$5,0),FALSE),0)</f>
        <v>0</v>
      </c>
      <c r="P1005" s="527"/>
      <c r="Q1005" s="609">
        <f>IFERROR(VLOOKUP($B1002,'PY1 TFR ADA'!$F:$AU,MATCH("b-6.2",'PY1 TFR ADA'!$F$5:$AU$5,0),FALSE),0)</f>
        <v>0</v>
      </c>
      <c r="R1005" s="551"/>
      <c r="S1005" s="601">
        <f t="shared" si="1498"/>
        <v>0</v>
      </c>
      <c r="T1005" s="551"/>
      <c r="U1005" s="536">
        <f t="shared" ref="U1005" si="1500">ROUND(IF($G1011="LCFF Rate",(G1005*$C1005),(G1005*$E1005))+IF($I1011="LCFF Rate",(I1005*$C1005),(I1005*$E1005))+IF($K1011="LCFF Rate",(K1005*$C1005),(K1005*$E1005))+IF($M1011="LCFF Rate",(M1005*$C1005),(M1005*$E1005))+IF($O1011="LCFF Rate",(O1005*$C1005),(O1005*$E1005))+IF($Q1011="LCFF Rate",(Q1005*$C1005),(Q1005*$E1005)),0)</f>
        <v>0</v>
      </c>
      <c r="V1005" s="524"/>
      <c r="X1005" s="4"/>
    </row>
    <row r="1006" spans="1:24" s="8" customFormat="1" ht="14.4">
      <c r="A1006" s="521"/>
      <c r="B1006" s="510" t="s">
        <v>3</v>
      </c>
      <c r="C1006" s="525">
        <f>IFERROR(VLOOKUP($B1002,'PY1 TFR ADA'!$F:$AU,MATCH("A-1.3",'PY1 TFR ADA'!$F$5:$AU$5,0),FALSE),0)</f>
        <v>0</v>
      </c>
      <c r="D1006" s="167"/>
      <c r="E1006" s="525">
        <f>IFERROR(VALUE(VLOOKUP($B1002,'PY1 TFR ADA'!$F:$AU,MATCH("A-2.3",'PY1 TFR ADA'!$F$5:$AU$5,0),FALSE)),0)</f>
        <v>0</v>
      </c>
      <c r="F1006" s="167"/>
      <c r="G1006" s="609">
        <f>IFERROR(VLOOKUP($B1002,'PY1 TFR ADA'!$F:$AU,MATCH("b-1.3",'PY1 TFR ADA'!$F$5:$AU$5,0),FALSE),0)</f>
        <v>0</v>
      </c>
      <c r="H1006" s="527"/>
      <c r="I1006" s="609">
        <f>IFERROR(VLOOKUP($B1002,'PY1 TFR ADA'!$F:$AU,MATCH("b-2.3",'PY1 TFR ADA'!$F$5:$AU$5,0),FALSE),0)</f>
        <v>0</v>
      </c>
      <c r="J1006" s="527"/>
      <c r="K1006" s="609">
        <f>IFERROR(VLOOKUP($B1002,'PY1 TFR ADA'!$F:$AU,MATCH("b-3.3",'PY1 TFR ADA'!$F$5:$AU$5,0),FALSE),0)</f>
        <v>0</v>
      </c>
      <c r="L1006" s="527"/>
      <c r="M1006" s="609">
        <f>IFERROR(VLOOKUP($B1002,'PY1 TFR ADA'!$F:$AU,MATCH("b-4.3",'PY1 TFR ADA'!$F$5:$AU$5,0),FALSE),0)</f>
        <v>0</v>
      </c>
      <c r="N1006" s="527"/>
      <c r="O1006" s="609">
        <f>IFERROR(VLOOKUP($B1002,'PY1 TFR ADA'!$F:$AU,MATCH("b-5.3",'PY1 TFR ADA'!$F$5:$AU$5,0),FALSE),0)</f>
        <v>0</v>
      </c>
      <c r="P1006" s="527"/>
      <c r="Q1006" s="609">
        <f>IFERROR(VLOOKUP($B1002,'PY1 TFR ADA'!$F:$AU,MATCH("b-6.3",'PY1 TFR ADA'!$F$5:$AU$5,0),FALSE),0)</f>
        <v>0</v>
      </c>
      <c r="R1006" s="551"/>
      <c r="S1006" s="601">
        <f t="shared" si="1498"/>
        <v>0</v>
      </c>
      <c r="T1006" s="551"/>
      <c r="U1006" s="536">
        <f t="shared" ref="U1006" si="1501">ROUND(IF($G1011="LCFF Rate",(G1006*$C1006),(G1006*$E1006))+IF($I1011="LCFF Rate",(I1006*$C1006),(I1006*$E1006))+IF($K1011="LCFF Rate",(K1006*$C1006),(K1006*$E1006))+IF($M1011="LCFF Rate",(M1006*$C1006),(M1006*$E1006))+IF($O1011="LCFF Rate",(O1006*$C1006),(O1006*$E1006))+IF($Q1011="LCFF Rate",(Q1006*$C1006),(Q1006*$E1006)),0)</f>
        <v>0</v>
      </c>
      <c r="V1006" s="524"/>
      <c r="X1006" s="4"/>
    </row>
    <row r="1007" spans="1:24" s="8" customFormat="1" ht="14.4">
      <c r="A1007" s="526"/>
      <c r="B1007" s="510" t="s">
        <v>4</v>
      </c>
      <c r="C1007" s="525">
        <f>IFERROR(VLOOKUP($B1002,'PY1 TFR ADA'!$F:$AU,MATCH("A-1.4",'PY1 TFR ADA'!$F$5:$AU$5,0),FALSE),0)</f>
        <v>0</v>
      </c>
      <c r="D1007" s="523"/>
      <c r="E1007" s="525">
        <f>IFERROR(VALUE(VLOOKUP($B1002,'PY1 TFR ADA'!$F:$AU,MATCH("A-2.4",'PY1 TFR ADA'!$F$5:$AU$5,0),FALSE)),0)</f>
        <v>0</v>
      </c>
      <c r="F1007" s="523"/>
      <c r="G1007" s="609">
        <f>IFERROR(VLOOKUP($B1002,'PY1 TFR ADA'!$F:$AU,MATCH("b-1.4",'PY1 TFR ADA'!$F$5:$AU$5,0),FALSE),0)</f>
        <v>0</v>
      </c>
      <c r="H1007" s="527"/>
      <c r="I1007" s="609">
        <f>IFERROR(VLOOKUP($B1002,'PY1 TFR ADA'!$F:$AU,MATCH("b-2.4",'PY1 TFR ADA'!$F$5:$AU$5,0),FALSE),0)</f>
        <v>0</v>
      </c>
      <c r="J1007" s="527"/>
      <c r="K1007" s="609">
        <f>IFERROR(VLOOKUP($B1002,'PY1 TFR ADA'!$F:$AU,MATCH("b-3.4",'PY1 TFR ADA'!$F$5:$AU$5,0),FALSE),0)</f>
        <v>0</v>
      </c>
      <c r="L1007" s="527"/>
      <c r="M1007" s="609">
        <f>IFERROR(VLOOKUP($B1002,'PY1 TFR ADA'!$F:$AU,MATCH("b-4.4",'PY1 TFR ADA'!$F$5:$AU$5,0),FALSE),0)</f>
        <v>0</v>
      </c>
      <c r="N1007" s="527"/>
      <c r="O1007" s="609">
        <f>IFERROR(VLOOKUP($B1002,'PY1 TFR ADA'!$F:$AU,MATCH("b-5.4",'PY1 TFR ADA'!$F$5:$AU$5,0),FALSE),0)</f>
        <v>0</v>
      </c>
      <c r="P1007" s="527"/>
      <c r="Q1007" s="609">
        <f>IFERROR(VLOOKUP($B1002,'PY1 TFR ADA'!$F:$AU,MATCH("b-6.4",'PY1 TFR ADA'!$F$5:$AU$5,0),FALSE),0)</f>
        <v>0</v>
      </c>
      <c r="R1007" s="551"/>
      <c r="S1007" s="601">
        <f t="shared" si="1498"/>
        <v>0</v>
      </c>
      <c r="T1007" s="551"/>
      <c r="U1007" s="536">
        <f t="shared" ref="U1007" si="1502">ROUND(IF($G1011="LCFF Rate",(G1007*$C1007),(G1007*$E1007))+IF($I1011="LCFF Rate",(I1007*$C1007),(I1007*$E1007))+IF($K1011="LCFF Rate",(K1007*$C1007),(K1007*$E1007))+IF($M1011="LCFF Rate",(M1007*$C1007),(M1007*$E1007))+IF($O1011="LCFF Rate",(O1007*$C1007),(O1007*$E1007))+IF($Q1011="LCFF Rate",(Q1007*$C1007),(Q1007*$E1007)),0)</f>
        <v>0</v>
      </c>
      <c r="V1007" s="522"/>
      <c r="X1007" s="496"/>
    </row>
    <row r="1008" spans="1:24" s="8" customFormat="1" ht="8.25" customHeight="1">
      <c r="A1008" s="521"/>
      <c r="B1008" s="167"/>
      <c r="C1008" s="165"/>
      <c r="D1008" s="523"/>
      <c r="E1008" s="165"/>
      <c r="F1008" s="523"/>
      <c r="G1008" s="520"/>
      <c r="H1008" s="523"/>
      <c r="I1008" s="520"/>
      <c r="J1008" s="523"/>
      <c r="K1008" s="520"/>
      <c r="L1008" s="523"/>
      <c r="M1008" s="520"/>
      <c r="N1008" s="523"/>
      <c r="O1008" s="520"/>
      <c r="P1008" s="523"/>
      <c r="Q1008" s="520"/>
      <c r="R1008" s="167"/>
      <c r="S1008" s="520"/>
      <c r="T1008" s="167"/>
      <c r="U1008" s="602"/>
      <c r="V1008" s="522"/>
      <c r="X1008" s="4"/>
    </row>
    <row r="1009" spans="1:24" s="8" customFormat="1" ht="14.4">
      <c r="A1009" s="521"/>
      <c r="B1009" s="167"/>
      <c r="C1009" s="165"/>
      <c r="D1009" s="523"/>
      <c r="E1009" s="513" t="s">
        <v>1317</v>
      </c>
      <c r="F1009" s="523"/>
      <c r="G1009" s="601">
        <f t="shared" ref="G1009" si="1503">SUM(G1004:G1007)</f>
        <v>0</v>
      </c>
      <c r="H1009" s="527"/>
      <c r="I1009" s="601">
        <f t="shared" ref="I1009" si="1504">SUM(I1004:I1007)</f>
        <v>0</v>
      </c>
      <c r="J1009" s="527"/>
      <c r="K1009" s="601">
        <f t="shared" ref="K1009" si="1505">SUM(K1004:K1007)</f>
        <v>0</v>
      </c>
      <c r="L1009" s="527"/>
      <c r="M1009" s="601">
        <f t="shared" ref="M1009" si="1506">SUM(M1004:M1007)</f>
        <v>0</v>
      </c>
      <c r="N1009" s="527"/>
      <c r="O1009" s="601">
        <f t="shared" ref="O1009" si="1507">SUM(O1004:O1007)</f>
        <v>0</v>
      </c>
      <c r="P1009" s="527"/>
      <c r="Q1009" s="601">
        <f t="shared" ref="Q1009" si="1508">SUM(Q1004:Q1007)</f>
        <v>0</v>
      </c>
      <c r="R1009" s="527"/>
      <c r="S1009" s="601">
        <f t="shared" ref="S1009" si="1509">SUM(S1004:S1007)</f>
        <v>0</v>
      </c>
      <c r="T1009" s="527"/>
      <c r="U1009" s="536">
        <f t="shared" ref="U1009" si="1510">SUM(U1004:U1007)</f>
        <v>0</v>
      </c>
      <c r="V1009" s="522"/>
      <c r="X1009" s="4"/>
    </row>
    <row r="1010" spans="1:24" s="8" customFormat="1" ht="8.25" customHeight="1">
      <c r="A1010" s="521"/>
      <c r="B1010" s="167"/>
      <c r="C1010" s="165"/>
      <c r="D1010" s="523"/>
      <c r="E1010" s="165"/>
      <c r="F1010" s="523"/>
      <c r="G1010" s="520"/>
      <c r="H1010" s="523"/>
      <c r="I1010" s="520"/>
      <c r="J1010" s="523"/>
      <c r="K1010" s="520"/>
      <c r="L1010" s="523"/>
      <c r="M1010" s="520"/>
      <c r="N1010" s="523"/>
      <c r="O1010" s="520"/>
      <c r="P1010" s="523"/>
      <c r="Q1010" s="520"/>
      <c r="R1010" s="167"/>
      <c r="S1010" s="520"/>
      <c r="T1010" s="167"/>
      <c r="U1010" s="528"/>
      <c r="V1010" s="522"/>
      <c r="X1010" s="4"/>
    </row>
    <row r="1011" spans="1:24" s="8" customFormat="1" ht="16.5" customHeight="1">
      <c r="A1011" s="521"/>
      <c r="B1011" s="167"/>
      <c r="C1011" s="165"/>
      <c r="E1011" s="513" t="s">
        <v>1304</v>
      </c>
      <c r="F1011" s="523"/>
      <c r="G1011" s="977">
        <f>_xlfn.IFNA(IF(VLOOKUP($B1002,'PY1 TFR ADA'!$F:$AU,MATCH("B-1.5",'PY1 TFR ADA'!$F$5:$AU$5,0),FALSE)=TRUE,IF(VLOOKUP($B1002,'PY1 TFR ADA'!$F:$AU,MATCH("C-1",'PY1 TFR ADA'!$F$5:$AU$5,0),FALSE)=TRUE,"Alternative Rate","LCFF Rate"),"LCFF Rate"),0)</f>
        <v>0</v>
      </c>
      <c r="H1011" s="523"/>
      <c r="I1011" s="977">
        <f>_xlfn.IFNA(IF(VLOOKUP($B1002,'PY1 TFR ADA'!$F:$AU,MATCH("B-2.5",'PY1 TFR ADA'!$F$5:$AU$5,0),FALSE)=TRUE,IF(VLOOKUP($B1002,'PY1 TFR ADA'!$F:$AU,MATCH("C-1",'PY1 TFR ADA'!$F$5:$AU$5,0),FALSE)=TRUE,"Alternative Rate","LCFF Rate"),"LCFF Rate"),0)</f>
        <v>0</v>
      </c>
      <c r="J1011" s="523"/>
      <c r="K1011" s="977">
        <f>_xlfn.IFNA(IF(VLOOKUP($B1002,'PY1 TFR ADA'!$F:$AU,MATCH("B-3.5",'PY1 TFR ADA'!$F$5:$AU$5,0),FALSE)=TRUE,IF(VLOOKUP($B1002,'PY1 TFR ADA'!$F:$AU,MATCH("C-1",'PY1 TFR ADA'!$F$5:$AU$5,0),FALSE)=TRUE,"Alternative Rate","LCFF Rate"),"LCFF Rate"),0)</f>
        <v>0</v>
      </c>
      <c r="L1011" s="523"/>
      <c r="M1011" s="977">
        <f>_xlfn.IFNA(IF(VLOOKUP($B1002,'PY1 TFR ADA'!$F:$AU,MATCH("B-4.5",'PY1 TFR ADA'!$F$5:$AU$5,0),FALSE)=TRUE,IF(VLOOKUP($B1002,'PY1 TFR ADA'!$F:$AU,MATCH("C-1",'PY1 TFR ADA'!$F$5:$AU$5,0),FALSE)=TRUE,"Alternative Rate","LCFF Rate"),"LCFF Rate"),0)</f>
        <v>0</v>
      </c>
      <c r="N1011" s="523"/>
      <c r="O1011" s="977">
        <f>_xlfn.IFNA(IF(VLOOKUP($B1002,'PY1 TFR ADA'!$F:$AU,MATCH("B-5.5",'PY1 TFR ADA'!$F$5:$AU$5,0),FALSE)=TRUE,IF(VLOOKUP($B1002,'PY1 TFR ADA'!$F:$AU,MATCH("C-1",'PY1 TFR ADA'!$F$5:$AU$5,0),FALSE)=TRUE,"Alternative Rate","LCFF Rate"),"LCFF Rate"),0)</f>
        <v>0</v>
      </c>
      <c r="P1011" s="523"/>
      <c r="Q1011" s="977">
        <f>_xlfn.IFNA(IF(VLOOKUP($B1002,'PY1 TFR ADA'!$F:$AU,MATCH("B-6.5",'PY1 TFR ADA'!$F$5:$AU$5,0),FALSE)=TRUE,IF(VLOOKUP($B1002,'PY1 TFR ADA'!$F:$AU,MATCH("C-1",'PY1 TFR ADA'!$F$5:$AU$5,0),FALSE)=TRUE,"Alternative Rate","LCFF Rate"),"LCFF Rate"),0)</f>
        <v>0</v>
      </c>
      <c r="R1011" s="167"/>
      <c r="S1011" s="520"/>
      <c r="T1011" s="167"/>
      <c r="U1011" s="528"/>
      <c r="V1011" s="522"/>
      <c r="X1011" s="283"/>
    </row>
    <row r="1012" spans="1:24" s="8" customFormat="1" ht="8.25" customHeight="1">
      <c r="A1012" s="521"/>
      <c r="B1012" s="167"/>
      <c r="C1012" s="165"/>
      <c r="D1012" s="523"/>
      <c r="E1012" s="165"/>
      <c r="F1012" s="523"/>
      <c r="G1012" s="520"/>
      <c r="H1012" s="523"/>
      <c r="I1012" s="520"/>
      <c r="J1012" s="523"/>
      <c r="K1012" s="520"/>
      <c r="L1012" s="523"/>
      <c r="M1012" s="520"/>
      <c r="N1012" s="523"/>
      <c r="O1012" s="520"/>
      <c r="P1012" s="523"/>
      <c r="Q1012" s="520"/>
      <c r="R1012" s="167"/>
      <c r="S1012" s="520"/>
      <c r="T1012" s="167"/>
      <c r="U1012" s="528"/>
      <c r="V1012" s="522"/>
      <c r="X1012" s="4"/>
    </row>
    <row r="1013" spans="1:24" s="8" customFormat="1" ht="16.8">
      <c r="A1013" s="521"/>
      <c r="B1013" s="2"/>
      <c r="F1013" s="523"/>
      <c r="G1013" s="535">
        <f t="shared" ref="G1013" si="1511">IF(G1011="LCFF Rate",(G1004*C1004+G1005*C1005+G1006*C1006+G1007*C1007),(G1009*E1007))</f>
        <v>0</v>
      </c>
      <c r="H1013" s="537"/>
      <c r="I1013" s="535">
        <f t="shared" ref="I1013" si="1512">IF(I1011="LCFF Rate",(I1004*C1004+I1005*C1005+I1006*C1006+I1007*C1007),(I1009*E1007))</f>
        <v>0</v>
      </c>
      <c r="J1013" s="537"/>
      <c r="K1013" s="535">
        <f t="shared" ref="K1013" si="1513">IF(K1011="LCFF Rate",(K1004*C1004+K1005*C1005+K1006*C1006+K1007*C1007),(K1009*E1007))</f>
        <v>0</v>
      </c>
      <c r="L1013" s="537"/>
      <c r="M1013" s="535">
        <f t="shared" ref="M1013" si="1514">IF(M1011="LCFF Rate",(M1004*C1004+M1005*C1005+M1006*C1006+M1007*C1007),(M1009*E1007))</f>
        <v>0</v>
      </c>
      <c r="N1013" s="537"/>
      <c r="O1013" s="535">
        <f t="shared" ref="O1013" si="1515">IF(O1011="LCFF Rate",(O1004*C1004+O1005*C1005+O1006*C1006+O1007*C1007),(O1009*E1007))</f>
        <v>0</v>
      </c>
      <c r="P1013" s="537"/>
      <c r="Q1013" s="535">
        <f t="shared" ref="Q1013" si="1516">IF(Q1011="LCFF Rate",(Q1004*C1004+Q1005*C1005+Q1006*C1006+Q1007*C1007),(Q1009*E1007))</f>
        <v>0</v>
      </c>
      <c r="R1013" s="167"/>
      <c r="S1013" s="538">
        <f t="shared" ref="S1013" si="1517">SUM(G1013:Q1013)</f>
        <v>0</v>
      </c>
      <c r="T1013" s="167"/>
      <c r="U1013" s="528"/>
      <c r="V1013" s="522"/>
      <c r="X1013" s="979"/>
    </row>
    <row r="1014" spans="1:24" s="8" customFormat="1" ht="9" customHeight="1" thickBot="1">
      <c r="A1014" s="529"/>
      <c r="B1014" s="530"/>
      <c r="C1014" s="531"/>
      <c r="D1014" s="532"/>
      <c r="E1014" s="533"/>
      <c r="F1014" s="532"/>
      <c r="G1014" s="530"/>
      <c r="H1014" s="532"/>
      <c r="I1014" s="530"/>
      <c r="J1014" s="532"/>
      <c r="K1014" s="530"/>
      <c r="L1014" s="532"/>
      <c r="M1014" s="530"/>
      <c r="N1014" s="532"/>
      <c r="O1014" s="530"/>
      <c r="P1014" s="532"/>
      <c r="Q1014" s="530"/>
      <c r="R1014" s="532"/>
      <c r="S1014" s="530"/>
      <c r="T1014" s="532"/>
      <c r="U1014" s="532"/>
      <c r="V1014" s="534"/>
      <c r="X1014" s="4"/>
    </row>
    <row r="1015" spans="1:24" s="82" customFormat="1" ht="18" customHeight="1" thickBot="1">
      <c r="A1015" s="890">
        <f>+A1002+1</f>
        <v>78</v>
      </c>
      <c r="B1015" s="891" t="str">
        <f>'Data Entry'!$B$3&amp;"-"&amp;C1015</f>
        <v>-</v>
      </c>
      <c r="C1015" s="891" t="str">
        <f>IFERROR(VLOOKUP('Data Entry'!$B$3&amp;"-"&amp;A1015,'PY1 TFR ADA'!$D:$AT,2,FALSE),"")</f>
        <v/>
      </c>
      <c r="D1015" s="892" t="str">
        <f>IFERROR(VLOOKUP('Data Entry'!$B$3&amp;"-"&amp;A1015,'PY1 TFR ADA'!$D:$AT,4,FALSE),"")</f>
        <v/>
      </c>
      <c r="E1015" s="893"/>
      <c r="F1015" s="893"/>
      <c r="G1015" s="893"/>
      <c r="H1015" s="893"/>
      <c r="I1015" s="893"/>
      <c r="J1015" s="893"/>
      <c r="K1015" s="893"/>
      <c r="L1015" s="893"/>
      <c r="M1015" s="893"/>
      <c r="N1015" s="893"/>
      <c r="O1015" s="893"/>
      <c r="P1015" s="893"/>
      <c r="Q1015" s="893"/>
      <c r="R1015" s="893"/>
      <c r="S1015" s="893"/>
      <c r="T1015" s="893"/>
      <c r="U1015" s="893"/>
      <c r="V1015" s="894"/>
      <c r="X1015" s="83"/>
    </row>
    <row r="1016" spans="1:24" ht="75" customHeight="1">
      <c r="A1016" s="521"/>
      <c r="C1016" s="540" t="s">
        <v>1315</v>
      </c>
      <c r="D1016" s="512"/>
      <c r="E1016" s="540" t="s">
        <v>1316</v>
      </c>
      <c r="F1016" s="512"/>
      <c r="G1016" s="540" t="s">
        <v>1309</v>
      </c>
      <c r="H1016" s="512"/>
      <c r="I1016" s="540" t="s">
        <v>1310</v>
      </c>
      <c r="J1016" s="512"/>
      <c r="K1016" s="540" t="s">
        <v>1311</v>
      </c>
      <c r="L1016" s="512"/>
      <c r="M1016" s="540" t="s">
        <v>1312</v>
      </c>
      <c r="N1016" s="512"/>
      <c r="O1016" s="540" t="s">
        <v>1313</v>
      </c>
      <c r="P1016" s="512"/>
      <c r="Q1016" s="540" t="s">
        <v>1314</v>
      </c>
      <c r="R1016" s="167"/>
      <c r="S1016" s="540" t="s">
        <v>1308</v>
      </c>
      <c r="T1016" s="167"/>
      <c r="U1016" s="512" t="s">
        <v>1307</v>
      </c>
      <c r="V1016" s="524"/>
      <c r="X1016" s="283"/>
    </row>
    <row r="1017" spans="1:24" s="8" customFormat="1" ht="14.4">
      <c r="A1017" s="521"/>
      <c r="B1017" s="510" t="s">
        <v>94</v>
      </c>
      <c r="C1017" s="525">
        <f>IFERROR(VLOOKUP($B1015,'PY1 TFR ADA'!$F:$AU,MATCH("A-1.1",'PY1 TFR ADA'!$F$5:$AU$5,0),FALSE),0)</f>
        <v>0</v>
      </c>
      <c r="D1017" s="167"/>
      <c r="E1017" s="525">
        <f>IFERROR(VALUE(VLOOKUP($B1015,'PY1 TFR ADA'!$F:$AU,MATCH("A-2.1",'PY1 TFR ADA'!$F$5:$AU$5,0),FALSE)),0)</f>
        <v>0</v>
      </c>
      <c r="F1017" s="167"/>
      <c r="G1017" s="609">
        <f>IFERROR(VLOOKUP($B1015,'PY1 TFR ADA'!$F:$AU,MATCH("b-1.1",'PY1 TFR ADA'!$F$5:$AU$5,0),FALSE),0)</f>
        <v>0</v>
      </c>
      <c r="H1017" s="527"/>
      <c r="I1017" s="609">
        <f>IFERROR(VLOOKUP($B1015,'PY1 TFR ADA'!$F:$AU,MATCH("b-2.1",'PY1 TFR ADA'!$F$5:$AU$5,0),FALSE),0)</f>
        <v>0</v>
      </c>
      <c r="J1017" s="527"/>
      <c r="K1017" s="609">
        <f>IFERROR(VLOOKUP($B1015,'PY1 TFR ADA'!$F:$AU,MATCH("b-3.1",'PY1 TFR ADA'!$F$5:$AU$5,0),FALSE),0)</f>
        <v>0</v>
      </c>
      <c r="L1017" s="527"/>
      <c r="M1017" s="609">
        <f>IFERROR(VLOOKUP($B1015,'PY1 TFR ADA'!$F:$AU,MATCH("b-4.1",'PY1 TFR ADA'!$F$5:$AU$5,0),FALSE),0)</f>
        <v>0</v>
      </c>
      <c r="N1017" s="527"/>
      <c r="O1017" s="609">
        <f>IFERROR(VLOOKUP($B1015,'PY1 TFR ADA'!$F:$AU,MATCH("b-5.1",'PY1 TFR ADA'!$F$5:$AU$5,0),FALSE),0)</f>
        <v>0</v>
      </c>
      <c r="P1017" s="527"/>
      <c r="Q1017" s="609">
        <f>IFERROR(VLOOKUP($B1015,'PY1 TFR ADA'!$F:$AU,MATCH("b-6.1",'PY1 TFR ADA'!$F$5:$AU$5,0),FALSE),0)</f>
        <v>0</v>
      </c>
      <c r="R1017" s="551"/>
      <c r="S1017" s="601">
        <f t="shared" ref="S1017:S1020" si="1518">SUM(G1017:Q1017)</f>
        <v>0</v>
      </c>
      <c r="T1017" s="551"/>
      <c r="U1017" s="536">
        <f t="shared" ref="U1017" si="1519">ROUND(IF($G1024="LCFF Rate",(G1017*$C1017),(G1017*$E1017))+IF($I1024="LCFF Rate",(I1017*$C1017),(I1017*$E1017))+IF($K1024="LCFF Rate",(K1017*$C1017),(K1017*$E1017))+IF($M1024="LCFF Rate",(M1017*$C1017),(M1017*$E1017))+IF($O1024="LCFF Rate",(O1017*$C1017),(O1017*$E1017))+IF($Q1024="LCFF Rate",(Q1017*$C1017),(Q1017*$E1017)),0)</f>
        <v>0</v>
      </c>
      <c r="V1017" s="524"/>
      <c r="X1017" s="496"/>
    </row>
    <row r="1018" spans="1:24" s="8" customFormat="1" ht="14.4">
      <c r="A1018" s="521"/>
      <c r="B1018" s="510" t="s">
        <v>2</v>
      </c>
      <c r="C1018" s="525">
        <f>IFERROR(VLOOKUP($B1015,'PY1 TFR ADA'!$F:$AU,MATCH("A-1.2",'PY1 TFR ADA'!$F$5:$AU$5,0),FALSE),0)</f>
        <v>0</v>
      </c>
      <c r="D1018" s="167"/>
      <c r="E1018" s="525">
        <f>IFERROR(VALUE(VLOOKUP($B1015,'PY1 TFR ADA'!$F:$AU,MATCH("A-2.2",'PY1 TFR ADA'!$F$5:$AU$5,0),FALSE)),0)</f>
        <v>0</v>
      </c>
      <c r="F1018" s="167"/>
      <c r="G1018" s="609">
        <f>IFERROR(VLOOKUP($B1015,'PY1 TFR ADA'!$F:$AU,MATCH("b-1.2",'PY1 TFR ADA'!$F$5:$AU$5,0),FALSE),0)</f>
        <v>0</v>
      </c>
      <c r="H1018" s="527"/>
      <c r="I1018" s="609">
        <f>IFERROR(VLOOKUP($B1015,'PY1 TFR ADA'!$F:$AU,MATCH("b-2.2",'PY1 TFR ADA'!$F$5:$AU$5,0),FALSE),0)</f>
        <v>0</v>
      </c>
      <c r="J1018" s="527"/>
      <c r="K1018" s="609">
        <f>IFERROR(VLOOKUP($B1015,'PY1 TFR ADA'!$F:$AU,MATCH("b-3.2",'PY1 TFR ADA'!$F$5:$AU$5,0),FALSE),0)</f>
        <v>0</v>
      </c>
      <c r="L1018" s="527"/>
      <c r="M1018" s="609">
        <f>IFERROR(VLOOKUP($B1015,'PY1 TFR ADA'!$F:$AU,MATCH("b-4.2",'PY1 TFR ADA'!$F$5:$AU$5,0),FALSE),0)</f>
        <v>0</v>
      </c>
      <c r="N1018" s="527"/>
      <c r="O1018" s="609">
        <f>IFERROR(VLOOKUP($B1015,'PY1 TFR ADA'!$F:$AU,MATCH("b-5.2",'PY1 TFR ADA'!$F$5:$AU$5,0),FALSE),0)</f>
        <v>0</v>
      </c>
      <c r="P1018" s="527"/>
      <c r="Q1018" s="609">
        <f>IFERROR(VLOOKUP($B1015,'PY1 TFR ADA'!$F:$AU,MATCH("b-6.2",'PY1 TFR ADA'!$F$5:$AU$5,0),FALSE),0)</f>
        <v>0</v>
      </c>
      <c r="R1018" s="551"/>
      <c r="S1018" s="601">
        <f t="shared" si="1518"/>
        <v>0</v>
      </c>
      <c r="T1018" s="551"/>
      <c r="U1018" s="536">
        <f t="shared" ref="U1018" si="1520">ROUND(IF($G1024="LCFF Rate",(G1018*$C1018),(G1018*$E1018))+IF($I1024="LCFF Rate",(I1018*$C1018),(I1018*$E1018))+IF($K1024="LCFF Rate",(K1018*$C1018),(K1018*$E1018))+IF($M1024="LCFF Rate",(M1018*$C1018),(M1018*$E1018))+IF($O1024="LCFF Rate",(O1018*$C1018),(O1018*$E1018))+IF($Q1024="LCFF Rate",(Q1018*$C1018),(Q1018*$E1018)),0)</f>
        <v>0</v>
      </c>
      <c r="V1018" s="524"/>
      <c r="X1018" s="4"/>
    </row>
    <row r="1019" spans="1:24" s="8" customFormat="1" ht="14.4">
      <c r="A1019" s="521"/>
      <c r="B1019" s="510" t="s">
        <v>3</v>
      </c>
      <c r="C1019" s="525">
        <f>IFERROR(VLOOKUP($B1015,'PY1 TFR ADA'!$F:$AU,MATCH("A-1.3",'PY1 TFR ADA'!$F$5:$AU$5,0),FALSE),0)</f>
        <v>0</v>
      </c>
      <c r="D1019" s="167"/>
      <c r="E1019" s="525">
        <f>IFERROR(VALUE(VLOOKUP($B1015,'PY1 TFR ADA'!$F:$AU,MATCH("A-2.3",'PY1 TFR ADA'!$F$5:$AU$5,0),FALSE)),0)</f>
        <v>0</v>
      </c>
      <c r="F1019" s="167"/>
      <c r="G1019" s="609">
        <f>IFERROR(VLOOKUP($B1015,'PY1 TFR ADA'!$F:$AU,MATCH("b-1.3",'PY1 TFR ADA'!$F$5:$AU$5,0),FALSE),0)</f>
        <v>0</v>
      </c>
      <c r="H1019" s="527"/>
      <c r="I1019" s="609">
        <f>IFERROR(VLOOKUP($B1015,'PY1 TFR ADA'!$F:$AU,MATCH("b-2.3",'PY1 TFR ADA'!$F$5:$AU$5,0),FALSE),0)</f>
        <v>0</v>
      </c>
      <c r="J1019" s="527"/>
      <c r="K1019" s="609">
        <f>IFERROR(VLOOKUP($B1015,'PY1 TFR ADA'!$F:$AU,MATCH("b-3.3",'PY1 TFR ADA'!$F$5:$AU$5,0),FALSE),0)</f>
        <v>0</v>
      </c>
      <c r="L1019" s="527"/>
      <c r="M1019" s="609">
        <f>IFERROR(VLOOKUP($B1015,'PY1 TFR ADA'!$F:$AU,MATCH("b-4.3",'PY1 TFR ADA'!$F$5:$AU$5,0),FALSE),0)</f>
        <v>0</v>
      </c>
      <c r="N1019" s="527"/>
      <c r="O1019" s="609">
        <f>IFERROR(VLOOKUP($B1015,'PY1 TFR ADA'!$F:$AU,MATCH("b-5.3",'PY1 TFR ADA'!$F$5:$AU$5,0),FALSE),0)</f>
        <v>0</v>
      </c>
      <c r="P1019" s="527"/>
      <c r="Q1019" s="609">
        <f>IFERROR(VLOOKUP($B1015,'PY1 TFR ADA'!$F:$AU,MATCH("b-6.3",'PY1 TFR ADA'!$F$5:$AU$5,0),FALSE),0)</f>
        <v>0</v>
      </c>
      <c r="R1019" s="551"/>
      <c r="S1019" s="601">
        <f t="shared" si="1518"/>
        <v>0</v>
      </c>
      <c r="T1019" s="551"/>
      <c r="U1019" s="536">
        <f t="shared" ref="U1019" si="1521">ROUND(IF($G1024="LCFF Rate",(G1019*$C1019),(G1019*$E1019))+IF($I1024="LCFF Rate",(I1019*$C1019),(I1019*$E1019))+IF($K1024="LCFF Rate",(K1019*$C1019),(K1019*$E1019))+IF($M1024="LCFF Rate",(M1019*$C1019),(M1019*$E1019))+IF($O1024="LCFF Rate",(O1019*$C1019),(O1019*$E1019))+IF($Q1024="LCFF Rate",(Q1019*$C1019),(Q1019*$E1019)),0)</f>
        <v>0</v>
      </c>
      <c r="V1019" s="524"/>
      <c r="X1019" s="4"/>
    </row>
    <row r="1020" spans="1:24" s="8" customFormat="1" ht="14.4">
      <c r="A1020" s="526"/>
      <c r="B1020" s="510" t="s">
        <v>4</v>
      </c>
      <c r="C1020" s="525">
        <f>IFERROR(VLOOKUP($B1015,'PY1 TFR ADA'!$F:$AU,MATCH("A-1.4",'PY1 TFR ADA'!$F$5:$AU$5,0),FALSE),0)</f>
        <v>0</v>
      </c>
      <c r="D1020" s="523"/>
      <c r="E1020" s="525">
        <f>IFERROR(VALUE(VLOOKUP($B1015,'PY1 TFR ADA'!$F:$AU,MATCH("A-2.4",'PY1 TFR ADA'!$F$5:$AU$5,0),FALSE)),0)</f>
        <v>0</v>
      </c>
      <c r="F1020" s="523"/>
      <c r="G1020" s="609">
        <f>IFERROR(VLOOKUP($B1015,'PY1 TFR ADA'!$F:$AU,MATCH("b-1.4",'PY1 TFR ADA'!$F$5:$AU$5,0),FALSE),0)</f>
        <v>0</v>
      </c>
      <c r="H1020" s="527"/>
      <c r="I1020" s="609">
        <f>IFERROR(VLOOKUP($B1015,'PY1 TFR ADA'!$F:$AU,MATCH("b-2.4",'PY1 TFR ADA'!$F$5:$AU$5,0),FALSE),0)</f>
        <v>0</v>
      </c>
      <c r="J1020" s="527"/>
      <c r="K1020" s="609">
        <f>IFERROR(VLOOKUP($B1015,'PY1 TFR ADA'!$F:$AU,MATCH("b-3.4",'PY1 TFR ADA'!$F$5:$AU$5,0),FALSE),0)</f>
        <v>0</v>
      </c>
      <c r="L1020" s="527"/>
      <c r="M1020" s="609">
        <f>IFERROR(VLOOKUP($B1015,'PY1 TFR ADA'!$F:$AU,MATCH("b-4.4",'PY1 TFR ADA'!$F$5:$AU$5,0),FALSE),0)</f>
        <v>0</v>
      </c>
      <c r="N1020" s="527"/>
      <c r="O1020" s="609">
        <f>IFERROR(VLOOKUP($B1015,'PY1 TFR ADA'!$F:$AU,MATCH("b-5.4",'PY1 TFR ADA'!$F$5:$AU$5,0),FALSE),0)</f>
        <v>0</v>
      </c>
      <c r="P1020" s="527"/>
      <c r="Q1020" s="609">
        <f>IFERROR(VLOOKUP($B1015,'PY1 TFR ADA'!$F:$AU,MATCH("b-6.4",'PY1 TFR ADA'!$F$5:$AU$5,0),FALSE),0)</f>
        <v>0</v>
      </c>
      <c r="R1020" s="551"/>
      <c r="S1020" s="601">
        <f t="shared" si="1518"/>
        <v>0</v>
      </c>
      <c r="T1020" s="551"/>
      <c r="U1020" s="536">
        <f t="shared" ref="U1020" si="1522">ROUND(IF($G1024="LCFF Rate",(G1020*$C1020),(G1020*$E1020))+IF($I1024="LCFF Rate",(I1020*$C1020),(I1020*$E1020))+IF($K1024="LCFF Rate",(K1020*$C1020),(K1020*$E1020))+IF($M1024="LCFF Rate",(M1020*$C1020),(M1020*$E1020))+IF($O1024="LCFF Rate",(O1020*$C1020),(O1020*$E1020))+IF($Q1024="LCFF Rate",(Q1020*$C1020),(Q1020*$E1020)),0)</f>
        <v>0</v>
      </c>
      <c r="V1020" s="522"/>
      <c r="X1020" s="496"/>
    </row>
    <row r="1021" spans="1:24" s="8" customFormat="1" ht="8.25" customHeight="1">
      <c r="A1021" s="521"/>
      <c r="B1021" s="167"/>
      <c r="C1021" s="165"/>
      <c r="D1021" s="523"/>
      <c r="E1021" s="165"/>
      <c r="F1021" s="523"/>
      <c r="G1021" s="520"/>
      <c r="H1021" s="523"/>
      <c r="I1021" s="520"/>
      <c r="J1021" s="523"/>
      <c r="K1021" s="520"/>
      <c r="L1021" s="523"/>
      <c r="M1021" s="520"/>
      <c r="N1021" s="523"/>
      <c r="O1021" s="520"/>
      <c r="P1021" s="523"/>
      <c r="Q1021" s="520"/>
      <c r="R1021" s="167"/>
      <c r="S1021" s="520"/>
      <c r="T1021" s="167"/>
      <c r="U1021" s="602"/>
      <c r="V1021" s="522"/>
      <c r="X1021" s="4"/>
    </row>
    <row r="1022" spans="1:24" s="8" customFormat="1" ht="14.4">
      <c r="A1022" s="521"/>
      <c r="B1022" s="167"/>
      <c r="C1022" s="165"/>
      <c r="D1022" s="523"/>
      <c r="E1022" s="513" t="s">
        <v>1317</v>
      </c>
      <c r="F1022" s="523"/>
      <c r="G1022" s="601">
        <f t="shared" ref="G1022" si="1523">SUM(G1017:G1020)</f>
        <v>0</v>
      </c>
      <c r="H1022" s="527"/>
      <c r="I1022" s="601">
        <f t="shared" ref="I1022" si="1524">SUM(I1017:I1020)</f>
        <v>0</v>
      </c>
      <c r="J1022" s="527"/>
      <c r="K1022" s="601">
        <f t="shared" ref="K1022" si="1525">SUM(K1017:K1020)</f>
        <v>0</v>
      </c>
      <c r="L1022" s="527"/>
      <c r="M1022" s="601">
        <f t="shared" ref="M1022" si="1526">SUM(M1017:M1020)</f>
        <v>0</v>
      </c>
      <c r="N1022" s="527"/>
      <c r="O1022" s="601">
        <f t="shared" ref="O1022" si="1527">SUM(O1017:O1020)</f>
        <v>0</v>
      </c>
      <c r="P1022" s="527"/>
      <c r="Q1022" s="601">
        <f t="shared" ref="Q1022" si="1528">SUM(Q1017:Q1020)</f>
        <v>0</v>
      </c>
      <c r="R1022" s="527"/>
      <c r="S1022" s="601">
        <f t="shared" ref="S1022" si="1529">SUM(S1017:S1020)</f>
        <v>0</v>
      </c>
      <c r="T1022" s="527"/>
      <c r="U1022" s="536">
        <f t="shared" ref="U1022" si="1530">SUM(U1017:U1020)</f>
        <v>0</v>
      </c>
      <c r="V1022" s="522"/>
      <c r="X1022" s="4"/>
    </row>
    <row r="1023" spans="1:24" s="8" customFormat="1" ht="8.25" customHeight="1">
      <c r="A1023" s="521"/>
      <c r="B1023" s="167"/>
      <c r="C1023" s="165"/>
      <c r="D1023" s="523"/>
      <c r="E1023" s="165"/>
      <c r="F1023" s="523"/>
      <c r="G1023" s="520"/>
      <c r="H1023" s="523"/>
      <c r="I1023" s="520"/>
      <c r="J1023" s="523"/>
      <c r="K1023" s="520"/>
      <c r="L1023" s="523"/>
      <c r="M1023" s="520"/>
      <c r="N1023" s="523"/>
      <c r="O1023" s="520"/>
      <c r="P1023" s="523"/>
      <c r="Q1023" s="520"/>
      <c r="R1023" s="167"/>
      <c r="S1023" s="520"/>
      <c r="T1023" s="167"/>
      <c r="U1023" s="528"/>
      <c r="V1023" s="522"/>
      <c r="X1023" s="4"/>
    </row>
    <row r="1024" spans="1:24" s="8" customFormat="1" ht="16.5" customHeight="1">
      <c r="A1024" s="521"/>
      <c r="B1024" s="167"/>
      <c r="C1024" s="165"/>
      <c r="E1024" s="513" t="s">
        <v>1304</v>
      </c>
      <c r="F1024" s="523"/>
      <c r="G1024" s="977">
        <f>_xlfn.IFNA(IF(VLOOKUP($B1015,'PY1 TFR ADA'!$F:$AU,MATCH("B-1.5",'PY1 TFR ADA'!$F$5:$AU$5,0),FALSE)=TRUE,IF(VLOOKUP($B1015,'PY1 TFR ADA'!$F:$AU,MATCH("C-1",'PY1 TFR ADA'!$F$5:$AU$5,0),FALSE)=TRUE,"Alternative Rate","LCFF Rate"),"LCFF Rate"),0)</f>
        <v>0</v>
      </c>
      <c r="H1024" s="523"/>
      <c r="I1024" s="977">
        <f>_xlfn.IFNA(IF(VLOOKUP($B1015,'PY1 TFR ADA'!$F:$AU,MATCH("B-2.5",'PY1 TFR ADA'!$F$5:$AU$5,0),FALSE)=TRUE,IF(VLOOKUP($B1015,'PY1 TFR ADA'!$F:$AU,MATCH("C-1",'PY1 TFR ADA'!$F$5:$AU$5,0),FALSE)=TRUE,"Alternative Rate","LCFF Rate"),"LCFF Rate"),0)</f>
        <v>0</v>
      </c>
      <c r="J1024" s="523"/>
      <c r="K1024" s="977">
        <f>_xlfn.IFNA(IF(VLOOKUP($B1015,'PY1 TFR ADA'!$F:$AU,MATCH("B-3.5",'PY1 TFR ADA'!$F$5:$AU$5,0),FALSE)=TRUE,IF(VLOOKUP($B1015,'PY1 TFR ADA'!$F:$AU,MATCH("C-1",'PY1 TFR ADA'!$F$5:$AU$5,0),FALSE)=TRUE,"Alternative Rate","LCFF Rate"),"LCFF Rate"),0)</f>
        <v>0</v>
      </c>
      <c r="L1024" s="523"/>
      <c r="M1024" s="977">
        <f>_xlfn.IFNA(IF(VLOOKUP($B1015,'PY1 TFR ADA'!$F:$AU,MATCH("B-4.5",'PY1 TFR ADA'!$F$5:$AU$5,0),FALSE)=TRUE,IF(VLOOKUP($B1015,'PY1 TFR ADA'!$F:$AU,MATCH("C-1",'PY1 TFR ADA'!$F$5:$AU$5,0),FALSE)=TRUE,"Alternative Rate","LCFF Rate"),"LCFF Rate"),0)</f>
        <v>0</v>
      </c>
      <c r="N1024" s="523"/>
      <c r="O1024" s="977">
        <f>_xlfn.IFNA(IF(VLOOKUP($B1015,'PY1 TFR ADA'!$F:$AU,MATCH("B-5.5",'PY1 TFR ADA'!$F$5:$AU$5,0),FALSE)=TRUE,IF(VLOOKUP($B1015,'PY1 TFR ADA'!$F:$AU,MATCH("C-1",'PY1 TFR ADA'!$F$5:$AU$5,0),FALSE)=TRUE,"Alternative Rate","LCFF Rate"),"LCFF Rate"),0)</f>
        <v>0</v>
      </c>
      <c r="P1024" s="523"/>
      <c r="Q1024" s="977">
        <f>_xlfn.IFNA(IF(VLOOKUP($B1015,'PY1 TFR ADA'!$F:$AU,MATCH("B-6.5",'PY1 TFR ADA'!$F$5:$AU$5,0),FALSE)=TRUE,IF(VLOOKUP($B1015,'PY1 TFR ADA'!$F:$AU,MATCH("C-1",'PY1 TFR ADA'!$F$5:$AU$5,0),FALSE)=TRUE,"Alternative Rate","LCFF Rate"),"LCFF Rate"),0)</f>
        <v>0</v>
      </c>
      <c r="R1024" s="167"/>
      <c r="S1024" s="520"/>
      <c r="T1024" s="167"/>
      <c r="U1024" s="528"/>
      <c r="V1024" s="522"/>
      <c r="X1024" s="283"/>
    </row>
    <row r="1025" spans="1:24" s="8" customFormat="1" ht="8.25" customHeight="1">
      <c r="A1025" s="521"/>
      <c r="B1025" s="167"/>
      <c r="C1025" s="165"/>
      <c r="D1025" s="523"/>
      <c r="E1025" s="165"/>
      <c r="F1025" s="523"/>
      <c r="G1025" s="520"/>
      <c r="H1025" s="523"/>
      <c r="I1025" s="520"/>
      <c r="J1025" s="523"/>
      <c r="K1025" s="520"/>
      <c r="L1025" s="523"/>
      <c r="M1025" s="520"/>
      <c r="N1025" s="523"/>
      <c r="O1025" s="520"/>
      <c r="P1025" s="523"/>
      <c r="Q1025" s="520"/>
      <c r="R1025" s="167"/>
      <c r="S1025" s="520"/>
      <c r="T1025" s="167"/>
      <c r="U1025" s="528"/>
      <c r="V1025" s="522"/>
      <c r="X1025" s="4"/>
    </row>
    <row r="1026" spans="1:24" s="8" customFormat="1" ht="16.8">
      <c r="A1026" s="521"/>
      <c r="B1026" s="2"/>
      <c r="F1026" s="523"/>
      <c r="G1026" s="535">
        <f t="shared" ref="G1026" si="1531">IF(G1024="LCFF Rate",(G1017*C1017+G1018*C1018+G1019*C1019+G1020*C1020),(G1022*E1020))</f>
        <v>0</v>
      </c>
      <c r="H1026" s="537"/>
      <c r="I1026" s="535">
        <f t="shared" ref="I1026" si="1532">IF(I1024="LCFF Rate",(I1017*C1017+I1018*C1018+I1019*C1019+I1020*C1020),(I1022*E1020))</f>
        <v>0</v>
      </c>
      <c r="J1026" s="537"/>
      <c r="K1026" s="535">
        <f t="shared" ref="K1026" si="1533">IF(K1024="LCFF Rate",(K1017*C1017+K1018*C1018+K1019*C1019+K1020*C1020),(K1022*E1020))</f>
        <v>0</v>
      </c>
      <c r="L1026" s="537"/>
      <c r="M1026" s="535">
        <f t="shared" ref="M1026" si="1534">IF(M1024="LCFF Rate",(M1017*C1017+M1018*C1018+M1019*C1019+M1020*C1020),(M1022*E1020))</f>
        <v>0</v>
      </c>
      <c r="N1026" s="537"/>
      <c r="O1026" s="535">
        <f t="shared" ref="O1026" si="1535">IF(O1024="LCFF Rate",(O1017*C1017+O1018*C1018+O1019*C1019+O1020*C1020),(O1022*E1020))</f>
        <v>0</v>
      </c>
      <c r="P1026" s="537"/>
      <c r="Q1026" s="535">
        <f t="shared" ref="Q1026" si="1536">IF(Q1024="LCFF Rate",(Q1017*C1017+Q1018*C1018+Q1019*C1019+Q1020*C1020),(Q1022*E1020))</f>
        <v>0</v>
      </c>
      <c r="R1026" s="167"/>
      <c r="S1026" s="538">
        <f t="shared" ref="S1026" si="1537">SUM(G1026:Q1026)</f>
        <v>0</v>
      </c>
      <c r="T1026" s="167"/>
      <c r="U1026" s="528"/>
      <c r="V1026" s="522"/>
      <c r="X1026" s="979"/>
    </row>
    <row r="1027" spans="1:24" s="8" customFormat="1" ht="9" customHeight="1" thickBot="1">
      <c r="A1027" s="529"/>
      <c r="B1027" s="530"/>
      <c r="C1027" s="531"/>
      <c r="D1027" s="532"/>
      <c r="E1027" s="533"/>
      <c r="F1027" s="532"/>
      <c r="G1027" s="530"/>
      <c r="H1027" s="532"/>
      <c r="I1027" s="530"/>
      <c r="J1027" s="532"/>
      <c r="K1027" s="530"/>
      <c r="L1027" s="532"/>
      <c r="M1027" s="530"/>
      <c r="N1027" s="532"/>
      <c r="O1027" s="530"/>
      <c r="P1027" s="532"/>
      <c r="Q1027" s="530"/>
      <c r="R1027" s="532"/>
      <c r="S1027" s="530"/>
      <c r="T1027" s="532"/>
      <c r="U1027" s="532"/>
      <c r="V1027" s="534"/>
      <c r="X1027" s="4"/>
    </row>
    <row r="1028" spans="1:24" s="82" customFormat="1" ht="18" customHeight="1" thickBot="1">
      <c r="A1028" s="890">
        <f>+A1015+1</f>
        <v>79</v>
      </c>
      <c r="B1028" s="891" t="str">
        <f>'Data Entry'!$B$3&amp;"-"&amp;C1028</f>
        <v>-</v>
      </c>
      <c r="C1028" s="891" t="str">
        <f>IFERROR(VLOOKUP('Data Entry'!$B$3&amp;"-"&amp;A1028,'PY1 TFR ADA'!$D:$AT,2,FALSE),"")</f>
        <v/>
      </c>
      <c r="D1028" s="892" t="str">
        <f>IFERROR(VLOOKUP('Data Entry'!$B$3&amp;"-"&amp;A1028,'PY1 TFR ADA'!$D:$AT,4,FALSE),"")</f>
        <v/>
      </c>
      <c r="E1028" s="893"/>
      <c r="F1028" s="893"/>
      <c r="G1028" s="893"/>
      <c r="H1028" s="893"/>
      <c r="I1028" s="893"/>
      <c r="J1028" s="893"/>
      <c r="K1028" s="893"/>
      <c r="L1028" s="893"/>
      <c r="M1028" s="893"/>
      <c r="N1028" s="893"/>
      <c r="O1028" s="893"/>
      <c r="P1028" s="893"/>
      <c r="Q1028" s="893"/>
      <c r="R1028" s="893"/>
      <c r="S1028" s="893"/>
      <c r="T1028" s="893"/>
      <c r="U1028" s="893"/>
      <c r="V1028" s="894"/>
      <c r="X1028" s="83"/>
    </row>
    <row r="1029" spans="1:24" ht="75" customHeight="1">
      <c r="A1029" s="521"/>
      <c r="C1029" s="540" t="s">
        <v>1315</v>
      </c>
      <c r="D1029" s="512"/>
      <c r="E1029" s="540" t="s">
        <v>1316</v>
      </c>
      <c r="F1029" s="512"/>
      <c r="G1029" s="540" t="s">
        <v>1309</v>
      </c>
      <c r="H1029" s="512"/>
      <c r="I1029" s="540" t="s">
        <v>1310</v>
      </c>
      <c r="J1029" s="512"/>
      <c r="K1029" s="540" t="s">
        <v>1311</v>
      </c>
      <c r="L1029" s="512"/>
      <c r="M1029" s="540" t="s">
        <v>1312</v>
      </c>
      <c r="N1029" s="512"/>
      <c r="O1029" s="540" t="s">
        <v>1313</v>
      </c>
      <c r="P1029" s="512"/>
      <c r="Q1029" s="540" t="s">
        <v>1314</v>
      </c>
      <c r="R1029" s="167"/>
      <c r="S1029" s="540" t="s">
        <v>1308</v>
      </c>
      <c r="T1029" s="167"/>
      <c r="U1029" s="512" t="s">
        <v>1307</v>
      </c>
      <c r="V1029" s="524"/>
      <c r="X1029" s="283"/>
    </row>
    <row r="1030" spans="1:24" s="8" customFormat="1" ht="14.4">
      <c r="A1030" s="521"/>
      <c r="B1030" s="510" t="s">
        <v>94</v>
      </c>
      <c r="C1030" s="525">
        <f>IFERROR(VLOOKUP($B1028,'PY1 TFR ADA'!$F:$AU,MATCH("A-1.1",'PY1 TFR ADA'!$F$5:$AU$5,0),FALSE),0)</f>
        <v>0</v>
      </c>
      <c r="D1030" s="167"/>
      <c r="E1030" s="525">
        <f>IFERROR(VALUE(VLOOKUP($B1028,'PY1 TFR ADA'!$F:$AU,MATCH("A-2.1",'PY1 TFR ADA'!$F$5:$AU$5,0),FALSE)),0)</f>
        <v>0</v>
      </c>
      <c r="F1030" s="167"/>
      <c r="G1030" s="609">
        <f>IFERROR(VLOOKUP($B1028,'PY1 TFR ADA'!$F:$AU,MATCH("b-1.1",'PY1 TFR ADA'!$F$5:$AU$5,0),FALSE),0)</f>
        <v>0</v>
      </c>
      <c r="H1030" s="527"/>
      <c r="I1030" s="609">
        <f>IFERROR(VLOOKUP($B1028,'PY1 TFR ADA'!$F:$AU,MATCH("b-2.1",'PY1 TFR ADA'!$F$5:$AU$5,0),FALSE),0)</f>
        <v>0</v>
      </c>
      <c r="J1030" s="527"/>
      <c r="K1030" s="609">
        <f>IFERROR(VLOOKUP($B1028,'PY1 TFR ADA'!$F:$AU,MATCH("b-3.1",'PY1 TFR ADA'!$F$5:$AU$5,0),FALSE),0)</f>
        <v>0</v>
      </c>
      <c r="L1030" s="527"/>
      <c r="M1030" s="609">
        <f>IFERROR(VLOOKUP($B1028,'PY1 TFR ADA'!$F:$AU,MATCH("b-4.1",'PY1 TFR ADA'!$F$5:$AU$5,0),FALSE),0)</f>
        <v>0</v>
      </c>
      <c r="N1030" s="527"/>
      <c r="O1030" s="609">
        <f>IFERROR(VLOOKUP($B1028,'PY1 TFR ADA'!$F:$AU,MATCH("b-5.1",'PY1 TFR ADA'!$F$5:$AU$5,0),FALSE),0)</f>
        <v>0</v>
      </c>
      <c r="P1030" s="527"/>
      <c r="Q1030" s="609">
        <f>IFERROR(VLOOKUP($B1028,'PY1 TFR ADA'!$F:$AU,MATCH("b-6.1",'PY1 TFR ADA'!$F$5:$AU$5,0),FALSE),0)</f>
        <v>0</v>
      </c>
      <c r="R1030" s="551"/>
      <c r="S1030" s="601">
        <f t="shared" ref="S1030:S1033" si="1538">SUM(G1030:Q1030)</f>
        <v>0</v>
      </c>
      <c r="T1030" s="551"/>
      <c r="U1030" s="536">
        <f t="shared" ref="U1030" si="1539">ROUND(IF($G1037="LCFF Rate",(G1030*$C1030),(G1030*$E1030))+IF($I1037="LCFF Rate",(I1030*$C1030),(I1030*$E1030))+IF($K1037="LCFF Rate",(K1030*$C1030),(K1030*$E1030))+IF($M1037="LCFF Rate",(M1030*$C1030),(M1030*$E1030))+IF($O1037="LCFF Rate",(O1030*$C1030),(O1030*$E1030))+IF($Q1037="LCFF Rate",(Q1030*$C1030),(Q1030*$E1030)),0)</f>
        <v>0</v>
      </c>
      <c r="V1030" s="524"/>
      <c r="X1030" s="496"/>
    </row>
    <row r="1031" spans="1:24" s="8" customFormat="1" ht="14.4">
      <c r="A1031" s="521"/>
      <c r="B1031" s="510" t="s">
        <v>2</v>
      </c>
      <c r="C1031" s="525">
        <f>IFERROR(VLOOKUP($B1028,'PY1 TFR ADA'!$F:$AU,MATCH("A-1.2",'PY1 TFR ADA'!$F$5:$AU$5,0),FALSE),0)</f>
        <v>0</v>
      </c>
      <c r="D1031" s="167"/>
      <c r="E1031" s="525">
        <f>IFERROR(VALUE(VLOOKUP($B1028,'PY1 TFR ADA'!$F:$AU,MATCH("A-2.2",'PY1 TFR ADA'!$F$5:$AU$5,0),FALSE)),0)</f>
        <v>0</v>
      </c>
      <c r="F1031" s="167"/>
      <c r="G1031" s="609">
        <f>IFERROR(VLOOKUP($B1028,'PY1 TFR ADA'!$F:$AU,MATCH("b-1.2",'PY1 TFR ADA'!$F$5:$AU$5,0),FALSE),0)</f>
        <v>0</v>
      </c>
      <c r="H1031" s="527"/>
      <c r="I1031" s="609">
        <f>IFERROR(VLOOKUP($B1028,'PY1 TFR ADA'!$F:$AU,MATCH("b-2.2",'PY1 TFR ADA'!$F$5:$AU$5,0),FALSE),0)</f>
        <v>0</v>
      </c>
      <c r="J1031" s="527"/>
      <c r="K1031" s="609">
        <f>IFERROR(VLOOKUP($B1028,'PY1 TFR ADA'!$F:$AU,MATCH("b-3.2",'PY1 TFR ADA'!$F$5:$AU$5,0),FALSE),0)</f>
        <v>0</v>
      </c>
      <c r="L1031" s="527"/>
      <c r="M1031" s="609">
        <f>IFERROR(VLOOKUP($B1028,'PY1 TFR ADA'!$F:$AU,MATCH("b-4.2",'PY1 TFR ADA'!$F$5:$AU$5,0),FALSE),0)</f>
        <v>0</v>
      </c>
      <c r="N1031" s="527"/>
      <c r="O1031" s="609">
        <f>IFERROR(VLOOKUP($B1028,'PY1 TFR ADA'!$F:$AU,MATCH("b-5.2",'PY1 TFR ADA'!$F$5:$AU$5,0),FALSE),0)</f>
        <v>0</v>
      </c>
      <c r="P1031" s="527"/>
      <c r="Q1031" s="609">
        <f>IFERROR(VLOOKUP($B1028,'PY1 TFR ADA'!$F:$AU,MATCH("b-6.2",'PY1 TFR ADA'!$F$5:$AU$5,0),FALSE),0)</f>
        <v>0</v>
      </c>
      <c r="R1031" s="551"/>
      <c r="S1031" s="601">
        <f t="shared" si="1538"/>
        <v>0</v>
      </c>
      <c r="T1031" s="551"/>
      <c r="U1031" s="536">
        <f t="shared" ref="U1031" si="1540">ROUND(IF($G1037="LCFF Rate",(G1031*$C1031),(G1031*$E1031))+IF($I1037="LCFF Rate",(I1031*$C1031),(I1031*$E1031))+IF($K1037="LCFF Rate",(K1031*$C1031),(K1031*$E1031))+IF($M1037="LCFF Rate",(M1031*$C1031),(M1031*$E1031))+IF($O1037="LCFF Rate",(O1031*$C1031),(O1031*$E1031))+IF($Q1037="LCFF Rate",(Q1031*$C1031),(Q1031*$E1031)),0)</f>
        <v>0</v>
      </c>
      <c r="V1031" s="524"/>
      <c r="X1031" s="4"/>
    </row>
    <row r="1032" spans="1:24" s="8" customFormat="1" ht="14.4">
      <c r="A1032" s="521"/>
      <c r="B1032" s="510" t="s">
        <v>3</v>
      </c>
      <c r="C1032" s="525">
        <f>IFERROR(VLOOKUP($B1028,'PY1 TFR ADA'!$F:$AU,MATCH("A-1.3",'PY1 TFR ADA'!$F$5:$AU$5,0),FALSE),0)</f>
        <v>0</v>
      </c>
      <c r="D1032" s="167"/>
      <c r="E1032" s="525">
        <f>IFERROR(VALUE(VLOOKUP($B1028,'PY1 TFR ADA'!$F:$AU,MATCH("A-2.3",'PY1 TFR ADA'!$F$5:$AU$5,0),FALSE)),0)</f>
        <v>0</v>
      </c>
      <c r="F1032" s="167"/>
      <c r="G1032" s="609">
        <f>IFERROR(VLOOKUP($B1028,'PY1 TFR ADA'!$F:$AU,MATCH("b-1.3",'PY1 TFR ADA'!$F$5:$AU$5,0),FALSE),0)</f>
        <v>0</v>
      </c>
      <c r="H1032" s="527"/>
      <c r="I1032" s="609">
        <f>IFERROR(VLOOKUP($B1028,'PY1 TFR ADA'!$F:$AU,MATCH("b-2.3",'PY1 TFR ADA'!$F$5:$AU$5,0),FALSE),0)</f>
        <v>0</v>
      </c>
      <c r="J1032" s="527"/>
      <c r="K1032" s="609">
        <f>IFERROR(VLOOKUP($B1028,'PY1 TFR ADA'!$F:$AU,MATCH("b-3.3",'PY1 TFR ADA'!$F$5:$AU$5,0),FALSE),0)</f>
        <v>0</v>
      </c>
      <c r="L1032" s="527"/>
      <c r="M1032" s="609">
        <f>IFERROR(VLOOKUP($B1028,'PY1 TFR ADA'!$F:$AU,MATCH("b-4.3",'PY1 TFR ADA'!$F$5:$AU$5,0),FALSE),0)</f>
        <v>0</v>
      </c>
      <c r="N1032" s="527"/>
      <c r="O1032" s="609">
        <f>IFERROR(VLOOKUP($B1028,'PY1 TFR ADA'!$F:$AU,MATCH("b-5.3",'PY1 TFR ADA'!$F$5:$AU$5,0),FALSE),0)</f>
        <v>0</v>
      </c>
      <c r="P1032" s="527"/>
      <c r="Q1032" s="609">
        <f>IFERROR(VLOOKUP($B1028,'PY1 TFR ADA'!$F:$AU,MATCH("b-6.3",'PY1 TFR ADA'!$F$5:$AU$5,0),FALSE),0)</f>
        <v>0</v>
      </c>
      <c r="R1032" s="551"/>
      <c r="S1032" s="601">
        <f t="shared" si="1538"/>
        <v>0</v>
      </c>
      <c r="T1032" s="551"/>
      <c r="U1032" s="536">
        <f t="shared" ref="U1032" si="1541">ROUND(IF($G1037="LCFF Rate",(G1032*$C1032),(G1032*$E1032))+IF($I1037="LCFF Rate",(I1032*$C1032),(I1032*$E1032))+IF($K1037="LCFF Rate",(K1032*$C1032),(K1032*$E1032))+IF($M1037="LCFF Rate",(M1032*$C1032),(M1032*$E1032))+IF($O1037="LCFF Rate",(O1032*$C1032),(O1032*$E1032))+IF($Q1037="LCFF Rate",(Q1032*$C1032),(Q1032*$E1032)),0)</f>
        <v>0</v>
      </c>
      <c r="V1032" s="524"/>
      <c r="X1032" s="4"/>
    </row>
    <row r="1033" spans="1:24" s="8" customFormat="1" ht="14.4">
      <c r="A1033" s="526"/>
      <c r="B1033" s="510" t="s">
        <v>4</v>
      </c>
      <c r="C1033" s="525">
        <f>IFERROR(VLOOKUP($B1028,'PY1 TFR ADA'!$F:$AU,MATCH("A-1.4",'PY1 TFR ADA'!$F$5:$AU$5,0),FALSE),0)</f>
        <v>0</v>
      </c>
      <c r="D1033" s="523"/>
      <c r="E1033" s="525">
        <f>IFERROR(VALUE(VLOOKUP($B1028,'PY1 TFR ADA'!$F:$AU,MATCH("A-2.4",'PY1 TFR ADA'!$F$5:$AU$5,0),FALSE)),0)</f>
        <v>0</v>
      </c>
      <c r="F1033" s="523"/>
      <c r="G1033" s="609">
        <f>IFERROR(VLOOKUP($B1028,'PY1 TFR ADA'!$F:$AU,MATCH("b-1.4",'PY1 TFR ADA'!$F$5:$AU$5,0),FALSE),0)</f>
        <v>0</v>
      </c>
      <c r="H1033" s="527"/>
      <c r="I1033" s="609">
        <f>IFERROR(VLOOKUP($B1028,'PY1 TFR ADA'!$F:$AU,MATCH("b-2.4",'PY1 TFR ADA'!$F$5:$AU$5,0),FALSE),0)</f>
        <v>0</v>
      </c>
      <c r="J1033" s="527"/>
      <c r="K1033" s="609">
        <f>IFERROR(VLOOKUP($B1028,'PY1 TFR ADA'!$F:$AU,MATCH("b-3.4",'PY1 TFR ADA'!$F$5:$AU$5,0),FALSE),0)</f>
        <v>0</v>
      </c>
      <c r="L1033" s="527"/>
      <c r="M1033" s="609">
        <f>IFERROR(VLOOKUP($B1028,'PY1 TFR ADA'!$F:$AU,MATCH("b-4.4",'PY1 TFR ADA'!$F$5:$AU$5,0),FALSE),0)</f>
        <v>0</v>
      </c>
      <c r="N1033" s="527"/>
      <c r="O1033" s="609">
        <f>IFERROR(VLOOKUP($B1028,'PY1 TFR ADA'!$F:$AU,MATCH("b-5.4",'PY1 TFR ADA'!$F$5:$AU$5,0),FALSE),0)</f>
        <v>0</v>
      </c>
      <c r="P1033" s="527"/>
      <c r="Q1033" s="609">
        <f>IFERROR(VLOOKUP($B1028,'PY1 TFR ADA'!$F:$AU,MATCH("b-6.4",'PY1 TFR ADA'!$F$5:$AU$5,0),FALSE),0)</f>
        <v>0</v>
      </c>
      <c r="R1033" s="551"/>
      <c r="S1033" s="601">
        <f t="shared" si="1538"/>
        <v>0</v>
      </c>
      <c r="T1033" s="551"/>
      <c r="U1033" s="536">
        <f t="shared" ref="U1033" si="1542">ROUND(IF($G1037="LCFF Rate",(G1033*$C1033),(G1033*$E1033))+IF($I1037="LCFF Rate",(I1033*$C1033),(I1033*$E1033))+IF($K1037="LCFF Rate",(K1033*$C1033),(K1033*$E1033))+IF($M1037="LCFF Rate",(M1033*$C1033),(M1033*$E1033))+IF($O1037="LCFF Rate",(O1033*$C1033),(O1033*$E1033))+IF($Q1037="LCFF Rate",(Q1033*$C1033),(Q1033*$E1033)),0)</f>
        <v>0</v>
      </c>
      <c r="V1033" s="522"/>
      <c r="X1033" s="496"/>
    </row>
    <row r="1034" spans="1:24" s="8" customFormat="1" ht="8.25" customHeight="1">
      <c r="A1034" s="521"/>
      <c r="B1034" s="167"/>
      <c r="C1034" s="165"/>
      <c r="D1034" s="523"/>
      <c r="E1034" s="165"/>
      <c r="F1034" s="523"/>
      <c r="G1034" s="520"/>
      <c r="H1034" s="523"/>
      <c r="I1034" s="520"/>
      <c r="J1034" s="523"/>
      <c r="K1034" s="520"/>
      <c r="L1034" s="523"/>
      <c r="M1034" s="520"/>
      <c r="N1034" s="523"/>
      <c r="O1034" s="520"/>
      <c r="P1034" s="523"/>
      <c r="Q1034" s="520"/>
      <c r="R1034" s="167"/>
      <c r="S1034" s="520"/>
      <c r="T1034" s="167"/>
      <c r="U1034" s="602"/>
      <c r="V1034" s="522"/>
      <c r="X1034" s="4"/>
    </row>
    <row r="1035" spans="1:24" s="8" customFormat="1" ht="14.4">
      <c r="A1035" s="521"/>
      <c r="B1035" s="167"/>
      <c r="C1035" s="165"/>
      <c r="D1035" s="523"/>
      <c r="E1035" s="513" t="s">
        <v>1317</v>
      </c>
      <c r="F1035" s="523"/>
      <c r="G1035" s="601">
        <f t="shared" ref="G1035" si="1543">SUM(G1030:G1033)</f>
        <v>0</v>
      </c>
      <c r="H1035" s="527"/>
      <c r="I1035" s="601">
        <f t="shared" ref="I1035" si="1544">SUM(I1030:I1033)</f>
        <v>0</v>
      </c>
      <c r="J1035" s="527"/>
      <c r="K1035" s="601">
        <f t="shared" ref="K1035" si="1545">SUM(K1030:K1033)</f>
        <v>0</v>
      </c>
      <c r="L1035" s="527"/>
      <c r="M1035" s="601">
        <f t="shared" ref="M1035" si="1546">SUM(M1030:M1033)</f>
        <v>0</v>
      </c>
      <c r="N1035" s="527"/>
      <c r="O1035" s="601">
        <f t="shared" ref="O1035" si="1547">SUM(O1030:O1033)</f>
        <v>0</v>
      </c>
      <c r="P1035" s="527"/>
      <c r="Q1035" s="601">
        <f t="shared" ref="Q1035" si="1548">SUM(Q1030:Q1033)</f>
        <v>0</v>
      </c>
      <c r="R1035" s="527"/>
      <c r="S1035" s="601">
        <f t="shared" ref="S1035" si="1549">SUM(S1030:S1033)</f>
        <v>0</v>
      </c>
      <c r="T1035" s="527"/>
      <c r="U1035" s="536">
        <f t="shared" ref="U1035" si="1550">SUM(U1030:U1033)</f>
        <v>0</v>
      </c>
      <c r="V1035" s="522"/>
      <c r="X1035" s="4"/>
    </row>
    <row r="1036" spans="1:24" s="8" customFormat="1" ht="8.25" customHeight="1">
      <c r="A1036" s="521"/>
      <c r="B1036" s="167"/>
      <c r="C1036" s="165"/>
      <c r="D1036" s="523"/>
      <c r="E1036" s="165"/>
      <c r="F1036" s="523"/>
      <c r="G1036" s="520"/>
      <c r="H1036" s="523"/>
      <c r="I1036" s="520"/>
      <c r="J1036" s="523"/>
      <c r="K1036" s="520"/>
      <c r="L1036" s="523"/>
      <c r="M1036" s="520"/>
      <c r="N1036" s="523"/>
      <c r="O1036" s="520"/>
      <c r="P1036" s="523"/>
      <c r="Q1036" s="520"/>
      <c r="R1036" s="167"/>
      <c r="S1036" s="520"/>
      <c r="T1036" s="167"/>
      <c r="U1036" s="528"/>
      <c r="V1036" s="522"/>
      <c r="X1036" s="4"/>
    </row>
    <row r="1037" spans="1:24" s="8" customFormat="1" ht="16.5" customHeight="1">
      <c r="A1037" s="521"/>
      <c r="B1037" s="167"/>
      <c r="C1037" s="165"/>
      <c r="E1037" s="513" t="s">
        <v>1304</v>
      </c>
      <c r="F1037" s="523"/>
      <c r="G1037" s="977">
        <f>_xlfn.IFNA(IF(VLOOKUP($B1028,'PY1 TFR ADA'!$F:$AU,MATCH("B-1.5",'PY1 TFR ADA'!$F$5:$AU$5,0),FALSE)=TRUE,IF(VLOOKUP($B1028,'PY1 TFR ADA'!$F:$AU,MATCH("C-1",'PY1 TFR ADA'!$F$5:$AU$5,0),FALSE)=TRUE,"Alternative Rate","LCFF Rate"),"LCFF Rate"),0)</f>
        <v>0</v>
      </c>
      <c r="H1037" s="523"/>
      <c r="I1037" s="977">
        <f>_xlfn.IFNA(IF(VLOOKUP($B1028,'PY1 TFR ADA'!$F:$AU,MATCH("B-2.5",'PY1 TFR ADA'!$F$5:$AU$5,0),FALSE)=TRUE,IF(VLOOKUP($B1028,'PY1 TFR ADA'!$F:$AU,MATCH("C-1",'PY1 TFR ADA'!$F$5:$AU$5,0),FALSE)=TRUE,"Alternative Rate","LCFF Rate"),"LCFF Rate"),0)</f>
        <v>0</v>
      </c>
      <c r="J1037" s="523"/>
      <c r="K1037" s="977">
        <f>_xlfn.IFNA(IF(VLOOKUP($B1028,'PY1 TFR ADA'!$F:$AU,MATCH("B-3.5",'PY1 TFR ADA'!$F$5:$AU$5,0),FALSE)=TRUE,IF(VLOOKUP($B1028,'PY1 TFR ADA'!$F:$AU,MATCH("C-1",'PY1 TFR ADA'!$F$5:$AU$5,0),FALSE)=TRUE,"Alternative Rate","LCFF Rate"),"LCFF Rate"),0)</f>
        <v>0</v>
      </c>
      <c r="L1037" s="523"/>
      <c r="M1037" s="977">
        <f>_xlfn.IFNA(IF(VLOOKUP($B1028,'PY1 TFR ADA'!$F:$AU,MATCH("B-4.5",'PY1 TFR ADA'!$F$5:$AU$5,0),FALSE)=TRUE,IF(VLOOKUP($B1028,'PY1 TFR ADA'!$F:$AU,MATCH("C-1",'PY1 TFR ADA'!$F$5:$AU$5,0),FALSE)=TRUE,"Alternative Rate","LCFF Rate"),"LCFF Rate"),0)</f>
        <v>0</v>
      </c>
      <c r="N1037" s="523"/>
      <c r="O1037" s="977">
        <f>_xlfn.IFNA(IF(VLOOKUP($B1028,'PY1 TFR ADA'!$F:$AU,MATCH("B-5.5",'PY1 TFR ADA'!$F$5:$AU$5,0),FALSE)=TRUE,IF(VLOOKUP($B1028,'PY1 TFR ADA'!$F:$AU,MATCH("C-1",'PY1 TFR ADA'!$F$5:$AU$5,0),FALSE)=TRUE,"Alternative Rate","LCFF Rate"),"LCFF Rate"),0)</f>
        <v>0</v>
      </c>
      <c r="P1037" s="523"/>
      <c r="Q1037" s="977">
        <f>_xlfn.IFNA(IF(VLOOKUP($B1028,'PY1 TFR ADA'!$F:$AU,MATCH("B-6.5",'PY1 TFR ADA'!$F$5:$AU$5,0),FALSE)=TRUE,IF(VLOOKUP($B1028,'PY1 TFR ADA'!$F:$AU,MATCH("C-1",'PY1 TFR ADA'!$F$5:$AU$5,0),FALSE)=TRUE,"Alternative Rate","LCFF Rate"),"LCFF Rate"),0)</f>
        <v>0</v>
      </c>
      <c r="R1037" s="167"/>
      <c r="S1037" s="520"/>
      <c r="T1037" s="167"/>
      <c r="U1037" s="528"/>
      <c r="V1037" s="522"/>
      <c r="X1037" s="283"/>
    </row>
    <row r="1038" spans="1:24" s="8" customFormat="1" ht="8.25" customHeight="1">
      <c r="A1038" s="521"/>
      <c r="B1038" s="167"/>
      <c r="C1038" s="165"/>
      <c r="D1038" s="523"/>
      <c r="E1038" s="165"/>
      <c r="F1038" s="523"/>
      <c r="G1038" s="520"/>
      <c r="H1038" s="523"/>
      <c r="I1038" s="520"/>
      <c r="J1038" s="523"/>
      <c r="K1038" s="520"/>
      <c r="L1038" s="523"/>
      <c r="M1038" s="520"/>
      <c r="N1038" s="523"/>
      <c r="O1038" s="520"/>
      <c r="P1038" s="523"/>
      <c r="Q1038" s="520"/>
      <c r="R1038" s="167"/>
      <c r="S1038" s="520"/>
      <c r="T1038" s="167"/>
      <c r="U1038" s="528"/>
      <c r="V1038" s="522"/>
      <c r="X1038" s="4"/>
    </row>
    <row r="1039" spans="1:24" s="8" customFormat="1" ht="16.8">
      <c r="A1039" s="521"/>
      <c r="B1039" s="2"/>
      <c r="F1039" s="523"/>
      <c r="G1039" s="535">
        <f t="shared" ref="G1039" si="1551">IF(G1037="LCFF Rate",(G1030*C1030+G1031*C1031+G1032*C1032+G1033*C1033),(G1035*E1033))</f>
        <v>0</v>
      </c>
      <c r="H1039" s="537"/>
      <c r="I1039" s="535">
        <f t="shared" ref="I1039" si="1552">IF(I1037="LCFF Rate",(I1030*C1030+I1031*C1031+I1032*C1032+I1033*C1033),(I1035*E1033))</f>
        <v>0</v>
      </c>
      <c r="J1039" s="537"/>
      <c r="K1039" s="535">
        <f t="shared" ref="K1039" si="1553">IF(K1037="LCFF Rate",(K1030*C1030+K1031*C1031+K1032*C1032+K1033*C1033),(K1035*E1033))</f>
        <v>0</v>
      </c>
      <c r="L1039" s="537"/>
      <c r="M1039" s="535">
        <f t="shared" ref="M1039" si="1554">IF(M1037="LCFF Rate",(M1030*C1030+M1031*C1031+M1032*C1032+M1033*C1033),(M1035*E1033))</f>
        <v>0</v>
      </c>
      <c r="N1039" s="537"/>
      <c r="O1039" s="535">
        <f t="shared" ref="O1039" si="1555">IF(O1037="LCFF Rate",(O1030*C1030+O1031*C1031+O1032*C1032+O1033*C1033),(O1035*E1033))</f>
        <v>0</v>
      </c>
      <c r="P1039" s="537"/>
      <c r="Q1039" s="535">
        <f t="shared" ref="Q1039" si="1556">IF(Q1037="LCFF Rate",(Q1030*C1030+Q1031*C1031+Q1032*C1032+Q1033*C1033),(Q1035*E1033))</f>
        <v>0</v>
      </c>
      <c r="R1039" s="167"/>
      <c r="S1039" s="538">
        <f t="shared" ref="S1039" si="1557">SUM(G1039:Q1039)</f>
        <v>0</v>
      </c>
      <c r="T1039" s="167"/>
      <c r="U1039" s="528"/>
      <c r="V1039" s="522"/>
      <c r="X1039" s="979"/>
    </row>
    <row r="1040" spans="1:24" s="8" customFormat="1" ht="9" customHeight="1" thickBot="1">
      <c r="A1040" s="529"/>
      <c r="B1040" s="530"/>
      <c r="C1040" s="531"/>
      <c r="D1040" s="532"/>
      <c r="E1040" s="533"/>
      <c r="F1040" s="532"/>
      <c r="G1040" s="530"/>
      <c r="H1040" s="532"/>
      <c r="I1040" s="530"/>
      <c r="J1040" s="532"/>
      <c r="K1040" s="530"/>
      <c r="L1040" s="532"/>
      <c r="M1040" s="530"/>
      <c r="N1040" s="532"/>
      <c r="O1040" s="530"/>
      <c r="P1040" s="532"/>
      <c r="Q1040" s="530"/>
      <c r="R1040" s="532"/>
      <c r="S1040" s="530"/>
      <c r="T1040" s="532"/>
      <c r="U1040" s="532"/>
      <c r="V1040" s="534"/>
      <c r="X1040" s="4"/>
    </row>
    <row r="1041" spans="1:24" s="82" customFormat="1" ht="18" customHeight="1" thickBot="1">
      <c r="A1041" s="890">
        <f>+A1028+1</f>
        <v>80</v>
      </c>
      <c r="B1041" s="891" t="str">
        <f>'Data Entry'!$B$3&amp;"-"&amp;C1041</f>
        <v>-</v>
      </c>
      <c r="C1041" s="891" t="str">
        <f>IFERROR(VLOOKUP('Data Entry'!$B$3&amp;"-"&amp;A1041,'PY1 TFR ADA'!$D:$AT,2,FALSE),"")</f>
        <v/>
      </c>
      <c r="D1041" s="892" t="str">
        <f>IFERROR(VLOOKUP('Data Entry'!$B$3&amp;"-"&amp;A1041,'PY1 TFR ADA'!$D:$AT,4,FALSE),"")</f>
        <v/>
      </c>
      <c r="E1041" s="893"/>
      <c r="F1041" s="893"/>
      <c r="G1041" s="893"/>
      <c r="H1041" s="893"/>
      <c r="I1041" s="893"/>
      <c r="J1041" s="893"/>
      <c r="K1041" s="893"/>
      <c r="L1041" s="893"/>
      <c r="M1041" s="893"/>
      <c r="N1041" s="893"/>
      <c r="O1041" s="893"/>
      <c r="P1041" s="893"/>
      <c r="Q1041" s="893"/>
      <c r="R1041" s="893"/>
      <c r="S1041" s="893"/>
      <c r="T1041" s="893"/>
      <c r="U1041" s="893"/>
      <c r="V1041" s="894"/>
      <c r="X1041" s="83"/>
    </row>
    <row r="1042" spans="1:24" ht="75" customHeight="1">
      <c r="A1042" s="521"/>
      <c r="C1042" s="540" t="s">
        <v>1315</v>
      </c>
      <c r="D1042" s="512"/>
      <c r="E1042" s="540" t="s">
        <v>1316</v>
      </c>
      <c r="F1042" s="512"/>
      <c r="G1042" s="540" t="s">
        <v>1309</v>
      </c>
      <c r="H1042" s="512"/>
      <c r="I1042" s="540" t="s">
        <v>1310</v>
      </c>
      <c r="J1042" s="512"/>
      <c r="K1042" s="540" t="s">
        <v>1311</v>
      </c>
      <c r="L1042" s="512"/>
      <c r="M1042" s="540" t="s">
        <v>1312</v>
      </c>
      <c r="N1042" s="512"/>
      <c r="O1042" s="540" t="s">
        <v>1313</v>
      </c>
      <c r="P1042" s="512"/>
      <c r="Q1042" s="540" t="s">
        <v>1314</v>
      </c>
      <c r="R1042" s="167"/>
      <c r="S1042" s="540" t="s">
        <v>1308</v>
      </c>
      <c r="T1042" s="167"/>
      <c r="U1042" s="512" t="s">
        <v>1307</v>
      </c>
      <c r="V1042" s="524"/>
      <c r="X1042" s="283"/>
    </row>
    <row r="1043" spans="1:24" s="8" customFormat="1" ht="14.4">
      <c r="A1043" s="521"/>
      <c r="B1043" s="510" t="s">
        <v>94</v>
      </c>
      <c r="C1043" s="525">
        <f>IFERROR(VLOOKUP($B1041,'PY1 TFR ADA'!$F:$AU,MATCH("A-1.1",'PY1 TFR ADA'!$F$5:$AU$5,0),FALSE),0)</f>
        <v>0</v>
      </c>
      <c r="D1043" s="167"/>
      <c r="E1043" s="525">
        <f>IFERROR(VALUE(VLOOKUP($B1041,'PY1 TFR ADA'!$F:$AU,MATCH("A-2.1",'PY1 TFR ADA'!$F$5:$AU$5,0),FALSE)),0)</f>
        <v>0</v>
      </c>
      <c r="F1043" s="167"/>
      <c r="G1043" s="609">
        <f>IFERROR(VLOOKUP($B1041,'PY1 TFR ADA'!$F:$AU,MATCH("b-1.1",'PY1 TFR ADA'!$F$5:$AU$5,0),FALSE),0)</f>
        <v>0</v>
      </c>
      <c r="H1043" s="527"/>
      <c r="I1043" s="609">
        <f>IFERROR(VLOOKUP($B1041,'PY1 TFR ADA'!$F:$AU,MATCH("b-2.1",'PY1 TFR ADA'!$F$5:$AU$5,0),FALSE),0)</f>
        <v>0</v>
      </c>
      <c r="J1043" s="527"/>
      <c r="K1043" s="609">
        <f>IFERROR(VLOOKUP($B1041,'PY1 TFR ADA'!$F:$AU,MATCH("b-3.1",'PY1 TFR ADA'!$F$5:$AU$5,0),FALSE),0)</f>
        <v>0</v>
      </c>
      <c r="L1043" s="527"/>
      <c r="M1043" s="609">
        <f>IFERROR(VLOOKUP($B1041,'PY1 TFR ADA'!$F:$AU,MATCH("b-4.1",'PY1 TFR ADA'!$F$5:$AU$5,0),FALSE),0)</f>
        <v>0</v>
      </c>
      <c r="N1043" s="527"/>
      <c r="O1043" s="609">
        <f>IFERROR(VLOOKUP($B1041,'PY1 TFR ADA'!$F:$AU,MATCH("b-5.1",'PY1 TFR ADA'!$F$5:$AU$5,0),FALSE),0)</f>
        <v>0</v>
      </c>
      <c r="P1043" s="527"/>
      <c r="Q1043" s="609">
        <f>IFERROR(VLOOKUP($B1041,'PY1 TFR ADA'!$F:$AU,MATCH("b-6.1",'PY1 TFR ADA'!$F$5:$AU$5,0),FALSE),0)</f>
        <v>0</v>
      </c>
      <c r="R1043" s="551"/>
      <c r="S1043" s="601">
        <f t="shared" ref="S1043:S1046" si="1558">SUM(G1043:Q1043)</f>
        <v>0</v>
      </c>
      <c r="T1043" s="551"/>
      <c r="U1043" s="536">
        <f t="shared" ref="U1043" si="1559">ROUND(IF($G1050="LCFF Rate",(G1043*$C1043),(G1043*$E1043))+IF($I1050="LCFF Rate",(I1043*$C1043),(I1043*$E1043))+IF($K1050="LCFF Rate",(K1043*$C1043),(K1043*$E1043))+IF($M1050="LCFF Rate",(M1043*$C1043),(M1043*$E1043))+IF($O1050="LCFF Rate",(O1043*$C1043),(O1043*$E1043))+IF($Q1050="LCFF Rate",(Q1043*$C1043),(Q1043*$E1043)),0)</f>
        <v>0</v>
      </c>
      <c r="V1043" s="524"/>
      <c r="X1043" s="496"/>
    </row>
    <row r="1044" spans="1:24" s="8" customFormat="1" ht="14.4">
      <c r="A1044" s="521"/>
      <c r="B1044" s="510" t="s">
        <v>2</v>
      </c>
      <c r="C1044" s="525">
        <f>IFERROR(VLOOKUP($B1041,'PY1 TFR ADA'!$F:$AU,MATCH("A-1.2",'PY1 TFR ADA'!$F$5:$AU$5,0),FALSE),0)</f>
        <v>0</v>
      </c>
      <c r="D1044" s="167"/>
      <c r="E1044" s="525">
        <f>IFERROR(VALUE(VLOOKUP($B1041,'PY1 TFR ADA'!$F:$AU,MATCH("A-2.2",'PY1 TFR ADA'!$F$5:$AU$5,0),FALSE)),0)</f>
        <v>0</v>
      </c>
      <c r="F1044" s="167"/>
      <c r="G1044" s="609">
        <f>IFERROR(VLOOKUP($B1041,'PY1 TFR ADA'!$F:$AU,MATCH("b-1.2",'PY1 TFR ADA'!$F$5:$AU$5,0),FALSE),0)</f>
        <v>0</v>
      </c>
      <c r="H1044" s="527"/>
      <c r="I1044" s="609">
        <f>IFERROR(VLOOKUP($B1041,'PY1 TFR ADA'!$F:$AU,MATCH("b-2.2",'PY1 TFR ADA'!$F$5:$AU$5,0),FALSE),0)</f>
        <v>0</v>
      </c>
      <c r="J1044" s="527"/>
      <c r="K1044" s="609">
        <f>IFERROR(VLOOKUP($B1041,'PY1 TFR ADA'!$F:$AU,MATCH("b-3.2",'PY1 TFR ADA'!$F$5:$AU$5,0),FALSE),0)</f>
        <v>0</v>
      </c>
      <c r="L1044" s="527"/>
      <c r="M1044" s="609">
        <f>IFERROR(VLOOKUP($B1041,'PY1 TFR ADA'!$F:$AU,MATCH("b-4.2",'PY1 TFR ADA'!$F$5:$AU$5,0),FALSE),0)</f>
        <v>0</v>
      </c>
      <c r="N1044" s="527"/>
      <c r="O1044" s="609">
        <f>IFERROR(VLOOKUP($B1041,'PY1 TFR ADA'!$F:$AU,MATCH("b-5.2",'PY1 TFR ADA'!$F$5:$AU$5,0),FALSE),0)</f>
        <v>0</v>
      </c>
      <c r="P1044" s="527"/>
      <c r="Q1044" s="609">
        <f>IFERROR(VLOOKUP($B1041,'PY1 TFR ADA'!$F:$AU,MATCH("b-6.2",'PY1 TFR ADA'!$F$5:$AU$5,0),FALSE),0)</f>
        <v>0</v>
      </c>
      <c r="R1044" s="551"/>
      <c r="S1044" s="601">
        <f t="shared" si="1558"/>
        <v>0</v>
      </c>
      <c r="T1044" s="551"/>
      <c r="U1044" s="536">
        <f t="shared" ref="U1044" si="1560">ROUND(IF($G1050="LCFF Rate",(G1044*$C1044),(G1044*$E1044))+IF($I1050="LCFF Rate",(I1044*$C1044),(I1044*$E1044))+IF($K1050="LCFF Rate",(K1044*$C1044),(K1044*$E1044))+IF($M1050="LCFF Rate",(M1044*$C1044),(M1044*$E1044))+IF($O1050="LCFF Rate",(O1044*$C1044),(O1044*$E1044))+IF($Q1050="LCFF Rate",(Q1044*$C1044),(Q1044*$E1044)),0)</f>
        <v>0</v>
      </c>
      <c r="V1044" s="524"/>
      <c r="X1044" s="4"/>
    </row>
    <row r="1045" spans="1:24" s="8" customFormat="1" ht="14.4">
      <c r="A1045" s="521"/>
      <c r="B1045" s="510" t="s">
        <v>3</v>
      </c>
      <c r="C1045" s="525">
        <f>IFERROR(VLOOKUP($B1041,'PY1 TFR ADA'!$F:$AU,MATCH("A-1.3",'PY1 TFR ADA'!$F$5:$AU$5,0),FALSE),0)</f>
        <v>0</v>
      </c>
      <c r="D1045" s="167"/>
      <c r="E1045" s="525">
        <f>IFERROR(VALUE(VLOOKUP($B1041,'PY1 TFR ADA'!$F:$AU,MATCH("A-2.3",'PY1 TFR ADA'!$F$5:$AU$5,0),FALSE)),0)</f>
        <v>0</v>
      </c>
      <c r="F1045" s="167"/>
      <c r="G1045" s="609">
        <f>IFERROR(VLOOKUP($B1041,'PY1 TFR ADA'!$F:$AU,MATCH("b-1.3",'PY1 TFR ADA'!$F$5:$AU$5,0),FALSE),0)</f>
        <v>0</v>
      </c>
      <c r="H1045" s="527"/>
      <c r="I1045" s="609">
        <f>IFERROR(VLOOKUP($B1041,'PY1 TFR ADA'!$F:$AU,MATCH("b-2.3",'PY1 TFR ADA'!$F$5:$AU$5,0),FALSE),0)</f>
        <v>0</v>
      </c>
      <c r="J1045" s="527"/>
      <c r="K1045" s="609">
        <f>IFERROR(VLOOKUP($B1041,'PY1 TFR ADA'!$F:$AU,MATCH("b-3.3",'PY1 TFR ADA'!$F$5:$AU$5,0),FALSE),0)</f>
        <v>0</v>
      </c>
      <c r="L1045" s="527"/>
      <c r="M1045" s="609">
        <f>IFERROR(VLOOKUP($B1041,'PY1 TFR ADA'!$F:$AU,MATCH("b-4.3",'PY1 TFR ADA'!$F$5:$AU$5,0),FALSE),0)</f>
        <v>0</v>
      </c>
      <c r="N1045" s="527"/>
      <c r="O1045" s="609">
        <f>IFERROR(VLOOKUP($B1041,'PY1 TFR ADA'!$F:$AU,MATCH("b-5.3",'PY1 TFR ADA'!$F$5:$AU$5,0),FALSE),0)</f>
        <v>0</v>
      </c>
      <c r="P1045" s="527"/>
      <c r="Q1045" s="609">
        <f>IFERROR(VLOOKUP($B1041,'PY1 TFR ADA'!$F:$AU,MATCH("b-6.3",'PY1 TFR ADA'!$F$5:$AU$5,0),FALSE),0)</f>
        <v>0</v>
      </c>
      <c r="R1045" s="551"/>
      <c r="S1045" s="601">
        <f t="shared" si="1558"/>
        <v>0</v>
      </c>
      <c r="T1045" s="551"/>
      <c r="U1045" s="536">
        <f t="shared" ref="U1045" si="1561">ROUND(IF($G1050="LCFF Rate",(G1045*$C1045),(G1045*$E1045))+IF($I1050="LCFF Rate",(I1045*$C1045),(I1045*$E1045))+IF($K1050="LCFF Rate",(K1045*$C1045),(K1045*$E1045))+IF($M1050="LCFF Rate",(M1045*$C1045),(M1045*$E1045))+IF($O1050="LCFF Rate",(O1045*$C1045),(O1045*$E1045))+IF($Q1050="LCFF Rate",(Q1045*$C1045),(Q1045*$E1045)),0)</f>
        <v>0</v>
      </c>
      <c r="V1045" s="524"/>
      <c r="X1045" s="4"/>
    </row>
    <row r="1046" spans="1:24" s="8" customFormat="1" ht="14.4">
      <c r="A1046" s="526"/>
      <c r="B1046" s="510" t="s">
        <v>4</v>
      </c>
      <c r="C1046" s="525">
        <f>IFERROR(VLOOKUP($B1041,'PY1 TFR ADA'!$F:$AU,MATCH("A-1.4",'PY1 TFR ADA'!$F$5:$AU$5,0),FALSE),0)</f>
        <v>0</v>
      </c>
      <c r="D1046" s="523"/>
      <c r="E1046" s="525">
        <f>IFERROR(VALUE(VLOOKUP($B1041,'PY1 TFR ADA'!$F:$AU,MATCH("A-2.4",'PY1 TFR ADA'!$F$5:$AU$5,0),FALSE)),0)</f>
        <v>0</v>
      </c>
      <c r="F1046" s="523"/>
      <c r="G1046" s="609">
        <f>IFERROR(VLOOKUP($B1041,'PY1 TFR ADA'!$F:$AU,MATCH("b-1.4",'PY1 TFR ADA'!$F$5:$AU$5,0),FALSE),0)</f>
        <v>0</v>
      </c>
      <c r="H1046" s="527"/>
      <c r="I1046" s="609">
        <f>IFERROR(VLOOKUP($B1041,'PY1 TFR ADA'!$F:$AU,MATCH("b-2.4",'PY1 TFR ADA'!$F$5:$AU$5,0),FALSE),0)</f>
        <v>0</v>
      </c>
      <c r="J1046" s="527"/>
      <c r="K1046" s="609">
        <f>IFERROR(VLOOKUP($B1041,'PY1 TFR ADA'!$F:$AU,MATCH("b-3.4",'PY1 TFR ADA'!$F$5:$AU$5,0),FALSE),0)</f>
        <v>0</v>
      </c>
      <c r="L1046" s="527"/>
      <c r="M1046" s="609">
        <f>IFERROR(VLOOKUP($B1041,'PY1 TFR ADA'!$F:$AU,MATCH("b-4.4",'PY1 TFR ADA'!$F$5:$AU$5,0),FALSE),0)</f>
        <v>0</v>
      </c>
      <c r="N1046" s="527"/>
      <c r="O1046" s="609">
        <f>IFERROR(VLOOKUP($B1041,'PY1 TFR ADA'!$F:$AU,MATCH("b-5.4",'PY1 TFR ADA'!$F$5:$AU$5,0),FALSE),0)</f>
        <v>0</v>
      </c>
      <c r="P1046" s="527"/>
      <c r="Q1046" s="609">
        <f>IFERROR(VLOOKUP($B1041,'PY1 TFR ADA'!$F:$AU,MATCH("b-6.4",'PY1 TFR ADA'!$F$5:$AU$5,0),FALSE),0)</f>
        <v>0</v>
      </c>
      <c r="R1046" s="551"/>
      <c r="S1046" s="601">
        <f t="shared" si="1558"/>
        <v>0</v>
      </c>
      <c r="T1046" s="551"/>
      <c r="U1046" s="536">
        <f t="shared" ref="U1046" si="1562">ROUND(IF($G1050="LCFF Rate",(G1046*$C1046),(G1046*$E1046))+IF($I1050="LCFF Rate",(I1046*$C1046),(I1046*$E1046))+IF($K1050="LCFF Rate",(K1046*$C1046),(K1046*$E1046))+IF($M1050="LCFF Rate",(M1046*$C1046),(M1046*$E1046))+IF($O1050="LCFF Rate",(O1046*$C1046),(O1046*$E1046))+IF($Q1050="LCFF Rate",(Q1046*$C1046),(Q1046*$E1046)),0)</f>
        <v>0</v>
      </c>
      <c r="V1046" s="522"/>
      <c r="X1046" s="496"/>
    </row>
    <row r="1047" spans="1:24" s="8" customFormat="1" ht="8.25" customHeight="1">
      <c r="A1047" s="521"/>
      <c r="B1047" s="167"/>
      <c r="C1047" s="165"/>
      <c r="D1047" s="523"/>
      <c r="E1047" s="165"/>
      <c r="F1047" s="523"/>
      <c r="G1047" s="520"/>
      <c r="H1047" s="523"/>
      <c r="I1047" s="520"/>
      <c r="J1047" s="523"/>
      <c r="K1047" s="520"/>
      <c r="L1047" s="523"/>
      <c r="M1047" s="520"/>
      <c r="N1047" s="523"/>
      <c r="O1047" s="520"/>
      <c r="P1047" s="523"/>
      <c r="Q1047" s="520"/>
      <c r="R1047" s="167"/>
      <c r="S1047" s="520"/>
      <c r="T1047" s="167"/>
      <c r="U1047" s="602"/>
      <c r="V1047" s="522"/>
      <c r="X1047" s="4"/>
    </row>
    <row r="1048" spans="1:24" s="8" customFormat="1" ht="14.4">
      <c r="A1048" s="521"/>
      <c r="B1048" s="167"/>
      <c r="C1048" s="165"/>
      <c r="D1048" s="523"/>
      <c r="E1048" s="513" t="s">
        <v>1317</v>
      </c>
      <c r="F1048" s="523"/>
      <c r="G1048" s="601">
        <f t="shared" ref="G1048" si="1563">SUM(G1043:G1046)</f>
        <v>0</v>
      </c>
      <c r="H1048" s="527"/>
      <c r="I1048" s="601">
        <f t="shared" ref="I1048" si="1564">SUM(I1043:I1046)</f>
        <v>0</v>
      </c>
      <c r="J1048" s="527"/>
      <c r="K1048" s="601">
        <f t="shared" ref="K1048" si="1565">SUM(K1043:K1046)</f>
        <v>0</v>
      </c>
      <c r="L1048" s="527"/>
      <c r="M1048" s="601">
        <f t="shared" ref="M1048" si="1566">SUM(M1043:M1046)</f>
        <v>0</v>
      </c>
      <c r="N1048" s="527"/>
      <c r="O1048" s="601">
        <f t="shared" ref="O1048" si="1567">SUM(O1043:O1046)</f>
        <v>0</v>
      </c>
      <c r="P1048" s="527"/>
      <c r="Q1048" s="601">
        <f t="shared" ref="Q1048" si="1568">SUM(Q1043:Q1046)</f>
        <v>0</v>
      </c>
      <c r="R1048" s="527"/>
      <c r="S1048" s="601">
        <f t="shared" ref="S1048" si="1569">SUM(S1043:S1046)</f>
        <v>0</v>
      </c>
      <c r="T1048" s="527"/>
      <c r="U1048" s="536">
        <f t="shared" ref="U1048" si="1570">SUM(U1043:U1046)</f>
        <v>0</v>
      </c>
      <c r="V1048" s="522"/>
      <c r="X1048" s="4"/>
    </row>
    <row r="1049" spans="1:24" s="8" customFormat="1" ht="8.25" customHeight="1">
      <c r="A1049" s="521"/>
      <c r="B1049" s="167"/>
      <c r="C1049" s="165"/>
      <c r="D1049" s="523"/>
      <c r="E1049" s="165"/>
      <c r="F1049" s="523"/>
      <c r="G1049" s="520"/>
      <c r="H1049" s="523"/>
      <c r="I1049" s="520"/>
      <c r="J1049" s="523"/>
      <c r="K1049" s="520"/>
      <c r="L1049" s="523"/>
      <c r="M1049" s="520"/>
      <c r="N1049" s="523"/>
      <c r="O1049" s="520"/>
      <c r="P1049" s="523"/>
      <c r="Q1049" s="520"/>
      <c r="R1049" s="167"/>
      <c r="S1049" s="520"/>
      <c r="T1049" s="167"/>
      <c r="U1049" s="528"/>
      <c r="V1049" s="522"/>
      <c r="X1049" s="4"/>
    </row>
    <row r="1050" spans="1:24" s="8" customFormat="1" ht="16.5" customHeight="1">
      <c r="A1050" s="521"/>
      <c r="B1050" s="167"/>
      <c r="C1050" s="165"/>
      <c r="E1050" s="513" t="s">
        <v>1304</v>
      </c>
      <c r="F1050" s="523"/>
      <c r="G1050" s="977">
        <f>_xlfn.IFNA(IF(VLOOKUP($B1041,'PY1 TFR ADA'!$F:$AU,MATCH("B-1.5",'PY1 TFR ADA'!$F$5:$AU$5,0),FALSE)=TRUE,IF(VLOOKUP($B1041,'PY1 TFR ADA'!$F:$AU,MATCH("C-1",'PY1 TFR ADA'!$F$5:$AU$5,0),FALSE)=TRUE,"Alternative Rate","LCFF Rate"),"LCFF Rate"),0)</f>
        <v>0</v>
      </c>
      <c r="H1050" s="523"/>
      <c r="I1050" s="977">
        <f>_xlfn.IFNA(IF(VLOOKUP($B1041,'PY1 TFR ADA'!$F:$AU,MATCH("B-2.5",'PY1 TFR ADA'!$F$5:$AU$5,0),FALSE)=TRUE,IF(VLOOKUP($B1041,'PY1 TFR ADA'!$F:$AU,MATCH("C-1",'PY1 TFR ADA'!$F$5:$AU$5,0),FALSE)=TRUE,"Alternative Rate","LCFF Rate"),"LCFF Rate"),0)</f>
        <v>0</v>
      </c>
      <c r="J1050" s="523"/>
      <c r="K1050" s="977">
        <f>_xlfn.IFNA(IF(VLOOKUP($B1041,'PY1 TFR ADA'!$F:$AU,MATCH("B-3.5",'PY1 TFR ADA'!$F$5:$AU$5,0),FALSE)=TRUE,IF(VLOOKUP($B1041,'PY1 TFR ADA'!$F:$AU,MATCH("C-1",'PY1 TFR ADA'!$F$5:$AU$5,0),FALSE)=TRUE,"Alternative Rate","LCFF Rate"),"LCFF Rate"),0)</f>
        <v>0</v>
      </c>
      <c r="L1050" s="523"/>
      <c r="M1050" s="977">
        <f>_xlfn.IFNA(IF(VLOOKUP($B1041,'PY1 TFR ADA'!$F:$AU,MATCH("B-4.5",'PY1 TFR ADA'!$F$5:$AU$5,0),FALSE)=TRUE,IF(VLOOKUP($B1041,'PY1 TFR ADA'!$F:$AU,MATCH("C-1",'PY1 TFR ADA'!$F$5:$AU$5,0),FALSE)=TRUE,"Alternative Rate","LCFF Rate"),"LCFF Rate"),0)</f>
        <v>0</v>
      </c>
      <c r="N1050" s="523"/>
      <c r="O1050" s="977">
        <f>_xlfn.IFNA(IF(VLOOKUP($B1041,'PY1 TFR ADA'!$F:$AU,MATCH("B-5.5",'PY1 TFR ADA'!$F$5:$AU$5,0),FALSE)=TRUE,IF(VLOOKUP($B1041,'PY1 TFR ADA'!$F:$AU,MATCH("C-1",'PY1 TFR ADA'!$F$5:$AU$5,0),FALSE)=TRUE,"Alternative Rate","LCFF Rate"),"LCFF Rate"),0)</f>
        <v>0</v>
      </c>
      <c r="P1050" s="523"/>
      <c r="Q1050" s="977">
        <f>_xlfn.IFNA(IF(VLOOKUP($B1041,'PY1 TFR ADA'!$F:$AU,MATCH("B-6.5",'PY1 TFR ADA'!$F$5:$AU$5,0),FALSE)=TRUE,IF(VLOOKUP($B1041,'PY1 TFR ADA'!$F:$AU,MATCH("C-1",'PY1 TFR ADA'!$F$5:$AU$5,0),FALSE)=TRUE,"Alternative Rate","LCFF Rate"),"LCFF Rate"),0)</f>
        <v>0</v>
      </c>
      <c r="R1050" s="167"/>
      <c r="S1050" s="520"/>
      <c r="T1050" s="167"/>
      <c r="U1050" s="528"/>
      <c r="V1050" s="522"/>
      <c r="X1050" s="283"/>
    </row>
    <row r="1051" spans="1:24" s="8" customFormat="1" ht="8.25" customHeight="1">
      <c r="A1051" s="521"/>
      <c r="B1051" s="167"/>
      <c r="C1051" s="165"/>
      <c r="D1051" s="523"/>
      <c r="E1051" s="165"/>
      <c r="F1051" s="523"/>
      <c r="G1051" s="520"/>
      <c r="H1051" s="523"/>
      <c r="I1051" s="520"/>
      <c r="J1051" s="523"/>
      <c r="K1051" s="520"/>
      <c r="L1051" s="523"/>
      <c r="M1051" s="520"/>
      <c r="N1051" s="523"/>
      <c r="O1051" s="520"/>
      <c r="P1051" s="523"/>
      <c r="Q1051" s="520"/>
      <c r="R1051" s="167"/>
      <c r="S1051" s="520"/>
      <c r="T1051" s="167"/>
      <c r="U1051" s="528"/>
      <c r="V1051" s="522"/>
      <c r="X1051" s="4"/>
    </row>
    <row r="1052" spans="1:24" s="8" customFormat="1" ht="16.8">
      <c r="A1052" s="521"/>
      <c r="B1052" s="2"/>
      <c r="F1052" s="523"/>
      <c r="G1052" s="535">
        <f t="shared" ref="G1052" si="1571">IF(G1050="LCFF Rate",(G1043*C1043+G1044*C1044+G1045*C1045+G1046*C1046),(G1048*E1046))</f>
        <v>0</v>
      </c>
      <c r="H1052" s="537"/>
      <c r="I1052" s="535">
        <f t="shared" ref="I1052" si="1572">IF(I1050="LCFF Rate",(I1043*C1043+I1044*C1044+I1045*C1045+I1046*C1046),(I1048*E1046))</f>
        <v>0</v>
      </c>
      <c r="J1052" s="537"/>
      <c r="K1052" s="535">
        <f t="shared" ref="K1052" si="1573">IF(K1050="LCFF Rate",(K1043*C1043+K1044*C1044+K1045*C1045+K1046*C1046),(K1048*E1046))</f>
        <v>0</v>
      </c>
      <c r="L1052" s="537"/>
      <c r="M1052" s="535">
        <f t="shared" ref="M1052" si="1574">IF(M1050="LCFF Rate",(M1043*C1043+M1044*C1044+M1045*C1045+M1046*C1046),(M1048*E1046))</f>
        <v>0</v>
      </c>
      <c r="N1052" s="537"/>
      <c r="O1052" s="535">
        <f t="shared" ref="O1052" si="1575">IF(O1050="LCFF Rate",(O1043*C1043+O1044*C1044+O1045*C1045+O1046*C1046),(O1048*E1046))</f>
        <v>0</v>
      </c>
      <c r="P1052" s="537"/>
      <c r="Q1052" s="535">
        <f t="shared" ref="Q1052" si="1576">IF(Q1050="LCFF Rate",(Q1043*C1043+Q1044*C1044+Q1045*C1045+Q1046*C1046),(Q1048*E1046))</f>
        <v>0</v>
      </c>
      <c r="R1052" s="167"/>
      <c r="S1052" s="538">
        <f t="shared" ref="S1052" si="1577">SUM(G1052:Q1052)</f>
        <v>0</v>
      </c>
      <c r="T1052" s="167"/>
      <c r="U1052" s="528"/>
      <c r="V1052" s="522"/>
      <c r="X1052" s="979"/>
    </row>
    <row r="1053" spans="1:24" s="8" customFormat="1" ht="9" customHeight="1" thickBot="1">
      <c r="A1053" s="529"/>
      <c r="B1053" s="530"/>
      <c r="C1053" s="531"/>
      <c r="D1053" s="532"/>
      <c r="E1053" s="533"/>
      <c r="F1053" s="532"/>
      <c r="G1053" s="530"/>
      <c r="H1053" s="532"/>
      <c r="I1053" s="530"/>
      <c r="J1053" s="532"/>
      <c r="K1053" s="530"/>
      <c r="L1053" s="532"/>
      <c r="M1053" s="530"/>
      <c r="N1053" s="532"/>
      <c r="O1053" s="530"/>
      <c r="P1053" s="532"/>
      <c r="Q1053" s="530"/>
      <c r="R1053" s="532"/>
      <c r="S1053" s="530"/>
      <c r="T1053" s="532"/>
      <c r="U1053" s="532"/>
      <c r="V1053" s="534"/>
      <c r="X1053" s="4"/>
    </row>
    <row r="1054" spans="1:24" s="82" customFormat="1" ht="18" customHeight="1" thickBot="1">
      <c r="A1054" s="890">
        <f>+A1041+1</f>
        <v>81</v>
      </c>
      <c r="B1054" s="891" t="str">
        <f>'Data Entry'!$B$3&amp;"-"&amp;C1054</f>
        <v>-</v>
      </c>
      <c r="C1054" s="891" t="str">
        <f>IFERROR(VLOOKUP('Data Entry'!$B$3&amp;"-"&amp;A1054,'PY1 TFR ADA'!$D:$AT,2,FALSE),"")</f>
        <v/>
      </c>
      <c r="D1054" s="892" t="str">
        <f>IFERROR(VLOOKUP('Data Entry'!$B$3&amp;"-"&amp;A1054,'PY1 TFR ADA'!$D:$AT,4,FALSE),"")</f>
        <v/>
      </c>
      <c r="E1054" s="893"/>
      <c r="F1054" s="893"/>
      <c r="G1054" s="893"/>
      <c r="H1054" s="893"/>
      <c r="I1054" s="893"/>
      <c r="J1054" s="893"/>
      <c r="K1054" s="893"/>
      <c r="L1054" s="893"/>
      <c r="M1054" s="893"/>
      <c r="N1054" s="893"/>
      <c r="O1054" s="893"/>
      <c r="P1054" s="893"/>
      <c r="Q1054" s="893"/>
      <c r="R1054" s="893"/>
      <c r="S1054" s="893"/>
      <c r="T1054" s="893"/>
      <c r="U1054" s="893"/>
      <c r="V1054" s="894"/>
      <c r="X1054" s="83"/>
    </row>
    <row r="1055" spans="1:24" ht="75" customHeight="1">
      <c r="A1055" s="521"/>
      <c r="C1055" s="540" t="s">
        <v>1315</v>
      </c>
      <c r="D1055" s="512"/>
      <c r="E1055" s="540" t="s">
        <v>1316</v>
      </c>
      <c r="F1055" s="512"/>
      <c r="G1055" s="540" t="s">
        <v>1309</v>
      </c>
      <c r="H1055" s="512"/>
      <c r="I1055" s="540" t="s">
        <v>1310</v>
      </c>
      <c r="J1055" s="512"/>
      <c r="K1055" s="540" t="s">
        <v>1311</v>
      </c>
      <c r="L1055" s="512"/>
      <c r="M1055" s="540" t="s">
        <v>1312</v>
      </c>
      <c r="N1055" s="512"/>
      <c r="O1055" s="540" t="s">
        <v>1313</v>
      </c>
      <c r="P1055" s="512"/>
      <c r="Q1055" s="540" t="s">
        <v>1314</v>
      </c>
      <c r="R1055" s="167"/>
      <c r="S1055" s="540" t="s">
        <v>1308</v>
      </c>
      <c r="T1055" s="167"/>
      <c r="U1055" s="512" t="s">
        <v>1307</v>
      </c>
      <c r="V1055" s="524"/>
      <c r="X1055" s="283"/>
    </row>
    <row r="1056" spans="1:24" s="8" customFormat="1" ht="14.4">
      <c r="A1056" s="521"/>
      <c r="B1056" s="510" t="s">
        <v>94</v>
      </c>
      <c r="C1056" s="525">
        <f>IFERROR(VLOOKUP($B1054,'PY1 TFR ADA'!$F:$AU,MATCH("A-1.1",'PY1 TFR ADA'!$F$5:$AU$5,0),FALSE),0)</f>
        <v>0</v>
      </c>
      <c r="D1056" s="167"/>
      <c r="E1056" s="525">
        <f>IFERROR(VALUE(VLOOKUP($B1054,'PY1 TFR ADA'!$F:$AU,MATCH("A-2.1",'PY1 TFR ADA'!$F$5:$AU$5,0),FALSE)),0)</f>
        <v>0</v>
      </c>
      <c r="F1056" s="167"/>
      <c r="G1056" s="609">
        <f>IFERROR(VLOOKUP($B1054,'PY1 TFR ADA'!$F:$AU,MATCH("b-1.1",'PY1 TFR ADA'!$F$5:$AU$5,0),FALSE),0)</f>
        <v>0</v>
      </c>
      <c r="H1056" s="527"/>
      <c r="I1056" s="609">
        <f>IFERROR(VLOOKUP($B1054,'PY1 TFR ADA'!$F:$AU,MATCH("b-2.1",'PY1 TFR ADA'!$F$5:$AU$5,0),FALSE),0)</f>
        <v>0</v>
      </c>
      <c r="J1056" s="527"/>
      <c r="K1056" s="609">
        <f>IFERROR(VLOOKUP($B1054,'PY1 TFR ADA'!$F:$AU,MATCH("b-3.1",'PY1 TFR ADA'!$F$5:$AU$5,0),FALSE),0)</f>
        <v>0</v>
      </c>
      <c r="L1056" s="527"/>
      <c r="M1056" s="609">
        <f>IFERROR(VLOOKUP($B1054,'PY1 TFR ADA'!$F:$AU,MATCH("b-4.1",'PY1 TFR ADA'!$F$5:$AU$5,0),FALSE),0)</f>
        <v>0</v>
      </c>
      <c r="N1056" s="527"/>
      <c r="O1056" s="609">
        <f>IFERROR(VLOOKUP($B1054,'PY1 TFR ADA'!$F:$AU,MATCH("b-5.1",'PY1 TFR ADA'!$F$5:$AU$5,0),FALSE),0)</f>
        <v>0</v>
      </c>
      <c r="P1056" s="527"/>
      <c r="Q1056" s="609">
        <f>IFERROR(VLOOKUP($B1054,'PY1 TFR ADA'!$F:$AU,MATCH("b-6.1",'PY1 TFR ADA'!$F$5:$AU$5,0),FALSE),0)</f>
        <v>0</v>
      </c>
      <c r="R1056" s="551"/>
      <c r="S1056" s="601">
        <f t="shared" ref="S1056:S1059" si="1578">SUM(G1056:Q1056)</f>
        <v>0</v>
      </c>
      <c r="T1056" s="551"/>
      <c r="U1056" s="536">
        <f t="shared" ref="U1056" si="1579">ROUND(IF($G1063="LCFF Rate",(G1056*$C1056),(G1056*$E1056))+IF($I1063="LCFF Rate",(I1056*$C1056),(I1056*$E1056))+IF($K1063="LCFF Rate",(K1056*$C1056),(K1056*$E1056))+IF($M1063="LCFF Rate",(M1056*$C1056),(M1056*$E1056))+IF($O1063="LCFF Rate",(O1056*$C1056),(O1056*$E1056))+IF($Q1063="LCFF Rate",(Q1056*$C1056),(Q1056*$E1056)),0)</f>
        <v>0</v>
      </c>
      <c r="V1056" s="524"/>
      <c r="X1056" s="496"/>
    </row>
    <row r="1057" spans="1:24" s="8" customFormat="1" ht="14.4">
      <c r="A1057" s="521"/>
      <c r="B1057" s="510" t="s">
        <v>2</v>
      </c>
      <c r="C1057" s="525">
        <f>IFERROR(VLOOKUP($B1054,'PY1 TFR ADA'!$F:$AU,MATCH("A-1.2",'PY1 TFR ADA'!$F$5:$AU$5,0),FALSE),0)</f>
        <v>0</v>
      </c>
      <c r="D1057" s="167"/>
      <c r="E1057" s="525">
        <f>IFERROR(VALUE(VLOOKUP($B1054,'PY1 TFR ADA'!$F:$AU,MATCH("A-2.2",'PY1 TFR ADA'!$F$5:$AU$5,0),FALSE)),0)</f>
        <v>0</v>
      </c>
      <c r="F1057" s="167"/>
      <c r="G1057" s="609">
        <f>IFERROR(VLOOKUP($B1054,'PY1 TFR ADA'!$F:$AU,MATCH("b-1.2",'PY1 TFR ADA'!$F$5:$AU$5,0),FALSE),0)</f>
        <v>0</v>
      </c>
      <c r="H1057" s="527"/>
      <c r="I1057" s="609">
        <f>IFERROR(VLOOKUP($B1054,'PY1 TFR ADA'!$F:$AU,MATCH("b-2.2",'PY1 TFR ADA'!$F$5:$AU$5,0),FALSE),0)</f>
        <v>0</v>
      </c>
      <c r="J1057" s="527"/>
      <c r="K1057" s="609">
        <f>IFERROR(VLOOKUP($B1054,'PY1 TFR ADA'!$F:$AU,MATCH("b-3.2",'PY1 TFR ADA'!$F$5:$AU$5,0),FALSE),0)</f>
        <v>0</v>
      </c>
      <c r="L1057" s="527"/>
      <c r="M1057" s="609">
        <f>IFERROR(VLOOKUP($B1054,'PY1 TFR ADA'!$F:$AU,MATCH("b-4.2",'PY1 TFR ADA'!$F$5:$AU$5,0),FALSE),0)</f>
        <v>0</v>
      </c>
      <c r="N1057" s="527"/>
      <c r="O1057" s="609">
        <f>IFERROR(VLOOKUP($B1054,'PY1 TFR ADA'!$F:$AU,MATCH("b-5.2",'PY1 TFR ADA'!$F$5:$AU$5,0),FALSE),0)</f>
        <v>0</v>
      </c>
      <c r="P1057" s="527"/>
      <c r="Q1057" s="609">
        <f>IFERROR(VLOOKUP($B1054,'PY1 TFR ADA'!$F:$AU,MATCH("b-6.2",'PY1 TFR ADA'!$F$5:$AU$5,0),FALSE),0)</f>
        <v>0</v>
      </c>
      <c r="R1057" s="551"/>
      <c r="S1057" s="601">
        <f t="shared" si="1578"/>
        <v>0</v>
      </c>
      <c r="T1057" s="551"/>
      <c r="U1057" s="536">
        <f t="shared" ref="U1057" si="1580">ROUND(IF($G1063="LCFF Rate",(G1057*$C1057),(G1057*$E1057))+IF($I1063="LCFF Rate",(I1057*$C1057),(I1057*$E1057))+IF($K1063="LCFF Rate",(K1057*$C1057),(K1057*$E1057))+IF($M1063="LCFF Rate",(M1057*$C1057),(M1057*$E1057))+IF($O1063="LCFF Rate",(O1057*$C1057),(O1057*$E1057))+IF($Q1063="LCFF Rate",(Q1057*$C1057),(Q1057*$E1057)),0)</f>
        <v>0</v>
      </c>
      <c r="V1057" s="524"/>
      <c r="X1057" s="4"/>
    </row>
    <row r="1058" spans="1:24" s="8" customFormat="1" ht="14.4">
      <c r="A1058" s="521"/>
      <c r="B1058" s="510" t="s">
        <v>3</v>
      </c>
      <c r="C1058" s="525">
        <f>IFERROR(VLOOKUP($B1054,'PY1 TFR ADA'!$F:$AU,MATCH("A-1.3",'PY1 TFR ADA'!$F$5:$AU$5,0),FALSE),0)</f>
        <v>0</v>
      </c>
      <c r="D1058" s="167"/>
      <c r="E1058" s="525">
        <f>IFERROR(VALUE(VLOOKUP($B1054,'PY1 TFR ADA'!$F:$AU,MATCH("A-2.3",'PY1 TFR ADA'!$F$5:$AU$5,0),FALSE)),0)</f>
        <v>0</v>
      </c>
      <c r="F1058" s="167"/>
      <c r="G1058" s="609">
        <f>IFERROR(VLOOKUP($B1054,'PY1 TFR ADA'!$F:$AU,MATCH("b-1.3",'PY1 TFR ADA'!$F$5:$AU$5,0),FALSE),0)</f>
        <v>0</v>
      </c>
      <c r="H1058" s="527"/>
      <c r="I1058" s="609">
        <f>IFERROR(VLOOKUP($B1054,'PY1 TFR ADA'!$F:$AU,MATCH("b-2.3",'PY1 TFR ADA'!$F$5:$AU$5,0),FALSE),0)</f>
        <v>0</v>
      </c>
      <c r="J1058" s="527"/>
      <c r="K1058" s="609">
        <f>IFERROR(VLOOKUP($B1054,'PY1 TFR ADA'!$F:$AU,MATCH("b-3.3",'PY1 TFR ADA'!$F$5:$AU$5,0),FALSE),0)</f>
        <v>0</v>
      </c>
      <c r="L1058" s="527"/>
      <c r="M1058" s="609">
        <f>IFERROR(VLOOKUP($B1054,'PY1 TFR ADA'!$F:$AU,MATCH("b-4.3",'PY1 TFR ADA'!$F$5:$AU$5,0),FALSE),0)</f>
        <v>0</v>
      </c>
      <c r="N1058" s="527"/>
      <c r="O1058" s="609">
        <f>IFERROR(VLOOKUP($B1054,'PY1 TFR ADA'!$F:$AU,MATCH("b-5.3",'PY1 TFR ADA'!$F$5:$AU$5,0),FALSE),0)</f>
        <v>0</v>
      </c>
      <c r="P1058" s="527"/>
      <c r="Q1058" s="609">
        <f>IFERROR(VLOOKUP($B1054,'PY1 TFR ADA'!$F:$AU,MATCH("b-6.3",'PY1 TFR ADA'!$F$5:$AU$5,0),FALSE),0)</f>
        <v>0</v>
      </c>
      <c r="R1058" s="551"/>
      <c r="S1058" s="601">
        <f t="shared" si="1578"/>
        <v>0</v>
      </c>
      <c r="T1058" s="551"/>
      <c r="U1058" s="536">
        <f t="shared" ref="U1058" si="1581">ROUND(IF($G1063="LCFF Rate",(G1058*$C1058),(G1058*$E1058))+IF($I1063="LCFF Rate",(I1058*$C1058),(I1058*$E1058))+IF($K1063="LCFF Rate",(K1058*$C1058),(K1058*$E1058))+IF($M1063="LCFF Rate",(M1058*$C1058),(M1058*$E1058))+IF($O1063="LCFF Rate",(O1058*$C1058),(O1058*$E1058))+IF($Q1063="LCFF Rate",(Q1058*$C1058),(Q1058*$E1058)),0)</f>
        <v>0</v>
      </c>
      <c r="V1058" s="524"/>
      <c r="X1058" s="4"/>
    </row>
    <row r="1059" spans="1:24" s="8" customFormat="1" ht="14.4">
      <c r="A1059" s="526"/>
      <c r="B1059" s="510" t="s">
        <v>4</v>
      </c>
      <c r="C1059" s="525">
        <f>IFERROR(VLOOKUP($B1054,'PY1 TFR ADA'!$F:$AU,MATCH("A-1.4",'PY1 TFR ADA'!$F$5:$AU$5,0),FALSE),0)</f>
        <v>0</v>
      </c>
      <c r="D1059" s="523"/>
      <c r="E1059" s="525">
        <f>IFERROR(VALUE(VLOOKUP($B1054,'PY1 TFR ADA'!$F:$AU,MATCH("A-2.4",'PY1 TFR ADA'!$F$5:$AU$5,0),FALSE)),0)</f>
        <v>0</v>
      </c>
      <c r="F1059" s="523"/>
      <c r="G1059" s="609">
        <f>IFERROR(VLOOKUP($B1054,'PY1 TFR ADA'!$F:$AU,MATCH("b-1.4",'PY1 TFR ADA'!$F$5:$AU$5,0),FALSE),0)</f>
        <v>0</v>
      </c>
      <c r="H1059" s="527"/>
      <c r="I1059" s="609">
        <f>IFERROR(VLOOKUP($B1054,'PY1 TFR ADA'!$F:$AU,MATCH("b-2.4",'PY1 TFR ADA'!$F$5:$AU$5,0),FALSE),0)</f>
        <v>0</v>
      </c>
      <c r="J1059" s="527"/>
      <c r="K1059" s="609">
        <f>IFERROR(VLOOKUP($B1054,'PY1 TFR ADA'!$F:$AU,MATCH("b-3.4",'PY1 TFR ADA'!$F$5:$AU$5,0),FALSE),0)</f>
        <v>0</v>
      </c>
      <c r="L1059" s="527"/>
      <c r="M1059" s="609">
        <f>IFERROR(VLOOKUP($B1054,'PY1 TFR ADA'!$F:$AU,MATCH("b-4.4",'PY1 TFR ADA'!$F$5:$AU$5,0),FALSE),0)</f>
        <v>0</v>
      </c>
      <c r="N1059" s="527"/>
      <c r="O1059" s="609">
        <f>IFERROR(VLOOKUP($B1054,'PY1 TFR ADA'!$F:$AU,MATCH("b-5.4",'PY1 TFR ADA'!$F$5:$AU$5,0),FALSE),0)</f>
        <v>0</v>
      </c>
      <c r="P1059" s="527"/>
      <c r="Q1059" s="609">
        <f>IFERROR(VLOOKUP($B1054,'PY1 TFR ADA'!$F:$AU,MATCH("b-6.4",'PY1 TFR ADA'!$F$5:$AU$5,0),FALSE),0)</f>
        <v>0</v>
      </c>
      <c r="R1059" s="551"/>
      <c r="S1059" s="601">
        <f t="shared" si="1578"/>
        <v>0</v>
      </c>
      <c r="T1059" s="551"/>
      <c r="U1059" s="536">
        <f t="shared" ref="U1059" si="1582">ROUND(IF($G1063="LCFF Rate",(G1059*$C1059),(G1059*$E1059))+IF($I1063="LCFF Rate",(I1059*$C1059),(I1059*$E1059))+IF($K1063="LCFF Rate",(K1059*$C1059),(K1059*$E1059))+IF($M1063="LCFF Rate",(M1059*$C1059),(M1059*$E1059))+IF($O1063="LCFF Rate",(O1059*$C1059),(O1059*$E1059))+IF($Q1063="LCFF Rate",(Q1059*$C1059),(Q1059*$E1059)),0)</f>
        <v>0</v>
      </c>
      <c r="V1059" s="522"/>
      <c r="X1059" s="496"/>
    </row>
    <row r="1060" spans="1:24" s="8" customFormat="1" ht="8.25" customHeight="1">
      <c r="A1060" s="521"/>
      <c r="B1060" s="167"/>
      <c r="C1060" s="165"/>
      <c r="D1060" s="523"/>
      <c r="E1060" s="165"/>
      <c r="F1060" s="523"/>
      <c r="G1060" s="520"/>
      <c r="H1060" s="523"/>
      <c r="I1060" s="520"/>
      <c r="J1060" s="523"/>
      <c r="K1060" s="520"/>
      <c r="L1060" s="523"/>
      <c r="M1060" s="520"/>
      <c r="N1060" s="523"/>
      <c r="O1060" s="520"/>
      <c r="P1060" s="523"/>
      <c r="Q1060" s="520"/>
      <c r="R1060" s="167"/>
      <c r="S1060" s="520"/>
      <c r="T1060" s="167"/>
      <c r="U1060" s="602"/>
      <c r="V1060" s="522"/>
      <c r="X1060" s="4"/>
    </row>
    <row r="1061" spans="1:24" s="8" customFormat="1" ht="14.4">
      <c r="A1061" s="521"/>
      <c r="B1061" s="167"/>
      <c r="C1061" s="165"/>
      <c r="D1061" s="523"/>
      <c r="E1061" s="513" t="s">
        <v>1317</v>
      </c>
      <c r="F1061" s="523"/>
      <c r="G1061" s="601">
        <f t="shared" ref="G1061" si="1583">SUM(G1056:G1059)</f>
        <v>0</v>
      </c>
      <c r="H1061" s="527"/>
      <c r="I1061" s="601">
        <f t="shared" ref="I1061" si="1584">SUM(I1056:I1059)</f>
        <v>0</v>
      </c>
      <c r="J1061" s="527"/>
      <c r="K1061" s="601">
        <f t="shared" ref="K1061" si="1585">SUM(K1056:K1059)</f>
        <v>0</v>
      </c>
      <c r="L1061" s="527"/>
      <c r="M1061" s="601">
        <f t="shared" ref="M1061" si="1586">SUM(M1056:M1059)</f>
        <v>0</v>
      </c>
      <c r="N1061" s="527"/>
      <c r="O1061" s="601">
        <f t="shared" ref="O1061" si="1587">SUM(O1056:O1059)</f>
        <v>0</v>
      </c>
      <c r="P1061" s="527"/>
      <c r="Q1061" s="601">
        <f t="shared" ref="Q1061" si="1588">SUM(Q1056:Q1059)</f>
        <v>0</v>
      </c>
      <c r="R1061" s="527"/>
      <c r="S1061" s="601">
        <f t="shared" ref="S1061" si="1589">SUM(S1056:S1059)</f>
        <v>0</v>
      </c>
      <c r="T1061" s="527"/>
      <c r="U1061" s="536">
        <f t="shared" ref="U1061" si="1590">SUM(U1056:U1059)</f>
        <v>0</v>
      </c>
      <c r="V1061" s="522"/>
      <c r="X1061" s="4"/>
    </row>
    <row r="1062" spans="1:24" s="8" customFormat="1" ht="8.25" customHeight="1">
      <c r="A1062" s="521"/>
      <c r="B1062" s="167"/>
      <c r="C1062" s="165"/>
      <c r="D1062" s="523"/>
      <c r="E1062" s="165"/>
      <c r="F1062" s="523"/>
      <c r="G1062" s="520"/>
      <c r="H1062" s="523"/>
      <c r="I1062" s="520"/>
      <c r="J1062" s="523"/>
      <c r="K1062" s="520"/>
      <c r="L1062" s="523"/>
      <c r="M1062" s="520"/>
      <c r="N1062" s="523"/>
      <c r="O1062" s="520"/>
      <c r="P1062" s="523"/>
      <c r="Q1062" s="520"/>
      <c r="R1062" s="167"/>
      <c r="S1062" s="520"/>
      <c r="T1062" s="167"/>
      <c r="U1062" s="528"/>
      <c r="V1062" s="522"/>
      <c r="X1062" s="4"/>
    </row>
    <row r="1063" spans="1:24" s="8" customFormat="1" ht="16.5" customHeight="1">
      <c r="A1063" s="521"/>
      <c r="B1063" s="167"/>
      <c r="C1063" s="165"/>
      <c r="E1063" s="513" t="s">
        <v>1304</v>
      </c>
      <c r="F1063" s="523"/>
      <c r="G1063" s="977">
        <f>_xlfn.IFNA(IF(VLOOKUP($B1054,'PY1 TFR ADA'!$F:$AU,MATCH("B-1.5",'PY1 TFR ADA'!$F$5:$AU$5,0),FALSE)=TRUE,IF(VLOOKUP($B1054,'PY1 TFR ADA'!$F:$AU,MATCH("C-1",'PY1 TFR ADA'!$F$5:$AU$5,0),FALSE)=TRUE,"Alternative Rate","LCFF Rate"),"LCFF Rate"),0)</f>
        <v>0</v>
      </c>
      <c r="H1063" s="523"/>
      <c r="I1063" s="977">
        <f>_xlfn.IFNA(IF(VLOOKUP($B1054,'PY1 TFR ADA'!$F:$AU,MATCH("B-2.5",'PY1 TFR ADA'!$F$5:$AU$5,0),FALSE)=TRUE,IF(VLOOKUP($B1054,'PY1 TFR ADA'!$F:$AU,MATCH("C-1",'PY1 TFR ADA'!$F$5:$AU$5,0),FALSE)=TRUE,"Alternative Rate","LCFF Rate"),"LCFF Rate"),0)</f>
        <v>0</v>
      </c>
      <c r="J1063" s="523"/>
      <c r="K1063" s="977">
        <f>_xlfn.IFNA(IF(VLOOKUP($B1054,'PY1 TFR ADA'!$F:$AU,MATCH("B-3.5",'PY1 TFR ADA'!$F$5:$AU$5,0),FALSE)=TRUE,IF(VLOOKUP($B1054,'PY1 TFR ADA'!$F:$AU,MATCH("C-1",'PY1 TFR ADA'!$F$5:$AU$5,0),FALSE)=TRUE,"Alternative Rate","LCFF Rate"),"LCFF Rate"),0)</f>
        <v>0</v>
      </c>
      <c r="L1063" s="523"/>
      <c r="M1063" s="977">
        <f>_xlfn.IFNA(IF(VLOOKUP($B1054,'PY1 TFR ADA'!$F:$AU,MATCH("B-4.5",'PY1 TFR ADA'!$F$5:$AU$5,0),FALSE)=TRUE,IF(VLOOKUP($B1054,'PY1 TFR ADA'!$F:$AU,MATCH("C-1",'PY1 TFR ADA'!$F$5:$AU$5,0),FALSE)=TRUE,"Alternative Rate","LCFF Rate"),"LCFF Rate"),0)</f>
        <v>0</v>
      </c>
      <c r="N1063" s="523"/>
      <c r="O1063" s="977">
        <f>_xlfn.IFNA(IF(VLOOKUP($B1054,'PY1 TFR ADA'!$F:$AU,MATCH("B-5.5",'PY1 TFR ADA'!$F$5:$AU$5,0),FALSE)=TRUE,IF(VLOOKUP($B1054,'PY1 TFR ADA'!$F:$AU,MATCH("C-1",'PY1 TFR ADA'!$F$5:$AU$5,0),FALSE)=TRUE,"Alternative Rate","LCFF Rate"),"LCFF Rate"),0)</f>
        <v>0</v>
      </c>
      <c r="P1063" s="523"/>
      <c r="Q1063" s="977">
        <f>_xlfn.IFNA(IF(VLOOKUP($B1054,'PY1 TFR ADA'!$F:$AU,MATCH("B-6.5",'PY1 TFR ADA'!$F$5:$AU$5,0),FALSE)=TRUE,IF(VLOOKUP($B1054,'PY1 TFR ADA'!$F:$AU,MATCH("C-1",'PY1 TFR ADA'!$F$5:$AU$5,0),FALSE)=TRUE,"Alternative Rate","LCFF Rate"),"LCFF Rate"),0)</f>
        <v>0</v>
      </c>
      <c r="R1063" s="167"/>
      <c r="S1063" s="520"/>
      <c r="T1063" s="167"/>
      <c r="U1063" s="528"/>
      <c r="V1063" s="522"/>
      <c r="X1063" s="283"/>
    </row>
    <row r="1064" spans="1:24" s="8" customFormat="1" ht="8.25" customHeight="1">
      <c r="A1064" s="521"/>
      <c r="B1064" s="167"/>
      <c r="C1064" s="165"/>
      <c r="D1064" s="523"/>
      <c r="E1064" s="165"/>
      <c r="F1064" s="523"/>
      <c r="G1064" s="520"/>
      <c r="H1064" s="523"/>
      <c r="I1064" s="520"/>
      <c r="J1064" s="523"/>
      <c r="K1064" s="520"/>
      <c r="L1064" s="523"/>
      <c r="M1064" s="520"/>
      <c r="N1064" s="523"/>
      <c r="O1064" s="520"/>
      <c r="P1064" s="523"/>
      <c r="Q1064" s="520"/>
      <c r="R1064" s="167"/>
      <c r="S1064" s="520"/>
      <c r="T1064" s="167"/>
      <c r="U1064" s="528"/>
      <c r="V1064" s="522"/>
      <c r="X1064" s="4"/>
    </row>
    <row r="1065" spans="1:24" s="8" customFormat="1" ht="16.8">
      <c r="A1065" s="521"/>
      <c r="B1065" s="2"/>
      <c r="F1065" s="523"/>
      <c r="G1065" s="535">
        <f t="shared" ref="G1065" si="1591">IF(G1063="LCFF Rate",(G1056*C1056+G1057*C1057+G1058*C1058+G1059*C1059),(G1061*E1059))</f>
        <v>0</v>
      </c>
      <c r="H1065" s="537"/>
      <c r="I1065" s="535">
        <f t="shared" ref="I1065" si="1592">IF(I1063="LCFF Rate",(I1056*C1056+I1057*C1057+I1058*C1058+I1059*C1059),(I1061*E1059))</f>
        <v>0</v>
      </c>
      <c r="J1065" s="537"/>
      <c r="K1065" s="535">
        <f t="shared" ref="K1065" si="1593">IF(K1063="LCFF Rate",(K1056*C1056+K1057*C1057+K1058*C1058+K1059*C1059),(K1061*E1059))</f>
        <v>0</v>
      </c>
      <c r="L1065" s="537"/>
      <c r="M1065" s="535">
        <f t="shared" ref="M1065" si="1594">IF(M1063="LCFF Rate",(M1056*C1056+M1057*C1057+M1058*C1058+M1059*C1059),(M1061*E1059))</f>
        <v>0</v>
      </c>
      <c r="N1065" s="537"/>
      <c r="O1065" s="535">
        <f t="shared" ref="O1065" si="1595">IF(O1063="LCFF Rate",(O1056*C1056+O1057*C1057+O1058*C1058+O1059*C1059),(O1061*E1059))</f>
        <v>0</v>
      </c>
      <c r="P1065" s="537"/>
      <c r="Q1065" s="535">
        <f t="shared" ref="Q1065" si="1596">IF(Q1063="LCFF Rate",(Q1056*C1056+Q1057*C1057+Q1058*C1058+Q1059*C1059),(Q1061*E1059))</f>
        <v>0</v>
      </c>
      <c r="R1065" s="167"/>
      <c r="S1065" s="538">
        <f t="shared" ref="S1065" si="1597">SUM(G1065:Q1065)</f>
        <v>0</v>
      </c>
      <c r="T1065" s="167"/>
      <c r="U1065" s="528"/>
      <c r="V1065" s="522"/>
      <c r="X1065" s="979"/>
    </row>
    <row r="1066" spans="1:24" s="8" customFormat="1" ht="9" customHeight="1" thickBot="1">
      <c r="A1066" s="529"/>
      <c r="B1066" s="530"/>
      <c r="C1066" s="531"/>
      <c r="D1066" s="532"/>
      <c r="E1066" s="533"/>
      <c r="F1066" s="532"/>
      <c r="G1066" s="530"/>
      <c r="H1066" s="532"/>
      <c r="I1066" s="530"/>
      <c r="J1066" s="532"/>
      <c r="K1066" s="530"/>
      <c r="L1066" s="532"/>
      <c r="M1066" s="530"/>
      <c r="N1066" s="532"/>
      <c r="O1066" s="530"/>
      <c r="P1066" s="532"/>
      <c r="Q1066" s="530"/>
      <c r="R1066" s="532"/>
      <c r="S1066" s="530"/>
      <c r="T1066" s="532"/>
      <c r="U1066" s="532"/>
      <c r="V1066" s="534"/>
      <c r="X1066" s="4"/>
    </row>
    <row r="1067" spans="1:24" s="82" customFormat="1" ht="18" customHeight="1" thickBot="1">
      <c r="A1067" s="890">
        <f>+A1054+1</f>
        <v>82</v>
      </c>
      <c r="B1067" s="891" t="str">
        <f>'Data Entry'!$B$3&amp;"-"&amp;C1067</f>
        <v>-</v>
      </c>
      <c r="C1067" s="891" t="str">
        <f>IFERROR(VLOOKUP('Data Entry'!$B$3&amp;"-"&amp;A1067,'PY1 TFR ADA'!$D:$AT,2,FALSE),"")</f>
        <v/>
      </c>
      <c r="D1067" s="892" t="str">
        <f>IFERROR(VLOOKUP('Data Entry'!$B$3&amp;"-"&amp;A1067,'PY1 TFR ADA'!$D:$AT,4,FALSE),"")</f>
        <v/>
      </c>
      <c r="E1067" s="893"/>
      <c r="F1067" s="893"/>
      <c r="G1067" s="893"/>
      <c r="H1067" s="893"/>
      <c r="I1067" s="893"/>
      <c r="J1067" s="893"/>
      <c r="K1067" s="893"/>
      <c r="L1067" s="893"/>
      <c r="M1067" s="893"/>
      <c r="N1067" s="893"/>
      <c r="O1067" s="893"/>
      <c r="P1067" s="893"/>
      <c r="Q1067" s="893"/>
      <c r="R1067" s="893"/>
      <c r="S1067" s="893"/>
      <c r="T1067" s="893"/>
      <c r="U1067" s="893"/>
      <c r="V1067" s="894"/>
      <c r="X1067" s="83"/>
    </row>
    <row r="1068" spans="1:24" ht="75" customHeight="1">
      <c r="A1068" s="521"/>
      <c r="C1068" s="540" t="s">
        <v>1315</v>
      </c>
      <c r="D1068" s="512"/>
      <c r="E1068" s="540" t="s">
        <v>1316</v>
      </c>
      <c r="F1068" s="512"/>
      <c r="G1068" s="540" t="s">
        <v>1309</v>
      </c>
      <c r="H1068" s="512"/>
      <c r="I1068" s="540" t="s">
        <v>1310</v>
      </c>
      <c r="J1068" s="512"/>
      <c r="K1068" s="540" t="s">
        <v>1311</v>
      </c>
      <c r="L1068" s="512"/>
      <c r="M1068" s="540" t="s">
        <v>1312</v>
      </c>
      <c r="N1068" s="512"/>
      <c r="O1068" s="540" t="s">
        <v>1313</v>
      </c>
      <c r="P1068" s="512"/>
      <c r="Q1068" s="540" t="s">
        <v>1314</v>
      </c>
      <c r="R1068" s="167"/>
      <c r="S1068" s="540" t="s">
        <v>1308</v>
      </c>
      <c r="T1068" s="167"/>
      <c r="U1068" s="512" t="s">
        <v>1307</v>
      </c>
      <c r="V1068" s="524"/>
      <c r="X1068" s="283"/>
    </row>
    <row r="1069" spans="1:24" s="8" customFormat="1" ht="14.4">
      <c r="A1069" s="521"/>
      <c r="B1069" s="510" t="s">
        <v>94</v>
      </c>
      <c r="C1069" s="525">
        <f>IFERROR(VLOOKUP($B1067,'PY1 TFR ADA'!$F:$AU,MATCH("A-1.1",'PY1 TFR ADA'!$F$5:$AU$5,0),FALSE),0)</f>
        <v>0</v>
      </c>
      <c r="D1069" s="167"/>
      <c r="E1069" s="525">
        <f>IFERROR(VALUE(VLOOKUP($B1067,'PY1 TFR ADA'!$F:$AU,MATCH("A-2.1",'PY1 TFR ADA'!$F$5:$AU$5,0),FALSE)),0)</f>
        <v>0</v>
      </c>
      <c r="F1069" s="167"/>
      <c r="G1069" s="609">
        <f>IFERROR(VLOOKUP($B1067,'PY1 TFR ADA'!$F:$AU,MATCH("b-1.1",'PY1 TFR ADA'!$F$5:$AU$5,0),FALSE),0)</f>
        <v>0</v>
      </c>
      <c r="H1069" s="527"/>
      <c r="I1069" s="609">
        <f>IFERROR(VLOOKUP($B1067,'PY1 TFR ADA'!$F:$AU,MATCH("b-2.1",'PY1 TFR ADA'!$F$5:$AU$5,0),FALSE),0)</f>
        <v>0</v>
      </c>
      <c r="J1069" s="527"/>
      <c r="K1069" s="609">
        <f>IFERROR(VLOOKUP($B1067,'PY1 TFR ADA'!$F:$AU,MATCH("b-3.1",'PY1 TFR ADA'!$F$5:$AU$5,0),FALSE),0)</f>
        <v>0</v>
      </c>
      <c r="L1069" s="527"/>
      <c r="M1069" s="609">
        <f>IFERROR(VLOOKUP($B1067,'PY1 TFR ADA'!$F:$AU,MATCH("b-4.1",'PY1 TFR ADA'!$F$5:$AU$5,0),FALSE),0)</f>
        <v>0</v>
      </c>
      <c r="N1069" s="527"/>
      <c r="O1069" s="609">
        <f>IFERROR(VLOOKUP($B1067,'PY1 TFR ADA'!$F:$AU,MATCH("b-5.1",'PY1 TFR ADA'!$F$5:$AU$5,0),FALSE),0)</f>
        <v>0</v>
      </c>
      <c r="P1069" s="527"/>
      <c r="Q1069" s="609">
        <f>IFERROR(VLOOKUP($B1067,'PY1 TFR ADA'!$F:$AU,MATCH("b-6.1",'PY1 TFR ADA'!$F$5:$AU$5,0),FALSE),0)</f>
        <v>0</v>
      </c>
      <c r="R1069" s="551"/>
      <c r="S1069" s="601">
        <f t="shared" ref="S1069:S1072" si="1598">SUM(G1069:Q1069)</f>
        <v>0</v>
      </c>
      <c r="T1069" s="551"/>
      <c r="U1069" s="536">
        <f t="shared" ref="U1069" si="1599">ROUND(IF($G1076="LCFF Rate",(G1069*$C1069),(G1069*$E1069))+IF($I1076="LCFF Rate",(I1069*$C1069),(I1069*$E1069))+IF($K1076="LCFF Rate",(K1069*$C1069),(K1069*$E1069))+IF($M1076="LCFF Rate",(M1069*$C1069),(M1069*$E1069))+IF($O1076="LCFF Rate",(O1069*$C1069),(O1069*$E1069))+IF($Q1076="LCFF Rate",(Q1069*$C1069),(Q1069*$E1069)),0)</f>
        <v>0</v>
      </c>
      <c r="V1069" s="524"/>
      <c r="X1069" s="496"/>
    </row>
    <row r="1070" spans="1:24" s="8" customFormat="1" ht="14.4">
      <c r="A1070" s="521"/>
      <c r="B1070" s="510" t="s">
        <v>2</v>
      </c>
      <c r="C1070" s="525">
        <f>IFERROR(VLOOKUP($B1067,'PY1 TFR ADA'!$F:$AU,MATCH("A-1.2",'PY1 TFR ADA'!$F$5:$AU$5,0),FALSE),0)</f>
        <v>0</v>
      </c>
      <c r="D1070" s="167"/>
      <c r="E1070" s="525">
        <f>IFERROR(VALUE(VLOOKUP($B1067,'PY1 TFR ADA'!$F:$AU,MATCH("A-2.2",'PY1 TFR ADA'!$F$5:$AU$5,0),FALSE)),0)</f>
        <v>0</v>
      </c>
      <c r="F1070" s="167"/>
      <c r="G1070" s="609">
        <f>IFERROR(VLOOKUP($B1067,'PY1 TFR ADA'!$F:$AU,MATCH("b-1.2",'PY1 TFR ADA'!$F$5:$AU$5,0),FALSE),0)</f>
        <v>0</v>
      </c>
      <c r="H1070" s="527"/>
      <c r="I1070" s="609">
        <f>IFERROR(VLOOKUP($B1067,'PY1 TFR ADA'!$F:$AU,MATCH("b-2.2",'PY1 TFR ADA'!$F$5:$AU$5,0),FALSE),0)</f>
        <v>0</v>
      </c>
      <c r="J1070" s="527"/>
      <c r="K1070" s="609">
        <f>IFERROR(VLOOKUP($B1067,'PY1 TFR ADA'!$F:$AU,MATCH("b-3.2",'PY1 TFR ADA'!$F$5:$AU$5,0),FALSE),0)</f>
        <v>0</v>
      </c>
      <c r="L1070" s="527"/>
      <c r="M1070" s="609">
        <f>IFERROR(VLOOKUP($B1067,'PY1 TFR ADA'!$F:$AU,MATCH("b-4.2",'PY1 TFR ADA'!$F$5:$AU$5,0),FALSE),0)</f>
        <v>0</v>
      </c>
      <c r="N1070" s="527"/>
      <c r="O1070" s="609">
        <f>IFERROR(VLOOKUP($B1067,'PY1 TFR ADA'!$F:$AU,MATCH("b-5.2",'PY1 TFR ADA'!$F$5:$AU$5,0),FALSE),0)</f>
        <v>0</v>
      </c>
      <c r="P1070" s="527"/>
      <c r="Q1070" s="609">
        <f>IFERROR(VLOOKUP($B1067,'PY1 TFR ADA'!$F:$AU,MATCH("b-6.2",'PY1 TFR ADA'!$F$5:$AU$5,0),FALSE),0)</f>
        <v>0</v>
      </c>
      <c r="R1070" s="551"/>
      <c r="S1070" s="601">
        <f t="shared" si="1598"/>
        <v>0</v>
      </c>
      <c r="T1070" s="551"/>
      <c r="U1070" s="536">
        <f t="shared" ref="U1070" si="1600">ROUND(IF($G1076="LCFF Rate",(G1070*$C1070),(G1070*$E1070))+IF($I1076="LCFF Rate",(I1070*$C1070),(I1070*$E1070))+IF($K1076="LCFF Rate",(K1070*$C1070),(K1070*$E1070))+IF($M1076="LCFF Rate",(M1070*$C1070),(M1070*$E1070))+IF($O1076="LCFF Rate",(O1070*$C1070),(O1070*$E1070))+IF($Q1076="LCFF Rate",(Q1070*$C1070),(Q1070*$E1070)),0)</f>
        <v>0</v>
      </c>
      <c r="V1070" s="524"/>
      <c r="X1070" s="4"/>
    </row>
    <row r="1071" spans="1:24" s="8" customFormat="1" ht="14.4">
      <c r="A1071" s="521"/>
      <c r="B1071" s="510" t="s">
        <v>3</v>
      </c>
      <c r="C1071" s="525">
        <f>IFERROR(VLOOKUP($B1067,'PY1 TFR ADA'!$F:$AU,MATCH("A-1.3",'PY1 TFR ADA'!$F$5:$AU$5,0),FALSE),0)</f>
        <v>0</v>
      </c>
      <c r="D1071" s="167"/>
      <c r="E1071" s="525">
        <f>IFERROR(VALUE(VLOOKUP($B1067,'PY1 TFR ADA'!$F:$AU,MATCH("A-2.3",'PY1 TFR ADA'!$F$5:$AU$5,0),FALSE)),0)</f>
        <v>0</v>
      </c>
      <c r="F1071" s="167"/>
      <c r="G1071" s="609">
        <f>IFERROR(VLOOKUP($B1067,'PY1 TFR ADA'!$F:$AU,MATCH("b-1.3",'PY1 TFR ADA'!$F$5:$AU$5,0),FALSE),0)</f>
        <v>0</v>
      </c>
      <c r="H1071" s="527"/>
      <c r="I1071" s="609">
        <f>IFERROR(VLOOKUP($B1067,'PY1 TFR ADA'!$F:$AU,MATCH("b-2.3",'PY1 TFR ADA'!$F$5:$AU$5,0),FALSE),0)</f>
        <v>0</v>
      </c>
      <c r="J1071" s="527"/>
      <c r="K1071" s="609">
        <f>IFERROR(VLOOKUP($B1067,'PY1 TFR ADA'!$F:$AU,MATCH("b-3.3",'PY1 TFR ADA'!$F$5:$AU$5,0),FALSE),0)</f>
        <v>0</v>
      </c>
      <c r="L1071" s="527"/>
      <c r="M1071" s="609">
        <f>IFERROR(VLOOKUP($B1067,'PY1 TFR ADA'!$F:$AU,MATCH("b-4.3",'PY1 TFR ADA'!$F$5:$AU$5,0),FALSE),0)</f>
        <v>0</v>
      </c>
      <c r="N1071" s="527"/>
      <c r="O1071" s="609">
        <f>IFERROR(VLOOKUP($B1067,'PY1 TFR ADA'!$F:$AU,MATCH("b-5.3",'PY1 TFR ADA'!$F$5:$AU$5,0),FALSE),0)</f>
        <v>0</v>
      </c>
      <c r="P1071" s="527"/>
      <c r="Q1071" s="609">
        <f>IFERROR(VLOOKUP($B1067,'PY1 TFR ADA'!$F:$AU,MATCH("b-6.3",'PY1 TFR ADA'!$F$5:$AU$5,0),FALSE),0)</f>
        <v>0</v>
      </c>
      <c r="R1071" s="551"/>
      <c r="S1071" s="601">
        <f t="shared" si="1598"/>
        <v>0</v>
      </c>
      <c r="T1071" s="551"/>
      <c r="U1071" s="536">
        <f t="shared" ref="U1071" si="1601">ROUND(IF($G1076="LCFF Rate",(G1071*$C1071),(G1071*$E1071))+IF($I1076="LCFF Rate",(I1071*$C1071),(I1071*$E1071))+IF($K1076="LCFF Rate",(K1071*$C1071),(K1071*$E1071))+IF($M1076="LCFF Rate",(M1071*$C1071),(M1071*$E1071))+IF($O1076="LCFF Rate",(O1071*$C1071),(O1071*$E1071))+IF($Q1076="LCFF Rate",(Q1071*$C1071),(Q1071*$E1071)),0)</f>
        <v>0</v>
      </c>
      <c r="V1071" s="524"/>
      <c r="X1071" s="4"/>
    </row>
    <row r="1072" spans="1:24" s="8" customFormat="1" ht="14.4">
      <c r="A1072" s="526"/>
      <c r="B1072" s="510" t="s">
        <v>4</v>
      </c>
      <c r="C1072" s="525">
        <f>IFERROR(VLOOKUP($B1067,'PY1 TFR ADA'!$F:$AU,MATCH("A-1.4",'PY1 TFR ADA'!$F$5:$AU$5,0),FALSE),0)</f>
        <v>0</v>
      </c>
      <c r="D1072" s="523"/>
      <c r="E1072" s="525">
        <f>IFERROR(VALUE(VLOOKUP($B1067,'PY1 TFR ADA'!$F:$AU,MATCH("A-2.4",'PY1 TFR ADA'!$F$5:$AU$5,0),FALSE)),0)</f>
        <v>0</v>
      </c>
      <c r="F1072" s="523"/>
      <c r="G1072" s="609">
        <f>IFERROR(VLOOKUP($B1067,'PY1 TFR ADA'!$F:$AU,MATCH("b-1.4",'PY1 TFR ADA'!$F$5:$AU$5,0),FALSE),0)</f>
        <v>0</v>
      </c>
      <c r="H1072" s="527"/>
      <c r="I1072" s="609">
        <f>IFERROR(VLOOKUP($B1067,'PY1 TFR ADA'!$F:$AU,MATCH("b-2.4",'PY1 TFR ADA'!$F$5:$AU$5,0),FALSE),0)</f>
        <v>0</v>
      </c>
      <c r="J1072" s="527"/>
      <c r="K1072" s="609">
        <f>IFERROR(VLOOKUP($B1067,'PY1 TFR ADA'!$F:$AU,MATCH("b-3.4",'PY1 TFR ADA'!$F$5:$AU$5,0),FALSE),0)</f>
        <v>0</v>
      </c>
      <c r="L1072" s="527"/>
      <c r="M1072" s="609">
        <f>IFERROR(VLOOKUP($B1067,'PY1 TFR ADA'!$F:$AU,MATCH("b-4.4",'PY1 TFR ADA'!$F$5:$AU$5,0),FALSE),0)</f>
        <v>0</v>
      </c>
      <c r="N1072" s="527"/>
      <c r="O1072" s="609">
        <f>IFERROR(VLOOKUP($B1067,'PY1 TFR ADA'!$F:$AU,MATCH("b-5.4",'PY1 TFR ADA'!$F$5:$AU$5,0),FALSE),0)</f>
        <v>0</v>
      </c>
      <c r="P1072" s="527"/>
      <c r="Q1072" s="609">
        <f>IFERROR(VLOOKUP($B1067,'PY1 TFR ADA'!$F:$AU,MATCH("b-6.4",'PY1 TFR ADA'!$F$5:$AU$5,0),FALSE),0)</f>
        <v>0</v>
      </c>
      <c r="R1072" s="551"/>
      <c r="S1072" s="601">
        <f t="shared" si="1598"/>
        <v>0</v>
      </c>
      <c r="T1072" s="551"/>
      <c r="U1072" s="536">
        <f t="shared" ref="U1072" si="1602">ROUND(IF($G1076="LCFF Rate",(G1072*$C1072),(G1072*$E1072))+IF($I1076="LCFF Rate",(I1072*$C1072),(I1072*$E1072))+IF($K1076="LCFF Rate",(K1072*$C1072),(K1072*$E1072))+IF($M1076="LCFF Rate",(M1072*$C1072),(M1072*$E1072))+IF($O1076="LCFF Rate",(O1072*$C1072),(O1072*$E1072))+IF($Q1076="LCFF Rate",(Q1072*$C1072),(Q1072*$E1072)),0)</f>
        <v>0</v>
      </c>
      <c r="V1072" s="522"/>
      <c r="X1072" s="496"/>
    </row>
    <row r="1073" spans="1:24" s="8" customFormat="1" ht="8.25" customHeight="1">
      <c r="A1073" s="521"/>
      <c r="B1073" s="167"/>
      <c r="C1073" s="165"/>
      <c r="D1073" s="523"/>
      <c r="E1073" s="165"/>
      <c r="F1073" s="523"/>
      <c r="G1073" s="520"/>
      <c r="H1073" s="523"/>
      <c r="I1073" s="520"/>
      <c r="J1073" s="523"/>
      <c r="K1073" s="520"/>
      <c r="L1073" s="523"/>
      <c r="M1073" s="520"/>
      <c r="N1073" s="523"/>
      <c r="O1073" s="520"/>
      <c r="P1073" s="523"/>
      <c r="Q1073" s="520"/>
      <c r="R1073" s="167"/>
      <c r="S1073" s="520"/>
      <c r="T1073" s="167"/>
      <c r="U1073" s="602"/>
      <c r="V1073" s="522"/>
      <c r="X1073" s="4"/>
    </row>
    <row r="1074" spans="1:24" s="8" customFormat="1" ht="14.4">
      <c r="A1074" s="521"/>
      <c r="B1074" s="167"/>
      <c r="C1074" s="165"/>
      <c r="D1074" s="523"/>
      <c r="E1074" s="513" t="s">
        <v>1317</v>
      </c>
      <c r="F1074" s="523"/>
      <c r="G1074" s="601">
        <f t="shared" ref="G1074" si="1603">SUM(G1069:G1072)</f>
        <v>0</v>
      </c>
      <c r="H1074" s="527"/>
      <c r="I1074" s="601">
        <f t="shared" ref="I1074" si="1604">SUM(I1069:I1072)</f>
        <v>0</v>
      </c>
      <c r="J1074" s="527"/>
      <c r="K1074" s="601">
        <f t="shared" ref="K1074" si="1605">SUM(K1069:K1072)</f>
        <v>0</v>
      </c>
      <c r="L1074" s="527"/>
      <c r="M1074" s="601">
        <f t="shared" ref="M1074" si="1606">SUM(M1069:M1072)</f>
        <v>0</v>
      </c>
      <c r="N1074" s="527"/>
      <c r="O1074" s="601">
        <f t="shared" ref="O1074" si="1607">SUM(O1069:O1072)</f>
        <v>0</v>
      </c>
      <c r="P1074" s="527"/>
      <c r="Q1074" s="601">
        <f t="shared" ref="Q1074" si="1608">SUM(Q1069:Q1072)</f>
        <v>0</v>
      </c>
      <c r="R1074" s="527"/>
      <c r="S1074" s="601">
        <f t="shared" ref="S1074" si="1609">SUM(S1069:S1072)</f>
        <v>0</v>
      </c>
      <c r="T1074" s="527"/>
      <c r="U1074" s="536">
        <f t="shared" ref="U1074" si="1610">SUM(U1069:U1072)</f>
        <v>0</v>
      </c>
      <c r="V1074" s="522"/>
      <c r="X1074" s="4"/>
    </row>
    <row r="1075" spans="1:24" s="8" customFormat="1" ht="8.25" customHeight="1">
      <c r="A1075" s="521"/>
      <c r="B1075" s="167"/>
      <c r="C1075" s="165"/>
      <c r="D1075" s="523"/>
      <c r="E1075" s="165"/>
      <c r="F1075" s="523"/>
      <c r="G1075" s="520"/>
      <c r="H1075" s="523"/>
      <c r="I1075" s="520"/>
      <c r="J1075" s="523"/>
      <c r="K1075" s="520"/>
      <c r="L1075" s="523"/>
      <c r="M1075" s="520"/>
      <c r="N1075" s="523"/>
      <c r="O1075" s="520"/>
      <c r="P1075" s="523"/>
      <c r="Q1075" s="520"/>
      <c r="R1075" s="167"/>
      <c r="S1075" s="520"/>
      <c r="T1075" s="167"/>
      <c r="U1075" s="528"/>
      <c r="V1075" s="522"/>
      <c r="X1075" s="4"/>
    </row>
    <row r="1076" spans="1:24" s="8" customFormat="1" ht="16.5" customHeight="1">
      <c r="A1076" s="521"/>
      <c r="B1076" s="167"/>
      <c r="C1076" s="165"/>
      <c r="E1076" s="513" t="s">
        <v>1304</v>
      </c>
      <c r="F1076" s="523"/>
      <c r="G1076" s="977">
        <f>_xlfn.IFNA(IF(VLOOKUP($B1067,'PY1 TFR ADA'!$F:$AU,MATCH("B-1.5",'PY1 TFR ADA'!$F$5:$AU$5,0),FALSE)=TRUE,IF(VLOOKUP($B1067,'PY1 TFR ADA'!$F:$AU,MATCH("C-1",'PY1 TFR ADA'!$F$5:$AU$5,0),FALSE)=TRUE,"Alternative Rate","LCFF Rate"),"LCFF Rate"),0)</f>
        <v>0</v>
      </c>
      <c r="H1076" s="523"/>
      <c r="I1076" s="977">
        <f>_xlfn.IFNA(IF(VLOOKUP($B1067,'PY1 TFR ADA'!$F:$AU,MATCH("B-2.5",'PY1 TFR ADA'!$F$5:$AU$5,0),FALSE)=TRUE,IF(VLOOKUP($B1067,'PY1 TFR ADA'!$F:$AU,MATCH("C-1",'PY1 TFR ADA'!$F$5:$AU$5,0),FALSE)=TRUE,"Alternative Rate","LCFF Rate"),"LCFF Rate"),0)</f>
        <v>0</v>
      </c>
      <c r="J1076" s="523"/>
      <c r="K1076" s="977">
        <f>_xlfn.IFNA(IF(VLOOKUP($B1067,'PY1 TFR ADA'!$F:$AU,MATCH("B-3.5",'PY1 TFR ADA'!$F$5:$AU$5,0),FALSE)=TRUE,IF(VLOOKUP($B1067,'PY1 TFR ADA'!$F:$AU,MATCH("C-1",'PY1 TFR ADA'!$F$5:$AU$5,0),FALSE)=TRUE,"Alternative Rate","LCFF Rate"),"LCFF Rate"),0)</f>
        <v>0</v>
      </c>
      <c r="L1076" s="523"/>
      <c r="M1076" s="977">
        <f>_xlfn.IFNA(IF(VLOOKUP($B1067,'PY1 TFR ADA'!$F:$AU,MATCH("B-4.5",'PY1 TFR ADA'!$F$5:$AU$5,0),FALSE)=TRUE,IF(VLOOKUP($B1067,'PY1 TFR ADA'!$F:$AU,MATCH("C-1",'PY1 TFR ADA'!$F$5:$AU$5,0),FALSE)=TRUE,"Alternative Rate","LCFF Rate"),"LCFF Rate"),0)</f>
        <v>0</v>
      </c>
      <c r="N1076" s="523"/>
      <c r="O1076" s="977">
        <f>_xlfn.IFNA(IF(VLOOKUP($B1067,'PY1 TFR ADA'!$F:$AU,MATCH("B-5.5",'PY1 TFR ADA'!$F$5:$AU$5,0),FALSE)=TRUE,IF(VLOOKUP($B1067,'PY1 TFR ADA'!$F:$AU,MATCH("C-1",'PY1 TFR ADA'!$F$5:$AU$5,0),FALSE)=TRUE,"Alternative Rate","LCFF Rate"),"LCFF Rate"),0)</f>
        <v>0</v>
      </c>
      <c r="P1076" s="523"/>
      <c r="Q1076" s="977">
        <f>_xlfn.IFNA(IF(VLOOKUP($B1067,'PY1 TFR ADA'!$F:$AU,MATCH("B-6.5",'PY1 TFR ADA'!$F$5:$AU$5,0),FALSE)=TRUE,IF(VLOOKUP($B1067,'PY1 TFR ADA'!$F:$AU,MATCH("C-1",'PY1 TFR ADA'!$F$5:$AU$5,0),FALSE)=TRUE,"Alternative Rate","LCFF Rate"),"LCFF Rate"),0)</f>
        <v>0</v>
      </c>
      <c r="R1076" s="167"/>
      <c r="S1076" s="520"/>
      <c r="T1076" s="167"/>
      <c r="U1076" s="528"/>
      <c r="V1076" s="522"/>
      <c r="X1076" s="283"/>
    </row>
    <row r="1077" spans="1:24" s="8" customFormat="1" ht="8.25" customHeight="1">
      <c r="A1077" s="521"/>
      <c r="B1077" s="167"/>
      <c r="C1077" s="165"/>
      <c r="D1077" s="523"/>
      <c r="E1077" s="165"/>
      <c r="F1077" s="523"/>
      <c r="G1077" s="520"/>
      <c r="H1077" s="523"/>
      <c r="I1077" s="520"/>
      <c r="J1077" s="523"/>
      <c r="K1077" s="520"/>
      <c r="L1077" s="523"/>
      <c r="M1077" s="520"/>
      <c r="N1077" s="523"/>
      <c r="O1077" s="520"/>
      <c r="P1077" s="523"/>
      <c r="Q1077" s="520"/>
      <c r="R1077" s="167"/>
      <c r="S1077" s="520"/>
      <c r="T1077" s="167"/>
      <c r="U1077" s="528"/>
      <c r="V1077" s="522"/>
      <c r="X1077" s="4"/>
    </row>
    <row r="1078" spans="1:24" s="8" customFormat="1" ht="16.8">
      <c r="A1078" s="521"/>
      <c r="B1078" s="2"/>
      <c r="F1078" s="523"/>
      <c r="G1078" s="535">
        <f t="shared" ref="G1078" si="1611">IF(G1076="LCFF Rate",(G1069*C1069+G1070*C1070+G1071*C1071+G1072*C1072),(G1074*E1072))</f>
        <v>0</v>
      </c>
      <c r="H1078" s="537"/>
      <c r="I1078" s="535">
        <f t="shared" ref="I1078" si="1612">IF(I1076="LCFF Rate",(I1069*C1069+I1070*C1070+I1071*C1071+I1072*C1072),(I1074*E1072))</f>
        <v>0</v>
      </c>
      <c r="J1078" s="537"/>
      <c r="K1078" s="535">
        <f t="shared" ref="K1078" si="1613">IF(K1076="LCFF Rate",(K1069*C1069+K1070*C1070+K1071*C1071+K1072*C1072),(K1074*E1072))</f>
        <v>0</v>
      </c>
      <c r="L1078" s="537"/>
      <c r="M1078" s="535">
        <f t="shared" ref="M1078" si="1614">IF(M1076="LCFF Rate",(M1069*C1069+M1070*C1070+M1071*C1071+M1072*C1072),(M1074*E1072))</f>
        <v>0</v>
      </c>
      <c r="N1078" s="537"/>
      <c r="O1078" s="535">
        <f t="shared" ref="O1078" si="1615">IF(O1076="LCFF Rate",(O1069*C1069+O1070*C1070+O1071*C1071+O1072*C1072),(O1074*E1072))</f>
        <v>0</v>
      </c>
      <c r="P1078" s="537"/>
      <c r="Q1078" s="535">
        <f t="shared" ref="Q1078" si="1616">IF(Q1076="LCFF Rate",(Q1069*C1069+Q1070*C1070+Q1071*C1071+Q1072*C1072),(Q1074*E1072))</f>
        <v>0</v>
      </c>
      <c r="R1078" s="167"/>
      <c r="S1078" s="538">
        <f t="shared" ref="S1078" si="1617">SUM(G1078:Q1078)</f>
        <v>0</v>
      </c>
      <c r="T1078" s="167"/>
      <c r="U1078" s="528"/>
      <c r="V1078" s="522"/>
      <c r="X1078" s="979"/>
    </row>
    <row r="1079" spans="1:24" s="8" customFormat="1" ht="9" customHeight="1" thickBot="1">
      <c r="A1079" s="529"/>
      <c r="B1079" s="530"/>
      <c r="C1079" s="531"/>
      <c r="D1079" s="532"/>
      <c r="E1079" s="533"/>
      <c r="F1079" s="532"/>
      <c r="G1079" s="530"/>
      <c r="H1079" s="532"/>
      <c r="I1079" s="530"/>
      <c r="J1079" s="532"/>
      <c r="K1079" s="530"/>
      <c r="L1079" s="532"/>
      <c r="M1079" s="530"/>
      <c r="N1079" s="532"/>
      <c r="O1079" s="530"/>
      <c r="P1079" s="532"/>
      <c r="Q1079" s="530"/>
      <c r="R1079" s="532"/>
      <c r="S1079" s="530"/>
      <c r="T1079" s="532"/>
      <c r="U1079" s="532"/>
      <c r="V1079" s="534"/>
      <c r="X1079" s="4"/>
    </row>
    <row r="1080" spans="1:24" s="82" customFormat="1" ht="18" customHeight="1" thickBot="1">
      <c r="A1080" s="890">
        <f>+A1067+1</f>
        <v>83</v>
      </c>
      <c r="B1080" s="891" t="str">
        <f>'Data Entry'!$B$3&amp;"-"&amp;C1080</f>
        <v>-</v>
      </c>
      <c r="C1080" s="891" t="str">
        <f>IFERROR(VLOOKUP('Data Entry'!$B$3&amp;"-"&amp;A1080,'PY1 TFR ADA'!$D:$AT,2,FALSE),"")</f>
        <v/>
      </c>
      <c r="D1080" s="892" t="str">
        <f>IFERROR(VLOOKUP('Data Entry'!$B$3&amp;"-"&amp;A1080,'PY1 TFR ADA'!$D:$AT,4,FALSE),"")</f>
        <v/>
      </c>
      <c r="E1080" s="893"/>
      <c r="F1080" s="893"/>
      <c r="G1080" s="893"/>
      <c r="H1080" s="893"/>
      <c r="I1080" s="893"/>
      <c r="J1080" s="893"/>
      <c r="K1080" s="893"/>
      <c r="L1080" s="893"/>
      <c r="M1080" s="893"/>
      <c r="N1080" s="893"/>
      <c r="O1080" s="893"/>
      <c r="P1080" s="893"/>
      <c r="Q1080" s="893"/>
      <c r="R1080" s="893"/>
      <c r="S1080" s="893"/>
      <c r="T1080" s="893"/>
      <c r="U1080" s="893"/>
      <c r="V1080" s="894"/>
      <c r="X1080" s="83"/>
    </row>
    <row r="1081" spans="1:24" ht="75" customHeight="1">
      <c r="A1081" s="521"/>
      <c r="C1081" s="540" t="s">
        <v>1315</v>
      </c>
      <c r="D1081" s="512"/>
      <c r="E1081" s="540" t="s">
        <v>1316</v>
      </c>
      <c r="F1081" s="512"/>
      <c r="G1081" s="540" t="s">
        <v>1309</v>
      </c>
      <c r="H1081" s="512"/>
      <c r="I1081" s="540" t="s">
        <v>1310</v>
      </c>
      <c r="J1081" s="512"/>
      <c r="K1081" s="540" t="s">
        <v>1311</v>
      </c>
      <c r="L1081" s="512"/>
      <c r="M1081" s="540" t="s">
        <v>1312</v>
      </c>
      <c r="N1081" s="512"/>
      <c r="O1081" s="540" t="s">
        <v>1313</v>
      </c>
      <c r="P1081" s="512"/>
      <c r="Q1081" s="540" t="s">
        <v>1314</v>
      </c>
      <c r="R1081" s="167"/>
      <c r="S1081" s="540" t="s">
        <v>1308</v>
      </c>
      <c r="T1081" s="167"/>
      <c r="U1081" s="512" t="s">
        <v>1307</v>
      </c>
      <c r="V1081" s="524"/>
      <c r="X1081" s="283"/>
    </row>
    <row r="1082" spans="1:24" s="8" customFormat="1" ht="14.4">
      <c r="A1082" s="521"/>
      <c r="B1082" s="510" t="s">
        <v>94</v>
      </c>
      <c r="C1082" s="525">
        <f>IFERROR(VLOOKUP($B1080,'PY1 TFR ADA'!$F:$AU,MATCH("A-1.1",'PY1 TFR ADA'!$F$5:$AU$5,0),FALSE),0)</f>
        <v>0</v>
      </c>
      <c r="D1082" s="167"/>
      <c r="E1082" s="525">
        <f>IFERROR(VALUE(VLOOKUP($B1080,'PY1 TFR ADA'!$F:$AU,MATCH("A-2.1",'PY1 TFR ADA'!$F$5:$AU$5,0),FALSE)),0)</f>
        <v>0</v>
      </c>
      <c r="F1082" s="167"/>
      <c r="G1082" s="609">
        <f>IFERROR(VLOOKUP($B1080,'PY1 TFR ADA'!$F:$AU,MATCH("b-1.1",'PY1 TFR ADA'!$F$5:$AU$5,0),FALSE),0)</f>
        <v>0</v>
      </c>
      <c r="H1082" s="527"/>
      <c r="I1082" s="609">
        <f>IFERROR(VLOOKUP($B1080,'PY1 TFR ADA'!$F:$AU,MATCH("b-2.1",'PY1 TFR ADA'!$F$5:$AU$5,0),FALSE),0)</f>
        <v>0</v>
      </c>
      <c r="J1082" s="527"/>
      <c r="K1082" s="609">
        <f>IFERROR(VLOOKUP($B1080,'PY1 TFR ADA'!$F:$AU,MATCH("b-3.1",'PY1 TFR ADA'!$F$5:$AU$5,0),FALSE),0)</f>
        <v>0</v>
      </c>
      <c r="L1082" s="527"/>
      <c r="M1082" s="609">
        <f>IFERROR(VLOOKUP($B1080,'PY1 TFR ADA'!$F:$AU,MATCH("b-4.1",'PY1 TFR ADA'!$F$5:$AU$5,0),FALSE),0)</f>
        <v>0</v>
      </c>
      <c r="N1082" s="527"/>
      <c r="O1082" s="609">
        <f>IFERROR(VLOOKUP($B1080,'PY1 TFR ADA'!$F:$AU,MATCH("b-5.1",'PY1 TFR ADA'!$F$5:$AU$5,0),FALSE),0)</f>
        <v>0</v>
      </c>
      <c r="P1082" s="527"/>
      <c r="Q1082" s="609">
        <f>IFERROR(VLOOKUP($B1080,'PY1 TFR ADA'!$F:$AU,MATCH("b-6.1",'PY1 TFR ADA'!$F$5:$AU$5,0),FALSE),0)</f>
        <v>0</v>
      </c>
      <c r="R1082" s="551"/>
      <c r="S1082" s="601">
        <f t="shared" ref="S1082:S1085" si="1618">SUM(G1082:Q1082)</f>
        <v>0</v>
      </c>
      <c r="T1082" s="551"/>
      <c r="U1082" s="536">
        <f t="shared" ref="U1082" si="1619">ROUND(IF($G1089="LCFF Rate",(G1082*$C1082),(G1082*$E1082))+IF($I1089="LCFF Rate",(I1082*$C1082),(I1082*$E1082))+IF($K1089="LCFF Rate",(K1082*$C1082),(K1082*$E1082))+IF($M1089="LCFF Rate",(M1082*$C1082),(M1082*$E1082))+IF($O1089="LCFF Rate",(O1082*$C1082),(O1082*$E1082))+IF($Q1089="LCFF Rate",(Q1082*$C1082),(Q1082*$E1082)),0)</f>
        <v>0</v>
      </c>
      <c r="V1082" s="524"/>
      <c r="X1082" s="496"/>
    </row>
    <row r="1083" spans="1:24" s="8" customFormat="1" ht="14.4">
      <c r="A1083" s="521"/>
      <c r="B1083" s="510" t="s">
        <v>2</v>
      </c>
      <c r="C1083" s="525">
        <f>IFERROR(VLOOKUP($B1080,'PY1 TFR ADA'!$F:$AU,MATCH("A-1.2",'PY1 TFR ADA'!$F$5:$AU$5,0),FALSE),0)</f>
        <v>0</v>
      </c>
      <c r="D1083" s="167"/>
      <c r="E1083" s="525">
        <f>IFERROR(VALUE(VLOOKUP($B1080,'PY1 TFR ADA'!$F:$AU,MATCH("A-2.2",'PY1 TFR ADA'!$F$5:$AU$5,0),FALSE)),0)</f>
        <v>0</v>
      </c>
      <c r="F1083" s="167"/>
      <c r="G1083" s="609">
        <f>IFERROR(VLOOKUP($B1080,'PY1 TFR ADA'!$F:$AU,MATCH("b-1.2",'PY1 TFR ADA'!$F$5:$AU$5,0),FALSE),0)</f>
        <v>0</v>
      </c>
      <c r="H1083" s="527"/>
      <c r="I1083" s="609">
        <f>IFERROR(VLOOKUP($B1080,'PY1 TFR ADA'!$F:$AU,MATCH("b-2.2",'PY1 TFR ADA'!$F$5:$AU$5,0),FALSE),0)</f>
        <v>0</v>
      </c>
      <c r="J1083" s="527"/>
      <c r="K1083" s="609">
        <f>IFERROR(VLOOKUP($B1080,'PY1 TFR ADA'!$F:$AU,MATCH("b-3.2",'PY1 TFR ADA'!$F$5:$AU$5,0),FALSE),0)</f>
        <v>0</v>
      </c>
      <c r="L1083" s="527"/>
      <c r="M1083" s="609">
        <f>IFERROR(VLOOKUP($B1080,'PY1 TFR ADA'!$F:$AU,MATCH("b-4.2",'PY1 TFR ADA'!$F$5:$AU$5,0),FALSE),0)</f>
        <v>0</v>
      </c>
      <c r="N1083" s="527"/>
      <c r="O1083" s="609">
        <f>IFERROR(VLOOKUP($B1080,'PY1 TFR ADA'!$F:$AU,MATCH("b-5.2",'PY1 TFR ADA'!$F$5:$AU$5,0),FALSE),0)</f>
        <v>0</v>
      </c>
      <c r="P1083" s="527"/>
      <c r="Q1083" s="609">
        <f>IFERROR(VLOOKUP($B1080,'PY1 TFR ADA'!$F:$AU,MATCH("b-6.2",'PY1 TFR ADA'!$F$5:$AU$5,0),FALSE),0)</f>
        <v>0</v>
      </c>
      <c r="R1083" s="551"/>
      <c r="S1083" s="601">
        <f t="shared" si="1618"/>
        <v>0</v>
      </c>
      <c r="T1083" s="551"/>
      <c r="U1083" s="536">
        <f t="shared" ref="U1083" si="1620">ROUND(IF($G1089="LCFF Rate",(G1083*$C1083),(G1083*$E1083))+IF($I1089="LCFF Rate",(I1083*$C1083),(I1083*$E1083))+IF($K1089="LCFF Rate",(K1083*$C1083),(K1083*$E1083))+IF($M1089="LCFF Rate",(M1083*$C1083),(M1083*$E1083))+IF($O1089="LCFF Rate",(O1083*$C1083),(O1083*$E1083))+IF($Q1089="LCFF Rate",(Q1083*$C1083),(Q1083*$E1083)),0)</f>
        <v>0</v>
      </c>
      <c r="V1083" s="524"/>
      <c r="X1083" s="4"/>
    </row>
    <row r="1084" spans="1:24" s="8" customFormat="1" ht="14.4">
      <c r="A1084" s="521"/>
      <c r="B1084" s="510" t="s">
        <v>3</v>
      </c>
      <c r="C1084" s="525">
        <f>IFERROR(VLOOKUP($B1080,'PY1 TFR ADA'!$F:$AU,MATCH("A-1.3",'PY1 TFR ADA'!$F$5:$AU$5,0),FALSE),0)</f>
        <v>0</v>
      </c>
      <c r="D1084" s="167"/>
      <c r="E1084" s="525">
        <f>IFERROR(VALUE(VLOOKUP($B1080,'PY1 TFR ADA'!$F:$AU,MATCH("A-2.3",'PY1 TFR ADA'!$F$5:$AU$5,0),FALSE)),0)</f>
        <v>0</v>
      </c>
      <c r="F1084" s="167"/>
      <c r="G1084" s="609">
        <f>IFERROR(VLOOKUP($B1080,'PY1 TFR ADA'!$F:$AU,MATCH("b-1.3",'PY1 TFR ADA'!$F$5:$AU$5,0),FALSE),0)</f>
        <v>0</v>
      </c>
      <c r="H1084" s="527"/>
      <c r="I1084" s="609">
        <f>IFERROR(VLOOKUP($B1080,'PY1 TFR ADA'!$F:$AU,MATCH("b-2.3",'PY1 TFR ADA'!$F$5:$AU$5,0),FALSE),0)</f>
        <v>0</v>
      </c>
      <c r="J1084" s="527"/>
      <c r="K1084" s="609">
        <f>IFERROR(VLOOKUP($B1080,'PY1 TFR ADA'!$F:$AU,MATCH("b-3.3",'PY1 TFR ADA'!$F$5:$AU$5,0),FALSE),0)</f>
        <v>0</v>
      </c>
      <c r="L1084" s="527"/>
      <c r="M1084" s="609">
        <f>IFERROR(VLOOKUP($B1080,'PY1 TFR ADA'!$F:$AU,MATCH("b-4.3",'PY1 TFR ADA'!$F$5:$AU$5,0),FALSE),0)</f>
        <v>0</v>
      </c>
      <c r="N1084" s="527"/>
      <c r="O1084" s="609">
        <f>IFERROR(VLOOKUP($B1080,'PY1 TFR ADA'!$F:$AU,MATCH("b-5.3",'PY1 TFR ADA'!$F$5:$AU$5,0),FALSE),0)</f>
        <v>0</v>
      </c>
      <c r="P1084" s="527"/>
      <c r="Q1084" s="609">
        <f>IFERROR(VLOOKUP($B1080,'PY1 TFR ADA'!$F:$AU,MATCH("b-6.3",'PY1 TFR ADA'!$F$5:$AU$5,0),FALSE),0)</f>
        <v>0</v>
      </c>
      <c r="R1084" s="551"/>
      <c r="S1084" s="601">
        <f t="shared" si="1618"/>
        <v>0</v>
      </c>
      <c r="T1084" s="551"/>
      <c r="U1084" s="536">
        <f t="shared" ref="U1084" si="1621">ROUND(IF($G1089="LCFF Rate",(G1084*$C1084),(G1084*$E1084))+IF($I1089="LCFF Rate",(I1084*$C1084),(I1084*$E1084))+IF($K1089="LCFF Rate",(K1084*$C1084),(K1084*$E1084))+IF($M1089="LCFF Rate",(M1084*$C1084),(M1084*$E1084))+IF($O1089="LCFF Rate",(O1084*$C1084),(O1084*$E1084))+IF($Q1089="LCFF Rate",(Q1084*$C1084),(Q1084*$E1084)),0)</f>
        <v>0</v>
      </c>
      <c r="V1084" s="524"/>
      <c r="X1084" s="4"/>
    </row>
    <row r="1085" spans="1:24" s="8" customFormat="1" ht="14.4">
      <c r="A1085" s="526"/>
      <c r="B1085" s="510" t="s">
        <v>4</v>
      </c>
      <c r="C1085" s="525">
        <f>IFERROR(VLOOKUP($B1080,'PY1 TFR ADA'!$F:$AU,MATCH("A-1.4",'PY1 TFR ADA'!$F$5:$AU$5,0),FALSE),0)</f>
        <v>0</v>
      </c>
      <c r="D1085" s="523"/>
      <c r="E1085" s="525">
        <f>IFERROR(VALUE(VLOOKUP($B1080,'PY1 TFR ADA'!$F:$AU,MATCH("A-2.4",'PY1 TFR ADA'!$F$5:$AU$5,0),FALSE)),0)</f>
        <v>0</v>
      </c>
      <c r="F1085" s="523"/>
      <c r="G1085" s="609">
        <f>IFERROR(VLOOKUP($B1080,'PY1 TFR ADA'!$F:$AU,MATCH("b-1.4",'PY1 TFR ADA'!$F$5:$AU$5,0),FALSE),0)</f>
        <v>0</v>
      </c>
      <c r="H1085" s="527"/>
      <c r="I1085" s="609">
        <f>IFERROR(VLOOKUP($B1080,'PY1 TFR ADA'!$F:$AU,MATCH("b-2.4",'PY1 TFR ADA'!$F$5:$AU$5,0),FALSE),0)</f>
        <v>0</v>
      </c>
      <c r="J1085" s="527"/>
      <c r="K1085" s="609">
        <f>IFERROR(VLOOKUP($B1080,'PY1 TFR ADA'!$F:$AU,MATCH("b-3.4",'PY1 TFR ADA'!$F$5:$AU$5,0),FALSE),0)</f>
        <v>0</v>
      </c>
      <c r="L1085" s="527"/>
      <c r="M1085" s="609">
        <f>IFERROR(VLOOKUP($B1080,'PY1 TFR ADA'!$F:$AU,MATCH("b-4.4",'PY1 TFR ADA'!$F$5:$AU$5,0),FALSE),0)</f>
        <v>0</v>
      </c>
      <c r="N1085" s="527"/>
      <c r="O1085" s="609">
        <f>IFERROR(VLOOKUP($B1080,'PY1 TFR ADA'!$F:$AU,MATCH("b-5.4",'PY1 TFR ADA'!$F$5:$AU$5,0),FALSE),0)</f>
        <v>0</v>
      </c>
      <c r="P1085" s="527"/>
      <c r="Q1085" s="609">
        <f>IFERROR(VLOOKUP($B1080,'PY1 TFR ADA'!$F:$AU,MATCH("b-6.4",'PY1 TFR ADA'!$F$5:$AU$5,0),FALSE),0)</f>
        <v>0</v>
      </c>
      <c r="R1085" s="551"/>
      <c r="S1085" s="601">
        <f t="shared" si="1618"/>
        <v>0</v>
      </c>
      <c r="T1085" s="551"/>
      <c r="U1085" s="536">
        <f t="shared" ref="U1085" si="1622">ROUND(IF($G1089="LCFF Rate",(G1085*$C1085),(G1085*$E1085))+IF($I1089="LCFF Rate",(I1085*$C1085),(I1085*$E1085))+IF($K1089="LCFF Rate",(K1085*$C1085),(K1085*$E1085))+IF($M1089="LCFF Rate",(M1085*$C1085),(M1085*$E1085))+IF($O1089="LCFF Rate",(O1085*$C1085),(O1085*$E1085))+IF($Q1089="LCFF Rate",(Q1085*$C1085),(Q1085*$E1085)),0)</f>
        <v>0</v>
      </c>
      <c r="V1085" s="522"/>
      <c r="X1085" s="496"/>
    </row>
    <row r="1086" spans="1:24" s="8" customFormat="1" ht="8.25" customHeight="1">
      <c r="A1086" s="521"/>
      <c r="B1086" s="167"/>
      <c r="C1086" s="165"/>
      <c r="D1086" s="523"/>
      <c r="E1086" s="165"/>
      <c r="F1086" s="523"/>
      <c r="G1086" s="520"/>
      <c r="H1086" s="523"/>
      <c r="I1086" s="520"/>
      <c r="J1086" s="523"/>
      <c r="K1086" s="520"/>
      <c r="L1086" s="523"/>
      <c r="M1086" s="520"/>
      <c r="N1086" s="523"/>
      <c r="O1086" s="520"/>
      <c r="P1086" s="523"/>
      <c r="Q1086" s="520"/>
      <c r="R1086" s="167"/>
      <c r="S1086" s="520"/>
      <c r="T1086" s="167"/>
      <c r="U1086" s="602"/>
      <c r="V1086" s="522"/>
      <c r="X1086" s="4"/>
    </row>
    <row r="1087" spans="1:24" s="8" customFormat="1" ht="14.4">
      <c r="A1087" s="521"/>
      <c r="B1087" s="167"/>
      <c r="C1087" s="165"/>
      <c r="D1087" s="523"/>
      <c r="E1087" s="513" t="s">
        <v>1317</v>
      </c>
      <c r="F1087" s="523"/>
      <c r="G1087" s="601">
        <f t="shared" ref="G1087" si="1623">SUM(G1082:G1085)</f>
        <v>0</v>
      </c>
      <c r="H1087" s="527"/>
      <c r="I1087" s="601">
        <f t="shared" ref="I1087" si="1624">SUM(I1082:I1085)</f>
        <v>0</v>
      </c>
      <c r="J1087" s="527"/>
      <c r="K1087" s="601">
        <f t="shared" ref="K1087" si="1625">SUM(K1082:K1085)</f>
        <v>0</v>
      </c>
      <c r="L1087" s="527"/>
      <c r="M1087" s="601">
        <f t="shared" ref="M1087" si="1626">SUM(M1082:M1085)</f>
        <v>0</v>
      </c>
      <c r="N1087" s="527"/>
      <c r="O1087" s="601">
        <f t="shared" ref="O1087" si="1627">SUM(O1082:O1085)</f>
        <v>0</v>
      </c>
      <c r="P1087" s="527"/>
      <c r="Q1087" s="601">
        <f t="shared" ref="Q1087" si="1628">SUM(Q1082:Q1085)</f>
        <v>0</v>
      </c>
      <c r="R1087" s="527"/>
      <c r="S1087" s="601">
        <f t="shared" ref="S1087" si="1629">SUM(S1082:S1085)</f>
        <v>0</v>
      </c>
      <c r="T1087" s="527"/>
      <c r="U1087" s="536">
        <f t="shared" ref="U1087" si="1630">SUM(U1082:U1085)</f>
        <v>0</v>
      </c>
      <c r="V1087" s="522"/>
      <c r="X1087" s="4"/>
    </row>
    <row r="1088" spans="1:24" s="8" customFormat="1" ht="8.25" customHeight="1">
      <c r="A1088" s="521"/>
      <c r="B1088" s="167"/>
      <c r="C1088" s="165"/>
      <c r="D1088" s="523"/>
      <c r="E1088" s="165"/>
      <c r="F1088" s="523"/>
      <c r="G1088" s="520"/>
      <c r="H1088" s="523"/>
      <c r="I1088" s="520"/>
      <c r="J1088" s="523"/>
      <c r="K1088" s="520"/>
      <c r="L1088" s="523"/>
      <c r="M1088" s="520"/>
      <c r="N1088" s="523"/>
      <c r="O1088" s="520"/>
      <c r="P1088" s="523"/>
      <c r="Q1088" s="520"/>
      <c r="R1088" s="167"/>
      <c r="S1088" s="520"/>
      <c r="T1088" s="167"/>
      <c r="U1088" s="528"/>
      <c r="V1088" s="522"/>
      <c r="X1088" s="4"/>
    </row>
    <row r="1089" spans="1:24" s="8" customFormat="1" ht="16.5" customHeight="1">
      <c r="A1089" s="521"/>
      <c r="B1089" s="167"/>
      <c r="C1089" s="165"/>
      <c r="E1089" s="513" t="s">
        <v>1304</v>
      </c>
      <c r="F1089" s="523"/>
      <c r="G1089" s="977">
        <f>_xlfn.IFNA(IF(VLOOKUP($B1080,'PY1 TFR ADA'!$F:$AU,MATCH("B-1.5",'PY1 TFR ADA'!$F$5:$AU$5,0),FALSE)=TRUE,IF(VLOOKUP($B1080,'PY1 TFR ADA'!$F:$AU,MATCH("C-1",'PY1 TFR ADA'!$F$5:$AU$5,0),FALSE)=TRUE,"Alternative Rate","LCFF Rate"),"LCFF Rate"),0)</f>
        <v>0</v>
      </c>
      <c r="H1089" s="523"/>
      <c r="I1089" s="977">
        <f>_xlfn.IFNA(IF(VLOOKUP($B1080,'PY1 TFR ADA'!$F:$AU,MATCH("B-2.5",'PY1 TFR ADA'!$F$5:$AU$5,0),FALSE)=TRUE,IF(VLOOKUP($B1080,'PY1 TFR ADA'!$F:$AU,MATCH("C-1",'PY1 TFR ADA'!$F$5:$AU$5,0),FALSE)=TRUE,"Alternative Rate","LCFF Rate"),"LCFF Rate"),0)</f>
        <v>0</v>
      </c>
      <c r="J1089" s="523"/>
      <c r="K1089" s="977">
        <f>_xlfn.IFNA(IF(VLOOKUP($B1080,'PY1 TFR ADA'!$F:$AU,MATCH("B-3.5",'PY1 TFR ADA'!$F$5:$AU$5,0),FALSE)=TRUE,IF(VLOOKUP($B1080,'PY1 TFR ADA'!$F:$AU,MATCH("C-1",'PY1 TFR ADA'!$F$5:$AU$5,0),FALSE)=TRUE,"Alternative Rate","LCFF Rate"),"LCFF Rate"),0)</f>
        <v>0</v>
      </c>
      <c r="L1089" s="523"/>
      <c r="M1089" s="977">
        <f>_xlfn.IFNA(IF(VLOOKUP($B1080,'PY1 TFR ADA'!$F:$AU,MATCH("B-4.5",'PY1 TFR ADA'!$F$5:$AU$5,0),FALSE)=TRUE,IF(VLOOKUP($B1080,'PY1 TFR ADA'!$F:$AU,MATCH("C-1",'PY1 TFR ADA'!$F$5:$AU$5,0),FALSE)=TRUE,"Alternative Rate","LCFF Rate"),"LCFF Rate"),0)</f>
        <v>0</v>
      </c>
      <c r="N1089" s="523"/>
      <c r="O1089" s="977">
        <f>_xlfn.IFNA(IF(VLOOKUP($B1080,'PY1 TFR ADA'!$F:$AU,MATCH("B-5.5",'PY1 TFR ADA'!$F$5:$AU$5,0),FALSE)=TRUE,IF(VLOOKUP($B1080,'PY1 TFR ADA'!$F:$AU,MATCH("C-1",'PY1 TFR ADA'!$F$5:$AU$5,0),FALSE)=TRUE,"Alternative Rate","LCFF Rate"),"LCFF Rate"),0)</f>
        <v>0</v>
      </c>
      <c r="P1089" s="523"/>
      <c r="Q1089" s="977">
        <f>_xlfn.IFNA(IF(VLOOKUP($B1080,'PY1 TFR ADA'!$F:$AU,MATCH("B-6.5",'PY1 TFR ADA'!$F$5:$AU$5,0),FALSE)=TRUE,IF(VLOOKUP($B1080,'PY1 TFR ADA'!$F:$AU,MATCH("C-1",'PY1 TFR ADA'!$F$5:$AU$5,0),FALSE)=TRUE,"Alternative Rate","LCFF Rate"),"LCFF Rate"),0)</f>
        <v>0</v>
      </c>
      <c r="R1089" s="167"/>
      <c r="S1089" s="520"/>
      <c r="T1089" s="167"/>
      <c r="U1089" s="528"/>
      <c r="V1089" s="522"/>
      <c r="X1089" s="283"/>
    </row>
    <row r="1090" spans="1:24" s="8" customFormat="1" ht="8.25" customHeight="1">
      <c r="A1090" s="521"/>
      <c r="B1090" s="167"/>
      <c r="C1090" s="165"/>
      <c r="D1090" s="523"/>
      <c r="E1090" s="165"/>
      <c r="F1090" s="523"/>
      <c r="G1090" s="520"/>
      <c r="H1090" s="523"/>
      <c r="I1090" s="520"/>
      <c r="J1090" s="523"/>
      <c r="K1090" s="520"/>
      <c r="L1090" s="523"/>
      <c r="M1090" s="520"/>
      <c r="N1090" s="523"/>
      <c r="O1090" s="520"/>
      <c r="P1090" s="523"/>
      <c r="Q1090" s="520"/>
      <c r="R1090" s="167"/>
      <c r="S1090" s="520"/>
      <c r="T1090" s="167"/>
      <c r="U1090" s="528"/>
      <c r="V1090" s="522"/>
      <c r="X1090" s="4"/>
    </row>
    <row r="1091" spans="1:24" s="8" customFormat="1" ht="16.8">
      <c r="A1091" s="521"/>
      <c r="B1091" s="2"/>
      <c r="F1091" s="523"/>
      <c r="G1091" s="535">
        <f t="shared" ref="G1091" si="1631">IF(G1089="LCFF Rate",(G1082*C1082+G1083*C1083+G1084*C1084+G1085*C1085),(G1087*E1085))</f>
        <v>0</v>
      </c>
      <c r="H1091" s="537"/>
      <c r="I1091" s="535">
        <f t="shared" ref="I1091" si="1632">IF(I1089="LCFF Rate",(I1082*C1082+I1083*C1083+I1084*C1084+I1085*C1085),(I1087*E1085))</f>
        <v>0</v>
      </c>
      <c r="J1091" s="537"/>
      <c r="K1091" s="535">
        <f t="shared" ref="K1091" si="1633">IF(K1089="LCFF Rate",(K1082*C1082+K1083*C1083+K1084*C1084+K1085*C1085),(K1087*E1085))</f>
        <v>0</v>
      </c>
      <c r="L1091" s="537"/>
      <c r="M1091" s="535">
        <f t="shared" ref="M1091" si="1634">IF(M1089="LCFF Rate",(M1082*C1082+M1083*C1083+M1084*C1084+M1085*C1085),(M1087*E1085))</f>
        <v>0</v>
      </c>
      <c r="N1091" s="537"/>
      <c r="O1091" s="535">
        <f t="shared" ref="O1091" si="1635">IF(O1089="LCFF Rate",(O1082*C1082+O1083*C1083+O1084*C1084+O1085*C1085),(O1087*E1085))</f>
        <v>0</v>
      </c>
      <c r="P1091" s="537"/>
      <c r="Q1091" s="535">
        <f t="shared" ref="Q1091" si="1636">IF(Q1089="LCFF Rate",(Q1082*C1082+Q1083*C1083+Q1084*C1084+Q1085*C1085),(Q1087*E1085))</f>
        <v>0</v>
      </c>
      <c r="R1091" s="167"/>
      <c r="S1091" s="538">
        <f t="shared" ref="S1091" si="1637">SUM(G1091:Q1091)</f>
        <v>0</v>
      </c>
      <c r="T1091" s="167"/>
      <c r="U1091" s="528"/>
      <c r="V1091" s="522"/>
      <c r="X1091" s="979"/>
    </row>
    <row r="1092" spans="1:24" s="8" customFormat="1" ht="9" customHeight="1" thickBot="1">
      <c r="A1092" s="529"/>
      <c r="B1092" s="530"/>
      <c r="C1092" s="531"/>
      <c r="D1092" s="532"/>
      <c r="E1092" s="533"/>
      <c r="F1092" s="532"/>
      <c r="G1092" s="530"/>
      <c r="H1092" s="532"/>
      <c r="I1092" s="530"/>
      <c r="J1092" s="532"/>
      <c r="K1092" s="530"/>
      <c r="L1092" s="532"/>
      <c r="M1092" s="530"/>
      <c r="N1092" s="532"/>
      <c r="O1092" s="530"/>
      <c r="P1092" s="532"/>
      <c r="Q1092" s="530"/>
      <c r="R1092" s="532"/>
      <c r="S1092" s="530"/>
      <c r="T1092" s="532"/>
      <c r="U1092" s="532"/>
      <c r="V1092" s="534"/>
      <c r="X1092" s="4"/>
    </row>
    <row r="1093" spans="1:24" s="82" customFormat="1" ht="18" customHeight="1" thickBot="1">
      <c r="A1093" s="890">
        <f>+A1080+1</f>
        <v>84</v>
      </c>
      <c r="B1093" s="891" t="str">
        <f>'Data Entry'!$B$3&amp;"-"&amp;C1093</f>
        <v>-</v>
      </c>
      <c r="C1093" s="891" t="str">
        <f>IFERROR(VLOOKUP('Data Entry'!$B$3&amp;"-"&amp;A1093,'PY1 TFR ADA'!$D:$AT,2,FALSE),"")</f>
        <v/>
      </c>
      <c r="D1093" s="892" t="str">
        <f>IFERROR(VLOOKUP('Data Entry'!$B$3&amp;"-"&amp;A1093,'PY1 TFR ADA'!$D:$AT,4,FALSE),"")</f>
        <v/>
      </c>
      <c r="E1093" s="893"/>
      <c r="F1093" s="893"/>
      <c r="G1093" s="893"/>
      <c r="H1093" s="893"/>
      <c r="I1093" s="893"/>
      <c r="J1093" s="893"/>
      <c r="K1093" s="893"/>
      <c r="L1093" s="893"/>
      <c r="M1093" s="893"/>
      <c r="N1093" s="893"/>
      <c r="O1093" s="893"/>
      <c r="P1093" s="893"/>
      <c r="Q1093" s="893"/>
      <c r="R1093" s="893"/>
      <c r="S1093" s="893"/>
      <c r="T1093" s="893"/>
      <c r="U1093" s="893"/>
      <c r="V1093" s="894"/>
      <c r="X1093" s="83"/>
    </row>
    <row r="1094" spans="1:24" ht="75" customHeight="1">
      <c r="A1094" s="521"/>
      <c r="C1094" s="540" t="s">
        <v>1315</v>
      </c>
      <c r="D1094" s="512"/>
      <c r="E1094" s="540" t="s">
        <v>1316</v>
      </c>
      <c r="F1094" s="512"/>
      <c r="G1094" s="540" t="s">
        <v>1309</v>
      </c>
      <c r="H1094" s="512"/>
      <c r="I1094" s="540" t="s">
        <v>1310</v>
      </c>
      <c r="J1094" s="512"/>
      <c r="K1094" s="540" t="s">
        <v>1311</v>
      </c>
      <c r="L1094" s="512"/>
      <c r="M1094" s="540" t="s">
        <v>1312</v>
      </c>
      <c r="N1094" s="512"/>
      <c r="O1094" s="540" t="s">
        <v>1313</v>
      </c>
      <c r="P1094" s="512"/>
      <c r="Q1094" s="540" t="s">
        <v>1314</v>
      </c>
      <c r="R1094" s="167"/>
      <c r="S1094" s="540" t="s">
        <v>1308</v>
      </c>
      <c r="T1094" s="167"/>
      <c r="U1094" s="512" t="s">
        <v>1307</v>
      </c>
      <c r="V1094" s="524"/>
      <c r="X1094" s="283"/>
    </row>
    <row r="1095" spans="1:24" s="8" customFormat="1" ht="14.4">
      <c r="A1095" s="521"/>
      <c r="B1095" s="510" t="s">
        <v>94</v>
      </c>
      <c r="C1095" s="525">
        <f>IFERROR(VLOOKUP($B1093,'PY1 TFR ADA'!$F:$AU,MATCH("A-1.1",'PY1 TFR ADA'!$F$5:$AU$5,0),FALSE),0)</f>
        <v>0</v>
      </c>
      <c r="D1095" s="167"/>
      <c r="E1095" s="525">
        <f>IFERROR(VALUE(VLOOKUP($B1093,'PY1 TFR ADA'!$F:$AU,MATCH("A-2.1",'PY1 TFR ADA'!$F$5:$AU$5,0),FALSE)),0)</f>
        <v>0</v>
      </c>
      <c r="F1095" s="167"/>
      <c r="G1095" s="609">
        <f>IFERROR(VLOOKUP($B1093,'PY1 TFR ADA'!$F:$AU,MATCH("b-1.1",'PY1 TFR ADA'!$F$5:$AU$5,0),FALSE),0)</f>
        <v>0</v>
      </c>
      <c r="H1095" s="527"/>
      <c r="I1095" s="609">
        <f>IFERROR(VLOOKUP($B1093,'PY1 TFR ADA'!$F:$AU,MATCH("b-2.1",'PY1 TFR ADA'!$F$5:$AU$5,0),FALSE),0)</f>
        <v>0</v>
      </c>
      <c r="J1095" s="527"/>
      <c r="K1095" s="609">
        <f>IFERROR(VLOOKUP($B1093,'PY1 TFR ADA'!$F:$AU,MATCH("b-3.1",'PY1 TFR ADA'!$F$5:$AU$5,0),FALSE),0)</f>
        <v>0</v>
      </c>
      <c r="L1095" s="527"/>
      <c r="M1095" s="609">
        <f>IFERROR(VLOOKUP($B1093,'PY1 TFR ADA'!$F:$AU,MATCH("b-4.1",'PY1 TFR ADA'!$F$5:$AU$5,0),FALSE),0)</f>
        <v>0</v>
      </c>
      <c r="N1095" s="527"/>
      <c r="O1095" s="609">
        <f>IFERROR(VLOOKUP($B1093,'PY1 TFR ADA'!$F:$AU,MATCH("b-5.1",'PY1 TFR ADA'!$F$5:$AU$5,0),FALSE),0)</f>
        <v>0</v>
      </c>
      <c r="P1095" s="527"/>
      <c r="Q1095" s="609">
        <f>IFERROR(VLOOKUP($B1093,'PY1 TFR ADA'!$F:$AU,MATCH("b-6.1",'PY1 TFR ADA'!$F$5:$AU$5,0),FALSE),0)</f>
        <v>0</v>
      </c>
      <c r="R1095" s="551"/>
      <c r="S1095" s="601">
        <f t="shared" ref="S1095:S1098" si="1638">SUM(G1095:Q1095)</f>
        <v>0</v>
      </c>
      <c r="T1095" s="551"/>
      <c r="U1095" s="536">
        <f t="shared" ref="U1095" si="1639">ROUND(IF($G1102="LCFF Rate",(G1095*$C1095),(G1095*$E1095))+IF($I1102="LCFF Rate",(I1095*$C1095),(I1095*$E1095))+IF($K1102="LCFF Rate",(K1095*$C1095),(K1095*$E1095))+IF($M1102="LCFF Rate",(M1095*$C1095),(M1095*$E1095))+IF($O1102="LCFF Rate",(O1095*$C1095),(O1095*$E1095))+IF($Q1102="LCFF Rate",(Q1095*$C1095),(Q1095*$E1095)),0)</f>
        <v>0</v>
      </c>
      <c r="V1095" s="524"/>
      <c r="X1095" s="496"/>
    </row>
    <row r="1096" spans="1:24" s="8" customFormat="1" ht="14.4">
      <c r="A1096" s="521"/>
      <c r="B1096" s="510" t="s">
        <v>2</v>
      </c>
      <c r="C1096" s="525">
        <f>IFERROR(VLOOKUP($B1093,'PY1 TFR ADA'!$F:$AU,MATCH("A-1.2",'PY1 TFR ADA'!$F$5:$AU$5,0),FALSE),0)</f>
        <v>0</v>
      </c>
      <c r="D1096" s="167"/>
      <c r="E1096" s="525">
        <f>IFERROR(VALUE(VLOOKUP($B1093,'PY1 TFR ADA'!$F:$AU,MATCH("A-2.2",'PY1 TFR ADA'!$F$5:$AU$5,0),FALSE)),0)</f>
        <v>0</v>
      </c>
      <c r="F1096" s="167"/>
      <c r="G1096" s="609">
        <f>IFERROR(VLOOKUP($B1093,'PY1 TFR ADA'!$F:$AU,MATCH("b-1.2",'PY1 TFR ADA'!$F$5:$AU$5,0),FALSE),0)</f>
        <v>0</v>
      </c>
      <c r="H1096" s="527"/>
      <c r="I1096" s="609">
        <f>IFERROR(VLOOKUP($B1093,'PY1 TFR ADA'!$F:$AU,MATCH("b-2.2",'PY1 TFR ADA'!$F$5:$AU$5,0),FALSE),0)</f>
        <v>0</v>
      </c>
      <c r="J1096" s="527"/>
      <c r="K1096" s="609">
        <f>IFERROR(VLOOKUP($B1093,'PY1 TFR ADA'!$F:$AU,MATCH("b-3.2",'PY1 TFR ADA'!$F$5:$AU$5,0),FALSE),0)</f>
        <v>0</v>
      </c>
      <c r="L1096" s="527"/>
      <c r="M1096" s="609">
        <f>IFERROR(VLOOKUP($B1093,'PY1 TFR ADA'!$F:$AU,MATCH("b-4.2",'PY1 TFR ADA'!$F$5:$AU$5,0),FALSE),0)</f>
        <v>0</v>
      </c>
      <c r="N1096" s="527"/>
      <c r="O1096" s="609">
        <f>IFERROR(VLOOKUP($B1093,'PY1 TFR ADA'!$F:$AU,MATCH("b-5.2",'PY1 TFR ADA'!$F$5:$AU$5,0),FALSE),0)</f>
        <v>0</v>
      </c>
      <c r="P1096" s="527"/>
      <c r="Q1096" s="609">
        <f>IFERROR(VLOOKUP($B1093,'PY1 TFR ADA'!$F:$AU,MATCH("b-6.2",'PY1 TFR ADA'!$F$5:$AU$5,0),FALSE),0)</f>
        <v>0</v>
      </c>
      <c r="R1096" s="551"/>
      <c r="S1096" s="601">
        <f t="shared" si="1638"/>
        <v>0</v>
      </c>
      <c r="T1096" s="551"/>
      <c r="U1096" s="536">
        <f t="shared" ref="U1096" si="1640">ROUND(IF($G1102="LCFF Rate",(G1096*$C1096),(G1096*$E1096))+IF($I1102="LCFF Rate",(I1096*$C1096),(I1096*$E1096))+IF($K1102="LCFF Rate",(K1096*$C1096),(K1096*$E1096))+IF($M1102="LCFF Rate",(M1096*$C1096),(M1096*$E1096))+IF($O1102="LCFF Rate",(O1096*$C1096),(O1096*$E1096))+IF($Q1102="LCFF Rate",(Q1096*$C1096),(Q1096*$E1096)),0)</f>
        <v>0</v>
      </c>
      <c r="V1096" s="524"/>
      <c r="X1096" s="4"/>
    </row>
    <row r="1097" spans="1:24" s="8" customFormat="1" ht="14.4">
      <c r="A1097" s="521"/>
      <c r="B1097" s="510" t="s">
        <v>3</v>
      </c>
      <c r="C1097" s="525">
        <f>IFERROR(VLOOKUP($B1093,'PY1 TFR ADA'!$F:$AU,MATCH("A-1.3",'PY1 TFR ADA'!$F$5:$AU$5,0),FALSE),0)</f>
        <v>0</v>
      </c>
      <c r="D1097" s="167"/>
      <c r="E1097" s="525">
        <f>IFERROR(VALUE(VLOOKUP($B1093,'PY1 TFR ADA'!$F:$AU,MATCH("A-2.3",'PY1 TFR ADA'!$F$5:$AU$5,0),FALSE)),0)</f>
        <v>0</v>
      </c>
      <c r="F1097" s="167"/>
      <c r="G1097" s="609">
        <f>IFERROR(VLOOKUP($B1093,'PY1 TFR ADA'!$F:$AU,MATCH("b-1.3",'PY1 TFR ADA'!$F$5:$AU$5,0),FALSE),0)</f>
        <v>0</v>
      </c>
      <c r="H1097" s="527"/>
      <c r="I1097" s="609">
        <f>IFERROR(VLOOKUP($B1093,'PY1 TFR ADA'!$F:$AU,MATCH("b-2.3",'PY1 TFR ADA'!$F$5:$AU$5,0),FALSE),0)</f>
        <v>0</v>
      </c>
      <c r="J1097" s="527"/>
      <c r="K1097" s="609">
        <f>IFERROR(VLOOKUP($B1093,'PY1 TFR ADA'!$F:$AU,MATCH("b-3.3",'PY1 TFR ADA'!$F$5:$AU$5,0),FALSE),0)</f>
        <v>0</v>
      </c>
      <c r="L1097" s="527"/>
      <c r="M1097" s="609">
        <f>IFERROR(VLOOKUP($B1093,'PY1 TFR ADA'!$F:$AU,MATCH("b-4.3",'PY1 TFR ADA'!$F$5:$AU$5,0),FALSE),0)</f>
        <v>0</v>
      </c>
      <c r="N1097" s="527"/>
      <c r="O1097" s="609">
        <f>IFERROR(VLOOKUP($B1093,'PY1 TFR ADA'!$F:$AU,MATCH("b-5.3",'PY1 TFR ADA'!$F$5:$AU$5,0),FALSE),0)</f>
        <v>0</v>
      </c>
      <c r="P1097" s="527"/>
      <c r="Q1097" s="609">
        <f>IFERROR(VLOOKUP($B1093,'PY1 TFR ADA'!$F:$AU,MATCH("b-6.3",'PY1 TFR ADA'!$F$5:$AU$5,0),FALSE),0)</f>
        <v>0</v>
      </c>
      <c r="R1097" s="551"/>
      <c r="S1097" s="601">
        <f t="shared" si="1638"/>
        <v>0</v>
      </c>
      <c r="T1097" s="551"/>
      <c r="U1097" s="536">
        <f t="shared" ref="U1097" si="1641">ROUND(IF($G1102="LCFF Rate",(G1097*$C1097),(G1097*$E1097))+IF($I1102="LCFF Rate",(I1097*$C1097),(I1097*$E1097))+IF($K1102="LCFF Rate",(K1097*$C1097),(K1097*$E1097))+IF($M1102="LCFF Rate",(M1097*$C1097),(M1097*$E1097))+IF($O1102="LCFF Rate",(O1097*$C1097),(O1097*$E1097))+IF($Q1102="LCFF Rate",(Q1097*$C1097),(Q1097*$E1097)),0)</f>
        <v>0</v>
      </c>
      <c r="V1097" s="524"/>
      <c r="X1097" s="4"/>
    </row>
    <row r="1098" spans="1:24" s="8" customFormat="1" ht="14.4">
      <c r="A1098" s="526"/>
      <c r="B1098" s="510" t="s">
        <v>4</v>
      </c>
      <c r="C1098" s="525">
        <f>IFERROR(VLOOKUP($B1093,'PY1 TFR ADA'!$F:$AU,MATCH("A-1.4",'PY1 TFR ADA'!$F$5:$AU$5,0),FALSE),0)</f>
        <v>0</v>
      </c>
      <c r="D1098" s="523"/>
      <c r="E1098" s="525">
        <f>IFERROR(VALUE(VLOOKUP($B1093,'PY1 TFR ADA'!$F:$AU,MATCH("A-2.4",'PY1 TFR ADA'!$F$5:$AU$5,0),FALSE)),0)</f>
        <v>0</v>
      </c>
      <c r="F1098" s="523"/>
      <c r="G1098" s="609">
        <f>IFERROR(VLOOKUP($B1093,'PY1 TFR ADA'!$F:$AU,MATCH("b-1.4",'PY1 TFR ADA'!$F$5:$AU$5,0),FALSE),0)</f>
        <v>0</v>
      </c>
      <c r="H1098" s="527"/>
      <c r="I1098" s="609">
        <f>IFERROR(VLOOKUP($B1093,'PY1 TFR ADA'!$F:$AU,MATCH("b-2.4",'PY1 TFR ADA'!$F$5:$AU$5,0),FALSE),0)</f>
        <v>0</v>
      </c>
      <c r="J1098" s="527"/>
      <c r="K1098" s="609">
        <f>IFERROR(VLOOKUP($B1093,'PY1 TFR ADA'!$F:$AU,MATCH("b-3.4",'PY1 TFR ADA'!$F$5:$AU$5,0),FALSE),0)</f>
        <v>0</v>
      </c>
      <c r="L1098" s="527"/>
      <c r="M1098" s="609">
        <f>IFERROR(VLOOKUP($B1093,'PY1 TFR ADA'!$F:$AU,MATCH("b-4.4",'PY1 TFR ADA'!$F$5:$AU$5,0),FALSE),0)</f>
        <v>0</v>
      </c>
      <c r="N1098" s="527"/>
      <c r="O1098" s="609">
        <f>IFERROR(VLOOKUP($B1093,'PY1 TFR ADA'!$F:$AU,MATCH("b-5.4",'PY1 TFR ADA'!$F$5:$AU$5,0),FALSE),0)</f>
        <v>0</v>
      </c>
      <c r="P1098" s="527"/>
      <c r="Q1098" s="609">
        <f>IFERROR(VLOOKUP($B1093,'PY1 TFR ADA'!$F:$AU,MATCH("b-6.4",'PY1 TFR ADA'!$F$5:$AU$5,0),FALSE),0)</f>
        <v>0</v>
      </c>
      <c r="R1098" s="551"/>
      <c r="S1098" s="601">
        <f t="shared" si="1638"/>
        <v>0</v>
      </c>
      <c r="T1098" s="551"/>
      <c r="U1098" s="536">
        <f t="shared" ref="U1098" si="1642">ROUND(IF($G1102="LCFF Rate",(G1098*$C1098),(G1098*$E1098))+IF($I1102="LCFF Rate",(I1098*$C1098),(I1098*$E1098))+IF($K1102="LCFF Rate",(K1098*$C1098),(K1098*$E1098))+IF($M1102="LCFF Rate",(M1098*$C1098),(M1098*$E1098))+IF($O1102="LCFF Rate",(O1098*$C1098),(O1098*$E1098))+IF($Q1102="LCFF Rate",(Q1098*$C1098),(Q1098*$E1098)),0)</f>
        <v>0</v>
      </c>
      <c r="V1098" s="522"/>
      <c r="X1098" s="496"/>
    </row>
    <row r="1099" spans="1:24" s="8" customFormat="1" ht="8.25" customHeight="1">
      <c r="A1099" s="521"/>
      <c r="B1099" s="167"/>
      <c r="C1099" s="165"/>
      <c r="D1099" s="523"/>
      <c r="E1099" s="165"/>
      <c r="F1099" s="523"/>
      <c r="G1099" s="520"/>
      <c r="H1099" s="523"/>
      <c r="I1099" s="520"/>
      <c r="J1099" s="523"/>
      <c r="K1099" s="520"/>
      <c r="L1099" s="523"/>
      <c r="M1099" s="520"/>
      <c r="N1099" s="523"/>
      <c r="O1099" s="520"/>
      <c r="P1099" s="523"/>
      <c r="Q1099" s="520"/>
      <c r="R1099" s="167"/>
      <c r="S1099" s="520"/>
      <c r="T1099" s="167"/>
      <c r="U1099" s="602"/>
      <c r="V1099" s="522"/>
      <c r="X1099" s="4"/>
    </row>
    <row r="1100" spans="1:24" s="8" customFormat="1" ht="14.4">
      <c r="A1100" s="521"/>
      <c r="B1100" s="167"/>
      <c r="C1100" s="165"/>
      <c r="D1100" s="523"/>
      <c r="E1100" s="513" t="s">
        <v>1317</v>
      </c>
      <c r="F1100" s="523"/>
      <c r="G1100" s="601">
        <f t="shared" ref="G1100" si="1643">SUM(G1095:G1098)</f>
        <v>0</v>
      </c>
      <c r="H1100" s="527"/>
      <c r="I1100" s="601">
        <f t="shared" ref="I1100" si="1644">SUM(I1095:I1098)</f>
        <v>0</v>
      </c>
      <c r="J1100" s="527"/>
      <c r="K1100" s="601">
        <f t="shared" ref="K1100" si="1645">SUM(K1095:K1098)</f>
        <v>0</v>
      </c>
      <c r="L1100" s="527"/>
      <c r="M1100" s="601">
        <f t="shared" ref="M1100" si="1646">SUM(M1095:M1098)</f>
        <v>0</v>
      </c>
      <c r="N1100" s="527"/>
      <c r="O1100" s="601">
        <f t="shared" ref="O1100" si="1647">SUM(O1095:O1098)</f>
        <v>0</v>
      </c>
      <c r="P1100" s="527"/>
      <c r="Q1100" s="601">
        <f t="shared" ref="Q1100" si="1648">SUM(Q1095:Q1098)</f>
        <v>0</v>
      </c>
      <c r="R1100" s="527"/>
      <c r="S1100" s="601">
        <f t="shared" ref="S1100" si="1649">SUM(S1095:S1098)</f>
        <v>0</v>
      </c>
      <c r="T1100" s="527"/>
      <c r="U1100" s="536">
        <f t="shared" ref="U1100" si="1650">SUM(U1095:U1098)</f>
        <v>0</v>
      </c>
      <c r="V1100" s="522"/>
      <c r="X1100" s="4"/>
    </row>
    <row r="1101" spans="1:24" s="8" customFormat="1" ht="8.25" customHeight="1">
      <c r="A1101" s="521"/>
      <c r="B1101" s="167"/>
      <c r="C1101" s="165"/>
      <c r="D1101" s="523"/>
      <c r="E1101" s="165"/>
      <c r="F1101" s="523"/>
      <c r="G1101" s="520"/>
      <c r="H1101" s="523"/>
      <c r="I1101" s="520"/>
      <c r="J1101" s="523"/>
      <c r="K1101" s="520"/>
      <c r="L1101" s="523"/>
      <c r="M1101" s="520"/>
      <c r="N1101" s="523"/>
      <c r="O1101" s="520"/>
      <c r="P1101" s="523"/>
      <c r="Q1101" s="520"/>
      <c r="R1101" s="167"/>
      <c r="S1101" s="520"/>
      <c r="T1101" s="167"/>
      <c r="U1101" s="528"/>
      <c r="V1101" s="522"/>
      <c r="X1101" s="4"/>
    </row>
    <row r="1102" spans="1:24" s="8" customFormat="1" ht="16.5" customHeight="1">
      <c r="A1102" s="521"/>
      <c r="B1102" s="167"/>
      <c r="C1102" s="165"/>
      <c r="E1102" s="513" t="s">
        <v>1304</v>
      </c>
      <c r="F1102" s="523"/>
      <c r="G1102" s="977">
        <f>_xlfn.IFNA(IF(VLOOKUP($B1093,'PY1 TFR ADA'!$F:$AU,MATCH("B-1.5",'PY1 TFR ADA'!$F$5:$AU$5,0),FALSE)=TRUE,IF(VLOOKUP($B1093,'PY1 TFR ADA'!$F:$AU,MATCH("C-1",'PY1 TFR ADA'!$F$5:$AU$5,0),FALSE)=TRUE,"Alternative Rate","LCFF Rate"),"LCFF Rate"),0)</f>
        <v>0</v>
      </c>
      <c r="H1102" s="523"/>
      <c r="I1102" s="977">
        <f>_xlfn.IFNA(IF(VLOOKUP($B1093,'PY1 TFR ADA'!$F:$AU,MATCH("B-2.5",'PY1 TFR ADA'!$F$5:$AU$5,0),FALSE)=TRUE,IF(VLOOKUP($B1093,'PY1 TFR ADA'!$F:$AU,MATCH("C-1",'PY1 TFR ADA'!$F$5:$AU$5,0),FALSE)=TRUE,"Alternative Rate","LCFF Rate"),"LCFF Rate"),0)</f>
        <v>0</v>
      </c>
      <c r="J1102" s="523"/>
      <c r="K1102" s="977">
        <f>_xlfn.IFNA(IF(VLOOKUP($B1093,'PY1 TFR ADA'!$F:$AU,MATCH("B-3.5",'PY1 TFR ADA'!$F$5:$AU$5,0),FALSE)=TRUE,IF(VLOOKUP($B1093,'PY1 TFR ADA'!$F:$AU,MATCH("C-1",'PY1 TFR ADA'!$F$5:$AU$5,0),FALSE)=TRUE,"Alternative Rate","LCFF Rate"),"LCFF Rate"),0)</f>
        <v>0</v>
      </c>
      <c r="L1102" s="523"/>
      <c r="M1102" s="977">
        <f>_xlfn.IFNA(IF(VLOOKUP($B1093,'PY1 TFR ADA'!$F:$AU,MATCH("B-4.5",'PY1 TFR ADA'!$F$5:$AU$5,0),FALSE)=TRUE,IF(VLOOKUP($B1093,'PY1 TFR ADA'!$F:$AU,MATCH("C-1",'PY1 TFR ADA'!$F$5:$AU$5,0),FALSE)=TRUE,"Alternative Rate","LCFF Rate"),"LCFF Rate"),0)</f>
        <v>0</v>
      </c>
      <c r="N1102" s="523"/>
      <c r="O1102" s="977">
        <f>_xlfn.IFNA(IF(VLOOKUP($B1093,'PY1 TFR ADA'!$F:$AU,MATCH("B-5.5",'PY1 TFR ADA'!$F$5:$AU$5,0),FALSE)=TRUE,IF(VLOOKUP($B1093,'PY1 TFR ADA'!$F:$AU,MATCH("C-1",'PY1 TFR ADA'!$F$5:$AU$5,0),FALSE)=TRUE,"Alternative Rate","LCFF Rate"),"LCFF Rate"),0)</f>
        <v>0</v>
      </c>
      <c r="P1102" s="523"/>
      <c r="Q1102" s="977">
        <f>_xlfn.IFNA(IF(VLOOKUP($B1093,'PY1 TFR ADA'!$F:$AU,MATCH("B-6.5",'PY1 TFR ADA'!$F$5:$AU$5,0),FALSE)=TRUE,IF(VLOOKUP($B1093,'PY1 TFR ADA'!$F:$AU,MATCH("C-1",'PY1 TFR ADA'!$F$5:$AU$5,0),FALSE)=TRUE,"Alternative Rate","LCFF Rate"),"LCFF Rate"),0)</f>
        <v>0</v>
      </c>
      <c r="R1102" s="167"/>
      <c r="S1102" s="520"/>
      <c r="T1102" s="167"/>
      <c r="U1102" s="528"/>
      <c r="V1102" s="522"/>
      <c r="X1102" s="283"/>
    </row>
    <row r="1103" spans="1:24" s="8" customFormat="1" ht="8.25" customHeight="1">
      <c r="A1103" s="521"/>
      <c r="B1103" s="167"/>
      <c r="C1103" s="165"/>
      <c r="D1103" s="523"/>
      <c r="E1103" s="165"/>
      <c r="F1103" s="523"/>
      <c r="G1103" s="520"/>
      <c r="H1103" s="523"/>
      <c r="I1103" s="520"/>
      <c r="J1103" s="523"/>
      <c r="K1103" s="520"/>
      <c r="L1103" s="523"/>
      <c r="M1103" s="520"/>
      <c r="N1103" s="523"/>
      <c r="O1103" s="520"/>
      <c r="P1103" s="523"/>
      <c r="Q1103" s="520"/>
      <c r="R1103" s="167"/>
      <c r="S1103" s="520"/>
      <c r="T1103" s="167"/>
      <c r="U1103" s="528"/>
      <c r="V1103" s="522"/>
      <c r="X1103" s="4"/>
    </row>
    <row r="1104" spans="1:24" s="8" customFormat="1" ht="16.8">
      <c r="A1104" s="521"/>
      <c r="B1104" s="2"/>
      <c r="F1104" s="523"/>
      <c r="G1104" s="535">
        <f t="shared" ref="G1104" si="1651">IF(G1102="LCFF Rate",(G1095*C1095+G1096*C1096+G1097*C1097+G1098*C1098),(G1100*E1098))</f>
        <v>0</v>
      </c>
      <c r="H1104" s="537"/>
      <c r="I1104" s="535">
        <f t="shared" ref="I1104" si="1652">IF(I1102="LCFF Rate",(I1095*C1095+I1096*C1096+I1097*C1097+I1098*C1098),(I1100*E1098))</f>
        <v>0</v>
      </c>
      <c r="J1104" s="537"/>
      <c r="K1104" s="535">
        <f t="shared" ref="K1104" si="1653">IF(K1102="LCFF Rate",(K1095*C1095+K1096*C1096+K1097*C1097+K1098*C1098),(K1100*E1098))</f>
        <v>0</v>
      </c>
      <c r="L1104" s="537"/>
      <c r="M1104" s="535">
        <f t="shared" ref="M1104" si="1654">IF(M1102="LCFF Rate",(M1095*C1095+M1096*C1096+M1097*C1097+M1098*C1098),(M1100*E1098))</f>
        <v>0</v>
      </c>
      <c r="N1104" s="537"/>
      <c r="O1104" s="535">
        <f t="shared" ref="O1104" si="1655">IF(O1102="LCFF Rate",(O1095*C1095+O1096*C1096+O1097*C1097+O1098*C1098),(O1100*E1098))</f>
        <v>0</v>
      </c>
      <c r="P1104" s="537"/>
      <c r="Q1104" s="535">
        <f t="shared" ref="Q1104" si="1656">IF(Q1102="LCFF Rate",(Q1095*C1095+Q1096*C1096+Q1097*C1097+Q1098*C1098),(Q1100*E1098))</f>
        <v>0</v>
      </c>
      <c r="R1104" s="167"/>
      <c r="S1104" s="538">
        <f t="shared" ref="S1104" si="1657">SUM(G1104:Q1104)</f>
        <v>0</v>
      </c>
      <c r="T1104" s="167"/>
      <c r="U1104" s="528"/>
      <c r="V1104" s="522"/>
      <c r="X1104" s="979"/>
    </row>
    <row r="1105" spans="1:24" s="8" customFormat="1" ht="9" customHeight="1" thickBot="1">
      <c r="A1105" s="529"/>
      <c r="B1105" s="530"/>
      <c r="C1105" s="531"/>
      <c r="D1105" s="532"/>
      <c r="E1105" s="533"/>
      <c r="F1105" s="532"/>
      <c r="G1105" s="530"/>
      <c r="H1105" s="532"/>
      <c r="I1105" s="530"/>
      <c r="J1105" s="532"/>
      <c r="K1105" s="530"/>
      <c r="L1105" s="532"/>
      <c r="M1105" s="530"/>
      <c r="N1105" s="532"/>
      <c r="O1105" s="530"/>
      <c r="P1105" s="532"/>
      <c r="Q1105" s="530"/>
      <c r="R1105" s="532"/>
      <c r="S1105" s="530"/>
      <c r="T1105" s="532"/>
      <c r="U1105" s="532"/>
      <c r="V1105" s="534"/>
      <c r="X1105" s="4"/>
    </row>
    <row r="1106" spans="1:24" s="82" customFormat="1" ht="18" customHeight="1" thickBot="1">
      <c r="A1106" s="890">
        <f>+A1093+1</f>
        <v>85</v>
      </c>
      <c r="B1106" s="891" t="str">
        <f>'Data Entry'!$B$3&amp;"-"&amp;C1106</f>
        <v>-</v>
      </c>
      <c r="C1106" s="891" t="str">
        <f>IFERROR(VLOOKUP('Data Entry'!$B$3&amp;"-"&amp;A1106,'PY1 TFR ADA'!$D:$AT,2,FALSE),"")</f>
        <v/>
      </c>
      <c r="D1106" s="892" t="str">
        <f>IFERROR(VLOOKUP('Data Entry'!$B$3&amp;"-"&amp;A1106,'PY1 TFR ADA'!$D:$AT,4,FALSE),"")</f>
        <v/>
      </c>
      <c r="E1106" s="893"/>
      <c r="F1106" s="893"/>
      <c r="G1106" s="893"/>
      <c r="H1106" s="893"/>
      <c r="I1106" s="893"/>
      <c r="J1106" s="893"/>
      <c r="K1106" s="893"/>
      <c r="L1106" s="893"/>
      <c r="M1106" s="893"/>
      <c r="N1106" s="893"/>
      <c r="O1106" s="893"/>
      <c r="P1106" s="893"/>
      <c r="Q1106" s="893"/>
      <c r="R1106" s="893"/>
      <c r="S1106" s="893"/>
      <c r="T1106" s="893"/>
      <c r="U1106" s="893"/>
      <c r="V1106" s="894"/>
      <c r="X1106" s="83"/>
    </row>
    <row r="1107" spans="1:24" ht="75" customHeight="1">
      <c r="A1107" s="521"/>
      <c r="C1107" s="540" t="s">
        <v>1315</v>
      </c>
      <c r="D1107" s="512"/>
      <c r="E1107" s="540" t="s">
        <v>1316</v>
      </c>
      <c r="F1107" s="512"/>
      <c r="G1107" s="540" t="s">
        <v>1309</v>
      </c>
      <c r="H1107" s="512"/>
      <c r="I1107" s="540" t="s">
        <v>1310</v>
      </c>
      <c r="J1107" s="512"/>
      <c r="K1107" s="540" t="s">
        <v>1311</v>
      </c>
      <c r="L1107" s="512"/>
      <c r="M1107" s="540" t="s">
        <v>1312</v>
      </c>
      <c r="N1107" s="512"/>
      <c r="O1107" s="540" t="s">
        <v>1313</v>
      </c>
      <c r="P1107" s="512"/>
      <c r="Q1107" s="540" t="s">
        <v>1314</v>
      </c>
      <c r="R1107" s="167"/>
      <c r="S1107" s="540" t="s">
        <v>1308</v>
      </c>
      <c r="T1107" s="167"/>
      <c r="U1107" s="512" t="s">
        <v>1307</v>
      </c>
      <c r="V1107" s="524"/>
      <c r="X1107" s="283"/>
    </row>
    <row r="1108" spans="1:24" s="8" customFormat="1" ht="14.4">
      <c r="A1108" s="521"/>
      <c r="B1108" s="510" t="s">
        <v>94</v>
      </c>
      <c r="C1108" s="525">
        <f>IFERROR(VLOOKUP($B1106,'PY1 TFR ADA'!$F:$AU,MATCH("A-1.1",'PY1 TFR ADA'!$F$5:$AU$5,0),FALSE),0)</f>
        <v>0</v>
      </c>
      <c r="D1108" s="167"/>
      <c r="E1108" s="525">
        <f>IFERROR(VALUE(VLOOKUP($B1106,'PY1 TFR ADA'!$F:$AU,MATCH("A-2.1",'PY1 TFR ADA'!$F$5:$AU$5,0),FALSE)),0)</f>
        <v>0</v>
      </c>
      <c r="F1108" s="167"/>
      <c r="G1108" s="609">
        <f>IFERROR(VLOOKUP($B1106,'PY1 TFR ADA'!$F:$AU,MATCH("b-1.1",'PY1 TFR ADA'!$F$5:$AU$5,0),FALSE),0)</f>
        <v>0</v>
      </c>
      <c r="H1108" s="527"/>
      <c r="I1108" s="609">
        <f>IFERROR(VLOOKUP($B1106,'PY1 TFR ADA'!$F:$AU,MATCH("b-2.1",'PY1 TFR ADA'!$F$5:$AU$5,0),FALSE),0)</f>
        <v>0</v>
      </c>
      <c r="J1108" s="527"/>
      <c r="K1108" s="609">
        <f>IFERROR(VLOOKUP($B1106,'PY1 TFR ADA'!$F:$AU,MATCH("b-3.1",'PY1 TFR ADA'!$F$5:$AU$5,0),FALSE),0)</f>
        <v>0</v>
      </c>
      <c r="L1108" s="527"/>
      <c r="M1108" s="609">
        <f>IFERROR(VLOOKUP($B1106,'PY1 TFR ADA'!$F:$AU,MATCH("b-4.1",'PY1 TFR ADA'!$F$5:$AU$5,0),FALSE),0)</f>
        <v>0</v>
      </c>
      <c r="N1108" s="527"/>
      <c r="O1108" s="609">
        <f>IFERROR(VLOOKUP($B1106,'PY1 TFR ADA'!$F:$AU,MATCH("b-5.1",'PY1 TFR ADA'!$F$5:$AU$5,0),FALSE),0)</f>
        <v>0</v>
      </c>
      <c r="P1108" s="527"/>
      <c r="Q1108" s="609">
        <f>IFERROR(VLOOKUP($B1106,'PY1 TFR ADA'!$F:$AU,MATCH("b-6.1",'PY1 TFR ADA'!$F$5:$AU$5,0),FALSE),0)</f>
        <v>0</v>
      </c>
      <c r="R1108" s="551"/>
      <c r="S1108" s="601">
        <f t="shared" ref="S1108:S1111" si="1658">SUM(G1108:Q1108)</f>
        <v>0</v>
      </c>
      <c r="T1108" s="551"/>
      <c r="U1108" s="536">
        <f t="shared" ref="U1108" si="1659">ROUND(IF($G1115="LCFF Rate",(G1108*$C1108),(G1108*$E1108))+IF($I1115="LCFF Rate",(I1108*$C1108),(I1108*$E1108))+IF($K1115="LCFF Rate",(K1108*$C1108),(K1108*$E1108))+IF($M1115="LCFF Rate",(M1108*$C1108),(M1108*$E1108))+IF($O1115="LCFF Rate",(O1108*$C1108),(O1108*$E1108))+IF($Q1115="LCFF Rate",(Q1108*$C1108),(Q1108*$E1108)),0)</f>
        <v>0</v>
      </c>
      <c r="V1108" s="524"/>
      <c r="X1108" s="496"/>
    </row>
    <row r="1109" spans="1:24" s="8" customFormat="1" ht="14.4">
      <c r="A1109" s="521"/>
      <c r="B1109" s="510" t="s">
        <v>2</v>
      </c>
      <c r="C1109" s="525">
        <f>IFERROR(VLOOKUP($B1106,'PY1 TFR ADA'!$F:$AU,MATCH("A-1.2",'PY1 TFR ADA'!$F$5:$AU$5,0),FALSE),0)</f>
        <v>0</v>
      </c>
      <c r="D1109" s="167"/>
      <c r="E1109" s="525">
        <f>IFERROR(VALUE(VLOOKUP($B1106,'PY1 TFR ADA'!$F:$AU,MATCH("A-2.2",'PY1 TFR ADA'!$F$5:$AU$5,0),FALSE)),0)</f>
        <v>0</v>
      </c>
      <c r="F1109" s="167"/>
      <c r="G1109" s="609">
        <f>IFERROR(VLOOKUP($B1106,'PY1 TFR ADA'!$F:$AU,MATCH("b-1.2",'PY1 TFR ADA'!$F$5:$AU$5,0),FALSE),0)</f>
        <v>0</v>
      </c>
      <c r="H1109" s="527"/>
      <c r="I1109" s="609">
        <f>IFERROR(VLOOKUP($B1106,'PY1 TFR ADA'!$F:$AU,MATCH("b-2.2",'PY1 TFR ADA'!$F$5:$AU$5,0),FALSE),0)</f>
        <v>0</v>
      </c>
      <c r="J1109" s="527"/>
      <c r="K1109" s="609">
        <f>IFERROR(VLOOKUP($B1106,'PY1 TFR ADA'!$F:$AU,MATCH("b-3.2",'PY1 TFR ADA'!$F$5:$AU$5,0),FALSE),0)</f>
        <v>0</v>
      </c>
      <c r="L1109" s="527"/>
      <c r="M1109" s="609">
        <f>IFERROR(VLOOKUP($B1106,'PY1 TFR ADA'!$F:$AU,MATCH("b-4.2",'PY1 TFR ADA'!$F$5:$AU$5,0),FALSE),0)</f>
        <v>0</v>
      </c>
      <c r="N1109" s="527"/>
      <c r="O1109" s="609">
        <f>IFERROR(VLOOKUP($B1106,'PY1 TFR ADA'!$F:$AU,MATCH("b-5.2",'PY1 TFR ADA'!$F$5:$AU$5,0),FALSE),0)</f>
        <v>0</v>
      </c>
      <c r="P1109" s="527"/>
      <c r="Q1109" s="609">
        <f>IFERROR(VLOOKUP($B1106,'PY1 TFR ADA'!$F:$AU,MATCH("b-6.2",'PY1 TFR ADA'!$F$5:$AU$5,0),FALSE),0)</f>
        <v>0</v>
      </c>
      <c r="R1109" s="551"/>
      <c r="S1109" s="601">
        <f t="shared" si="1658"/>
        <v>0</v>
      </c>
      <c r="T1109" s="551"/>
      <c r="U1109" s="536">
        <f t="shared" ref="U1109" si="1660">ROUND(IF($G1115="LCFF Rate",(G1109*$C1109),(G1109*$E1109))+IF($I1115="LCFF Rate",(I1109*$C1109),(I1109*$E1109))+IF($K1115="LCFF Rate",(K1109*$C1109),(K1109*$E1109))+IF($M1115="LCFF Rate",(M1109*$C1109),(M1109*$E1109))+IF($O1115="LCFF Rate",(O1109*$C1109),(O1109*$E1109))+IF($Q1115="LCFF Rate",(Q1109*$C1109),(Q1109*$E1109)),0)</f>
        <v>0</v>
      </c>
      <c r="V1109" s="524"/>
      <c r="X1109" s="4"/>
    </row>
    <row r="1110" spans="1:24" s="8" customFormat="1" ht="14.4">
      <c r="A1110" s="521"/>
      <c r="B1110" s="510" t="s">
        <v>3</v>
      </c>
      <c r="C1110" s="525">
        <f>IFERROR(VLOOKUP($B1106,'PY1 TFR ADA'!$F:$AU,MATCH("A-1.3",'PY1 TFR ADA'!$F$5:$AU$5,0),FALSE),0)</f>
        <v>0</v>
      </c>
      <c r="D1110" s="167"/>
      <c r="E1110" s="525">
        <f>IFERROR(VALUE(VLOOKUP($B1106,'PY1 TFR ADA'!$F:$AU,MATCH("A-2.3",'PY1 TFR ADA'!$F$5:$AU$5,0),FALSE)),0)</f>
        <v>0</v>
      </c>
      <c r="F1110" s="167"/>
      <c r="G1110" s="609">
        <f>IFERROR(VLOOKUP($B1106,'PY1 TFR ADA'!$F:$AU,MATCH("b-1.3",'PY1 TFR ADA'!$F$5:$AU$5,0),FALSE),0)</f>
        <v>0</v>
      </c>
      <c r="H1110" s="527"/>
      <c r="I1110" s="609">
        <f>IFERROR(VLOOKUP($B1106,'PY1 TFR ADA'!$F:$AU,MATCH("b-2.3",'PY1 TFR ADA'!$F$5:$AU$5,0),FALSE),0)</f>
        <v>0</v>
      </c>
      <c r="J1110" s="527"/>
      <c r="K1110" s="609">
        <f>IFERROR(VLOOKUP($B1106,'PY1 TFR ADA'!$F:$AU,MATCH("b-3.3",'PY1 TFR ADA'!$F$5:$AU$5,0),FALSE),0)</f>
        <v>0</v>
      </c>
      <c r="L1110" s="527"/>
      <c r="M1110" s="609">
        <f>IFERROR(VLOOKUP($B1106,'PY1 TFR ADA'!$F:$AU,MATCH("b-4.3",'PY1 TFR ADA'!$F$5:$AU$5,0),FALSE),0)</f>
        <v>0</v>
      </c>
      <c r="N1110" s="527"/>
      <c r="O1110" s="609">
        <f>IFERROR(VLOOKUP($B1106,'PY1 TFR ADA'!$F:$AU,MATCH("b-5.3",'PY1 TFR ADA'!$F$5:$AU$5,0),FALSE),0)</f>
        <v>0</v>
      </c>
      <c r="P1110" s="527"/>
      <c r="Q1110" s="609">
        <f>IFERROR(VLOOKUP($B1106,'PY1 TFR ADA'!$F:$AU,MATCH("b-6.3",'PY1 TFR ADA'!$F$5:$AU$5,0),FALSE),0)</f>
        <v>0</v>
      </c>
      <c r="R1110" s="551"/>
      <c r="S1110" s="601">
        <f t="shared" si="1658"/>
        <v>0</v>
      </c>
      <c r="T1110" s="551"/>
      <c r="U1110" s="536">
        <f t="shared" ref="U1110" si="1661">ROUND(IF($G1115="LCFF Rate",(G1110*$C1110),(G1110*$E1110))+IF($I1115="LCFF Rate",(I1110*$C1110),(I1110*$E1110))+IF($K1115="LCFF Rate",(K1110*$C1110),(K1110*$E1110))+IF($M1115="LCFF Rate",(M1110*$C1110),(M1110*$E1110))+IF($O1115="LCFF Rate",(O1110*$C1110),(O1110*$E1110))+IF($Q1115="LCFF Rate",(Q1110*$C1110),(Q1110*$E1110)),0)</f>
        <v>0</v>
      </c>
      <c r="V1110" s="524"/>
      <c r="X1110" s="4"/>
    </row>
    <row r="1111" spans="1:24" s="8" customFormat="1" ht="14.4">
      <c r="A1111" s="526"/>
      <c r="B1111" s="510" t="s">
        <v>4</v>
      </c>
      <c r="C1111" s="525">
        <f>IFERROR(VLOOKUP($B1106,'PY1 TFR ADA'!$F:$AU,MATCH("A-1.4",'PY1 TFR ADA'!$F$5:$AU$5,0),FALSE),0)</f>
        <v>0</v>
      </c>
      <c r="D1111" s="523"/>
      <c r="E1111" s="525">
        <f>IFERROR(VALUE(VLOOKUP($B1106,'PY1 TFR ADA'!$F:$AU,MATCH("A-2.4",'PY1 TFR ADA'!$F$5:$AU$5,0),FALSE)),0)</f>
        <v>0</v>
      </c>
      <c r="F1111" s="523"/>
      <c r="G1111" s="609">
        <f>IFERROR(VLOOKUP($B1106,'PY1 TFR ADA'!$F:$AU,MATCH("b-1.4",'PY1 TFR ADA'!$F$5:$AU$5,0),FALSE),0)</f>
        <v>0</v>
      </c>
      <c r="H1111" s="527"/>
      <c r="I1111" s="609">
        <f>IFERROR(VLOOKUP($B1106,'PY1 TFR ADA'!$F:$AU,MATCH("b-2.4",'PY1 TFR ADA'!$F$5:$AU$5,0),FALSE),0)</f>
        <v>0</v>
      </c>
      <c r="J1111" s="527"/>
      <c r="K1111" s="609">
        <f>IFERROR(VLOOKUP($B1106,'PY1 TFR ADA'!$F:$AU,MATCH("b-3.4",'PY1 TFR ADA'!$F$5:$AU$5,0),FALSE),0)</f>
        <v>0</v>
      </c>
      <c r="L1111" s="527"/>
      <c r="M1111" s="609">
        <f>IFERROR(VLOOKUP($B1106,'PY1 TFR ADA'!$F:$AU,MATCH("b-4.4",'PY1 TFR ADA'!$F$5:$AU$5,0),FALSE),0)</f>
        <v>0</v>
      </c>
      <c r="N1111" s="527"/>
      <c r="O1111" s="609">
        <f>IFERROR(VLOOKUP($B1106,'PY1 TFR ADA'!$F:$AU,MATCH("b-5.4",'PY1 TFR ADA'!$F$5:$AU$5,0),FALSE),0)</f>
        <v>0</v>
      </c>
      <c r="P1111" s="527"/>
      <c r="Q1111" s="609">
        <f>IFERROR(VLOOKUP($B1106,'PY1 TFR ADA'!$F:$AU,MATCH("b-6.4",'PY1 TFR ADA'!$F$5:$AU$5,0),FALSE),0)</f>
        <v>0</v>
      </c>
      <c r="R1111" s="551"/>
      <c r="S1111" s="601">
        <f t="shared" si="1658"/>
        <v>0</v>
      </c>
      <c r="T1111" s="551"/>
      <c r="U1111" s="536">
        <f t="shared" ref="U1111" si="1662">ROUND(IF($G1115="LCFF Rate",(G1111*$C1111),(G1111*$E1111))+IF($I1115="LCFF Rate",(I1111*$C1111),(I1111*$E1111))+IF($K1115="LCFF Rate",(K1111*$C1111),(K1111*$E1111))+IF($M1115="LCFF Rate",(M1111*$C1111),(M1111*$E1111))+IF($O1115="LCFF Rate",(O1111*$C1111),(O1111*$E1111))+IF($Q1115="LCFF Rate",(Q1111*$C1111),(Q1111*$E1111)),0)</f>
        <v>0</v>
      </c>
      <c r="V1111" s="522"/>
      <c r="X1111" s="496"/>
    </row>
    <row r="1112" spans="1:24" s="8" customFormat="1" ht="8.25" customHeight="1">
      <c r="A1112" s="521"/>
      <c r="B1112" s="167"/>
      <c r="C1112" s="165"/>
      <c r="D1112" s="523"/>
      <c r="E1112" s="165"/>
      <c r="F1112" s="523"/>
      <c r="G1112" s="520"/>
      <c r="H1112" s="523"/>
      <c r="I1112" s="520"/>
      <c r="J1112" s="523"/>
      <c r="K1112" s="520"/>
      <c r="L1112" s="523"/>
      <c r="M1112" s="520"/>
      <c r="N1112" s="523"/>
      <c r="O1112" s="520"/>
      <c r="P1112" s="523"/>
      <c r="Q1112" s="520"/>
      <c r="R1112" s="167"/>
      <c r="S1112" s="520"/>
      <c r="T1112" s="167"/>
      <c r="U1112" s="602"/>
      <c r="V1112" s="522"/>
      <c r="X1112" s="4"/>
    </row>
    <row r="1113" spans="1:24" s="8" customFormat="1" ht="14.4">
      <c r="A1113" s="521"/>
      <c r="B1113" s="167"/>
      <c r="C1113" s="165"/>
      <c r="D1113" s="523"/>
      <c r="E1113" s="513" t="s">
        <v>1317</v>
      </c>
      <c r="F1113" s="523"/>
      <c r="G1113" s="601">
        <f t="shared" ref="G1113" si="1663">SUM(G1108:G1111)</f>
        <v>0</v>
      </c>
      <c r="H1113" s="527"/>
      <c r="I1113" s="601">
        <f t="shared" ref="I1113" si="1664">SUM(I1108:I1111)</f>
        <v>0</v>
      </c>
      <c r="J1113" s="527"/>
      <c r="K1113" s="601">
        <f t="shared" ref="K1113" si="1665">SUM(K1108:K1111)</f>
        <v>0</v>
      </c>
      <c r="L1113" s="527"/>
      <c r="M1113" s="601">
        <f t="shared" ref="M1113" si="1666">SUM(M1108:M1111)</f>
        <v>0</v>
      </c>
      <c r="N1113" s="527"/>
      <c r="O1113" s="601">
        <f t="shared" ref="O1113" si="1667">SUM(O1108:O1111)</f>
        <v>0</v>
      </c>
      <c r="P1113" s="527"/>
      <c r="Q1113" s="601">
        <f t="shared" ref="Q1113" si="1668">SUM(Q1108:Q1111)</f>
        <v>0</v>
      </c>
      <c r="R1113" s="527"/>
      <c r="S1113" s="601">
        <f t="shared" ref="S1113" si="1669">SUM(S1108:S1111)</f>
        <v>0</v>
      </c>
      <c r="T1113" s="527"/>
      <c r="U1113" s="536">
        <f t="shared" ref="U1113" si="1670">SUM(U1108:U1111)</f>
        <v>0</v>
      </c>
      <c r="V1113" s="522"/>
      <c r="X1113" s="4"/>
    </row>
    <row r="1114" spans="1:24" s="8" customFormat="1" ht="8.25" customHeight="1">
      <c r="A1114" s="521"/>
      <c r="B1114" s="167"/>
      <c r="C1114" s="165"/>
      <c r="D1114" s="523"/>
      <c r="E1114" s="165"/>
      <c r="F1114" s="523"/>
      <c r="G1114" s="520"/>
      <c r="H1114" s="523"/>
      <c r="I1114" s="520"/>
      <c r="J1114" s="523"/>
      <c r="K1114" s="520"/>
      <c r="L1114" s="523"/>
      <c r="M1114" s="520"/>
      <c r="N1114" s="523"/>
      <c r="O1114" s="520"/>
      <c r="P1114" s="523"/>
      <c r="Q1114" s="520"/>
      <c r="R1114" s="167"/>
      <c r="S1114" s="520"/>
      <c r="T1114" s="167"/>
      <c r="U1114" s="528"/>
      <c r="V1114" s="522"/>
      <c r="X1114" s="4"/>
    </row>
    <row r="1115" spans="1:24" s="8" customFormat="1" ht="16.5" customHeight="1">
      <c r="A1115" s="521"/>
      <c r="B1115" s="167"/>
      <c r="C1115" s="165"/>
      <c r="E1115" s="513" t="s">
        <v>1304</v>
      </c>
      <c r="F1115" s="523"/>
      <c r="G1115" s="977">
        <f>_xlfn.IFNA(IF(VLOOKUP($B1106,'PY1 TFR ADA'!$F:$AU,MATCH("B-1.5",'PY1 TFR ADA'!$F$5:$AU$5,0),FALSE)=TRUE,IF(VLOOKUP($B1106,'PY1 TFR ADA'!$F:$AU,MATCH("C-1",'PY1 TFR ADA'!$F$5:$AU$5,0),FALSE)=TRUE,"Alternative Rate","LCFF Rate"),"LCFF Rate"),0)</f>
        <v>0</v>
      </c>
      <c r="H1115" s="523"/>
      <c r="I1115" s="977">
        <f>_xlfn.IFNA(IF(VLOOKUP($B1106,'PY1 TFR ADA'!$F:$AU,MATCH("B-2.5",'PY1 TFR ADA'!$F$5:$AU$5,0),FALSE)=TRUE,IF(VLOOKUP($B1106,'PY1 TFR ADA'!$F:$AU,MATCH("C-1",'PY1 TFR ADA'!$F$5:$AU$5,0),FALSE)=TRUE,"Alternative Rate","LCFF Rate"),"LCFF Rate"),0)</f>
        <v>0</v>
      </c>
      <c r="J1115" s="523"/>
      <c r="K1115" s="977">
        <f>_xlfn.IFNA(IF(VLOOKUP($B1106,'PY1 TFR ADA'!$F:$AU,MATCH("B-3.5",'PY1 TFR ADA'!$F$5:$AU$5,0),FALSE)=TRUE,IF(VLOOKUP($B1106,'PY1 TFR ADA'!$F:$AU,MATCH("C-1",'PY1 TFR ADA'!$F$5:$AU$5,0),FALSE)=TRUE,"Alternative Rate","LCFF Rate"),"LCFF Rate"),0)</f>
        <v>0</v>
      </c>
      <c r="L1115" s="523"/>
      <c r="M1115" s="977">
        <f>_xlfn.IFNA(IF(VLOOKUP($B1106,'PY1 TFR ADA'!$F:$AU,MATCH("B-4.5",'PY1 TFR ADA'!$F$5:$AU$5,0),FALSE)=TRUE,IF(VLOOKUP($B1106,'PY1 TFR ADA'!$F:$AU,MATCH("C-1",'PY1 TFR ADA'!$F$5:$AU$5,0),FALSE)=TRUE,"Alternative Rate","LCFF Rate"),"LCFF Rate"),0)</f>
        <v>0</v>
      </c>
      <c r="N1115" s="523"/>
      <c r="O1115" s="977">
        <f>_xlfn.IFNA(IF(VLOOKUP($B1106,'PY1 TFR ADA'!$F:$AU,MATCH("B-5.5",'PY1 TFR ADA'!$F$5:$AU$5,0),FALSE)=TRUE,IF(VLOOKUP($B1106,'PY1 TFR ADA'!$F:$AU,MATCH("C-1",'PY1 TFR ADA'!$F$5:$AU$5,0),FALSE)=TRUE,"Alternative Rate","LCFF Rate"),"LCFF Rate"),0)</f>
        <v>0</v>
      </c>
      <c r="P1115" s="523"/>
      <c r="Q1115" s="977">
        <f>_xlfn.IFNA(IF(VLOOKUP($B1106,'PY1 TFR ADA'!$F:$AU,MATCH("B-6.5",'PY1 TFR ADA'!$F$5:$AU$5,0),FALSE)=TRUE,IF(VLOOKUP($B1106,'PY1 TFR ADA'!$F:$AU,MATCH("C-1",'PY1 TFR ADA'!$F$5:$AU$5,0),FALSE)=TRUE,"Alternative Rate","LCFF Rate"),"LCFF Rate"),0)</f>
        <v>0</v>
      </c>
      <c r="R1115" s="167"/>
      <c r="S1115" s="520"/>
      <c r="T1115" s="167"/>
      <c r="U1115" s="528"/>
      <c r="V1115" s="522"/>
      <c r="X1115" s="283"/>
    </row>
    <row r="1116" spans="1:24" s="8" customFormat="1" ht="8.25" customHeight="1">
      <c r="A1116" s="521"/>
      <c r="B1116" s="167"/>
      <c r="C1116" s="165"/>
      <c r="D1116" s="523"/>
      <c r="E1116" s="165"/>
      <c r="F1116" s="523"/>
      <c r="G1116" s="520"/>
      <c r="H1116" s="523"/>
      <c r="I1116" s="520"/>
      <c r="J1116" s="523"/>
      <c r="K1116" s="520"/>
      <c r="L1116" s="523"/>
      <c r="M1116" s="520"/>
      <c r="N1116" s="523"/>
      <c r="O1116" s="520"/>
      <c r="P1116" s="523"/>
      <c r="Q1116" s="520"/>
      <c r="R1116" s="167"/>
      <c r="S1116" s="520"/>
      <c r="T1116" s="167"/>
      <c r="U1116" s="528"/>
      <c r="V1116" s="522"/>
      <c r="X1116" s="4"/>
    </row>
    <row r="1117" spans="1:24" s="8" customFormat="1" ht="16.8">
      <c r="A1117" s="521"/>
      <c r="B1117" s="2"/>
      <c r="F1117" s="523"/>
      <c r="G1117" s="535">
        <f t="shared" ref="G1117" si="1671">IF(G1115="LCFF Rate",(G1108*C1108+G1109*C1109+G1110*C1110+G1111*C1111),(G1113*E1111))</f>
        <v>0</v>
      </c>
      <c r="H1117" s="537"/>
      <c r="I1117" s="535">
        <f t="shared" ref="I1117" si="1672">IF(I1115="LCFF Rate",(I1108*C1108+I1109*C1109+I1110*C1110+I1111*C1111),(I1113*E1111))</f>
        <v>0</v>
      </c>
      <c r="J1117" s="537"/>
      <c r="K1117" s="535">
        <f t="shared" ref="K1117" si="1673">IF(K1115="LCFF Rate",(K1108*C1108+K1109*C1109+K1110*C1110+K1111*C1111),(K1113*E1111))</f>
        <v>0</v>
      </c>
      <c r="L1117" s="537"/>
      <c r="M1117" s="535">
        <f t="shared" ref="M1117" si="1674">IF(M1115="LCFF Rate",(M1108*C1108+M1109*C1109+M1110*C1110+M1111*C1111),(M1113*E1111))</f>
        <v>0</v>
      </c>
      <c r="N1117" s="537"/>
      <c r="O1117" s="535">
        <f t="shared" ref="O1117" si="1675">IF(O1115="LCFF Rate",(O1108*C1108+O1109*C1109+O1110*C1110+O1111*C1111),(O1113*E1111))</f>
        <v>0</v>
      </c>
      <c r="P1117" s="537"/>
      <c r="Q1117" s="535">
        <f t="shared" ref="Q1117" si="1676">IF(Q1115="LCFF Rate",(Q1108*C1108+Q1109*C1109+Q1110*C1110+Q1111*C1111),(Q1113*E1111))</f>
        <v>0</v>
      </c>
      <c r="R1117" s="167"/>
      <c r="S1117" s="538">
        <f t="shared" ref="S1117" si="1677">SUM(G1117:Q1117)</f>
        <v>0</v>
      </c>
      <c r="T1117" s="167"/>
      <c r="U1117" s="528"/>
      <c r="V1117" s="522"/>
      <c r="X1117" s="979"/>
    </row>
    <row r="1118" spans="1:24" s="8" customFormat="1" ht="9" customHeight="1" thickBot="1">
      <c r="A1118" s="529"/>
      <c r="B1118" s="530"/>
      <c r="C1118" s="531"/>
      <c r="D1118" s="532"/>
      <c r="E1118" s="533"/>
      <c r="F1118" s="532"/>
      <c r="G1118" s="530"/>
      <c r="H1118" s="532"/>
      <c r="I1118" s="530"/>
      <c r="J1118" s="532"/>
      <c r="K1118" s="530"/>
      <c r="L1118" s="532"/>
      <c r="M1118" s="530"/>
      <c r="N1118" s="532"/>
      <c r="O1118" s="530"/>
      <c r="P1118" s="532"/>
      <c r="Q1118" s="530"/>
      <c r="R1118" s="532"/>
      <c r="S1118" s="530"/>
      <c r="T1118" s="532"/>
      <c r="U1118" s="532"/>
      <c r="V1118" s="534"/>
      <c r="X1118" s="4"/>
    </row>
    <row r="1119" spans="1:24" s="82" customFormat="1" ht="18" customHeight="1" thickBot="1">
      <c r="A1119" s="890">
        <f>+A1106+1</f>
        <v>86</v>
      </c>
      <c r="B1119" s="891" t="str">
        <f>'Data Entry'!$B$3&amp;"-"&amp;C1119</f>
        <v>-</v>
      </c>
      <c r="C1119" s="891" t="str">
        <f>IFERROR(VLOOKUP('Data Entry'!$B$3&amp;"-"&amp;A1119,'PY1 TFR ADA'!$D:$AT,2,FALSE),"")</f>
        <v/>
      </c>
      <c r="D1119" s="892" t="str">
        <f>IFERROR(VLOOKUP('Data Entry'!$B$3&amp;"-"&amp;A1119,'PY1 TFR ADA'!$D:$AT,4,FALSE),"")</f>
        <v/>
      </c>
      <c r="E1119" s="893"/>
      <c r="F1119" s="893"/>
      <c r="G1119" s="893"/>
      <c r="H1119" s="893"/>
      <c r="I1119" s="893"/>
      <c r="J1119" s="893"/>
      <c r="K1119" s="893"/>
      <c r="L1119" s="893"/>
      <c r="M1119" s="893"/>
      <c r="N1119" s="893"/>
      <c r="O1119" s="893"/>
      <c r="P1119" s="893"/>
      <c r="Q1119" s="893"/>
      <c r="R1119" s="893"/>
      <c r="S1119" s="893"/>
      <c r="T1119" s="893"/>
      <c r="U1119" s="893"/>
      <c r="V1119" s="894"/>
      <c r="X1119" s="83"/>
    </row>
    <row r="1120" spans="1:24" ht="75" customHeight="1">
      <c r="A1120" s="521"/>
      <c r="C1120" s="540" t="s">
        <v>1315</v>
      </c>
      <c r="D1120" s="512"/>
      <c r="E1120" s="540" t="s">
        <v>1316</v>
      </c>
      <c r="F1120" s="512"/>
      <c r="G1120" s="540" t="s">
        <v>1309</v>
      </c>
      <c r="H1120" s="512"/>
      <c r="I1120" s="540" t="s">
        <v>1310</v>
      </c>
      <c r="J1120" s="512"/>
      <c r="K1120" s="540" t="s">
        <v>1311</v>
      </c>
      <c r="L1120" s="512"/>
      <c r="M1120" s="540" t="s">
        <v>1312</v>
      </c>
      <c r="N1120" s="512"/>
      <c r="O1120" s="540" t="s">
        <v>1313</v>
      </c>
      <c r="P1120" s="512"/>
      <c r="Q1120" s="540" t="s">
        <v>1314</v>
      </c>
      <c r="R1120" s="167"/>
      <c r="S1120" s="540" t="s">
        <v>1308</v>
      </c>
      <c r="T1120" s="167"/>
      <c r="U1120" s="512" t="s">
        <v>1307</v>
      </c>
      <c r="V1120" s="524"/>
      <c r="X1120" s="283"/>
    </row>
    <row r="1121" spans="1:24" s="8" customFormat="1" ht="14.4">
      <c r="A1121" s="521"/>
      <c r="B1121" s="510" t="s">
        <v>94</v>
      </c>
      <c r="C1121" s="525">
        <f>IFERROR(VLOOKUP($B1119,'PY1 TFR ADA'!$F:$AU,MATCH("A-1.1",'PY1 TFR ADA'!$F$5:$AU$5,0),FALSE),0)</f>
        <v>0</v>
      </c>
      <c r="D1121" s="167"/>
      <c r="E1121" s="525">
        <f>IFERROR(VALUE(VLOOKUP($B1119,'PY1 TFR ADA'!$F:$AU,MATCH("A-2.1",'PY1 TFR ADA'!$F$5:$AU$5,0),FALSE)),0)</f>
        <v>0</v>
      </c>
      <c r="F1121" s="167"/>
      <c r="G1121" s="609">
        <f>IFERROR(VLOOKUP($B1119,'PY1 TFR ADA'!$F:$AU,MATCH("b-1.1",'PY1 TFR ADA'!$F$5:$AU$5,0),FALSE),0)</f>
        <v>0</v>
      </c>
      <c r="H1121" s="527"/>
      <c r="I1121" s="609">
        <f>IFERROR(VLOOKUP($B1119,'PY1 TFR ADA'!$F:$AU,MATCH("b-2.1",'PY1 TFR ADA'!$F$5:$AU$5,0),FALSE),0)</f>
        <v>0</v>
      </c>
      <c r="J1121" s="527"/>
      <c r="K1121" s="609">
        <f>IFERROR(VLOOKUP($B1119,'PY1 TFR ADA'!$F:$AU,MATCH("b-3.1",'PY1 TFR ADA'!$F$5:$AU$5,0),FALSE),0)</f>
        <v>0</v>
      </c>
      <c r="L1121" s="527"/>
      <c r="M1121" s="609">
        <f>IFERROR(VLOOKUP($B1119,'PY1 TFR ADA'!$F:$AU,MATCH("b-4.1",'PY1 TFR ADA'!$F$5:$AU$5,0),FALSE),0)</f>
        <v>0</v>
      </c>
      <c r="N1121" s="527"/>
      <c r="O1121" s="609">
        <f>IFERROR(VLOOKUP($B1119,'PY1 TFR ADA'!$F:$AU,MATCH("b-5.1",'PY1 TFR ADA'!$F$5:$AU$5,0),FALSE),0)</f>
        <v>0</v>
      </c>
      <c r="P1121" s="527"/>
      <c r="Q1121" s="609">
        <f>IFERROR(VLOOKUP($B1119,'PY1 TFR ADA'!$F:$AU,MATCH("b-6.1",'PY1 TFR ADA'!$F$5:$AU$5,0),FALSE),0)</f>
        <v>0</v>
      </c>
      <c r="R1121" s="551"/>
      <c r="S1121" s="601">
        <f t="shared" ref="S1121:S1124" si="1678">SUM(G1121:Q1121)</f>
        <v>0</v>
      </c>
      <c r="T1121" s="551"/>
      <c r="U1121" s="536">
        <f t="shared" ref="U1121" si="1679">ROUND(IF($G1128="LCFF Rate",(G1121*$C1121),(G1121*$E1121))+IF($I1128="LCFF Rate",(I1121*$C1121),(I1121*$E1121))+IF($K1128="LCFF Rate",(K1121*$C1121),(K1121*$E1121))+IF($M1128="LCFF Rate",(M1121*$C1121),(M1121*$E1121))+IF($O1128="LCFF Rate",(O1121*$C1121),(O1121*$E1121))+IF($Q1128="LCFF Rate",(Q1121*$C1121),(Q1121*$E1121)),0)</f>
        <v>0</v>
      </c>
      <c r="V1121" s="524"/>
      <c r="X1121" s="496"/>
    </row>
    <row r="1122" spans="1:24" s="8" customFormat="1" ht="14.4">
      <c r="A1122" s="521"/>
      <c r="B1122" s="510" t="s">
        <v>2</v>
      </c>
      <c r="C1122" s="525">
        <f>IFERROR(VLOOKUP($B1119,'PY1 TFR ADA'!$F:$AU,MATCH("A-1.2",'PY1 TFR ADA'!$F$5:$AU$5,0),FALSE),0)</f>
        <v>0</v>
      </c>
      <c r="D1122" s="167"/>
      <c r="E1122" s="525">
        <f>IFERROR(VALUE(VLOOKUP($B1119,'PY1 TFR ADA'!$F:$AU,MATCH("A-2.2",'PY1 TFR ADA'!$F$5:$AU$5,0),FALSE)),0)</f>
        <v>0</v>
      </c>
      <c r="F1122" s="167"/>
      <c r="G1122" s="609">
        <f>IFERROR(VLOOKUP($B1119,'PY1 TFR ADA'!$F:$AU,MATCH("b-1.2",'PY1 TFR ADA'!$F$5:$AU$5,0),FALSE),0)</f>
        <v>0</v>
      </c>
      <c r="H1122" s="527"/>
      <c r="I1122" s="609">
        <f>IFERROR(VLOOKUP($B1119,'PY1 TFR ADA'!$F:$AU,MATCH("b-2.2",'PY1 TFR ADA'!$F$5:$AU$5,0),FALSE),0)</f>
        <v>0</v>
      </c>
      <c r="J1122" s="527"/>
      <c r="K1122" s="609">
        <f>IFERROR(VLOOKUP($B1119,'PY1 TFR ADA'!$F:$AU,MATCH("b-3.2",'PY1 TFR ADA'!$F$5:$AU$5,0),FALSE),0)</f>
        <v>0</v>
      </c>
      <c r="L1122" s="527"/>
      <c r="M1122" s="609">
        <f>IFERROR(VLOOKUP($B1119,'PY1 TFR ADA'!$F:$AU,MATCH("b-4.2",'PY1 TFR ADA'!$F$5:$AU$5,0),FALSE),0)</f>
        <v>0</v>
      </c>
      <c r="N1122" s="527"/>
      <c r="O1122" s="609">
        <f>IFERROR(VLOOKUP($B1119,'PY1 TFR ADA'!$F:$AU,MATCH("b-5.2",'PY1 TFR ADA'!$F$5:$AU$5,0),FALSE),0)</f>
        <v>0</v>
      </c>
      <c r="P1122" s="527"/>
      <c r="Q1122" s="609">
        <f>IFERROR(VLOOKUP($B1119,'PY1 TFR ADA'!$F:$AU,MATCH("b-6.2",'PY1 TFR ADA'!$F$5:$AU$5,0),FALSE),0)</f>
        <v>0</v>
      </c>
      <c r="R1122" s="551"/>
      <c r="S1122" s="601">
        <f t="shared" si="1678"/>
        <v>0</v>
      </c>
      <c r="T1122" s="551"/>
      <c r="U1122" s="536">
        <f t="shared" ref="U1122" si="1680">ROUND(IF($G1128="LCFF Rate",(G1122*$C1122),(G1122*$E1122))+IF($I1128="LCFF Rate",(I1122*$C1122),(I1122*$E1122))+IF($K1128="LCFF Rate",(K1122*$C1122),(K1122*$E1122))+IF($M1128="LCFF Rate",(M1122*$C1122),(M1122*$E1122))+IF($O1128="LCFF Rate",(O1122*$C1122),(O1122*$E1122))+IF($Q1128="LCFF Rate",(Q1122*$C1122),(Q1122*$E1122)),0)</f>
        <v>0</v>
      </c>
      <c r="V1122" s="524"/>
      <c r="X1122" s="4"/>
    </row>
    <row r="1123" spans="1:24" s="8" customFormat="1" ht="14.4">
      <c r="A1123" s="521"/>
      <c r="B1123" s="510" t="s">
        <v>3</v>
      </c>
      <c r="C1123" s="525">
        <f>IFERROR(VLOOKUP($B1119,'PY1 TFR ADA'!$F:$AU,MATCH("A-1.3",'PY1 TFR ADA'!$F$5:$AU$5,0),FALSE),0)</f>
        <v>0</v>
      </c>
      <c r="D1123" s="167"/>
      <c r="E1123" s="525">
        <f>IFERROR(VALUE(VLOOKUP($B1119,'PY1 TFR ADA'!$F:$AU,MATCH("A-2.3",'PY1 TFR ADA'!$F$5:$AU$5,0),FALSE)),0)</f>
        <v>0</v>
      </c>
      <c r="F1123" s="167"/>
      <c r="G1123" s="609">
        <f>IFERROR(VLOOKUP($B1119,'PY1 TFR ADA'!$F:$AU,MATCH("b-1.3",'PY1 TFR ADA'!$F$5:$AU$5,0),FALSE),0)</f>
        <v>0</v>
      </c>
      <c r="H1123" s="527"/>
      <c r="I1123" s="609">
        <f>IFERROR(VLOOKUP($B1119,'PY1 TFR ADA'!$F:$AU,MATCH("b-2.3",'PY1 TFR ADA'!$F$5:$AU$5,0),FALSE),0)</f>
        <v>0</v>
      </c>
      <c r="J1123" s="527"/>
      <c r="K1123" s="609">
        <f>IFERROR(VLOOKUP($B1119,'PY1 TFR ADA'!$F:$AU,MATCH("b-3.3",'PY1 TFR ADA'!$F$5:$AU$5,0),FALSE),0)</f>
        <v>0</v>
      </c>
      <c r="L1123" s="527"/>
      <c r="M1123" s="609">
        <f>IFERROR(VLOOKUP($B1119,'PY1 TFR ADA'!$F:$AU,MATCH("b-4.3",'PY1 TFR ADA'!$F$5:$AU$5,0),FALSE),0)</f>
        <v>0</v>
      </c>
      <c r="N1123" s="527"/>
      <c r="O1123" s="609">
        <f>IFERROR(VLOOKUP($B1119,'PY1 TFR ADA'!$F:$AU,MATCH("b-5.3",'PY1 TFR ADA'!$F$5:$AU$5,0),FALSE),0)</f>
        <v>0</v>
      </c>
      <c r="P1123" s="527"/>
      <c r="Q1123" s="609">
        <f>IFERROR(VLOOKUP($B1119,'PY1 TFR ADA'!$F:$AU,MATCH("b-6.3",'PY1 TFR ADA'!$F$5:$AU$5,0),FALSE),0)</f>
        <v>0</v>
      </c>
      <c r="R1123" s="551"/>
      <c r="S1123" s="601">
        <f t="shared" si="1678"/>
        <v>0</v>
      </c>
      <c r="T1123" s="551"/>
      <c r="U1123" s="536">
        <f t="shared" ref="U1123" si="1681">ROUND(IF($G1128="LCFF Rate",(G1123*$C1123),(G1123*$E1123))+IF($I1128="LCFF Rate",(I1123*$C1123),(I1123*$E1123))+IF($K1128="LCFF Rate",(K1123*$C1123),(K1123*$E1123))+IF($M1128="LCFF Rate",(M1123*$C1123),(M1123*$E1123))+IF($O1128="LCFF Rate",(O1123*$C1123),(O1123*$E1123))+IF($Q1128="LCFF Rate",(Q1123*$C1123),(Q1123*$E1123)),0)</f>
        <v>0</v>
      </c>
      <c r="V1123" s="524"/>
      <c r="X1123" s="4"/>
    </row>
    <row r="1124" spans="1:24" s="8" customFormat="1" ht="14.4">
      <c r="A1124" s="526"/>
      <c r="B1124" s="510" t="s">
        <v>4</v>
      </c>
      <c r="C1124" s="525">
        <f>IFERROR(VLOOKUP($B1119,'PY1 TFR ADA'!$F:$AU,MATCH("A-1.4",'PY1 TFR ADA'!$F$5:$AU$5,0),FALSE),0)</f>
        <v>0</v>
      </c>
      <c r="D1124" s="523"/>
      <c r="E1124" s="525">
        <f>IFERROR(VALUE(VLOOKUP($B1119,'PY1 TFR ADA'!$F:$AU,MATCH("A-2.4",'PY1 TFR ADA'!$F$5:$AU$5,0),FALSE)),0)</f>
        <v>0</v>
      </c>
      <c r="F1124" s="523"/>
      <c r="G1124" s="609">
        <f>IFERROR(VLOOKUP($B1119,'PY1 TFR ADA'!$F:$AU,MATCH("b-1.4",'PY1 TFR ADA'!$F$5:$AU$5,0),FALSE),0)</f>
        <v>0</v>
      </c>
      <c r="H1124" s="527"/>
      <c r="I1124" s="609">
        <f>IFERROR(VLOOKUP($B1119,'PY1 TFR ADA'!$F:$AU,MATCH("b-2.4",'PY1 TFR ADA'!$F$5:$AU$5,0),FALSE),0)</f>
        <v>0</v>
      </c>
      <c r="J1124" s="527"/>
      <c r="K1124" s="609">
        <f>IFERROR(VLOOKUP($B1119,'PY1 TFR ADA'!$F:$AU,MATCH("b-3.4",'PY1 TFR ADA'!$F$5:$AU$5,0),FALSE),0)</f>
        <v>0</v>
      </c>
      <c r="L1124" s="527"/>
      <c r="M1124" s="609">
        <f>IFERROR(VLOOKUP($B1119,'PY1 TFR ADA'!$F:$AU,MATCH("b-4.4",'PY1 TFR ADA'!$F$5:$AU$5,0),FALSE),0)</f>
        <v>0</v>
      </c>
      <c r="N1124" s="527"/>
      <c r="O1124" s="609">
        <f>IFERROR(VLOOKUP($B1119,'PY1 TFR ADA'!$F:$AU,MATCH("b-5.4",'PY1 TFR ADA'!$F$5:$AU$5,0),FALSE),0)</f>
        <v>0</v>
      </c>
      <c r="P1124" s="527"/>
      <c r="Q1124" s="609">
        <f>IFERROR(VLOOKUP($B1119,'PY1 TFR ADA'!$F:$AU,MATCH("b-6.4",'PY1 TFR ADA'!$F$5:$AU$5,0),FALSE),0)</f>
        <v>0</v>
      </c>
      <c r="R1124" s="551"/>
      <c r="S1124" s="601">
        <f t="shared" si="1678"/>
        <v>0</v>
      </c>
      <c r="T1124" s="551"/>
      <c r="U1124" s="536">
        <f t="shared" ref="U1124" si="1682">ROUND(IF($G1128="LCFF Rate",(G1124*$C1124),(G1124*$E1124))+IF($I1128="LCFF Rate",(I1124*$C1124),(I1124*$E1124))+IF($K1128="LCFF Rate",(K1124*$C1124),(K1124*$E1124))+IF($M1128="LCFF Rate",(M1124*$C1124),(M1124*$E1124))+IF($O1128="LCFF Rate",(O1124*$C1124),(O1124*$E1124))+IF($Q1128="LCFF Rate",(Q1124*$C1124),(Q1124*$E1124)),0)</f>
        <v>0</v>
      </c>
      <c r="V1124" s="522"/>
      <c r="X1124" s="496"/>
    </row>
    <row r="1125" spans="1:24" s="8" customFormat="1" ht="8.25" customHeight="1">
      <c r="A1125" s="521"/>
      <c r="B1125" s="167"/>
      <c r="C1125" s="165"/>
      <c r="D1125" s="523"/>
      <c r="E1125" s="165"/>
      <c r="F1125" s="523"/>
      <c r="G1125" s="520"/>
      <c r="H1125" s="523"/>
      <c r="I1125" s="520"/>
      <c r="J1125" s="523"/>
      <c r="K1125" s="520"/>
      <c r="L1125" s="523"/>
      <c r="M1125" s="520"/>
      <c r="N1125" s="523"/>
      <c r="O1125" s="520"/>
      <c r="P1125" s="523"/>
      <c r="Q1125" s="520"/>
      <c r="R1125" s="167"/>
      <c r="S1125" s="520"/>
      <c r="T1125" s="167"/>
      <c r="U1125" s="602"/>
      <c r="V1125" s="522"/>
      <c r="X1125" s="4"/>
    </row>
    <row r="1126" spans="1:24" s="8" customFormat="1" ht="14.4">
      <c r="A1126" s="521"/>
      <c r="B1126" s="167"/>
      <c r="C1126" s="165"/>
      <c r="D1126" s="523"/>
      <c r="E1126" s="513" t="s">
        <v>1317</v>
      </c>
      <c r="F1126" s="523"/>
      <c r="G1126" s="601">
        <f t="shared" ref="G1126" si="1683">SUM(G1121:G1124)</f>
        <v>0</v>
      </c>
      <c r="H1126" s="527"/>
      <c r="I1126" s="601">
        <f t="shared" ref="I1126" si="1684">SUM(I1121:I1124)</f>
        <v>0</v>
      </c>
      <c r="J1126" s="527"/>
      <c r="K1126" s="601">
        <f t="shared" ref="K1126" si="1685">SUM(K1121:K1124)</f>
        <v>0</v>
      </c>
      <c r="L1126" s="527"/>
      <c r="M1126" s="601">
        <f t="shared" ref="M1126" si="1686">SUM(M1121:M1124)</f>
        <v>0</v>
      </c>
      <c r="N1126" s="527"/>
      <c r="O1126" s="601">
        <f t="shared" ref="O1126" si="1687">SUM(O1121:O1124)</f>
        <v>0</v>
      </c>
      <c r="P1126" s="527"/>
      <c r="Q1126" s="601">
        <f t="shared" ref="Q1126" si="1688">SUM(Q1121:Q1124)</f>
        <v>0</v>
      </c>
      <c r="R1126" s="527"/>
      <c r="S1126" s="601">
        <f t="shared" ref="S1126" si="1689">SUM(S1121:S1124)</f>
        <v>0</v>
      </c>
      <c r="T1126" s="527"/>
      <c r="U1126" s="536">
        <f t="shared" ref="U1126" si="1690">SUM(U1121:U1124)</f>
        <v>0</v>
      </c>
      <c r="V1126" s="522"/>
      <c r="X1126" s="4"/>
    </row>
    <row r="1127" spans="1:24" s="8" customFormat="1" ht="8.25" customHeight="1">
      <c r="A1127" s="521"/>
      <c r="B1127" s="167"/>
      <c r="C1127" s="165"/>
      <c r="D1127" s="523"/>
      <c r="E1127" s="165"/>
      <c r="F1127" s="523"/>
      <c r="G1127" s="520"/>
      <c r="H1127" s="523"/>
      <c r="I1127" s="520"/>
      <c r="J1127" s="523"/>
      <c r="K1127" s="520"/>
      <c r="L1127" s="523"/>
      <c r="M1127" s="520"/>
      <c r="N1127" s="523"/>
      <c r="O1127" s="520"/>
      <c r="P1127" s="523"/>
      <c r="Q1127" s="520"/>
      <c r="R1127" s="167"/>
      <c r="S1127" s="520"/>
      <c r="T1127" s="167"/>
      <c r="U1127" s="528"/>
      <c r="V1127" s="522"/>
      <c r="X1127" s="4"/>
    </row>
    <row r="1128" spans="1:24" s="8" customFormat="1" ht="16.5" customHeight="1">
      <c r="A1128" s="521"/>
      <c r="B1128" s="167"/>
      <c r="C1128" s="165"/>
      <c r="E1128" s="513" t="s">
        <v>1304</v>
      </c>
      <c r="F1128" s="523"/>
      <c r="G1128" s="977">
        <f>_xlfn.IFNA(IF(VLOOKUP($B1119,'PY1 TFR ADA'!$F:$AU,MATCH("B-1.5",'PY1 TFR ADA'!$F$5:$AU$5,0),FALSE)=TRUE,IF(VLOOKUP($B1119,'PY1 TFR ADA'!$F:$AU,MATCH("C-1",'PY1 TFR ADA'!$F$5:$AU$5,0),FALSE)=TRUE,"Alternative Rate","LCFF Rate"),"LCFF Rate"),0)</f>
        <v>0</v>
      </c>
      <c r="H1128" s="523"/>
      <c r="I1128" s="977">
        <f>_xlfn.IFNA(IF(VLOOKUP($B1119,'PY1 TFR ADA'!$F:$AU,MATCH("B-2.5",'PY1 TFR ADA'!$F$5:$AU$5,0),FALSE)=TRUE,IF(VLOOKUP($B1119,'PY1 TFR ADA'!$F:$AU,MATCH("C-1",'PY1 TFR ADA'!$F$5:$AU$5,0),FALSE)=TRUE,"Alternative Rate","LCFF Rate"),"LCFF Rate"),0)</f>
        <v>0</v>
      </c>
      <c r="J1128" s="523"/>
      <c r="K1128" s="977">
        <f>_xlfn.IFNA(IF(VLOOKUP($B1119,'PY1 TFR ADA'!$F:$AU,MATCH("B-3.5",'PY1 TFR ADA'!$F$5:$AU$5,0),FALSE)=TRUE,IF(VLOOKUP($B1119,'PY1 TFR ADA'!$F:$AU,MATCH("C-1",'PY1 TFR ADA'!$F$5:$AU$5,0),FALSE)=TRUE,"Alternative Rate","LCFF Rate"),"LCFF Rate"),0)</f>
        <v>0</v>
      </c>
      <c r="L1128" s="523"/>
      <c r="M1128" s="977">
        <f>_xlfn.IFNA(IF(VLOOKUP($B1119,'PY1 TFR ADA'!$F:$AU,MATCH("B-4.5",'PY1 TFR ADA'!$F$5:$AU$5,0),FALSE)=TRUE,IF(VLOOKUP($B1119,'PY1 TFR ADA'!$F:$AU,MATCH("C-1",'PY1 TFR ADA'!$F$5:$AU$5,0),FALSE)=TRUE,"Alternative Rate","LCFF Rate"),"LCFF Rate"),0)</f>
        <v>0</v>
      </c>
      <c r="N1128" s="523"/>
      <c r="O1128" s="977">
        <f>_xlfn.IFNA(IF(VLOOKUP($B1119,'PY1 TFR ADA'!$F:$AU,MATCH("B-5.5",'PY1 TFR ADA'!$F$5:$AU$5,0),FALSE)=TRUE,IF(VLOOKUP($B1119,'PY1 TFR ADA'!$F:$AU,MATCH("C-1",'PY1 TFR ADA'!$F$5:$AU$5,0),FALSE)=TRUE,"Alternative Rate","LCFF Rate"),"LCFF Rate"),0)</f>
        <v>0</v>
      </c>
      <c r="P1128" s="523"/>
      <c r="Q1128" s="977">
        <f>_xlfn.IFNA(IF(VLOOKUP($B1119,'PY1 TFR ADA'!$F:$AU,MATCH("B-6.5",'PY1 TFR ADA'!$F$5:$AU$5,0),FALSE)=TRUE,IF(VLOOKUP($B1119,'PY1 TFR ADA'!$F:$AU,MATCH("C-1",'PY1 TFR ADA'!$F$5:$AU$5,0),FALSE)=TRUE,"Alternative Rate","LCFF Rate"),"LCFF Rate"),0)</f>
        <v>0</v>
      </c>
      <c r="R1128" s="167"/>
      <c r="S1128" s="520"/>
      <c r="T1128" s="167"/>
      <c r="U1128" s="528"/>
      <c r="V1128" s="522"/>
      <c r="X1128" s="283"/>
    </row>
    <row r="1129" spans="1:24" s="8" customFormat="1" ht="8.25" customHeight="1">
      <c r="A1129" s="521"/>
      <c r="B1129" s="167"/>
      <c r="C1129" s="165"/>
      <c r="D1129" s="523"/>
      <c r="E1129" s="165"/>
      <c r="F1129" s="523"/>
      <c r="G1129" s="520"/>
      <c r="H1129" s="523"/>
      <c r="I1129" s="520"/>
      <c r="J1129" s="523"/>
      <c r="K1129" s="520"/>
      <c r="L1129" s="523"/>
      <c r="M1129" s="520"/>
      <c r="N1129" s="523"/>
      <c r="O1129" s="520"/>
      <c r="P1129" s="523"/>
      <c r="Q1129" s="520"/>
      <c r="R1129" s="167"/>
      <c r="S1129" s="520"/>
      <c r="T1129" s="167"/>
      <c r="U1129" s="528"/>
      <c r="V1129" s="522"/>
      <c r="X1129" s="4"/>
    </row>
    <row r="1130" spans="1:24" s="8" customFormat="1" ht="16.8">
      <c r="A1130" s="521"/>
      <c r="B1130" s="2"/>
      <c r="F1130" s="523"/>
      <c r="G1130" s="535">
        <f t="shared" ref="G1130" si="1691">IF(G1128="LCFF Rate",(G1121*C1121+G1122*C1122+G1123*C1123+G1124*C1124),(G1126*E1124))</f>
        <v>0</v>
      </c>
      <c r="H1130" s="537"/>
      <c r="I1130" s="535">
        <f t="shared" ref="I1130" si="1692">IF(I1128="LCFF Rate",(I1121*C1121+I1122*C1122+I1123*C1123+I1124*C1124),(I1126*E1124))</f>
        <v>0</v>
      </c>
      <c r="J1130" s="537"/>
      <c r="K1130" s="535">
        <f t="shared" ref="K1130" si="1693">IF(K1128="LCFF Rate",(K1121*C1121+K1122*C1122+K1123*C1123+K1124*C1124),(K1126*E1124))</f>
        <v>0</v>
      </c>
      <c r="L1130" s="537"/>
      <c r="M1130" s="535">
        <f t="shared" ref="M1130" si="1694">IF(M1128="LCFF Rate",(M1121*C1121+M1122*C1122+M1123*C1123+M1124*C1124),(M1126*E1124))</f>
        <v>0</v>
      </c>
      <c r="N1130" s="537"/>
      <c r="O1130" s="535">
        <f t="shared" ref="O1130" si="1695">IF(O1128="LCFF Rate",(O1121*C1121+O1122*C1122+O1123*C1123+O1124*C1124),(O1126*E1124))</f>
        <v>0</v>
      </c>
      <c r="P1130" s="537"/>
      <c r="Q1130" s="535">
        <f t="shared" ref="Q1130" si="1696">IF(Q1128="LCFF Rate",(Q1121*C1121+Q1122*C1122+Q1123*C1123+Q1124*C1124),(Q1126*E1124))</f>
        <v>0</v>
      </c>
      <c r="R1130" s="167"/>
      <c r="S1130" s="538">
        <f t="shared" ref="S1130" si="1697">SUM(G1130:Q1130)</f>
        <v>0</v>
      </c>
      <c r="T1130" s="167"/>
      <c r="U1130" s="528"/>
      <c r="V1130" s="522"/>
      <c r="X1130" s="979"/>
    </row>
    <row r="1131" spans="1:24" s="8" customFormat="1" ht="9" customHeight="1" thickBot="1">
      <c r="A1131" s="529"/>
      <c r="B1131" s="530"/>
      <c r="C1131" s="531"/>
      <c r="D1131" s="532"/>
      <c r="E1131" s="533"/>
      <c r="F1131" s="532"/>
      <c r="G1131" s="530"/>
      <c r="H1131" s="532"/>
      <c r="I1131" s="530"/>
      <c r="J1131" s="532"/>
      <c r="K1131" s="530"/>
      <c r="L1131" s="532"/>
      <c r="M1131" s="530"/>
      <c r="N1131" s="532"/>
      <c r="O1131" s="530"/>
      <c r="P1131" s="532"/>
      <c r="Q1131" s="530"/>
      <c r="R1131" s="532"/>
      <c r="S1131" s="530"/>
      <c r="T1131" s="532"/>
      <c r="U1131" s="532"/>
      <c r="V1131" s="534"/>
      <c r="X1131" s="4"/>
    </row>
    <row r="1132" spans="1:24" s="82" customFormat="1" ht="18" customHeight="1" thickBot="1">
      <c r="A1132" s="890">
        <f>+A1119+1</f>
        <v>87</v>
      </c>
      <c r="B1132" s="891" t="str">
        <f>'Data Entry'!$B$3&amp;"-"&amp;C1132</f>
        <v>-</v>
      </c>
      <c r="C1132" s="891" t="str">
        <f>IFERROR(VLOOKUP('Data Entry'!$B$3&amp;"-"&amp;A1132,'PY1 TFR ADA'!$D:$AT,2,FALSE),"")</f>
        <v/>
      </c>
      <c r="D1132" s="892" t="str">
        <f>IFERROR(VLOOKUP('Data Entry'!$B$3&amp;"-"&amp;A1132,'PY1 TFR ADA'!$D:$AT,4,FALSE),"")</f>
        <v/>
      </c>
      <c r="E1132" s="893"/>
      <c r="F1132" s="893"/>
      <c r="G1132" s="893"/>
      <c r="H1132" s="893"/>
      <c r="I1132" s="893"/>
      <c r="J1132" s="893"/>
      <c r="K1132" s="893"/>
      <c r="L1132" s="893"/>
      <c r="M1132" s="893"/>
      <c r="N1132" s="893"/>
      <c r="O1132" s="893"/>
      <c r="P1132" s="893"/>
      <c r="Q1132" s="893"/>
      <c r="R1132" s="893"/>
      <c r="S1132" s="893"/>
      <c r="T1132" s="893"/>
      <c r="U1132" s="893"/>
      <c r="V1132" s="894"/>
      <c r="X1132" s="83"/>
    </row>
    <row r="1133" spans="1:24" ht="75" customHeight="1">
      <c r="A1133" s="521"/>
      <c r="C1133" s="540" t="s">
        <v>1315</v>
      </c>
      <c r="D1133" s="512"/>
      <c r="E1133" s="540" t="s">
        <v>1316</v>
      </c>
      <c r="F1133" s="512"/>
      <c r="G1133" s="540" t="s">
        <v>1309</v>
      </c>
      <c r="H1133" s="512"/>
      <c r="I1133" s="540" t="s">
        <v>1310</v>
      </c>
      <c r="J1133" s="512"/>
      <c r="K1133" s="540" t="s">
        <v>1311</v>
      </c>
      <c r="L1133" s="512"/>
      <c r="M1133" s="540" t="s">
        <v>1312</v>
      </c>
      <c r="N1133" s="512"/>
      <c r="O1133" s="540" t="s">
        <v>1313</v>
      </c>
      <c r="P1133" s="512"/>
      <c r="Q1133" s="540" t="s">
        <v>1314</v>
      </c>
      <c r="R1133" s="167"/>
      <c r="S1133" s="540" t="s">
        <v>1308</v>
      </c>
      <c r="T1133" s="167"/>
      <c r="U1133" s="512" t="s">
        <v>1307</v>
      </c>
      <c r="V1133" s="524"/>
      <c r="X1133" s="283"/>
    </row>
    <row r="1134" spans="1:24" s="8" customFormat="1" ht="14.4">
      <c r="A1134" s="521"/>
      <c r="B1134" s="510" t="s">
        <v>94</v>
      </c>
      <c r="C1134" s="525">
        <f>IFERROR(VLOOKUP($B1132,'PY1 TFR ADA'!$F:$AU,MATCH("A-1.1",'PY1 TFR ADA'!$F$5:$AU$5,0),FALSE),0)</f>
        <v>0</v>
      </c>
      <c r="D1134" s="167"/>
      <c r="E1134" s="525">
        <f>IFERROR(VALUE(VLOOKUP($B1132,'PY1 TFR ADA'!$F:$AU,MATCH("A-2.1",'PY1 TFR ADA'!$F$5:$AU$5,0),FALSE)),0)</f>
        <v>0</v>
      </c>
      <c r="F1134" s="167"/>
      <c r="G1134" s="609">
        <f>IFERROR(VLOOKUP($B1132,'PY1 TFR ADA'!$F:$AU,MATCH("b-1.1",'PY1 TFR ADA'!$F$5:$AU$5,0),FALSE),0)</f>
        <v>0</v>
      </c>
      <c r="H1134" s="527"/>
      <c r="I1134" s="609">
        <f>IFERROR(VLOOKUP($B1132,'PY1 TFR ADA'!$F:$AU,MATCH("b-2.1",'PY1 TFR ADA'!$F$5:$AU$5,0),FALSE),0)</f>
        <v>0</v>
      </c>
      <c r="J1134" s="527"/>
      <c r="K1134" s="609">
        <f>IFERROR(VLOOKUP($B1132,'PY1 TFR ADA'!$F:$AU,MATCH("b-3.1",'PY1 TFR ADA'!$F$5:$AU$5,0),FALSE),0)</f>
        <v>0</v>
      </c>
      <c r="L1134" s="527"/>
      <c r="M1134" s="609">
        <f>IFERROR(VLOOKUP($B1132,'PY1 TFR ADA'!$F:$AU,MATCH("b-4.1",'PY1 TFR ADA'!$F$5:$AU$5,0),FALSE),0)</f>
        <v>0</v>
      </c>
      <c r="N1134" s="527"/>
      <c r="O1134" s="609">
        <f>IFERROR(VLOOKUP($B1132,'PY1 TFR ADA'!$F:$AU,MATCH("b-5.1",'PY1 TFR ADA'!$F$5:$AU$5,0),FALSE),0)</f>
        <v>0</v>
      </c>
      <c r="P1134" s="527"/>
      <c r="Q1134" s="609">
        <f>IFERROR(VLOOKUP($B1132,'PY1 TFR ADA'!$F:$AU,MATCH("b-6.1",'PY1 TFR ADA'!$F$5:$AU$5,0),FALSE),0)</f>
        <v>0</v>
      </c>
      <c r="R1134" s="551"/>
      <c r="S1134" s="601">
        <f t="shared" ref="S1134:S1137" si="1698">SUM(G1134:Q1134)</f>
        <v>0</v>
      </c>
      <c r="T1134" s="551"/>
      <c r="U1134" s="536">
        <f t="shared" ref="U1134" si="1699">ROUND(IF($G1141="LCFF Rate",(G1134*$C1134),(G1134*$E1134))+IF($I1141="LCFF Rate",(I1134*$C1134),(I1134*$E1134))+IF($K1141="LCFF Rate",(K1134*$C1134),(K1134*$E1134))+IF($M1141="LCFF Rate",(M1134*$C1134),(M1134*$E1134))+IF($O1141="LCFF Rate",(O1134*$C1134),(O1134*$E1134))+IF($Q1141="LCFF Rate",(Q1134*$C1134),(Q1134*$E1134)),0)</f>
        <v>0</v>
      </c>
      <c r="V1134" s="524"/>
      <c r="X1134" s="496"/>
    </row>
    <row r="1135" spans="1:24" s="8" customFormat="1" ht="14.4">
      <c r="A1135" s="521"/>
      <c r="B1135" s="510" t="s">
        <v>2</v>
      </c>
      <c r="C1135" s="525">
        <f>IFERROR(VLOOKUP($B1132,'PY1 TFR ADA'!$F:$AU,MATCH("A-1.2",'PY1 TFR ADA'!$F$5:$AU$5,0),FALSE),0)</f>
        <v>0</v>
      </c>
      <c r="D1135" s="167"/>
      <c r="E1135" s="525">
        <f>IFERROR(VALUE(VLOOKUP($B1132,'PY1 TFR ADA'!$F:$AU,MATCH("A-2.2",'PY1 TFR ADA'!$F$5:$AU$5,0),FALSE)),0)</f>
        <v>0</v>
      </c>
      <c r="F1135" s="167"/>
      <c r="G1135" s="609">
        <f>IFERROR(VLOOKUP($B1132,'PY1 TFR ADA'!$F:$AU,MATCH("b-1.2",'PY1 TFR ADA'!$F$5:$AU$5,0),FALSE),0)</f>
        <v>0</v>
      </c>
      <c r="H1135" s="527"/>
      <c r="I1135" s="609">
        <f>IFERROR(VLOOKUP($B1132,'PY1 TFR ADA'!$F:$AU,MATCH("b-2.2",'PY1 TFR ADA'!$F$5:$AU$5,0),FALSE),0)</f>
        <v>0</v>
      </c>
      <c r="J1135" s="527"/>
      <c r="K1135" s="609">
        <f>IFERROR(VLOOKUP($B1132,'PY1 TFR ADA'!$F:$AU,MATCH("b-3.2",'PY1 TFR ADA'!$F$5:$AU$5,0),FALSE),0)</f>
        <v>0</v>
      </c>
      <c r="L1135" s="527"/>
      <c r="M1135" s="609">
        <f>IFERROR(VLOOKUP($B1132,'PY1 TFR ADA'!$F:$AU,MATCH("b-4.2",'PY1 TFR ADA'!$F$5:$AU$5,0),FALSE),0)</f>
        <v>0</v>
      </c>
      <c r="N1135" s="527"/>
      <c r="O1135" s="609">
        <f>IFERROR(VLOOKUP($B1132,'PY1 TFR ADA'!$F:$AU,MATCH("b-5.2",'PY1 TFR ADA'!$F$5:$AU$5,0),FALSE),0)</f>
        <v>0</v>
      </c>
      <c r="P1135" s="527"/>
      <c r="Q1135" s="609">
        <f>IFERROR(VLOOKUP($B1132,'PY1 TFR ADA'!$F:$AU,MATCH("b-6.2",'PY1 TFR ADA'!$F$5:$AU$5,0),FALSE),0)</f>
        <v>0</v>
      </c>
      <c r="R1135" s="551"/>
      <c r="S1135" s="601">
        <f t="shared" si="1698"/>
        <v>0</v>
      </c>
      <c r="T1135" s="551"/>
      <c r="U1135" s="536">
        <f t="shared" ref="U1135" si="1700">ROUND(IF($G1141="LCFF Rate",(G1135*$C1135),(G1135*$E1135))+IF($I1141="LCFF Rate",(I1135*$C1135),(I1135*$E1135))+IF($K1141="LCFF Rate",(K1135*$C1135),(K1135*$E1135))+IF($M1141="LCFF Rate",(M1135*$C1135),(M1135*$E1135))+IF($O1141="LCFF Rate",(O1135*$C1135),(O1135*$E1135))+IF($Q1141="LCFF Rate",(Q1135*$C1135),(Q1135*$E1135)),0)</f>
        <v>0</v>
      </c>
      <c r="V1135" s="524"/>
      <c r="X1135" s="4"/>
    </row>
    <row r="1136" spans="1:24" s="8" customFormat="1" ht="14.4">
      <c r="A1136" s="521"/>
      <c r="B1136" s="510" t="s">
        <v>3</v>
      </c>
      <c r="C1136" s="525">
        <f>IFERROR(VLOOKUP($B1132,'PY1 TFR ADA'!$F:$AU,MATCH("A-1.3",'PY1 TFR ADA'!$F$5:$AU$5,0),FALSE),0)</f>
        <v>0</v>
      </c>
      <c r="D1136" s="167"/>
      <c r="E1136" s="525">
        <f>IFERROR(VALUE(VLOOKUP($B1132,'PY1 TFR ADA'!$F:$AU,MATCH("A-2.3",'PY1 TFR ADA'!$F$5:$AU$5,0),FALSE)),0)</f>
        <v>0</v>
      </c>
      <c r="F1136" s="167"/>
      <c r="G1136" s="609">
        <f>IFERROR(VLOOKUP($B1132,'PY1 TFR ADA'!$F:$AU,MATCH("b-1.3",'PY1 TFR ADA'!$F$5:$AU$5,0),FALSE),0)</f>
        <v>0</v>
      </c>
      <c r="H1136" s="527"/>
      <c r="I1136" s="609">
        <f>IFERROR(VLOOKUP($B1132,'PY1 TFR ADA'!$F:$AU,MATCH("b-2.3",'PY1 TFR ADA'!$F$5:$AU$5,0),FALSE),0)</f>
        <v>0</v>
      </c>
      <c r="J1136" s="527"/>
      <c r="K1136" s="609">
        <f>IFERROR(VLOOKUP($B1132,'PY1 TFR ADA'!$F:$AU,MATCH("b-3.3",'PY1 TFR ADA'!$F$5:$AU$5,0),FALSE),0)</f>
        <v>0</v>
      </c>
      <c r="L1136" s="527"/>
      <c r="M1136" s="609">
        <f>IFERROR(VLOOKUP($B1132,'PY1 TFR ADA'!$F:$AU,MATCH("b-4.3",'PY1 TFR ADA'!$F$5:$AU$5,0),FALSE),0)</f>
        <v>0</v>
      </c>
      <c r="N1136" s="527"/>
      <c r="O1136" s="609">
        <f>IFERROR(VLOOKUP($B1132,'PY1 TFR ADA'!$F:$AU,MATCH("b-5.3",'PY1 TFR ADA'!$F$5:$AU$5,0),FALSE),0)</f>
        <v>0</v>
      </c>
      <c r="P1136" s="527"/>
      <c r="Q1136" s="609">
        <f>IFERROR(VLOOKUP($B1132,'PY1 TFR ADA'!$F:$AU,MATCH("b-6.3",'PY1 TFR ADA'!$F$5:$AU$5,0),FALSE),0)</f>
        <v>0</v>
      </c>
      <c r="R1136" s="551"/>
      <c r="S1136" s="601">
        <f t="shared" si="1698"/>
        <v>0</v>
      </c>
      <c r="T1136" s="551"/>
      <c r="U1136" s="536">
        <f t="shared" ref="U1136" si="1701">ROUND(IF($G1141="LCFF Rate",(G1136*$C1136),(G1136*$E1136))+IF($I1141="LCFF Rate",(I1136*$C1136),(I1136*$E1136))+IF($K1141="LCFF Rate",(K1136*$C1136),(K1136*$E1136))+IF($M1141="LCFF Rate",(M1136*$C1136),(M1136*$E1136))+IF($O1141="LCFF Rate",(O1136*$C1136),(O1136*$E1136))+IF($Q1141="LCFF Rate",(Q1136*$C1136),(Q1136*$E1136)),0)</f>
        <v>0</v>
      </c>
      <c r="V1136" s="524"/>
      <c r="X1136" s="4"/>
    </row>
    <row r="1137" spans="1:24" s="8" customFormat="1" ht="14.4">
      <c r="A1137" s="526"/>
      <c r="B1137" s="510" t="s">
        <v>4</v>
      </c>
      <c r="C1137" s="525">
        <f>IFERROR(VLOOKUP($B1132,'PY1 TFR ADA'!$F:$AU,MATCH("A-1.4",'PY1 TFR ADA'!$F$5:$AU$5,0),FALSE),0)</f>
        <v>0</v>
      </c>
      <c r="D1137" s="523"/>
      <c r="E1137" s="525">
        <f>IFERROR(VALUE(VLOOKUP($B1132,'PY1 TFR ADA'!$F:$AU,MATCH("A-2.4",'PY1 TFR ADA'!$F$5:$AU$5,0),FALSE)),0)</f>
        <v>0</v>
      </c>
      <c r="F1137" s="523"/>
      <c r="G1137" s="609">
        <f>IFERROR(VLOOKUP($B1132,'PY1 TFR ADA'!$F:$AU,MATCH("b-1.4",'PY1 TFR ADA'!$F$5:$AU$5,0),FALSE),0)</f>
        <v>0</v>
      </c>
      <c r="H1137" s="527"/>
      <c r="I1137" s="609">
        <f>IFERROR(VLOOKUP($B1132,'PY1 TFR ADA'!$F:$AU,MATCH("b-2.4",'PY1 TFR ADA'!$F$5:$AU$5,0),FALSE),0)</f>
        <v>0</v>
      </c>
      <c r="J1137" s="527"/>
      <c r="K1137" s="609">
        <f>IFERROR(VLOOKUP($B1132,'PY1 TFR ADA'!$F:$AU,MATCH("b-3.4",'PY1 TFR ADA'!$F$5:$AU$5,0),FALSE),0)</f>
        <v>0</v>
      </c>
      <c r="L1137" s="527"/>
      <c r="M1137" s="609">
        <f>IFERROR(VLOOKUP($B1132,'PY1 TFR ADA'!$F:$AU,MATCH("b-4.4",'PY1 TFR ADA'!$F$5:$AU$5,0),FALSE),0)</f>
        <v>0</v>
      </c>
      <c r="N1137" s="527"/>
      <c r="O1137" s="609">
        <f>IFERROR(VLOOKUP($B1132,'PY1 TFR ADA'!$F:$AU,MATCH("b-5.4",'PY1 TFR ADA'!$F$5:$AU$5,0),FALSE),0)</f>
        <v>0</v>
      </c>
      <c r="P1137" s="527"/>
      <c r="Q1137" s="609">
        <f>IFERROR(VLOOKUP($B1132,'PY1 TFR ADA'!$F:$AU,MATCH("b-6.4",'PY1 TFR ADA'!$F$5:$AU$5,0),FALSE),0)</f>
        <v>0</v>
      </c>
      <c r="R1137" s="551"/>
      <c r="S1137" s="601">
        <f t="shared" si="1698"/>
        <v>0</v>
      </c>
      <c r="T1137" s="551"/>
      <c r="U1137" s="536">
        <f t="shared" ref="U1137" si="1702">ROUND(IF($G1141="LCFF Rate",(G1137*$C1137),(G1137*$E1137))+IF($I1141="LCFF Rate",(I1137*$C1137),(I1137*$E1137))+IF($K1141="LCFF Rate",(K1137*$C1137),(K1137*$E1137))+IF($M1141="LCFF Rate",(M1137*$C1137),(M1137*$E1137))+IF($O1141="LCFF Rate",(O1137*$C1137),(O1137*$E1137))+IF($Q1141="LCFF Rate",(Q1137*$C1137),(Q1137*$E1137)),0)</f>
        <v>0</v>
      </c>
      <c r="V1137" s="522"/>
      <c r="X1137" s="496"/>
    </row>
    <row r="1138" spans="1:24" s="8" customFormat="1" ht="8.25" customHeight="1">
      <c r="A1138" s="521"/>
      <c r="B1138" s="167"/>
      <c r="C1138" s="165"/>
      <c r="D1138" s="523"/>
      <c r="E1138" s="165"/>
      <c r="F1138" s="523"/>
      <c r="G1138" s="520"/>
      <c r="H1138" s="523"/>
      <c r="I1138" s="520"/>
      <c r="J1138" s="523"/>
      <c r="K1138" s="520"/>
      <c r="L1138" s="523"/>
      <c r="M1138" s="520"/>
      <c r="N1138" s="523"/>
      <c r="O1138" s="520"/>
      <c r="P1138" s="523"/>
      <c r="Q1138" s="520"/>
      <c r="R1138" s="167"/>
      <c r="S1138" s="520"/>
      <c r="T1138" s="167"/>
      <c r="U1138" s="602"/>
      <c r="V1138" s="522"/>
      <c r="X1138" s="4"/>
    </row>
    <row r="1139" spans="1:24" s="8" customFormat="1" ht="14.4">
      <c r="A1139" s="521"/>
      <c r="B1139" s="167"/>
      <c r="C1139" s="165"/>
      <c r="D1139" s="523"/>
      <c r="E1139" s="513" t="s">
        <v>1317</v>
      </c>
      <c r="F1139" s="523"/>
      <c r="G1139" s="601">
        <f t="shared" ref="G1139" si="1703">SUM(G1134:G1137)</f>
        <v>0</v>
      </c>
      <c r="H1139" s="527"/>
      <c r="I1139" s="601">
        <f t="shared" ref="I1139" si="1704">SUM(I1134:I1137)</f>
        <v>0</v>
      </c>
      <c r="J1139" s="527"/>
      <c r="K1139" s="601">
        <f t="shared" ref="K1139" si="1705">SUM(K1134:K1137)</f>
        <v>0</v>
      </c>
      <c r="L1139" s="527"/>
      <c r="M1139" s="601">
        <f t="shared" ref="M1139" si="1706">SUM(M1134:M1137)</f>
        <v>0</v>
      </c>
      <c r="N1139" s="527"/>
      <c r="O1139" s="601">
        <f t="shared" ref="O1139" si="1707">SUM(O1134:O1137)</f>
        <v>0</v>
      </c>
      <c r="P1139" s="527"/>
      <c r="Q1139" s="601">
        <f t="shared" ref="Q1139" si="1708">SUM(Q1134:Q1137)</f>
        <v>0</v>
      </c>
      <c r="R1139" s="527"/>
      <c r="S1139" s="601">
        <f t="shared" ref="S1139" si="1709">SUM(S1134:S1137)</f>
        <v>0</v>
      </c>
      <c r="T1139" s="527"/>
      <c r="U1139" s="536">
        <f t="shared" ref="U1139" si="1710">SUM(U1134:U1137)</f>
        <v>0</v>
      </c>
      <c r="V1139" s="522"/>
      <c r="X1139" s="4"/>
    </row>
    <row r="1140" spans="1:24" s="8" customFormat="1" ht="8.25" customHeight="1">
      <c r="A1140" s="521"/>
      <c r="B1140" s="167"/>
      <c r="C1140" s="165"/>
      <c r="D1140" s="523"/>
      <c r="E1140" s="165"/>
      <c r="F1140" s="523"/>
      <c r="G1140" s="520"/>
      <c r="H1140" s="523"/>
      <c r="I1140" s="520"/>
      <c r="J1140" s="523"/>
      <c r="K1140" s="520"/>
      <c r="L1140" s="523"/>
      <c r="M1140" s="520"/>
      <c r="N1140" s="523"/>
      <c r="O1140" s="520"/>
      <c r="P1140" s="523"/>
      <c r="Q1140" s="520"/>
      <c r="R1140" s="167"/>
      <c r="S1140" s="520"/>
      <c r="T1140" s="167"/>
      <c r="U1140" s="528"/>
      <c r="V1140" s="522"/>
      <c r="X1140" s="4"/>
    </row>
    <row r="1141" spans="1:24" s="8" customFormat="1" ht="16.5" customHeight="1">
      <c r="A1141" s="521"/>
      <c r="B1141" s="167"/>
      <c r="C1141" s="165"/>
      <c r="E1141" s="513" t="s">
        <v>1304</v>
      </c>
      <c r="F1141" s="523"/>
      <c r="G1141" s="977">
        <f>_xlfn.IFNA(IF(VLOOKUP($B1132,'PY1 TFR ADA'!$F:$AU,MATCH("B-1.5",'PY1 TFR ADA'!$F$5:$AU$5,0),FALSE)=TRUE,IF(VLOOKUP($B1132,'PY1 TFR ADA'!$F:$AU,MATCH("C-1",'PY1 TFR ADA'!$F$5:$AU$5,0),FALSE)=TRUE,"Alternative Rate","LCFF Rate"),"LCFF Rate"),0)</f>
        <v>0</v>
      </c>
      <c r="H1141" s="523"/>
      <c r="I1141" s="977">
        <f>_xlfn.IFNA(IF(VLOOKUP($B1132,'PY1 TFR ADA'!$F:$AU,MATCH("B-2.5",'PY1 TFR ADA'!$F$5:$AU$5,0),FALSE)=TRUE,IF(VLOOKUP($B1132,'PY1 TFR ADA'!$F:$AU,MATCH("C-1",'PY1 TFR ADA'!$F$5:$AU$5,0),FALSE)=TRUE,"Alternative Rate","LCFF Rate"),"LCFF Rate"),0)</f>
        <v>0</v>
      </c>
      <c r="J1141" s="523"/>
      <c r="K1141" s="977">
        <f>_xlfn.IFNA(IF(VLOOKUP($B1132,'PY1 TFR ADA'!$F:$AU,MATCH("B-3.5",'PY1 TFR ADA'!$F$5:$AU$5,0),FALSE)=TRUE,IF(VLOOKUP($B1132,'PY1 TFR ADA'!$F:$AU,MATCH("C-1",'PY1 TFR ADA'!$F$5:$AU$5,0),FALSE)=TRUE,"Alternative Rate","LCFF Rate"),"LCFF Rate"),0)</f>
        <v>0</v>
      </c>
      <c r="L1141" s="523"/>
      <c r="M1141" s="977">
        <f>_xlfn.IFNA(IF(VLOOKUP($B1132,'PY1 TFR ADA'!$F:$AU,MATCH("B-4.5",'PY1 TFR ADA'!$F$5:$AU$5,0),FALSE)=TRUE,IF(VLOOKUP($B1132,'PY1 TFR ADA'!$F:$AU,MATCH("C-1",'PY1 TFR ADA'!$F$5:$AU$5,0),FALSE)=TRUE,"Alternative Rate","LCFF Rate"),"LCFF Rate"),0)</f>
        <v>0</v>
      </c>
      <c r="N1141" s="523"/>
      <c r="O1141" s="977">
        <f>_xlfn.IFNA(IF(VLOOKUP($B1132,'PY1 TFR ADA'!$F:$AU,MATCH("B-5.5",'PY1 TFR ADA'!$F$5:$AU$5,0),FALSE)=TRUE,IF(VLOOKUP($B1132,'PY1 TFR ADA'!$F:$AU,MATCH("C-1",'PY1 TFR ADA'!$F$5:$AU$5,0),FALSE)=TRUE,"Alternative Rate","LCFF Rate"),"LCFF Rate"),0)</f>
        <v>0</v>
      </c>
      <c r="P1141" s="523"/>
      <c r="Q1141" s="977">
        <f>_xlfn.IFNA(IF(VLOOKUP($B1132,'PY1 TFR ADA'!$F:$AU,MATCH("B-6.5",'PY1 TFR ADA'!$F$5:$AU$5,0),FALSE)=TRUE,IF(VLOOKUP($B1132,'PY1 TFR ADA'!$F:$AU,MATCH("C-1",'PY1 TFR ADA'!$F$5:$AU$5,0),FALSE)=TRUE,"Alternative Rate","LCFF Rate"),"LCFF Rate"),0)</f>
        <v>0</v>
      </c>
      <c r="R1141" s="167"/>
      <c r="S1141" s="520"/>
      <c r="T1141" s="167"/>
      <c r="U1141" s="528"/>
      <c r="V1141" s="522"/>
      <c r="X1141" s="283"/>
    </row>
    <row r="1142" spans="1:24" s="8" customFormat="1" ht="8.25" customHeight="1">
      <c r="A1142" s="521"/>
      <c r="B1142" s="167"/>
      <c r="C1142" s="165"/>
      <c r="D1142" s="523"/>
      <c r="E1142" s="165"/>
      <c r="F1142" s="523"/>
      <c r="G1142" s="520"/>
      <c r="H1142" s="523"/>
      <c r="I1142" s="520"/>
      <c r="J1142" s="523"/>
      <c r="K1142" s="520"/>
      <c r="L1142" s="523"/>
      <c r="M1142" s="520"/>
      <c r="N1142" s="523"/>
      <c r="O1142" s="520"/>
      <c r="P1142" s="523"/>
      <c r="Q1142" s="520"/>
      <c r="R1142" s="167"/>
      <c r="S1142" s="520"/>
      <c r="T1142" s="167"/>
      <c r="U1142" s="528"/>
      <c r="V1142" s="522"/>
      <c r="X1142" s="4"/>
    </row>
    <row r="1143" spans="1:24" s="8" customFormat="1" ht="16.8">
      <c r="A1143" s="521"/>
      <c r="B1143" s="2"/>
      <c r="F1143" s="523"/>
      <c r="G1143" s="535">
        <f t="shared" ref="G1143" si="1711">IF(G1141="LCFF Rate",(G1134*C1134+G1135*C1135+G1136*C1136+G1137*C1137),(G1139*E1137))</f>
        <v>0</v>
      </c>
      <c r="H1143" s="537"/>
      <c r="I1143" s="535">
        <f t="shared" ref="I1143" si="1712">IF(I1141="LCFF Rate",(I1134*C1134+I1135*C1135+I1136*C1136+I1137*C1137),(I1139*E1137))</f>
        <v>0</v>
      </c>
      <c r="J1143" s="537"/>
      <c r="K1143" s="535">
        <f t="shared" ref="K1143" si="1713">IF(K1141="LCFF Rate",(K1134*C1134+K1135*C1135+K1136*C1136+K1137*C1137),(K1139*E1137))</f>
        <v>0</v>
      </c>
      <c r="L1143" s="537"/>
      <c r="M1143" s="535">
        <f t="shared" ref="M1143" si="1714">IF(M1141="LCFF Rate",(M1134*C1134+M1135*C1135+M1136*C1136+M1137*C1137),(M1139*E1137))</f>
        <v>0</v>
      </c>
      <c r="N1143" s="537"/>
      <c r="O1143" s="535">
        <f t="shared" ref="O1143" si="1715">IF(O1141="LCFF Rate",(O1134*C1134+O1135*C1135+O1136*C1136+O1137*C1137),(O1139*E1137))</f>
        <v>0</v>
      </c>
      <c r="P1143" s="537"/>
      <c r="Q1143" s="535">
        <f t="shared" ref="Q1143" si="1716">IF(Q1141="LCFF Rate",(Q1134*C1134+Q1135*C1135+Q1136*C1136+Q1137*C1137),(Q1139*E1137))</f>
        <v>0</v>
      </c>
      <c r="R1143" s="167"/>
      <c r="S1143" s="538">
        <f t="shared" ref="S1143" si="1717">SUM(G1143:Q1143)</f>
        <v>0</v>
      </c>
      <c r="T1143" s="167"/>
      <c r="U1143" s="528"/>
      <c r="V1143" s="522"/>
      <c r="X1143" s="979"/>
    </row>
    <row r="1144" spans="1:24" s="8" customFormat="1" ht="9" customHeight="1" thickBot="1">
      <c r="A1144" s="529"/>
      <c r="B1144" s="530"/>
      <c r="C1144" s="531"/>
      <c r="D1144" s="532"/>
      <c r="E1144" s="533"/>
      <c r="F1144" s="532"/>
      <c r="G1144" s="530"/>
      <c r="H1144" s="532"/>
      <c r="I1144" s="530"/>
      <c r="J1144" s="532"/>
      <c r="K1144" s="530"/>
      <c r="L1144" s="532"/>
      <c r="M1144" s="530"/>
      <c r="N1144" s="532"/>
      <c r="O1144" s="530"/>
      <c r="P1144" s="532"/>
      <c r="Q1144" s="530"/>
      <c r="R1144" s="532"/>
      <c r="S1144" s="530"/>
      <c r="T1144" s="532"/>
      <c r="U1144" s="532"/>
      <c r="V1144" s="534"/>
      <c r="X1144" s="4"/>
    </row>
    <row r="1145" spans="1:24" s="82" customFormat="1" ht="18" customHeight="1" thickBot="1">
      <c r="A1145" s="890">
        <f>+A1132+1</f>
        <v>88</v>
      </c>
      <c r="B1145" s="891" t="str">
        <f>'Data Entry'!$B$3&amp;"-"&amp;C1145</f>
        <v>-</v>
      </c>
      <c r="C1145" s="891" t="str">
        <f>IFERROR(VLOOKUP('Data Entry'!$B$3&amp;"-"&amp;A1145,'PY1 TFR ADA'!$D:$AT,2,FALSE),"")</f>
        <v/>
      </c>
      <c r="D1145" s="892" t="str">
        <f>IFERROR(VLOOKUP('Data Entry'!$B$3&amp;"-"&amp;A1145,'PY1 TFR ADA'!$D:$AT,4,FALSE),"")</f>
        <v/>
      </c>
      <c r="E1145" s="893"/>
      <c r="F1145" s="893"/>
      <c r="G1145" s="893"/>
      <c r="H1145" s="893"/>
      <c r="I1145" s="893"/>
      <c r="J1145" s="893"/>
      <c r="K1145" s="893"/>
      <c r="L1145" s="893"/>
      <c r="M1145" s="893"/>
      <c r="N1145" s="893"/>
      <c r="O1145" s="893"/>
      <c r="P1145" s="893"/>
      <c r="Q1145" s="893"/>
      <c r="R1145" s="893"/>
      <c r="S1145" s="893"/>
      <c r="T1145" s="893"/>
      <c r="U1145" s="893"/>
      <c r="V1145" s="894"/>
      <c r="X1145" s="83"/>
    </row>
    <row r="1146" spans="1:24" ht="75" customHeight="1">
      <c r="A1146" s="521"/>
      <c r="C1146" s="540" t="s">
        <v>1315</v>
      </c>
      <c r="D1146" s="512"/>
      <c r="E1146" s="540" t="s">
        <v>1316</v>
      </c>
      <c r="F1146" s="512"/>
      <c r="G1146" s="540" t="s">
        <v>1309</v>
      </c>
      <c r="H1146" s="512"/>
      <c r="I1146" s="540" t="s">
        <v>1310</v>
      </c>
      <c r="J1146" s="512"/>
      <c r="K1146" s="540" t="s">
        <v>1311</v>
      </c>
      <c r="L1146" s="512"/>
      <c r="M1146" s="540" t="s">
        <v>1312</v>
      </c>
      <c r="N1146" s="512"/>
      <c r="O1146" s="540" t="s">
        <v>1313</v>
      </c>
      <c r="P1146" s="512"/>
      <c r="Q1146" s="540" t="s">
        <v>1314</v>
      </c>
      <c r="R1146" s="167"/>
      <c r="S1146" s="540" t="s">
        <v>1308</v>
      </c>
      <c r="T1146" s="167"/>
      <c r="U1146" s="512" t="s">
        <v>1307</v>
      </c>
      <c r="V1146" s="524"/>
      <c r="X1146" s="283"/>
    </row>
    <row r="1147" spans="1:24" s="8" customFormat="1" ht="14.4">
      <c r="A1147" s="521"/>
      <c r="B1147" s="510" t="s">
        <v>94</v>
      </c>
      <c r="C1147" s="525">
        <f>IFERROR(VLOOKUP($B1145,'PY1 TFR ADA'!$F:$AU,MATCH("A-1.1",'PY1 TFR ADA'!$F$5:$AU$5,0),FALSE),0)</f>
        <v>0</v>
      </c>
      <c r="D1147" s="167"/>
      <c r="E1147" s="525">
        <f>IFERROR(VALUE(VLOOKUP($B1145,'PY1 TFR ADA'!$F:$AU,MATCH("A-2.1",'PY1 TFR ADA'!$F$5:$AU$5,0),FALSE)),0)</f>
        <v>0</v>
      </c>
      <c r="F1147" s="167"/>
      <c r="G1147" s="609">
        <f>IFERROR(VLOOKUP($B1145,'PY1 TFR ADA'!$F:$AU,MATCH("b-1.1",'PY1 TFR ADA'!$F$5:$AU$5,0),FALSE),0)</f>
        <v>0</v>
      </c>
      <c r="H1147" s="527"/>
      <c r="I1147" s="609">
        <f>IFERROR(VLOOKUP($B1145,'PY1 TFR ADA'!$F:$AU,MATCH("b-2.1",'PY1 TFR ADA'!$F$5:$AU$5,0),FALSE),0)</f>
        <v>0</v>
      </c>
      <c r="J1147" s="527"/>
      <c r="K1147" s="609">
        <f>IFERROR(VLOOKUP($B1145,'PY1 TFR ADA'!$F:$AU,MATCH("b-3.1",'PY1 TFR ADA'!$F$5:$AU$5,0),FALSE),0)</f>
        <v>0</v>
      </c>
      <c r="L1147" s="527"/>
      <c r="M1147" s="609">
        <f>IFERROR(VLOOKUP($B1145,'PY1 TFR ADA'!$F:$AU,MATCH("b-4.1",'PY1 TFR ADA'!$F$5:$AU$5,0),FALSE),0)</f>
        <v>0</v>
      </c>
      <c r="N1147" s="527"/>
      <c r="O1147" s="609">
        <f>IFERROR(VLOOKUP($B1145,'PY1 TFR ADA'!$F:$AU,MATCH("b-5.1",'PY1 TFR ADA'!$F$5:$AU$5,0),FALSE),0)</f>
        <v>0</v>
      </c>
      <c r="P1147" s="527"/>
      <c r="Q1147" s="609">
        <f>IFERROR(VLOOKUP($B1145,'PY1 TFR ADA'!$F:$AU,MATCH("b-6.1",'PY1 TFR ADA'!$F$5:$AU$5,0),FALSE),0)</f>
        <v>0</v>
      </c>
      <c r="R1147" s="551"/>
      <c r="S1147" s="601">
        <f t="shared" ref="S1147:S1150" si="1718">SUM(G1147:Q1147)</f>
        <v>0</v>
      </c>
      <c r="T1147" s="551"/>
      <c r="U1147" s="536">
        <f t="shared" ref="U1147" si="1719">ROUND(IF($G1154="LCFF Rate",(G1147*$C1147),(G1147*$E1147))+IF($I1154="LCFF Rate",(I1147*$C1147),(I1147*$E1147))+IF($K1154="LCFF Rate",(K1147*$C1147),(K1147*$E1147))+IF($M1154="LCFF Rate",(M1147*$C1147),(M1147*$E1147))+IF($O1154="LCFF Rate",(O1147*$C1147),(O1147*$E1147))+IF($Q1154="LCFF Rate",(Q1147*$C1147),(Q1147*$E1147)),0)</f>
        <v>0</v>
      </c>
      <c r="V1147" s="524"/>
      <c r="X1147" s="496"/>
    </row>
    <row r="1148" spans="1:24" s="8" customFormat="1" ht="14.4">
      <c r="A1148" s="521"/>
      <c r="B1148" s="510" t="s">
        <v>2</v>
      </c>
      <c r="C1148" s="525">
        <f>IFERROR(VLOOKUP($B1145,'PY1 TFR ADA'!$F:$AU,MATCH("A-1.2",'PY1 TFR ADA'!$F$5:$AU$5,0),FALSE),0)</f>
        <v>0</v>
      </c>
      <c r="D1148" s="167"/>
      <c r="E1148" s="525">
        <f>IFERROR(VALUE(VLOOKUP($B1145,'PY1 TFR ADA'!$F:$AU,MATCH("A-2.2",'PY1 TFR ADA'!$F$5:$AU$5,0),FALSE)),0)</f>
        <v>0</v>
      </c>
      <c r="F1148" s="167"/>
      <c r="G1148" s="609">
        <f>IFERROR(VLOOKUP($B1145,'PY1 TFR ADA'!$F:$AU,MATCH("b-1.2",'PY1 TFR ADA'!$F$5:$AU$5,0),FALSE),0)</f>
        <v>0</v>
      </c>
      <c r="H1148" s="527"/>
      <c r="I1148" s="609">
        <f>IFERROR(VLOOKUP($B1145,'PY1 TFR ADA'!$F:$AU,MATCH("b-2.2",'PY1 TFR ADA'!$F$5:$AU$5,0),FALSE),0)</f>
        <v>0</v>
      </c>
      <c r="J1148" s="527"/>
      <c r="K1148" s="609">
        <f>IFERROR(VLOOKUP($B1145,'PY1 TFR ADA'!$F:$AU,MATCH("b-3.2",'PY1 TFR ADA'!$F$5:$AU$5,0),FALSE),0)</f>
        <v>0</v>
      </c>
      <c r="L1148" s="527"/>
      <c r="M1148" s="609">
        <f>IFERROR(VLOOKUP($B1145,'PY1 TFR ADA'!$F:$AU,MATCH("b-4.2",'PY1 TFR ADA'!$F$5:$AU$5,0),FALSE),0)</f>
        <v>0</v>
      </c>
      <c r="N1148" s="527"/>
      <c r="O1148" s="609">
        <f>IFERROR(VLOOKUP($B1145,'PY1 TFR ADA'!$F:$AU,MATCH("b-5.2",'PY1 TFR ADA'!$F$5:$AU$5,0),FALSE),0)</f>
        <v>0</v>
      </c>
      <c r="P1148" s="527"/>
      <c r="Q1148" s="609">
        <f>IFERROR(VLOOKUP($B1145,'PY1 TFR ADA'!$F:$AU,MATCH("b-6.2",'PY1 TFR ADA'!$F$5:$AU$5,0),FALSE),0)</f>
        <v>0</v>
      </c>
      <c r="R1148" s="551"/>
      <c r="S1148" s="601">
        <f t="shared" si="1718"/>
        <v>0</v>
      </c>
      <c r="T1148" s="551"/>
      <c r="U1148" s="536">
        <f t="shared" ref="U1148" si="1720">ROUND(IF($G1154="LCFF Rate",(G1148*$C1148),(G1148*$E1148))+IF($I1154="LCFF Rate",(I1148*$C1148),(I1148*$E1148))+IF($K1154="LCFF Rate",(K1148*$C1148),(K1148*$E1148))+IF($M1154="LCFF Rate",(M1148*$C1148),(M1148*$E1148))+IF($O1154="LCFF Rate",(O1148*$C1148),(O1148*$E1148))+IF($Q1154="LCFF Rate",(Q1148*$C1148),(Q1148*$E1148)),0)</f>
        <v>0</v>
      </c>
      <c r="V1148" s="524"/>
      <c r="X1148" s="4"/>
    </row>
    <row r="1149" spans="1:24" s="8" customFormat="1" ht="14.4">
      <c r="A1149" s="521"/>
      <c r="B1149" s="510" t="s">
        <v>3</v>
      </c>
      <c r="C1149" s="525">
        <f>IFERROR(VLOOKUP($B1145,'PY1 TFR ADA'!$F:$AU,MATCH("A-1.3",'PY1 TFR ADA'!$F$5:$AU$5,0),FALSE),0)</f>
        <v>0</v>
      </c>
      <c r="D1149" s="167"/>
      <c r="E1149" s="525">
        <f>IFERROR(VALUE(VLOOKUP($B1145,'PY1 TFR ADA'!$F:$AU,MATCH("A-2.3",'PY1 TFR ADA'!$F$5:$AU$5,0),FALSE)),0)</f>
        <v>0</v>
      </c>
      <c r="F1149" s="167"/>
      <c r="G1149" s="609">
        <f>IFERROR(VLOOKUP($B1145,'PY1 TFR ADA'!$F:$AU,MATCH("b-1.3",'PY1 TFR ADA'!$F$5:$AU$5,0),FALSE),0)</f>
        <v>0</v>
      </c>
      <c r="H1149" s="527"/>
      <c r="I1149" s="609">
        <f>IFERROR(VLOOKUP($B1145,'PY1 TFR ADA'!$F:$AU,MATCH("b-2.3",'PY1 TFR ADA'!$F$5:$AU$5,0),FALSE),0)</f>
        <v>0</v>
      </c>
      <c r="J1149" s="527"/>
      <c r="K1149" s="609">
        <f>IFERROR(VLOOKUP($B1145,'PY1 TFR ADA'!$F:$AU,MATCH("b-3.3",'PY1 TFR ADA'!$F$5:$AU$5,0),FALSE),0)</f>
        <v>0</v>
      </c>
      <c r="L1149" s="527"/>
      <c r="M1149" s="609">
        <f>IFERROR(VLOOKUP($B1145,'PY1 TFR ADA'!$F:$AU,MATCH("b-4.3",'PY1 TFR ADA'!$F$5:$AU$5,0),FALSE),0)</f>
        <v>0</v>
      </c>
      <c r="N1149" s="527"/>
      <c r="O1149" s="609">
        <f>IFERROR(VLOOKUP($B1145,'PY1 TFR ADA'!$F:$AU,MATCH("b-5.3",'PY1 TFR ADA'!$F$5:$AU$5,0),FALSE),0)</f>
        <v>0</v>
      </c>
      <c r="P1149" s="527"/>
      <c r="Q1149" s="609">
        <f>IFERROR(VLOOKUP($B1145,'PY1 TFR ADA'!$F:$AU,MATCH("b-6.3",'PY1 TFR ADA'!$F$5:$AU$5,0),FALSE),0)</f>
        <v>0</v>
      </c>
      <c r="R1149" s="551"/>
      <c r="S1149" s="601">
        <f t="shared" si="1718"/>
        <v>0</v>
      </c>
      <c r="T1149" s="551"/>
      <c r="U1149" s="536">
        <f t="shared" ref="U1149" si="1721">ROUND(IF($G1154="LCFF Rate",(G1149*$C1149),(G1149*$E1149))+IF($I1154="LCFF Rate",(I1149*$C1149),(I1149*$E1149))+IF($K1154="LCFF Rate",(K1149*$C1149),(K1149*$E1149))+IF($M1154="LCFF Rate",(M1149*$C1149),(M1149*$E1149))+IF($O1154="LCFF Rate",(O1149*$C1149),(O1149*$E1149))+IF($Q1154="LCFF Rate",(Q1149*$C1149),(Q1149*$E1149)),0)</f>
        <v>0</v>
      </c>
      <c r="V1149" s="524"/>
      <c r="X1149" s="4"/>
    </row>
    <row r="1150" spans="1:24" s="8" customFormat="1" ht="14.4">
      <c r="A1150" s="526"/>
      <c r="B1150" s="510" t="s">
        <v>4</v>
      </c>
      <c r="C1150" s="525">
        <f>IFERROR(VLOOKUP($B1145,'PY1 TFR ADA'!$F:$AU,MATCH("A-1.4",'PY1 TFR ADA'!$F$5:$AU$5,0),FALSE),0)</f>
        <v>0</v>
      </c>
      <c r="D1150" s="523"/>
      <c r="E1150" s="525">
        <f>IFERROR(VALUE(VLOOKUP($B1145,'PY1 TFR ADA'!$F:$AU,MATCH("A-2.4",'PY1 TFR ADA'!$F$5:$AU$5,0),FALSE)),0)</f>
        <v>0</v>
      </c>
      <c r="F1150" s="523"/>
      <c r="G1150" s="609">
        <f>IFERROR(VLOOKUP($B1145,'PY1 TFR ADA'!$F:$AU,MATCH("b-1.4",'PY1 TFR ADA'!$F$5:$AU$5,0),FALSE),0)</f>
        <v>0</v>
      </c>
      <c r="H1150" s="527"/>
      <c r="I1150" s="609">
        <f>IFERROR(VLOOKUP($B1145,'PY1 TFR ADA'!$F:$AU,MATCH("b-2.4",'PY1 TFR ADA'!$F$5:$AU$5,0),FALSE),0)</f>
        <v>0</v>
      </c>
      <c r="J1150" s="527"/>
      <c r="K1150" s="609">
        <f>IFERROR(VLOOKUP($B1145,'PY1 TFR ADA'!$F:$AU,MATCH("b-3.4",'PY1 TFR ADA'!$F$5:$AU$5,0),FALSE),0)</f>
        <v>0</v>
      </c>
      <c r="L1150" s="527"/>
      <c r="M1150" s="609">
        <f>IFERROR(VLOOKUP($B1145,'PY1 TFR ADA'!$F:$AU,MATCH("b-4.4",'PY1 TFR ADA'!$F$5:$AU$5,0),FALSE),0)</f>
        <v>0</v>
      </c>
      <c r="N1150" s="527"/>
      <c r="O1150" s="609">
        <f>IFERROR(VLOOKUP($B1145,'PY1 TFR ADA'!$F:$AU,MATCH("b-5.4",'PY1 TFR ADA'!$F$5:$AU$5,0),FALSE),0)</f>
        <v>0</v>
      </c>
      <c r="P1150" s="527"/>
      <c r="Q1150" s="609">
        <f>IFERROR(VLOOKUP($B1145,'PY1 TFR ADA'!$F:$AU,MATCH("b-6.4",'PY1 TFR ADA'!$F$5:$AU$5,0),FALSE),0)</f>
        <v>0</v>
      </c>
      <c r="R1150" s="551"/>
      <c r="S1150" s="601">
        <f t="shared" si="1718"/>
        <v>0</v>
      </c>
      <c r="T1150" s="551"/>
      <c r="U1150" s="536">
        <f t="shared" ref="U1150" si="1722">ROUND(IF($G1154="LCFF Rate",(G1150*$C1150),(G1150*$E1150))+IF($I1154="LCFF Rate",(I1150*$C1150),(I1150*$E1150))+IF($K1154="LCFF Rate",(K1150*$C1150),(K1150*$E1150))+IF($M1154="LCFF Rate",(M1150*$C1150),(M1150*$E1150))+IF($O1154="LCFF Rate",(O1150*$C1150),(O1150*$E1150))+IF($Q1154="LCFF Rate",(Q1150*$C1150),(Q1150*$E1150)),0)</f>
        <v>0</v>
      </c>
      <c r="V1150" s="522"/>
      <c r="X1150" s="496"/>
    </row>
    <row r="1151" spans="1:24" s="8" customFormat="1" ht="8.25" customHeight="1">
      <c r="A1151" s="521"/>
      <c r="B1151" s="167"/>
      <c r="C1151" s="165"/>
      <c r="D1151" s="523"/>
      <c r="E1151" s="165"/>
      <c r="F1151" s="523"/>
      <c r="G1151" s="520"/>
      <c r="H1151" s="523"/>
      <c r="I1151" s="520"/>
      <c r="J1151" s="523"/>
      <c r="K1151" s="520"/>
      <c r="L1151" s="523"/>
      <c r="M1151" s="520"/>
      <c r="N1151" s="523"/>
      <c r="O1151" s="520"/>
      <c r="P1151" s="523"/>
      <c r="Q1151" s="520"/>
      <c r="R1151" s="167"/>
      <c r="S1151" s="520"/>
      <c r="T1151" s="167"/>
      <c r="U1151" s="602"/>
      <c r="V1151" s="522"/>
      <c r="X1151" s="4"/>
    </row>
    <row r="1152" spans="1:24" s="8" customFormat="1" ht="14.4">
      <c r="A1152" s="521"/>
      <c r="B1152" s="167"/>
      <c r="C1152" s="165"/>
      <c r="D1152" s="523"/>
      <c r="E1152" s="513" t="s">
        <v>1317</v>
      </c>
      <c r="F1152" s="523"/>
      <c r="G1152" s="601">
        <f t="shared" ref="G1152" si="1723">SUM(G1147:G1150)</f>
        <v>0</v>
      </c>
      <c r="H1152" s="527"/>
      <c r="I1152" s="601">
        <f t="shared" ref="I1152" si="1724">SUM(I1147:I1150)</f>
        <v>0</v>
      </c>
      <c r="J1152" s="527"/>
      <c r="K1152" s="601">
        <f t="shared" ref="K1152" si="1725">SUM(K1147:K1150)</f>
        <v>0</v>
      </c>
      <c r="L1152" s="527"/>
      <c r="M1152" s="601">
        <f t="shared" ref="M1152" si="1726">SUM(M1147:M1150)</f>
        <v>0</v>
      </c>
      <c r="N1152" s="527"/>
      <c r="O1152" s="601">
        <f t="shared" ref="O1152" si="1727">SUM(O1147:O1150)</f>
        <v>0</v>
      </c>
      <c r="P1152" s="527"/>
      <c r="Q1152" s="601">
        <f t="shared" ref="Q1152" si="1728">SUM(Q1147:Q1150)</f>
        <v>0</v>
      </c>
      <c r="R1152" s="527"/>
      <c r="S1152" s="601">
        <f t="shared" ref="S1152" si="1729">SUM(S1147:S1150)</f>
        <v>0</v>
      </c>
      <c r="T1152" s="527"/>
      <c r="U1152" s="536">
        <f t="shared" ref="U1152" si="1730">SUM(U1147:U1150)</f>
        <v>0</v>
      </c>
      <c r="V1152" s="522"/>
      <c r="X1152" s="4"/>
    </row>
    <row r="1153" spans="1:24" s="8" customFormat="1" ht="8.25" customHeight="1">
      <c r="A1153" s="521"/>
      <c r="B1153" s="167"/>
      <c r="C1153" s="165"/>
      <c r="D1153" s="523"/>
      <c r="E1153" s="165"/>
      <c r="F1153" s="523"/>
      <c r="G1153" s="520"/>
      <c r="H1153" s="523"/>
      <c r="I1153" s="520"/>
      <c r="J1153" s="523"/>
      <c r="K1153" s="520"/>
      <c r="L1153" s="523"/>
      <c r="M1153" s="520"/>
      <c r="N1153" s="523"/>
      <c r="O1153" s="520"/>
      <c r="P1153" s="523"/>
      <c r="Q1153" s="520"/>
      <c r="R1153" s="167"/>
      <c r="S1153" s="520"/>
      <c r="T1153" s="167"/>
      <c r="U1153" s="528"/>
      <c r="V1153" s="522"/>
      <c r="X1153" s="4"/>
    </row>
    <row r="1154" spans="1:24" s="8" customFormat="1" ht="16.5" customHeight="1">
      <c r="A1154" s="521"/>
      <c r="B1154" s="167"/>
      <c r="C1154" s="165"/>
      <c r="E1154" s="513" t="s">
        <v>1304</v>
      </c>
      <c r="F1154" s="523"/>
      <c r="G1154" s="977">
        <f>_xlfn.IFNA(IF(VLOOKUP($B1145,'PY1 TFR ADA'!$F:$AU,MATCH("B-1.5",'PY1 TFR ADA'!$F$5:$AU$5,0),FALSE)=TRUE,IF(VLOOKUP($B1145,'PY1 TFR ADA'!$F:$AU,MATCH("C-1",'PY1 TFR ADA'!$F$5:$AU$5,0),FALSE)=TRUE,"Alternative Rate","LCFF Rate"),"LCFF Rate"),0)</f>
        <v>0</v>
      </c>
      <c r="H1154" s="523"/>
      <c r="I1154" s="977">
        <f>_xlfn.IFNA(IF(VLOOKUP($B1145,'PY1 TFR ADA'!$F:$AU,MATCH("B-2.5",'PY1 TFR ADA'!$F$5:$AU$5,0),FALSE)=TRUE,IF(VLOOKUP($B1145,'PY1 TFR ADA'!$F:$AU,MATCH("C-1",'PY1 TFR ADA'!$F$5:$AU$5,0),FALSE)=TRUE,"Alternative Rate","LCFF Rate"),"LCFF Rate"),0)</f>
        <v>0</v>
      </c>
      <c r="J1154" s="523"/>
      <c r="K1154" s="977">
        <f>_xlfn.IFNA(IF(VLOOKUP($B1145,'PY1 TFR ADA'!$F:$AU,MATCH("B-3.5",'PY1 TFR ADA'!$F$5:$AU$5,0),FALSE)=TRUE,IF(VLOOKUP($B1145,'PY1 TFR ADA'!$F:$AU,MATCH("C-1",'PY1 TFR ADA'!$F$5:$AU$5,0),FALSE)=TRUE,"Alternative Rate","LCFF Rate"),"LCFF Rate"),0)</f>
        <v>0</v>
      </c>
      <c r="L1154" s="523"/>
      <c r="M1154" s="977">
        <f>_xlfn.IFNA(IF(VLOOKUP($B1145,'PY1 TFR ADA'!$F:$AU,MATCH("B-4.5",'PY1 TFR ADA'!$F$5:$AU$5,0),FALSE)=TRUE,IF(VLOOKUP($B1145,'PY1 TFR ADA'!$F:$AU,MATCH("C-1",'PY1 TFR ADA'!$F$5:$AU$5,0),FALSE)=TRUE,"Alternative Rate","LCFF Rate"),"LCFF Rate"),0)</f>
        <v>0</v>
      </c>
      <c r="N1154" s="523"/>
      <c r="O1154" s="977">
        <f>_xlfn.IFNA(IF(VLOOKUP($B1145,'PY1 TFR ADA'!$F:$AU,MATCH("B-5.5",'PY1 TFR ADA'!$F$5:$AU$5,0),FALSE)=TRUE,IF(VLOOKUP($B1145,'PY1 TFR ADA'!$F:$AU,MATCH("C-1",'PY1 TFR ADA'!$F$5:$AU$5,0),FALSE)=TRUE,"Alternative Rate","LCFF Rate"),"LCFF Rate"),0)</f>
        <v>0</v>
      </c>
      <c r="P1154" s="523"/>
      <c r="Q1154" s="977">
        <f>_xlfn.IFNA(IF(VLOOKUP($B1145,'PY1 TFR ADA'!$F:$AU,MATCH("B-6.5",'PY1 TFR ADA'!$F$5:$AU$5,0),FALSE)=TRUE,IF(VLOOKUP($B1145,'PY1 TFR ADA'!$F:$AU,MATCH("C-1",'PY1 TFR ADA'!$F$5:$AU$5,0),FALSE)=TRUE,"Alternative Rate","LCFF Rate"),"LCFF Rate"),0)</f>
        <v>0</v>
      </c>
      <c r="R1154" s="167"/>
      <c r="S1154" s="520"/>
      <c r="T1154" s="167"/>
      <c r="U1154" s="528"/>
      <c r="V1154" s="522"/>
      <c r="X1154" s="283"/>
    </row>
    <row r="1155" spans="1:24" s="8" customFormat="1" ht="8.25" customHeight="1">
      <c r="A1155" s="521"/>
      <c r="B1155" s="167"/>
      <c r="C1155" s="165"/>
      <c r="D1155" s="523"/>
      <c r="E1155" s="165"/>
      <c r="F1155" s="523"/>
      <c r="G1155" s="520"/>
      <c r="H1155" s="523"/>
      <c r="I1155" s="520"/>
      <c r="J1155" s="523"/>
      <c r="K1155" s="520"/>
      <c r="L1155" s="523"/>
      <c r="M1155" s="520"/>
      <c r="N1155" s="523"/>
      <c r="O1155" s="520"/>
      <c r="P1155" s="523"/>
      <c r="Q1155" s="520"/>
      <c r="R1155" s="167"/>
      <c r="S1155" s="520"/>
      <c r="T1155" s="167"/>
      <c r="U1155" s="528"/>
      <c r="V1155" s="522"/>
      <c r="X1155" s="4"/>
    </row>
    <row r="1156" spans="1:24" s="8" customFormat="1" ht="16.8">
      <c r="A1156" s="521"/>
      <c r="B1156" s="2"/>
      <c r="F1156" s="523"/>
      <c r="G1156" s="535">
        <f t="shared" ref="G1156" si="1731">IF(G1154="LCFF Rate",(G1147*C1147+G1148*C1148+G1149*C1149+G1150*C1150),(G1152*E1150))</f>
        <v>0</v>
      </c>
      <c r="H1156" s="537"/>
      <c r="I1156" s="535">
        <f t="shared" ref="I1156" si="1732">IF(I1154="LCFF Rate",(I1147*C1147+I1148*C1148+I1149*C1149+I1150*C1150),(I1152*E1150))</f>
        <v>0</v>
      </c>
      <c r="J1156" s="537"/>
      <c r="K1156" s="535">
        <f t="shared" ref="K1156" si="1733">IF(K1154="LCFF Rate",(K1147*C1147+K1148*C1148+K1149*C1149+K1150*C1150),(K1152*E1150))</f>
        <v>0</v>
      </c>
      <c r="L1156" s="537"/>
      <c r="M1156" s="535">
        <f t="shared" ref="M1156" si="1734">IF(M1154="LCFF Rate",(M1147*C1147+M1148*C1148+M1149*C1149+M1150*C1150),(M1152*E1150))</f>
        <v>0</v>
      </c>
      <c r="N1156" s="537"/>
      <c r="O1156" s="535">
        <f t="shared" ref="O1156" si="1735">IF(O1154="LCFF Rate",(O1147*C1147+O1148*C1148+O1149*C1149+O1150*C1150),(O1152*E1150))</f>
        <v>0</v>
      </c>
      <c r="P1156" s="537"/>
      <c r="Q1156" s="535">
        <f t="shared" ref="Q1156" si="1736">IF(Q1154="LCFF Rate",(Q1147*C1147+Q1148*C1148+Q1149*C1149+Q1150*C1150),(Q1152*E1150))</f>
        <v>0</v>
      </c>
      <c r="R1156" s="167"/>
      <c r="S1156" s="538">
        <f t="shared" ref="S1156" si="1737">SUM(G1156:Q1156)</f>
        <v>0</v>
      </c>
      <c r="T1156" s="167"/>
      <c r="U1156" s="528"/>
      <c r="V1156" s="522"/>
      <c r="X1156" s="979"/>
    </row>
    <row r="1157" spans="1:24" s="8" customFormat="1" ht="9" customHeight="1" thickBot="1">
      <c r="A1157" s="529"/>
      <c r="B1157" s="530"/>
      <c r="C1157" s="531"/>
      <c r="D1157" s="532"/>
      <c r="E1157" s="533"/>
      <c r="F1157" s="532"/>
      <c r="G1157" s="530"/>
      <c r="H1157" s="532"/>
      <c r="I1157" s="530"/>
      <c r="J1157" s="532"/>
      <c r="K1157" s="530"/>
      <c r="L1157" s="532"/>
      <c r="M1157" s="530"/>
      <c r="N1157" s="532"/>
      <c r="O1157" s="530"/>
      <c r="P1157" s="532"/>
      <c r="Q1157" s="530"/>
      <c r="R1157" s="532"/>
      <c r="S1157" s="530"/>
      <c r="T1157" s="532"/>
      <c r="U1157" s="532"/>
      <c r="V1157" s="534"/>
      <c r="X1157" s="4"/>
    </row>
    <row r="1158" spans="1:24" s="82" customFormat="1" ht="18" customHeight="1" thickBot="1">
      <c r="A1158" s="890">
        <f>+A1145+1</f>
        <v>89</v>
      </c>
      <c r="B1158" s="891" t="str">
        <f>'Data Entry'!$B$3&amp;"-"&amp;C1158</f>
        <v>-</v>
      </c>
      <c r="C1158" s="891" t="str">
        <f>IFERROR(VLOOKUP('Data Entry'!$B$3&amp;"-"&amp;A1158,'PY1 TFR ADA'!$D:$AT,2,FALSE),"")</f>
        <v/>
      </c>
      <c r="D1158" s="892" t="str">
        <f>IFERROR(VLOOKUP('Data Entry'!$B$3&amp;"-"&amp;A1158,'PY1 TFR ADA'!$D:$AT,4,FALSE),"")</f>
        <v/>
      </c>
      <c r="E1158" s="893"/>
      <c r="F1158" s="893"/>
      <c r="G1158" s="893"/>
      <c r="H1158" s="893"/>
      <c r="I1158" s="893"/>
      <c r="J1158" s="893"/>
      <c r="K1158" s="893"/>
      <c r="L1158" s="893"/>
      <c r="M1158" s="893"/>
      <c r="N1158" s="893"/>
      <c r="O1158" s="893"/>
      <c r="P1158" s="893"/>
      <c r="Q1158" s="893"/>
      <c r="R1158" s="893"/>
      <c r="S1158" s="893"/>
      <c r="T1158" s="893"/>
      <c r="U1158" s="893"/>
      <c r="V1158" s="894"/>
      <c r="X1158" s="83"/>
    </row>
    <row r="1159" spans="1:24" ht="75" customHeight="1">
      <c r="A1159" s="521"/>
      <c r="C1159" s="540" t="s">
        <v>1315</v>
      </c>
      <c r="D1159" s="512"/>
      <c r="E1159" s="540" t="s">
        <v>1316</v>
      </c>
      <c r="F1159" s="512"/>
      <c r="G1159" s="540" t="s">
        <v>1309</v>
      </c>
      <c r="H1159" s="512"/>
      <c r="I1159" s="540" t="s">
        <v>1310</v>
      </c>
      <c r="J1159" s="512"/>
      <c r="K1159" s="540" t="s">
        <v>1311</v>
      </c>
      <c r="L1159" s="512"/>
      <c r="M1159" s="540" t="s">
        <v>1312</v>
      </c>
      <c r="N1159" s="512"/>
      <c r="O1159" s="540" t="s">
        <v>1313</v>
      </c>
      <c r="P1159" s="512"/>
      <c r="Q1159" s="540" t="s">
        <v>1314</v>
      </c>
      <c r="R1159" s="167"/>
      <c r="S1159" s="540" t="s">
        <v>1308</v>
      </c>
      <c r="T1159" s="167"/>
      <c r="U1159" s="512" t="s">
        <v>1307</v>
      </c>
      <c r="V1159" s="524"/>
      <c r="X1159" s="283"/>
    </row>
    <row r="1160" spans="1:24" s="8" customFormat="1" ht="14.4">
      <c r="A1160" s="521"/>
      <c r="B1160" s="510" t="s">
        <v>94</v>
      </c>
      <c r="C1160" s="525">
        <f>IFERROR(VLOOKUP($B1158,'PY1 TFR ADA'!$F:$AU,MATCH("A-1.1",'PY1 TFR ADA'!$F$5:$AU$5,0),FALSE),0)</f>
        <v>0</v>
      </c>
      <c r="D1160" s="167"/>
      <c r="E1160" s="525">
        <f>IFERROR(VALUE(VLOOKUP($B1158,'PY1 TFR ADA'!$F:$AU,MATCH("A-2.1",'PY1 TFR ADA'!$F$5:$AU$5,0),FALSE)),0)</f>
        <v>0</v>
      </c>
      <c r="F1160" s="167"/>
      <c r="G1160" s="609">
        <f>IFERROR(VLOOKUP($B1158,'PY1 TFR ADA'!$F:$AU,MATCH("b-1.1",'PY1 TFR ADA'!$F$5:$AU$5,0),FALSE),0)</f>
        <v>0</v>
      </c>
      <c r="H1160" s="527"/>
      <c r="I1160" s="609">
        <f>IFERROR(VLOOKUP($B1158,'PY1 TFR ADA'!$F:$AU,MATCH("b-2.1",'PY1 TFR ADA'!$F$5:$AU$5,0),FALSE),0)</f>
        <v>0</v>
      </c>
      <c r="J1160" s="527"/>
      <c r="K1160" s="609">
        <f>IFERROR(VLOOKUP($B1158,'PY1 TFR ADA'!$F:$AU,MATCH("b-3.1",'PY1 TFR ADA'!$F$5:$AU$5,0),FALSE),0)</f>
        <v>0</v>
      </c>
      <c r="L1160" s="527"/>
      <c r="M1160" s="609">
        <f>IFERROR(VLOOKUP($B1158,'PY1 TFR ADA'!$F:$AU,MATCH("b-4.1",'PY1 TFR ADA'!$F$5:$AU$5,0),FALSE),0)</f>
        <v>0</v>
      </c>
      <c r="N1160" s="527"/>
      <c r="O1160" s="609">
        <f>IFERROR(VLOOKUP($B1158,'PY1 TFR ADA'!$F:$AU,MATCH("b-5.1",'PY1 TFR ADA'!$F$5:$AU$5,0),FALSE),0)</f>
        <v>0</v>
      </c>
      <c r="P1160" s="527"/>
      <c r="Q1160" s="609">
        <f>IFERROR(VLOOKUP($B1158,'PY1 TFR ADA'!$F:$AU,MATCH("b-6.1",'PY1 TFR ADA'!$F$5:$AU$5,0),FALSE),0)</f>
        <v>0</v>
      </c>
      <c r="R1160" s="551"/>
      <c r="S1160" s="601">
        <f t="shared" ref="S1160:S1163" si="1738">SUM(G1160:Q1160)</f>
        <v>0</v>
      </c>
      <c r="T1160" s="551"/>
      <c r="U1160" s="536">
        <f t="shared" ref="U1160" si="1739">ROUND(IF($G1167="LCFF Rate",(G1160*$C1160),(G1160*$E1160))+IF($I1167="LCFF Rate",(I1160*$C1160),(I1160*$E1160))+IF($K1167="LCFF Rate",(K1160*$C1160),(K1160*$E1160))+IF($M1167="LCFF Rate",(M1160*$C1160),(M1160*$E1160))+IF($O1167="LCFF Rate",(O1160*$C1160),(O1160*$E1160))+IF($Q1167="LCFF Rate",(Q1160*$C1160),(Q1160*$E1160)),0)</f>
        <v>0</v>
      </c>
      <c r="V1160" s="524"/>
      <c r="X1160" s="496"/>
    </row>
    <row r="1161" spans="1:24" s="8" customFormat="1" ht="14.4">
      <c r="A1161" s="521"/>
      <c r="B1161" s="510" t="s">
        <v>2</v>
      </c>
      <c r="C1161" s="525">
        <f>IFERROR(VLOOKUP($B1158,'PY1 TFR ADA'!$F:$AU,MATCH("A-1.2",'PY1 TFR ADA'!$F$5:$AU$5,0),FALSE),0)</f>
        <v>0</v>
      </c>
      <c r="D1161" s="167"/>
      <c r="E1161" s="525">
        <f>IFERROR(VALUE(VLOOKUP($B1158,'PY1 TFR ADA'!$F:$AU,MATCH("A-2.2",'PY1 TFR ADA'!$F$5:$AU$5,0),FALSE)),0)</f>
        <v>0</v>
      </c>
      <c r="F1161" s="167"/>
      <c r="G1161" s="609">
        <f>IFERROR(VLOOKUP($B1158,'PY1 TFR ADA'!$F:$AU,MATCH("b-1.2",'PY1 TFR ADA'!$F$5:$AU$5,0),FALSE),0)</f>
        <v>0</v>
      </c>
      <c r="H1161" s="527"/>
      <c r="I1161" s="609">
        <f>IFERROR(VLOOKUP($B1158,'PY1 TFR ADA'!$F:$AU,MATCH("b-2.2",'PY1 TFR ADA'!$F$5:$AU$5,0),FALSE),0)</f>
        <v>0</v>
      </c>
      <c r="J1161" s="527"/>
      <c r="K1161" s="609">
        <f>IFERROR(VLOOKUP($B1158,'PY1 TFR ADA'!$F:$AU,MATCH("b-3.2",'PY1 TFR ADA'!$F$5:$AU$5,0),FALSE),0)</f>
        <v>0</v>
      </c>
      <c r="L1161" s="527"/>
      <c r="M1161" s="609">
        <f>IFERROR(VLOOKUP($B1158,'PY1 TFR ADA'!$F:$AU,MATCH("b-4.2",'PY1 TFR ADA'!$F$5:$AU$5,0),FALSE),0)</f>
        <v>0</v>
      </c>
      <c r="N1161" s="527"/>
      <c r="O1161" s="609">
        <f>IFERROR(VLOOKUP($B1158,'PY1 TFR ADA'!$F:$AU,MATCH("b-5.2",'PY1 TFR ADA'!$F$5:$AU$5,0),FALSE),0)</f>
        <v>0</v>
      </c>
      <c r="P1161" s="527"/>
      <c r="Q1161" s="609">
        <f>IFERROR(VLOOKUP($B1158,'PY1 TFR ADA'!$F:$AU,MATCH("b-6.2",'PY1 TFR ADA'!$F$5:$AU$5,0),FALSE),0)</f>
        <v>0</v>
      </c>
      <c r="R1161" s="551"/>
      <c r="S1161" s="601">
        <f t="shared" si="1738"/>
        <v>0</v>
      </c>
      <c r="T1161" s="551"/>
      <c r="U1161" s="536">
        <f t="shared" ref="U1161" si="1740">ROUND(IF($G1167="LCFF Rate",(G1161*$C1161),(G1161*$E1161))+IF($I1167="LCFF Rate",(I1161*$C1161),(I1161*$E1161))+IF($K1167="LCFF Rate",(K1161*$C1161),(K1161*$E1161))+IF($M1167="LCFF Rate",(M1161*$C1161),(M1161*$E1161))+IF($O1167="LCFF Rate",(O1161*$C1161),(O1161*$E1161))+IF($Q1167="LCFF Rate",(Q1161*$C1161),(Q1161*$E1161)),0)</f>
        <v>0</v>
      </c>
      <c r="V1161" s="524"/>
      <c r="X1161" s="4"/>
    </row>
    <row r="1162" spans="1:24" s="8" customFormat="1" ht="14.4">
      <c r="A1162" s="521"/>
      <c r="B1162" s="510" t="s">
        <v>3</v>
      </c>
      <c r="C1162" s="525">
        <f>IFERROR(VLOOKUP($B1158,'PY1 TFR ADA'!$F:$AU,MATCH("A-1.3",'PY1 TFR ADA'!$F$5:$AU$5,0),FALSE),0)</f>
        <v>0</v>
      </c>
      <c r="D1162" s="167"/>
      <c r="E1162" s="525">
        <f>IFERROR(VALUE(VLOOKUP($B1158,'PY1 TFR ADA'!$F:$AU,MATCH("A-2.3",'PY1 TFR ADA'!$F$5:$AU$5,0),FALSE)),0)</f>
        <v>0</v>
      </c>
      <c r="F1162" s="167"/>
      <c r="G1162" s="609">
        <f>IFERROR(VLOOKUP($B1158,'PY1 TFR ADA'!$F:$AU,MATCH("b-1.3",'PY1 TFR ADA'!$F$5:$AU$5,0),FALSE),0)</f>
        <v>0</v>
      </c>
      <c r="H1162" s="527"/>
      <c r="I1162" s="609">
        <f>IFERROR(VLOOKUP($B1158,'PY1 TFR ADA'!$F:$AU,MATCH("b-2.3",'PY1 TFR ADA'!$F$5:$AU$5,0),FALSE),0)</f>
        <v>0</v>
      </c>
      <c r="J1162" s="527"/>
      <c r="K1162" s="609">
        <f>IFERROR(VLOOKUP($B1158,'PY1 TFR ADA'!$F:$AU,MATCH("b-3.3",'PY1 TFR ADA'!$F$5:$AU$5,0),FALSE),0)</f>
        <v>0</v>
      </c>
      <c r="L1162" s="527"/>
      <c r="M1162" s="609">
        <f>IFERROR(VLOOKUP($B1158,'PY1 TFR ADA'!$F:$AU,MATCH("b-4.3",'PY1 TFR ADA'!$F$5:$AU$5,0),FALSE),0)</f>
        <v>0</v>
      </c>
      <c r="N1162" s="527"/>
      <c r="O1162" s="609">
        <f>IFERROR(VLOOKUP($B1158,'PY1 TFR ADA'!$F:$AU,MATCH("b-5.3",'PY1 TFR ADA'!$F$5:$AU$5,0),FALSE),0)</f>
        <v>0</v>
      </c>
      <c r="P1162" s="527"/>
      <c r="Q1162" s="609">
        <f>IFERROR(VLOOKUP($B1158,'PY1 TFR ADA'!$F:$AU,MATCH("b-6.3",'PY1 TFR ADA'!$F$5:$AU$5,0),FALSE),0)</f>
        <v>0</v>
      </c>
      <c r="R1162" s="551"/>
      <c r="S1162" s="601">
        <f t="shared" si="1738"/>
        <v>0</v>
      </c>
      <c r="T1162" s="551"/>
      <c r="U1162" s="536">
        <f t="shared" ref="U1162" si="1741">ROUND(IF($G1167="LCFF Rate",(G1162*$C1162),(G1162*$E1162))+IF($I1167="LCFF Rate",(I1162*$C1162),(I1162*$E1162))+IF($K1167="LCFF Rate",(K1162*$C1162),(K1162*$E1162))+IF($M1167="LCFF Rate",(M1162*$C1162),(M1162*$E1162))+IF($O1167="LCFF Rate",(O1162*$C1162),(O1162*$E1162))+IF($Q1167="LCFF Rate",(Q1162*$C1162),(Q1162*$E1162)),0)</f>
        <v>0</v>
      </c>
      <c r="V1162" s="524"/>
      <c r="X1162" s="4"/>
    </row>
    <row r="1163" spans="1:24" s="8" customFormat="1" ht="14.4">
      <c r="A1163" s="526"/>
      <c r="B1163" s="510" t="s">
        <v>4</v>
      </c>
      <c r="C1163" s="525">
        <f>IFERROR(VLOOKUP($B1158,'PY1 TFR ADA'!$F:$AU,MATCH("A-1.4",'PY1 TFR ADA'!$F$5:$AU$5,0),FALSE),0)</f>
        <v>0</v>
      </c>
      <c r="D1163" s="523"/>
      <c r="E1163" s="525">
        <f>IFERROR(VALUE(VLOOKUP($B1158,'PY1 TFR ADA'!$F:$AU,MATCH("A-2.4",'PY1 TFR ADA'!$F$5:$AU$5,0),FALSE)),0)</f>
        <v>0</v>
      </c>
      <c r="F1163" s="523"/>
      <c r="G1163" s="609">
        <f>IFERROR(VLOOKUP($B1158,'PY1 TFR ADA'!$F:$AU,MATCH("b-1.4",'PY1 TFR ADA'!$F$5:$AU$5,0),FALSE),0)</f>
        <v>0</v>
      </c>
      <c r="H1163" s="527"/>
      <c r="I1163" s="609">
        <f>IFERROR(VLOOKUP($B1158,'PY1 TFR ADA'!$F:$AU,MATCH("b-2.4",'PY1 TFR ADA'!$F$5:$AU$5,0),FALSE),0)</f>
        <v>0</v>
      </c>
      <c r="J1163" s="527"/>
      <c r="K1163" s="609">
        <f>IFERROR(VLOOKUP($B1158,'PY1 TFR ADA'!$F:$AU,MATCH("b-3.4",'PY1 TFR ADA'!$F$5:$AU$5,0),FALSE),0)</f>
        <v>0</v>
      </c>
      <c r="L1163" s="527"/>
      <c r="M1163" s="609">
        <f>IFERROR(VLOOKUP($B1158,'PY1 TFR ADA'!$F:$AU,MATCH("b-4.4",'PY1 TFR ADA'!$F$5:$AU$5,0),FALSE),0)</f>
        <v>0</v>
      </c>
      <c r="N1163" s="527"/>
      <c r="O1163" s="609">
        <f>IFERROR(VLOOKUP($B1158,'PY1 TFR ADA'!$F:$AU,MATCH("b-5.4",'PY1 TFR ADA'!$F$5:$AU$5,0),FALSE),0)</f>
        <v>0</v>
      </c>
      <c r="P1163" s="527"/>
      <c r="Q1163" s="609">
        <f>IFERROR(VLOOKUP($B1158,'PY1 TFR ADA'!$F:$AU,MATCH("b-6.4",'PY1 TFR ADA'!$F$5:$AU$5,0),FALSE),0)</f>
        <v>0</v>
      </c>
      <c r="R1163" s="551"/>
      <c r="S1163" s="601">
        <f t="shared" si="1738"/>
        <v>0</v>
      </c>
      <c r="T1163" s="551"/>
      <c r="U1163" s="536">
        <f t="shared" ref="U1163" si="1742">ROUND(IF($G1167="LCFF Rate",(G1163*$C1163),(G1163*$E1163))+IF($I1167="LCFF Rate",(I1163*$C1163),(I1163*$E1163))+IF($K1167="LCFF Rate",(K1163*$C1163),(K1163*$E1163))+IF($M1167="LCFF Rate",(M1163*$C1163),(M1163*$E1163))+IF($O1167="LCFF Rate",(O1163*$C1163),(O1163*$E1163))+IF($Q1167="LCFF Rate",(Q1163*$C1163),(Q1163*$E1163)),0)</f>
        <v>0</v>
      </c>
      <c r="V1163" s="522"/>
      <c r="X1163" s="496"/>
    </row>
    <row r="1164" spans="1:24" s="8" customFormat="1" ht="8.25" customHeight="1">
      <c r="A1164" s="521"/>
      <c r="B1164" s="167"/>
      <c r="C1164" s="165"/>
      <c r="D1164" s="523"/>
      <c r="E1164" s="165"/>
      <c r="F1164" s="523"/>
      <c r="G1164" s="520"/>
      <c r="H1164" s="523"/>
      <c r="I1164" s="520"/>
      <c r="J1164" s="523"/>
      <c r="K1164" s="520"/>
      <c r="L1164" s="523"/>
      <c r="M1164" s="520"/>
      <c r="N1164" s="523"/>
      <c r="O1164" s="520"/>
      <c r="P1164" s="523"/>
      <c r="Q1164" s="520"/>
      <c r="R1164" s="167"/>
      <c r="S1164" s="520"/>
      <c r="T1164" s="167"/>
      <c r="U1164" s="602"/>
      <c r="V1164" s="522"/>
      <c r="X1164" s="4"/>
    </row>
    <row r="1165" spans="1:24" s="8" customFormat="1" ht="14.4">
      <c r="A1165" s="521"/>
      <c r="B1165" s="167"/>
      <c r="C1165" s="165"/>
      <c r="D1165" s="523"/>
      <c r="E1165" s="513" t="s">
        <v>1317</v>
      </c>
      <c r="F1165" s="523"/>
      <c r="G1165" s="601">
        <f t="shared" ref="G1165" si="1743">SUM(G1160:G1163)</f>
        <v>0</v>
      </c>
      <c r="H1165" s="527"/>
      <c r="I1165" s="601">
        <f t="shared" ref="I1165" si="1744">SUM(I1160:I1163)</f>
        <v>0</v>
      </c>
      <c r="J1165" s="527"/>
      <c r="K1165" s="601">
        <f t="shared" ref="K1165" si="1745">SUM(K1160:K1163)</f>
        <v>0</v>
      </c>
      <c r="L1165" s="527"/>
      <c r="M1165" s="601">
        <f t="shared" ref="M1165" si="1746">SUM(M1160:M1163)</f>
        <v>0</v>
      </c>
      <c r="N1165" s="527"/>
      <c r="O1165" s="601">
        <f t="shared" ref="O1165" si="1747">SUM(O1160:O1163)</f>
        <v>0</v>
      </c>
      <c r="P1165" s="527"/>
      <c r="Q1165" s="601">
        <f t="shared" ref="Q1165" si="1748">SUM(Q1160:Q1163)</f>
        <v>0</v>
      </c>
      <c r="R1165" s="527"/>
      <c r="S1165" s="601">
        <f t="shared" ref="S1165" si="1749">SUM(S1160:S1163)</f>
        <v>0</v>
      </c>
      <c r="T1165" s="527"/>
      <c r="U1165" s="536">
        <f t="shared" ref="U1165" si="1750">SUM(U1160:U1163)</f>
        <v>0</v>
      </c>
      <c r="V1165" s="522"/>
      <c r="X1165" s="4"/>
    </row>
    <row r="1166" spans="1:24" s="8" customFormat="1" ht="8.25" customHeight="1">
      <c r="A1166" s="521"/>
      <c r="B1166" s="167"/>
      <c r="C1166" s="165"/>
      <c r="D1166" s="523"/>
      <c r="E1166" s="165"/>
      <c r="F1166" s="523"/>
      <c r="G1166" s="520"/>
      <c r="H1166" s="523"/>
      <c r="I1166" s="520"/>
      <c r="J1166" s="523"/>
      <c r="K1166" s="520"/>
      <c r="L1166" s="523"/>
      <c r="M1166" s="520"/>
      <c r="N1166" s="523"/>
      <c r="O1166" s="520"/>
      <c r="P1166" s="523"/>
      <c r="Q1166" s="520"/>
      <c r="R1166" s="167"/>
      <c r="S1166" s="520"/>
      <c r="T1166" s="167"/>
      <c r="U1166" s="528"/>
      <c r="V1166" s="522"/>
      <c r="X1166" s="4"/>
    </row>
    <row r="1167" spans="1:24" s="8" customFormat="1" ht="16.5" customHeight="1">
      <c r="A1167" s="521"/>
      <c r="B1167" s="167"/>
      <c r="C1167" s="165"/>
      <c r="E1167" s="513" t="s">
        <v>1304</v>
      </c>
      <c r="F1167" s="523"/>
      <c r="G1167" s="977">
        <f>_xlfn.IFNA(IF(VLOOKUP($B1158,'PY1 TFR ADA'!$F:$AU,MATCH("B-1.5",'PY1 TFR ADA'!$F$5:$AU$5,0),FALSE)=TRUE,IF(VLOOKUP($B1158,'PY1 TFR ADA'!$F:$AU,MATCH("C-1",'PY1 TFR ADA'!$F$5:$AU$5,0),FALSE)=TRUE,"Alternative Rate","LCFF Rate"),"LCFF Rate"),0)</f>
        <v>0</v>
      </c>
      <c r="H1167" s="523"/>
      <c r="I1167" s="977">
        <f>_xlfn.IFNA(IF(VLOOKUP($B1158,'PY1 TFR ADA'!$F:$AU,MATCH("B-2.5",'PY1 TFR ADA'!$F$5:$AU$5,0),FALSE)=TRUE,IF(VLOOKUP($B1158,'PY1 TFR ADA'!$F:$AU,MATCH("C-1",'PY1 TFR ADA'!$F$5:$AU$5,0),FALSE)=TRUE,"Alternative Rate","LCFF Rate"),"LCFF Rate"),0)</f>
        <v>0</v>
      </c>
      <c r="J1167" s="523"/>
      <c r="K1167" s="977">
        <f>_xlfn.IFNA(IF(VLOOKUP($B1158,'PY1 TFR ADA'!$F:$AU,MATCH("B-3.5",'PY1 TFR ADA'!$F$5:$AU$5,0),FALSE)=TRUE,IF(VLOOKUP($B1158,'PY1 TFR ADA'!$F:$AU,MATCH("C-1",'PY1 TFR ADA'!$F$5:$AU$5,0),FALSE)=TRUE,"Alternative Rate","LCFF Rate"),"LCFF Rate"),0)</f>
        <v>0</v>
      </c>
      <c r="L1167" s="523"/>
      <c r="M1167" s="977">
        <f>_xlfn.IFNA(IF(VLOOKUP($B1158,'PY1 TFR ADA'!$F:$AU,MATCH("B-4.5",'PY1 TFR ADA'!$F$5:$AU$5,0),FALSE)=TRUE,IF(VLOOKUP($B1158,'PY1 TFR ADA'!$F:$AU,MATCH("C-1",'PY1 TFR ADA'!$F$5:$AU$5,0),FALSE)=TRUE,"Alternative Rate","LCFF Rate"),"LCFF Rate"),0)</f>
        <v>0</v>
      </c>
      <c r="N1167" s="523"/>
      <c r="O1167" s="977">
        <f>_xlfn.IFNA(IF(VLOOKUP($B1158,'PY1 TFR ADA'!$F:$AU,MATCH("B-5.5",'PY1 TFR ADA'!$F$5:$AU$5,0),FALSE)=TRUE,IF(VLOOKUP($B1158,'PY1 TFR ADA'!$F:$AU,MATCH("C-1",'PY1 TFR ADA'!$F$5:$AU$5,0),FALSE)=TRUE,"Alternative Rate","LCFF Rate"),"LCFF Rate"),0)</f>
        <v>0</v>
      </c>
      <c r="P1167" s="523"/>
      <c r="Q1167" s="977">
        <f>_xlfn.IFNA(IF(VLOOKUP($B1158,'PY1 TFR ADA'!$F:$AU,MATCH("B-6.5",'PY1 TFR ADA'!$F$5:$AU$5,0),FALSE)=TRUE,IF(VLOOKUP($B1158,'PY1 TFR ADA'!$F:$AU,MATCH("C-1",'PY1 TFR ADA'!$F$5:$AU$5,0),FALSE)=TRUE,"Alternative Rate","LCFF Rate"),"LCFF Rate"),0)</f>
        <v>0</v>
      </c>
      <c r="R1167" s="167"/>
      <c r="S1167" s="520"/>
      <c r="T1167" s="167"/>
      <c r="U1167" s="528"/>
      <c r="V1167" s="522"/>
      <c r="X1167" s="283"/>
    </row>
    <row r="1168" spans="1:24" s="8" customFormat="1" ht="8.25" customHeight="1">
      <c r="A1168" s="521"/>
      <c r="B1168" s="167"/>
      <c r="C1168" s="165"/>
      <c r="D1168" s="523"/>
      <c r="E1168" s="165"/>
      <c r="F1168" s="523"/>
      <c r="G1168" s="520"/>
      <c r="H1168" s="523"/>
      <c r="I1168" s="520"/>
      <c r="J1168" s="523"/>
      <c r="K1168" s="520"/>
      <c r="L1168" s="523"/>
      <c r="M1168" s="520"/>
      <c r="N1168" s="523"/>
      <c r="O1168" s="520"/>
      <c r="P1168" s="523"/>
      <c r="Q1168" s="520"/>
      <c r="R1168" s="167"/>
      <c r="S1168" s="520"/>
      <c r="T1168" s="167"/>
      <c r="U1168" s="528"/>
      <c r="V1168" s="522"/>
      <c r="X1168" s="4"/>
    </row>
    <row r="1169" spans="1:24" s="8" customFormat="1" ht="16.8">
      <c r="A1169" s="521"/>
      <c r="B1169" s="2"/>
      <c r="F1169" s="523"/>
      <c r="G1169" s="535">
        <f t="shared" ref="G1169" si="1751">IF(G1167="LCFF Rate",(G1160*C1160+G1161*C1161+G1162*C1162+G1163*C1163),(G1165*E1163))</f>
        <v>0</v>
      </c>
      <c r="H1169" s="537"/>
      <c r="I1169" s="535">
        <f t="shared" ref="I1169" si="1752">IF(I1167="LCFF Rate",(I1160*C1160+I1161*C1161+I1162*C1162+I1163*C1163),(I1165*E1163))</f>
        <v>0</v>
      </c>
      <c r="J1169" s="537"/>
      <c r="K1169" s="535">
        <f t="shared" ref="K1169" si="1753">IF(K1167="LCFF Rate",(K1160*C1160+K1161*C1161+K1162*C1162+K1163*C1163),(K1165*E1163))</f>
        <v>0</v>
      </c>
      <c r="L1169" s="537"/>
      <c r="M1169" s="535">
        <f t="shared" ref="M1169" si="1754">IF(M1167="LCFF Rate",(M1160*C1160+M1161*C1161+M1162*C1162+M1163*C1163),(M1165*E1163))</f>
        <v>0</v>
      </c>
      <c r="N1169" s="537"/>
      <c r="O1169" s="535">
        <f t="shared" ref="O1169" si="1755">IF(O1167="LCFF Rate",(O1160*C1160+O1161*C1161+O1162*C1162+O1163*C1163),(O1165*E1163))</f>
        <v>0</v>
      </c>
      <c r="P1169" s="537"/>
      <c r="Q1169" s="535">
        <f t="shared" ref="Q1169" si="1756">IF(Q1167="LCFF Rate",(Q1160*C1160+Q1161*C1161+Q1162*C1162+Q1163*C1163),(Q1165*E1163))</f>
        <v>0</v>
      </c>
      <c r="R1169" s="167"/>
      <c r="S1169" s="538">
        <f t="shared" ref="S1169" si="1757">SUM(G1169:Q1169)</f>
        <v>0</v>
      </c>
      <c r="T1169" s="167"/>
      <c r="U1169" s="528"/>
      <c r="V1169" s="522"/>
      <c r="X1169" s="979"/>
    </row>
    <row r="1170" spans="1:24" s="8" customFormat="1" ht="9" customHeight="1" thickBot="1">
      <c r="A1170" s="529"/>
      <c r="B1170" s="530"/>
      <c r="C1170" s="531"/>
      <c r="D1170" s="532"/>
      <c r="E1170" s="533"/>
      <c r="F1170" s="532"/>
      <c r="G1170" s="530"/>
      <c r="H1170" s="532"/>
      <c r="I1170" s="530"/>
      <c r="J1170" s="532"/>
      <c r="K1170" s="530"/>
      <c r="L1170" s="532"/>
      <c r="M1170" s="530"/>
      <c r="N1170" s="532"/>
      <c r="O1170" s="530"/>
      <c r="P1170" s="532"/>
      <c r="Q1170" s="530"/>
      <c r="R1170" s="532"/>
      <c r="S1170" s="530"/>
      <c r="T1170" s="532"/>
      <c r="U1170" s="532"/>
      <c r="V1170" s="534"/>
      <c r="X1170" s="4"/>
    </row>
    <row r="1171" spans="1:24" s="82" customFormat="1" ht="18" customHeight="1" thickBot="1">
      <c r="A1171" s="890">
        <f>+A1158+1</f>
        <v>90</v>
      </c>
      <c r="B1171" s="891" t="str">
        <f>'Data Entry'!$B$3&amp;"-"&amp;C1171</f>
        <v>-</v>
      </c>
      <c r="C1171" s="891" t="str">
        <f>IFERROR(VLOOKUP('Data Entry'!$B$3&amp;"-"&amp;A1171,'PY1 TFR ADA'!$D:$AT,2,FALSE),"")</f>
        <v/>
      </c>
      <c r="D1171" s="892" t="str">
        <f>IFERROR(VLOOKUP('Data Entry'!$B$3&amp;"-"&amp;A1171,'PY1 TFR ADA'!$D:$AT,4,FALSE),"")</f>
        <v/>
      </c>
      <c r="E1171" s="893"/>
      <c r="F1171" s="893"/>
      <c r="G1171" s="893"/>
      <c r="H1171" s="893"/>
      <c r="I1171" s="893"/>
      <c r="J1171" s="893"/>
      <c r="K1171" s="893"/>
      <c r="L1171" s="893"/>
      <c r="M1171" s="893"/>
      <c r="N1171" s="893"/>
      <c r="O1171" s="893"/>
      <c r="P1171" s="893"/>
      <c r="Q1171" s="893"/>
      <c r="R1171" s="893"/>
      <c r="S1171" s="893"/>
      <c r="T1171" s="893"/>
      <c r="U1171" s="893"/>
      <c r="V1171" s="894"/>
      <c r="X1171" s="83"/>
    </row>
    <row r="1172" spans="1:24" ht="75" customHeight="1">
      <c r="A1172" s="521"/>
      <c r="C1172" s="540" t="s">
        <v>1315</v>
      </c>
      <c r="D1172" s="512"/>
      <c r="E1172" s="540" t="s">
        <v>1316</v>
      </c>
      <c r="F1172" s="512"/>
      <c r="G1172" s="540" t="s">
        <v>1309</v>
      </c>
      <c r="H1172" s="512"/>
      <c r="I1172" s="540" t="s">
        <v>1310</v>
      </c>
      <c r="J1172" s="512"/>
      <c r="K1172" s="540" t="s">
        <v>1311</v>
      </c>
      <c r="L1172" s="512"/>
      <c r="M1172" s="540" t="s">
        <v>1312</v>
      </c>
      <c r="N1172" s="512"/>
      <c r="O1172" s="540" t="s">
        <v>1313</v>
      </c>
      <c r="P1172" s="512"/>
      <c r="Q1172" s="540" t="s">
        <v>1314</v>
      </c>
      <c r="R1172" s="167"/>
      <c r="S1172" s="540" t="s">
        <v>1308</v>
      </c>
      <c r="T1172" s="167"/>
      <c r="U1172" s="512" t="s">
        <v>1307</v>
      </c>
      <c r="V1172" s="524"/>
      <c r="X1172" s="283"/>
    </row>
    <row r="1173" spans="1:24" s="8" customFormat="1" ht="14.4">
      <c r="A1173" s="521"/>
      <c r="B1173" s="510" t="s">
        <v>94</v>
      </c>
      <c r="C1173" s="525">
        <f>IFERROR(VLOOKUP($B1171,'PY1 TFR ADA'!$F:$AU,MATCH("A-1.1",'PY1 TFR ADA'!$F$5:$AU$5,0),FALSE),0)</f>
        <v>0</v>
      </c>
      <c r="D1173" s="167"/>
      <c r="E1173" s="525">
        <f>IFERROR(VALUE(VLOOKUP($B1171,'PY1 TFR ADA'!$F:$AU,MATCH("A-2.1",'PY1 TFR ADA'!$F$5:$AU$5,0),FALSE)),0)</f>
        <v>0</v>
      </c>
      <c r="F1173" s="167"/>
      <c r="G1173" s="609">
        <f>IFERROR(VLOOKUP($B1171,'PY1 TFR ADA'!$F:$AU,MATCH("b-1.1",'PY1 TFR ADA'!$F$5:$AU$5,0),FALSE),0)</f>
        <v>0</v>
      </c>
      <c r="H1173" s="527"/>
      <c r="I1173" s="609">
        <f>IFERROR(VLOOKUP($B1171,'PY1 TFR ADA'!$F:$AU,MATCH("b-2.1",'PY1 TFR ADA'!$F$5:$AU$5,0),FALSE),0)</f>
        <v>0</v>
      </c>
      <c r="J1173" s="527"/>
      <c r="K1173" s="609">
        <f>IFERROR(VLOOKUP($B1171,'PY1 TFR ADA'!$F:$AU,MATCH("b-3.1",'PY1 TFR ADA'!$F$5:$AU$5,0),FALSE),0)</f>
        <v>0</v>
      </c>
      <c r="L1173" s="527"/>
      <c r="M1173" s="609">
        <f>IFERROR(VLOOKUP($B1171,'PY1 TFR ADA'!$F:$AU,MATCH("b-4.1",'PY1 TFR ADA'!$F$5:$AU$5,0),FALSE),0)</f>
        <v>0</v>
      </c>
      <c r="N1173" s="527"/>
      <c r="O1173" s="609">
        <f>IFERROR(VLOOKUP($B1171,'PY1 TFR ADA'!$F:$AU,MATCH("b-5.1",'PY1 TFR ADA'!$F$5:$AU$5,0),FALSE),0)</f>
        <v>0</v>
      </c>
      <c r="P1173" s="527"/>
      <c r="Q1173" s="609">
        <f>IFERROR(VLOOKUP($B1171,'PY1 TFR ADA'!$F:$AU,MATCH("b-6.1",'PY1 TFR ADA'!$F$5:$AU$5,0),FALSE),0)</f>
        <v>0</v>
      </c>
      <c r="R1173" s="551"/>
      <c r="S1173" s="601">
        <f t="shared" ref="S1173:S1176" si="1758">SUM(G1173:Q1173)</f>
        <v>0</v>
      </c>
      <c r="T1173" s="551"/>
      <c r="U1173" s="536">
        <f t="shared" ref="U1173" si="1759">ROUND(IF($G1180="LCFF Rate",(G1173*$C1173),(G1173*$E1173))+IF($I1180="LCFF Rate",(I1173*$C1173),(I1173*$E1173))+IF($K1180="LCFF Rate",(K1173*$C1173),(K1173*$E1173))+IF($M1180="LCFF Rate",(M1173*$C1173),(M1173*$E1173))+IF($O1180="LCFF Rate",(O1173*$C1173),(O1173*$E1173))+IF($Q1180="LCFF Rate",(Q1173*$C1173),(Q1173*$E1173)),0)</f>
        <v>0</v>
      </c>
      <c r="V1173" s="524"/>
      <c r="X1173" s="496"/>
    </row>
    <row r="1174" spans="1:24" s="8" customFormat="1" ht="14.4">
      <c r="A1174" s="521"/>
      <c r="B1174" s="510" t="s">
        <v>2</v>
      </c>
      <c r="C1174" s="525">
        <f>IFERROR(VLOOKUP($B1171,'PY1 TFR ADA'!$F:$AU,MATCH("A-1.2",'PY1 TFR ADA'!$F$5:$AU$5,0),FALSE),0)</f>
        <v>0</v>
      </c>
      <c r="D1174" s="167"/>
      <c r="E1174" s="525">
        <f>IFERROR(VALUE(VLOOKUP($B1171,'PY1 TFR ADA'!$F:$AU,MATCH("A-2.2",'PY1 TFR ADA'!$F$5:$AU$5,0),FALSE)),0)</f>
        <v>0</v>
      </c>
      <c r="F1174" s="167"/>
      <c r="G1174" s="609">
        <f>IFERROR(VLOOKUP($B1171,'PY1 TFR ADA'!$F:$AU,MATCH("b-1.2",'PY1 TFR ADA'!$F$5:$AU$5,0),FALSE),0)</f>
        <v>0</v>
      </c>
      <c r="H1174" s="527"/>
      <c r="I1174" s="609">
        <f>IFERROR(VLOOKUP($B1171,'PY1 TFR ADA'!$F:$AU,MATCH("b-2.2",'PY1 TFR ADA'!$F$5:$AU$5,0),FALSE),0)</f>
        <v>0</v>
      </c>
      <c r="J1174" s="527"/>
      <c r="K1174" s="609">
        <f>IFERROR(VLOOKUP($B1171,'PY1 TFR ADA'!$F:$AU,MATCH("b-3.2",'PY1 TFR ADA'!$F$5:$AU$5,0),FALSE),0)</f>
        <v>0</v>
      </c>
      <c r="L1174" s="527"/>
      <c r="M1174" s="609">
        <f>IFERROR(VLOOKUP($B1171,'PY1 TFR ADA'!$F:$AU,MATCH("b-4.2",'PY1 TFR ADA'!$F$5:$AU$5,0),FALSE),0)</f>
        <v>0</v>
      </c>
      <c r="N1174" s="527"/>
      <c r="O1174" s="609">
        <f>IFERROR(VLOOKUP($B1171,'PY1 TFR ADA'!$F:$AU,MATCH("b-5.2",'PY1 TFR ADA'!$F$5:$AU$5,0),FALSE),0)</f>
        <v>0</v>
      </c>
      <c r="P1174" s="527"/>
      <c r="Q1174" s="609">
        <f>IFERROR(VLOOKUP($B1171,'PY1 TFR ADA'!$F:$AU,MATCH("b-6.2",'PY1 TFR ADA'!$F$5:$AU$5,0),FALSE),0)</f>
        <v>0</v>
      </c>
      <c r="R1174" s="551"/>
      <c r="S1174" s="601">
        <f t="shared" si="1758"/>
        <v>0</v>
      </c>
      <c r="T1174" s="551"/>
      <c r="U1174" s="536">
        <f t="shared" ref="U1174" si="1760">ROUND(IF($G1180="LCFF Rate",(G1174*$C1174),(G1174*$E1174))+IF($I1180="LCFF Rate",(I1174*$C1174),(I1174*$E1174))+IF($K1180="LCFF Rate",(K1174*$C1174),(K1174*$E1174))+IF($M1180="LCFF Rate",(M1174*$C1174),(M1174*$E1174))+IF($O1180="LCFF Rate",(O1174*$C1174),(O1174*$E1174))+IF($Q1180="LCFF Rate",(Q1174*$C1174),(Q1174*$E1174)),0)</f>
        <v>0</v>
      </c>
      <c r="V1174" s="524"/>
      <c r="X1174" s="4"/>
    </row>
    <row r="1175" spans="1:24" s="8" customFormat="1" ht="14.4">
      <c r="A1175" s="521"/>
      <c r="B1175" s="510" t="s">
        <v>3</v>
      </c>
      <c r="C1175" s="525">
        <f>IFERROR(VLOOKUP($B1171,'PY1 TFR ADA'!$F:$AU,MATCH("A-1.3",'PY1 TFR ADA'!$F$5:$AU$5,0),FALSE),0)</f>
        <v>0</v>
      </c>
      <c r="D1175" s="167"/>
      <c r="E1175" s="525">
        <f>IFERROR(VALUE(VLOOKUP($B1171,'PY1 TFR ADA'!$F:$AU,MATCH("A-2.3",'PY1 TFR ADA'!$F$5:$AU$5,0),FALSE)),0)</f>
        <v>0</v>
      </c>
      <c r="F1175" s="167"/>
      <c r="G1175" s="609">
        <f>IFERROR(VLOOKUP($B1171,'PY1 TFR ADA'!$F:$AU,MATCH("b-1.3",'PY1 TFR ADA'!$F$5:$AU$5,0),FALSE),0)</f>
        <v>0</v>
      </c>
      <c r="H1175" s="527"/>
      <c r="I1175" s="609">
        <f>IFERROR(VLOOKUP($B1171,'PY1 TFR ADA'!$F:$AU,MATCH("b-2.3",'PY1 TFR ADA'!$F$5:$AU$5,0),FALSE),0)</f>
        <v>0</v>
      </c>
      <c r="J1175" s="527"/>
      <c r="K1175" s="609">
        <f>IFERROR(VLOOKUP($B1171,'PY1 TFR ADA'!$F:$AU,MATCH("b-3.3",'PY1 TFR ADA'!$F$5:$AU$5,0),FALSE),0)</f>
        <v>0</v>
      </c>
      <c r="L1175" s="527"/>
      <c r="M1175" s="609">
        <f>IFERROR(VLOOKUP($B1171,'PY1 TFR ADA'!$F:$AU,MATCH("b-4.3",'PY1 TFR ADA'!$F$5:$AU$5,0),FALSE),0)</f>
        <v>0</v>
      </c>
      <c r="N1175" s="527"/>
      <c r="O1175" s="609">
        <f>IFERROR(VLOOKUP($B1171,'PY1 TFR ADA'!$F:$AU,MATCH("b-5.3",'PY1 TFR ADA'!$F$5:$AU$5,0),FALSE),0)</f>
        <v>0</v>
      </c>
      <c r="P1175" s="527"/>
      <c r="Q1175" s="609">
        <f>IFERROR(VLOOKUP($B1171,'PY1 TFR ADA'!$F:$AU,MATCH("b-6.3",'PY1 TFR ADA'!$F$5:$AU$5,0),FALSE),0)</f>
        <v>0</v>
      </c>
      <c r="R1175" s="551"/>
      <c r="S1175" s="601">
        <f t="shared" si="1758"/>
        <v>0</v>
      </c>
      <c r="T1175" s="551"/>
      <c r="U1175" s="536">
        <f t="shared" ref="U1175" si="1761">ROUND(IF($G1180="LCFF Rate",(G1175*$C1175),(G1175*$E1175))+IF($I1180="LCFF Rate",(I1175*$C1175),(I1175*$E1175))+IF($K1180="LCFF Rate",(K1175*$C1175),(K1175*$E1175))+IF($M1180="LCFF Rate",(M1175*$C1175),(M1175*$E1175))+IF($O1180="LCFF Rate",(O1175*$C1175),(O1175*$E1175))+IF($Q1180="LCFF Rate",(Q1175*$C1175),(Q1175*$E1175)),0)</f>
        <v>0</v>
      </c>
      <c r="V1175" s="524"/>
      <c r="X1175" s="4"/>
    </row>
    <row r="1176" spans="1:24" s="8" customFormat="1" ht="14.4">
      <c r="A1176" s="526"/>
      <c r="B1176" s="510" t="s">
        <v>4</v>
      </c>
      <c r="C1176" s="525">
        <f>IFERROR(VLOOKUP($B1171,'PY1 TFR ADA'!$F:$AU,MATCH("A-1.4",'PY1 TFR ADA'!$F$5:$AU$5,0),FALSE),0)</f>
        <v>0</v>
      </c>
      <c r="D1176" s="523"/>
      <c r="E1176" s="525">
        <f>IFERROR(VALUE(VLOOKUP($B1171,'PY1 TFR ADA'!$F:$AU,MATCH("A-2.4",'PY1 TFR ADA'!$F$5:$AU$5,0),FALSE)),0)</f>
        <v>0</v>
      </c>
      <c r="F1176" s="523"/>
      <c r="G1176" s="609">
        <f>IFERROR(VLOOKUP($B1171,'PY1 TFR ADA'!$F:$AU,MATCH("b-1.4",'PY1 TFR ADA'!$F$5:$AU$5,0),FALSE),0)</f>
        <v>0</v>
      </c>
      <c r="H1176" s="527"/>
      <c r="I1176" s="609">
        <f>IFERROR(VLOOKUP($B1171,'PY1 TFR ADA'!$F:$AU,MATCH("b-2.4",'PY1 TFR ADA'!$F$5:$AU$5,0),FALSE),0)</f>
        <v>0</v>
      </c>
      <c r="J1176" s="527"/>
      <c r="K1176" s="609">
        <f>IFERROR(VLOOKUP($B1171,'PY1 TFR ADA'!$F:$AU,MATCH("b-3.4",'PY1 TFR ADA'!$F$5:$AU$5,0),FALSE),0)</f>
        <v>0</v>
      </c>
      <c r="L1176" s="527"/>
      <c r="M1176" s="609">
        <f>IFERROR(VLOOKUP($B1171,'PY1 TFR ADA'!$F:$AU,MATCH("b-4.4",'PY1 TFR ADA'!$F$5:$AU$5,0),FALSE),0)</f>
        <v>0</v>
      </c>
      <c r="N1176" s="527"/>
      <c r="O1176" s="609">
        <f>IFERROR(VLOOKUP($B1171,'PY1 TFR ADA'!$F:$AU,MATCH("b-5.4",'PY1 TFR ADA'!$F$5:$AU$5,0),FALSE),0)</f>
        <v>0</v>
      </c>
      <c r="P1176" s="527"/>
      <c r="Q1176" s="609">
        <f>IFERROR(VLOOKUP($B1171,'PY1 TFR ADA'!$F:$AU,MATCH("b-6.4",'PY1 TFR ADA'!$F$5:$AU$5,0),FALSE),0)</f>
        <v>0</v>
      </c>
      <c r="R1176" s="551"/>
      <c r="S1176" s="601">
        <f t="shared" si="1758"/>
        <v>0</v>
      </c>
      <c r="T1176" s="551"/>
      <c r="U1176" s="536">
        <f t="shared" ref="U1176" si="1762">ROUND(IF($G1180="LCFF Rate",(G1176*$C1176),(G1176*$E1176))+IF($I1180="LCFF Rate",(I1176*$C1176),(I1176*$E1176))+IF($K1180="LCFF Rate",(K1176*$C1176),(K1176*$E1176))+IF($M1180="LCFF Rate",(M1176*$C1176),(M1176*$E1176))+IF($O1180="LCFF Rate",(O1176*$C1176),(O1176*$E1176))+IF($Q1180="LCFF Rate",(Q1176*$C1176),(Q1176*$E1176)),0)</f>
        <v>0</v>
      </c>
      <c r="V1176" s="522"/>
      <c r="X1176" s="496"/>
    </row>
    <row r="1177" spans="1:24" s="8" customFormat="1" ht="8.25" customHeight="1">
      <c r="A1177" s="521"/>
      <c r="B1177" s="167"/>
      <c r="C1177" s="165"/>
      <c r="D1177" s="523"/>
      <c r="E1177" s="165"/>
      <c r="F1177" s="523"/>
      <c r="G1177" s="520"/>
      <c r="H1177" s="523"/>
      <c r="I1177" s="520"/>
      <c r="J1177" s="523"/>
      <c r="K1177" s="520"/>
      <c r="L1177" s="523"/>
      <c r="M1177" s="520"/>
      <c r="N1177" s="523"/>
      <c r="O1177" s="520"/>
      <c r="P1177" s="523"/>
      <c r="Q1177" s="520"/>
      <c r="R1177" s="167"/>
      <c r="S1177" s="520"/>
      <c r="T1177" s="167"/>
      <c r="U1177" s="602"/>
      <c r="V1177" s="522"/>
      <c r="X1177" s="4"/>
    </row>
    <row r="1178" spans="1:24" s="8" customFormat="1" ht="14.4">
      <c r="A1178" s="521"/>
      <c r="B1178" s="167"/>
      <c r="C1178" s="165"/>
      <c r="D1178" s="523"/>
      <c r="E1178" s="513" t="s">
        <v>1317</v>
      </c>
      <c r="F1178" s="523"/>
      <c r="G1178" s="601">
        <f t="shared" ref="G1178" si="1763">SUM(G1173:G1176)</f>
        <v>0</v>
      </c>
      <c r="H1178" s="527"/>
      <c r="I1178" s="601">
        <f t="shared" ref="I1178" si="1764">SUM(I1173:I1176)</f>
        <v>0</v>
      </c>
      <c r="J1178" s="527"/>
      <c r="K1178" s="601">
        <f t="shared" ref="K1178" si="1765">SUM(K1173:K1176)</f>
        <v>0</v>
      </c>
      <c r="L1178" s="527"/>
      <c r="M1178" s="601">
        <f t="shared" ref="M1178" si="1766">SUM(M1173:M1176)</f>
        <v>0</v>
      </c>
      <c r="N1178" s="527"/>
      <c r="O1178" s="601">
        <f t="shared" ref="O1178" si="1767">SUM(O1173:O1176)</f>
        <v>0</v>
      </c>
      <c r="P1178" s="527"/>
      <c r="Q1178" s="601">
        <f t="shared" ref="Q1178" si="1768">SUM(Q1173:Q1176)</f>
        <v>0</v>
      </c>
      <c r="R1178" s="527"/>
      <c r="S1178" s="601">
        <f t="shared" ref="S1178" si="1769">SUM(S1173:S1176)</f>
        <v>0</v>
      </c>
      <c r="T1178" s="527"/>
      <c r="U1178" s="536">
        <f t="shared" ref="U1178" si="1770">SUM(U1173:U1176)</f>
        <v>0</v>
      </c>
      <c r="V1178" s="522"/>
      <c r="X1178" s="4"/>
    </row>
    <row r="1179" spans="1:24" s="8" customFormat="1" ht="8.25" customHeight="1">
      <c r="A1179" s="521"/>
      <c r="B1179" s="167"/>
      <c r="C1179" s="165"/>
      <c r="D1179" s="523"/>
      <c r="E1179" s="165"/>
      <c r="F1179" s="523"/>
      <c r="G1179" s="520"/>
      <c r="H1179" s="523"/>
      <c r="I1179" s="520"/>
      <c r="J1179" s="523"/>
      <c r="K1179" s="520"/>
      <c r="L1179" s="523"/>
      <c r="M1179" s="520"/>
      <c r="N1179" s="523"/>
      <c r="O1179" s="520"/>
      <c r="P1179" s="523"/>
      <c r="Q1179" s="520"/>
      <c r="R1179" s="167"/>
      <c r="S1179" s="520"/>
      <c r="T1179" s="167"/>
      <c r="U1179" s="528"/>
      <c r="V1179" s="522"/>
      <c r="X1179" s="4"/>
    </row>
    <row r="1180" spans="1:24" s="8" customFormat="1" ht="16.5" customHeight="1">
      <c r="A1180" s="521"/>
      <c r="B1180" s="167"/>
      <c r="C1180" s="165"/>
      <c r="E1180" s="513" t="s">
        <v>1304</v>
      </c>
      <c r="F1180" s="523"/>
      <c r="G1180" s="977">
        <f>_xlfn.IFNA(IF(VLOOKUP($B1171,'PY1 TFR ADA'!$F:$AU,MATCH("B-1.5",'PY1 TFR ADA'!$F$5:$AU$5,0),FALSE)=TRUE,IF(VLOOKUP($B1171,'PY1 TFR ADA'!$F:$AU,MATCH("C-1",'PY1 TFR ADA'!$F$5:$AU$5,0),FALSE)=TRUE,"Alternative Rate","LCFF Rate"),"LCFF Rate"),0)</f>
        <v>0</v>
      </c>
      <c r="H1180" s="523"/>
      <c r="I1180" s="977">
        <f>_xlfn.IFNA(IF(VLOOKUP($B1171,'PY1 TFR ADA'!$F:$AU,MATCH("B-2.5",'PY1 TFR ADA'!$F$5:$AU$5,0),FALSE)=TRUE,IF(VLOOKUP($B1171,'PY1 TFR ADA'!$F:$AU,MATCH("C-1",'PY1 TFR ADA'!$F$5:$AU$5,0),FALSE)=TRUE,"Alternative Rate","LCFF Rate"),"LCFF Rate"),0)</f>
        <v>0</v>
      </c>
      <c r="J1180" s="523"/>
      <c r="K1180" s="977">
        <f>_xlfn.IFNA(IF(VLOOKUP($B1171,'PY1 TFR ADA'!$F:$AU,MATCH("B-3.5",'PY1 TFR ADA'!$F$5:$AU$5,0),FALSE)=TRUE,IF(VLOOKUP($B1171,'PY1 TFR ADA'!$F:$AU,MATCH("C-1",'PY1 TFR ADA'!$F$5:$AU$5,0),FALSE)=TRUE,"Alternative Rate","LCFF Rate"),"LCFF Rate"),0)</f>
        <v>0</v>
      </c>
      <c r="L1180" s="523"/>
      <c r="M1180" s="977">
        <f>_xlfn.IFNA(IF(VLOOKUP($B1171,'PY1 TFR ADA'!$F:$AU,MATCH("B-4.5",'PY1 TFR ADA'!$F$5:$AU$5,0),FALSE)=TRUE,IF(VLOOKUP($B1171,'PY1 TFR ADA'!$F:$AU,MATCH("C-1",'PY1 TFR ADA'!$F$5:$AU$5,0),FALSE)=TRUE,"Alternative Rate","LCFF Rate"),"LCFF Rate"),0)</f>
        <v>0</v>
      </c>
      <c r="N1180" s="523"/>
      <c r="O1180" s="977">
        <f>_xlfn.IFNA(IF(VLOOKUP($B1171,'PY1 TFR ADA'!$F:$AU,MATCH("B-5.5",'PY1 TFR ADA'!$F$5:$AU$5,0),FALSE)=TRUE,IF(VLOOKUP($B1171,'PY1 TFR ADA'!$F:$AU,MATCH("C-1",'PY1 TFR ADA'!$F$5:$AU$5,0),FALSE)=TRUE,"Alternative Rate","LCFF Rate"),"LCFF Rate"),0)</f>
        <v>0</v>
      </c>
      <c r="P1180" s="523"/>
      <c r="Q1180" s="977">
        <f>_xlfn.IFNA(IF(VLOOKUP($B1171,'PY1 TFR ADA'!$F:$AU,MATCH("B-6.5",'PY1 TFR ADA'!$F$5:$AU$5,0),FALSE)=TRUE,IF(VLOOKUP($B1171,'PY1 TFR ADA'!$F:$AU,MATCH("C-1",'PY1 TFR ADA'!$F$5:$AU$5,0),FALSE)=TRUE,"Alternative Rate","LCFF Rate"),"LCFF Rate"),0)</f>
        <v>0</v>
      </c>
      <c r="R1180" s="167"/>
      <c r="S1180" s="520"/>
      <c r="T1180" s="167"/>
      <c r="U1180" s="528"/>
      <c r="V1180" s="522"/>
      <c r="X1180" s="283"/>
    </row>
    <row r="1181" spans="1:24" s="8" customFormat="1" ht="8.25" customHeight="1">
      <c r="A1181" s="521"/>
      <c r="B1181" s="167"/>
      <c r="C1181" s="165"/>
      <c r="D1181" s="523"/>
      <c r="E1181" s="165"/>
      <c r="F1181" s="523"/>
      <c r="G1181" s="520"/>
      <c r="H1181" s="523"/>
      <c r="I1181" s="520"/>
      <c r="J1181" s="523"/>
      <c r="K1181" s="520"/>
      <c r="L1181" s="523"/>
      <c r="M1181" s="520"/>
      <c r="N1181" s="523"/>
      <c r="O1181" s="520"/>
      <c r="P1181" s="523"/>
      <c r="Q1181" s="520"/>
      <c r="R1181" s="167"/>
      <c r="S1181" s="520"/>
      <c r="T1181" s="167"/>
      <c r="U1181" s="528"/>
      <c r="V1181" s="522"/>
      <c r="X1181" s="4"/>
    </row>
    <row r="1182" spans="1:24" s="8" customFormat="1" ht="16.8">
      <c r="A1182" s="521"/>
      <c r="B1182" s="2"/>
      <c r="F1182" s="523"/>
      <c r="G1182" s="535">
        <f t="shared" ref="G1182" si="1771">IF(G1180="LCFF Rate",(G1173*C1173+G1174*C1174+G1175*C1175+G1176*C1176),(G1178*E1176))</f>
        <v>0</v>
      </c>
      <c r="H1182" s="537"/>
      <c r="I1182" s="535">
        <f t="shared" ref="I1182" si="1772">IF(I1180="LCFF Rate",(I1173*C1173+I1174*C1174+I1175*C1175+I1176*C1176),(I1178*E1176))</f>
        <v>0</v>
      </c>
      <c r="J1182" s="537"/>
      <c r="K1182" s="535">
        <f t="shared" ref="K1182" si="1773">IF(K1180="LCFF Rate",(K1173*C1173+K1174*C1174+K1175*C1175+K1176*C1176),(K1178*E1176))</f>
        <v>0</v>
      </c>
      <c r="L1182" s="537"/>
      <c r="M1182" s="535">
        <f t="shared" ref="M1182" si="1774">IF(M1180="LCFF Rate",(M1173*C1173+M1174*C1174+M1175*C1175+M1176*C1176),(M1178*E1176))</f>
        <v>0</v>
      </c>
      <c r="N1182" s="537"/>
      <c r="O1182" s="535">
        <f t="shared" ref="O1182" si="1775">IF(O1180="LCFF Rate",(O1173*C1173+O1174*C1174+O1175*C1175+O1176*C1176),(O1178*E1176))</f>
        <v>0</v>
      </c>
      <c r="P1182" s="537"/>
      <c r="Q1182" s="535">
        <f t="shared" ref="Q1182" si="1776">IF(Q1180="LCFF Rate",(Q1173*C1173+Q1174*C1174+Q1175*C1175+Q1176*C1176),(Q1178*E1176))</f>
        <v>0</v>
      </c>
      <c r="R1182" s="167"/>
      <c r="S1182" s="538">
        <f t="shared" ref="S1182" si="1777">SUM(G1182:Q1182)</f>
        <v>0</v>
      </c>
      <c r="T1182" s="167"/>
      <c r="U1182" s="528"/>
      <c r="V1182" s="522"/>
      <c r="X1182" s="979"/>
    </row>
    <row r="1183" spans="1:24" s="8" customFormat="1" ht="9" customHeight="1" thickBot="1">
      <c r="A1183" s="529"/>
      <c r="B1183" s="530"/>
      <c r="C1183" s="531"/>
      <c r="D1183" s="532"/>
      <c r="E1183" s="533"/>
      <c r="F1183" s="532"/>
      <c r="G1183" s="530"/>
      <c r="H1183" s="532"/>
      <c r="I1183" s="530"/>
      <c r="J1183" s="532"/>
      <c r="K1183" s="530"/>
      <c r="L1183" s="532"/>
      <c r="M1183" s="530"/>
      <c r="N1183" s="532"/>
      <c r="O1183" s="530"/>
      <c r="P1183" s="532"/>
      <c r="Q1183" s="530"/>
      <c r="R1183" s="532"/>
      <c r="S1183" s="530"/>
      <c r="T1183" s="532"/>
      <c r="U1183" s="532"/>
      <c r="V1183" s="534"/>
      <c r="X1183" s="4"/>
    </row>
    <row r="1184" spans="1:24" s="82" customFormat="1" ht="18" customHeight="1" thickBot="1">
      <c r="A1184" s="890">
        <f>+A1171+1</f>
        <v>91</v>
      </c>
      <c r="B1184" s="891" t="str">
        <f>'Data Entry'!$B$3&amp;"-"&amp;C1184</f>
        <v>-</v>
      </c>
      <c r="C1184" s="891" t="str">
        <f>IFERROR(VLOOKUP('Data Entry'!$B$3&amp;"-"&amp;A1184,'PY1 TFR ADA'!$D:$AT,2,FALSE),"")</f>
        <v/>
      </c>
      <c r="D1184" s="892" t="str">
        <f>IFERROR(VLOOKUP('Data Entry'!$B$3&amp;"-"&amp;A1184,'PY1 TFR ADA'!$D:$AT,4,FALSE),"")</f>
        <v/>
      </c>
      <c r="E1184" s="893"/>
      <c r="F1184" s="893"/>
      <c r="G1184" s="893"/>
      <c r="H1184" s="893"/>
      <c r="I1184" s="893"/>
      <c r="J1184" s="893"/>
      <c r="K1184" s="893"/>
      <c r="L1184" s="893"/>
      <c r="M1184" s="893"/>
      <c r="N1184" s="893"/>
      <c r="O1184" s="893"/>
      <c r="P1184" s="893"/>
      <c r="Q1184" s="893"/>
      <c r="R1184" s="893"/>
      <c r="S1184" s="893"/>
      <c r="T1184" s="893"/>
      <c r="U1184" s="893"/>
      <c r="V1184" s="894"/>
      <c r="X1184" s="83"/>
    </row>
    <row r="1185" spans="1:24" ht="75" customHeight="1">
      <c r="A1185" s="521"/>
      <c r="C1185" s="540" t="s">
        <v>1315</v>
      </c>
      <c r="D1185" s="512"/>
      <c r="E1185" s="540" t="s">
        <v>1316</v>
      </c>
      <c r="F1185" s="512"/>
      <c r="G1185" s="540" t="s">
        <v>1309</v>
      </c>
      <c r="H1185" s="512"/>
      <c r="I1185" s="540" t="s">
        <v>1310</v>
      </c>
      <c r="J1185" s="512"/>
      <c r="K1185" s="540" t="s">
        <v>1311</v>
      </c>
      <c r="L1185" s="512"/>
      <c r="M1185" s="540" t="s">
        <v>1312</v>
      </c>
      <c r="N1185" s="512"/>
      <c r="O1185" s="540" t="s">
        <v>1313</v>
      </c>
      <c r="P1185" s="512"/>
      <c r="Q1185" s="540" t="s">
        <v>1314</v>
      </c>
      <c r="R1185" s="167"/>
      <c r="S1185" s="540" t="s">
        <v>1308</v>
      </c>
      <c r="T1185" s="167"/>
      <c r="U1185" s="512" t="s">
        <v>1307</v>
      </c>
      <c r="V1185" s="524"/>
      <c r="X1185" s="283"/>
    </row>
    <row r="1186" spans="1:24" s="8" customFormat="1" ht="14.4">
      <c r="A1186" s="521"/>
      <c r="B1186" s="510" t="s">
        <v>94</v>
      </c>
      <c r="C1186" s="525">
        <f>IFERROR(VLOOKUP($B1184,'PY1 TFR ADA'!$F:$AU,MATCH("A-1.1",'PY1 TFR ADA'!$F$5:$AU$5,0),FALSE),0)</f>
        <v>0</v>
      </c>
      <c r="D1186" s="167"/>
      <c r="E1186" s="525">
        <f>IFERROR(VALUE(VLOOKUP($B1184,'PY1 TFR ADA'!$F:$AU,MATCH("A-2.1",'PY1 TFR ADA'!$F$5:$AU$5,0),FALSE)),0)</f>
        <v>0</v>
      </c>
      <c r="F1186" s="167"/>
      <c r="G1186" s="609">
        <f>IFERROR(VLOOKUP($B1184,'PY1 TFR ADA'!$F:$AU,MATCH("b-1.1",'PY1 TFR ADA'!$F$5:$AU$5,0),FALSE),0)</f>
        <v>0</v>
      </c>
      <c r="H1186" s="527"/>
      <c r="I1186" s="609">
        <f>IFERROR(VLOOKUP($B1184,'PY1 TFR ADA'!$F:$AU,MATCH("b-2.1",'PY1 TFR ADA'!$F$5:$AU$5,0),FALSE),0)</f>
        <v>0</v>
      </c>
      <c r="J1186" s="527"/>
      <c r="K1186" s="609">
        <f>IFERROR(VLOOKUP($B1184,'PY1 TFR ADA'!$F:$AU,MATCH("b-3.1",'PY1 TFR ADA'!$F$5:$AU$5,0),FALSE),0)</f>
        <v>0</v>
      </c>
      <c r="L1186" s="527"/>
      <c r="M1186" s="609">
        <f>IFERROR(VLOOKUP($B1184,'PY1 TFR ADA'!$F:$AU,MATCH("b-4.1",'PY1 TFR ADA'!$F$5:$AU$5,0),FALSE),0)</f>
        <v>0</v>
      </c>
      <c r="N1186" s="527"/>
      <c r="O1186" s="609">
        <f>IFERROR(VLOOKUP($B1184,'PY1 TFR ADA'!$F:$AU,MATCH("b-5.1",'PY1 TFR ADA'!$F$5:$AU$5,0),FALSE),0)</f>
        <v>0</v>
      </c>
      <c r="P1186" s="527"/>
      <c r="Q1186" s="609">
        <f>IFERROR(VLOOKUP($B1184,'PY1 TFR ADA'!$F:$AU,MATCH("b-6.1",'PY1 TFR ADA'!$F$5:$AU$5,0),FALSE),0)</f>
        <v>0</v>
      </c>
      <c r="R1186" s="551"/>
      <c r="S1186" s="601">
        <f t="shared" ref="S1186:S1189" si="1778">SUM(G1186:Q1186)</f>
        <v>0</v>
      </c>
      <c r="T1186" s="551"/>
      <c r="U1186" s="536">
        <f t="shared" ref="U1186" si="1779">ROUND(IF($G1193="LCFF Rate",(G1186*$C1186),(G1186*$E1186))+IF($I1193="LCFF Rate",(I1186*$C1186),(I1186*$E1186))+IF($K1193="LCFF Rate",(K1186*$C1186),(K1186*$E1186))+IF($M1193="LCFF Rate",(M1186*$C1186),(M1186*$E1186))+IF($O1193="LCFF Rate",(O1186*$C1186),(O1186*$E1186))+IF($Q1193="LCFF Rate",(Q1186*$C1186),(Q1186*$E1186)),0)</f>
        <v>0</v>
      </c>
      <c r="V1186" s="524"/>
      <c r="X1186" s="496"/>
    </row>
    <row r="1187" spans="1:24" s="8" customFormat="1" ht="14.4">
      <c r="A1187" s="521"/>
      <c r="B1187" s="510" t="s">
        <v>2</v>
      </c>
      <c r="C1187" s="525">
        <f>IFERROR(VLOOKUP($B1184,'PY1 TFR ADA'!$F:$AU,MATCH("A-1.2",'PY1 TFR ADA'!$F$5:$AU$5,0),FALSE),0)</f>
        <v>0</v>
      </c>
      <c r="D1187" s="167"/>
      <c r="E1187" s="525">
        <f>IFERROR(VALUE(VLOOKUP($B1184,'PY1 TFR ADA'!$F:$AU,MATCH("A-2.2",'PY1 TFR ADA'!$F$5:$AU$5,0),FALSE)),0)</f>
        <v>0</v>
      </c>
      <c r="F1187" s="167"/>
      <c r="G1187" s="609">
        <f>IFERROR(VLOOKUP($B1184,'PY1 TFR ADA'!$F:$AU,MATCH("b-1.2",'PY1 TFR ADA'!$F$5:$AU$5,0),FALSE),0)</f>
        <v>0</v>
      </c>
      <c r="H1187" s="527"/>
      <c r="I1187" s="609">
        <f>IFERROR(VLOOKUP($B1184,'PY1 TFR ADA'!$F:$AU,MATCH("b-2.2",'PY1 TFR ADA'!$F$5:$AU$5,0),FALSE),0)</f>
        <v>0</v>
      </c>
      <c r="J1187" s="527"/>
      <c r="K1187" s="609">
        <f>IFERROR(VLOOKUP($B1184,'PY1 TFR ADA'!$F:$AU,MATCH("b-3.2",'PY1 TFR ADA'!$F$5:$AU$5,0),FALSE),0)</f>
        <v>0</v>
      </c>
      <c r="L1187" s="527"/>
      <c r="M1187" s="609">
        <f>IFERROR(VLOOKUP($B1184,'PY1 TFR ADA'!$F:$AU,MATCH("b-4.2",'PY1 TFR ADA'!$F$5:$AU$5,0),FALSE),0)</f>
        <v>0</v>
      </c>
      <c r="N1187" s="527"/>
      <c r="O1187" s="609">
        <f>IFERROR(VLOOKUP($B1184,'PY1 TFR ADA'!$F:$AU,MATCH("b-5.2",'PY1 TFR ADA'!$F$5:$AU$5,0),FALSE),0)</f>
        <v>0</v>
      </c>
      <c r="P1187" s="527"/>
      <c r="Q1187" s="609">
        <f>IFERROR(VLOOKUP($B1184,'PY1 TFR ADA'!$F:$AU,MATCH("b-6.2",'PY1 TFR ADA'!$F$5:$AU$5,0),FALSE),0)</f>
        <v>0</v>
      </c>
      <c r="R1187" s="551"/>
      <c r="S1187" s="601">
        <f t="shared" si="1778"/>
        <v>0</v>
      </c>
      <c r="T1187" s="551"/>
      <c r="U1187" s="536">
        <f t="shared" ref="U1187" si="1780">ROUND(IF($G1193="LCFF Rate",(G1187*$C1187),(G1187*$E1187))+IF($I1193="LCFF Rate",(I1187*$C1187),(I1187*$E1187))+IF($K1193="LCFF Rate",(K1187*$C1187),(K1187*$E1187))+IF($M1193="LCFF Rate",(M1187*$C1187),(M1187*$E1187))+IF($O1193="LCFF Rate",(O1187*$C1187),(O1187*$E1187))+IF($Q1193="LCFF Rate",(Q1187*$C1187),(Q1187*$E1187)),0)</f>
        <v>0</v>
      </c>
      <c r="V1187" s="524"/>
      <c r="X1187" s="4"/>
    </row>
    <row r="1188" spans="1:24" s="8" customFormat="1" ht="14.4">
      <c r="A1188" s="521"/>
      <c r="B1188" s="510" t="s">
        <v>3</v>
      </c>
      <c r="C1188" s="525">
        <f>IFERROR(VLOOKUP($B1184,'PY1 TFR ADA'!$F:$AU,MATCH("A-1.3",'PY1 TFR ADA'!$F$5:$AU$5,0),FALSE),0)</f>
        <v>0</v>
      </c>
      <c r="D1188" s="167"/>
      <c r="E1188" s="525">
        <f>IFERROR(VALUE(VLOOKUP($B1184,'PY1 TFR ADA'!$F:$AU,MATCH("A-2.3",'PY1 TFR ADA'!$F$5:$AU$5,0),FALSE)),0)</f>
        <v>0</v>
      </c>
      <c r="F1188" s="167"/>
      <c r="G1188" s="609">
        <f>IFERROR(VLOOKUP($B1184,'PY1 TFR ADA'!$F:$AU,MATCH("b-1.3",'PY1 TFR ADA'!$F$5:$AU$5,0),FALSE),0)</f>
        <v>0</v>
      </c>
      <c r="H1188" s="527"/>
      <c r="I1188" s="609">
        <f>IFERROR(VLOOKUP($B1184,'PY1 TFR ADA'!$F:$AU,MATCH("b-2.3",'PY1 TFR ADA'!$F$5:$AU$5,0),FALSE),0)</f>
        <v>0</v>
      </c>
      <c r="J1188" s="527"/>
      <c r="K1188" s="609">
        <f>IFERROR(VLOOKUP($B1184,'PY1 TFR ADA'!$F:$AU,MATCH("b-3.3",'PY1 TFR ADA'!$F$5:$AU$5,0),FALSE),0)</f>
        <v>0</v>
      </c>
      <c r="L1188" s="527"/>
      <c r="M1188" s="609">
        <f>IFERROR(VLOOKUP($B1184,'PY1 TFR ADA'!$F:$AU,MATCH("b-4.3",'PY1 TFR ADA'!$F$5:$AU$5,0),FALSE),0)</f>
        <v>0</v>
      </c>
      <c r="N1188" s="527"/>
      <c r="O1188" s="609">
        <f>IFERROR(VLOOKUP($B1184,'PY1 TFR ADA'!$F:$AU,MATCH("b-5.3",'PY1 TFR ADA'!$F$5:$AU$5,0),FALSE),0)</f>
        <v>0</v>
      </c>
      <c r="P1188" s="527"/>
      <c r="Q1188" s="609">
        <f>IFERROR(VLOOKUP($B1184,'PY1 TFR ADA'!$F:$AU,MATCH("b-6.3",'PY1 TFR ADA'!$F$5:$AU$5,0),FALSE),0)</f>
        <v>0</v>
      </c>
      <c r="R1188" s="551"/>
      <c r="S1188" s="601">
        <f t="shared" si="1778"/>
        <v>0</v>
      </c>
      <c r="T1188" s="551"/>
      <c r="U1188" s="536">
        <f t="shared" ref="U1188" si="1781">ROUND(IF($G1193="LCFF Rate",(G1188*$C1188),(G1188*$E1188))+IF($I1193="LCFF Rate",(I1188*$C1188),(I1188*$E1188))+IF($K1193="LCFF Rate",(K1188*$C1188),(K1188*$E1188))+IF($M1193="LCFF Rate",(M1188*$C1188),(M1188*$E1188))+IF($O1193="LCFF Rate",(O1188*$C1188),(O1188*$E1188))+IF($Q1193="LCFF Rate",(Q1188*$C1188),(Q1188*$E1188)),0)</f>
        <v>0</v>
      </c>
      <c r="V1188" s="524"/>
      <c r="X1188" s="4"/>
    </row>
    <row r="1189" spans="1:24" s="8" customFormat="1" ht="14.4">
      <c r="A1189" s="526"/>
      <c r="B1189" s="510" t="s">
        <v>4</v>
      </c>
      <c r="C1189" s="525">
        <f>IFERROR(VLOOKUP($B1184,'PY1 TFR ADA'!$F:$AU,MATCH("A-1.4",'PY1 TFR ADA'!$F$5:$AU$5,0),FALSE),0)</f>
        <v>0</v>
      </c>
      <c r="D1189" s="523"/>
      <c r="E1189" s="525">
        <f>IFERROR(VALUE(VLOOKUP($B1184,'PY1 TFR ADA'!$F:$AU,MATCH("A-2.4",'PY1 TFR ADA'!$F$5:$AU$5,0),FALSE)),0)</f>
        <v>0</v>
      </c>
      <c r="F1189" s="523"/>
      <c r="G1189" s="609">
        <f>IFERROR(VLOOKUP($B1184,'PY1 TFR ADA'!$F:$AU,MATCH("b-1.4",'PY1 TFR ADA'!$F$5:$AU$5,0),FALSE),0)</f>
        <v>0</v>
      </c>
      <c r="H1189" s="527"/>
      <c r="I1189" s="609">
        <f>IFERROR(VLOOKUP($B1184,'PY1 TFR ADA'!$F:$AU,MATCH("b-2.4",'PY1 TFR ADA'!$F$5:$AU$5,0),FALSE),0)</f>
        <v>0</v>
      </c>
      <c r="J1189" s="527"/>
      <c r="K1189" s="609">
        <f>IFERROR(VLOOKUP($B1184,'PY1 TFR ADA'!$F:$AU,MATCH("b-3.4",'PY1 TFR ADA'!$F$5:$AU$5,0),FALSE),0)</f>
        <v>0</v>
      </c>
      <c r="L1189" s="527"/>
      <c r="M1189" s="609">
        <f>IFERROR(VLOOKUP($B1184,'PY1 TFR ADA'!$F:$AU,MATCH("b-4.4",'PY1 TFR ADA'!$F$5:$AU$5,0),FALSE),0)</f>
        <v>0</v>
      </c>
      <c r="N1189" s="527"/>
      <c r="O1189" s="609">
        <f>IFERROR(VLOOKUP($B1184,'PY1 TFR ADA'!$F:$AU,MATCH("b-5.4",'PY1 TFR ADA'!$F$5:$AU$5,0),FALSE),0)</f>
        <v>0</v>
      </c>
      <c r="P1189" s="527"/>
      <c r="Q1189" s="609">
        <f>IFERROR(VLOOKUP($B1184,'PY1 TFR ADA'!$F:$AU,MATCH("b-6.4",'PY1 TFR ADA'!$F$5:$AU$5,0),FALSE),0)</f>
        <v>0</v>
      </c>
      <c r="R1189" s="551"/>
      <c r="S1189" s="601">
        <f t="shared" si="1778"/>
        <v>0</v>
      </c>
      <c r="T1189" s="551"/>
      <c r="U1189" s="536">
        <f t="shared" ref="U1189" si="1782">ROUND(IF($G1193="LCFF Rate",(G1189*$C1189),(G1189*$E1189))+IF($I1193="LCFF Rate",(I1189*$C1189),(I1189*$E1189))+IF($K1193="LCFF Rate",(K1189*$C1189),(K1189*$E1189))+IF($M1193="LCFF Rate",(M1189*$C1189),(M1189*$E1189))+IF($O1193="LCFF Rate",(O1189*$C1189),(O1189*$E1189))+IF($Q1193="LCFF Rate",(Q1189*$C1189),(Q1189*$E1189)),0)</f>
        <v>0</v>
      </c>
      <c r="V1189" s="522"/>
      <c r="X1189" s="496"/>
    </row>
    <row r="1190" spans="1:24" s="8" customFormat="1" ht="8.25" customHeight="1">
      <c r="A1190" s="521"/>
      <c r="B1190" s="167"/>
      <c r="C1190" s="165"/>
      <c r="D1190" s="523"/>
      <c r="E1190" s="165"/>
      <c r="F1190" s="523"/>
      <c r="G1190" s="520"/>
      <c r="H1190" s="523"/>
      <c r="I1190" s="520"/>
      <c r="J1190" s="523"/>
      <c r="K1190" s="520"/>
      <c r="L1190" s="523"/>
      <c r="M1190" s="520"/>
      <c r="N1190" s="523"/>
      <c r="O1190" s="520"/>
      <c r="P1190" s="523"/>
      <c r="Q1190" s="520"/>
      <c r="R1190" s="167"/>
      <c r="S1190" s="520"/>
      <c r="T1190" s="167"/>
      <c r="U1190" s="602"/>
      <c r="V1190" s="522"/>
      <c r="X1190" s="4"/>
    </row>
    <row r="1191" spans="1:24" s="8" customFormat="1" ht="14.4">
      <c r="A1191" s="521"/>
      <c r="B1191" s="167"/>
      <c r="C1191" s="165"/>
      <c r="D1191" s="523"/>
      <c r="E1191" s="513" t="s">
        <v>1317</v>
      </c>
      <c r="F1191" s="523"/>
      <c r="G1191" s="601">
        <f t="shared" ref="G1191" si="1783">SUM(G1186:G1189)</f>
        <v>0</v>
      </c>
      <c r="H1191" s="527"/>
      <c r="I1191" s="601">
        <f t="shared" ref="I1191" si="1784">SUM(I1186:I1189)</f>
        <v>0</v>
      </c>
      <c r="J1191" s="527"/>
      <c r="K1191" s="601">
        <f t="shared" ref="K1191" si="1785">SUM(K1186:K1189)</f>
        <v>0</v>
      </c>
      <c r="L1191" s="527"/>
      <c r="M1191" s="601">
        <f t="shared" ref="M1191" si="1786">SUM(M1186:M1189)</f>
        <v>0</v>
      </c>
      <c r="N1191" s="527"/>
      <c r="O1191" s="601">
        <f t="shared" ref="O1191" si="1787">SUM(O1186:O1189)</f>
        <v>0</v>
      </c>
      <c r="P1191" s="527"/>
      <c r="Q1191" s="601">
        <f t="shared" ref="Q1191" si="1788">SUM(Q1186:Q1189)</f>
        <v>0</v>
      </c>
      <c r="R1191" s="527"/>
      <c r="S1191" s="601">
        <f t="shared" ref="S1191" si="1789">SUM(S1186:S1189)</f>
        <v>0</v>
      </c>
      <c r="T1191" s="527"/>
      <c r="U1191" s="536">
        <f t="shared" ref="U1191" si="1790">SUM(U1186:U1189)</f>
        <v>0</v>
      </c>
      <c r="V1191" s="522"/>
      <c r="X1191" s="4"/>
    </row>
    <row r="1192" spans="1:24" s="8" customFormat="1" ht="8.25" customHeight="1">
      <c r="A1192" s="521"/>
      <c r="B1192" s="167"/>
      <c r="C1192" s="165"/>
      <c r="D1192" s="523"/>
      <c r="E1192" s="165"/>
      <c r="F1192" s="523"/>
      <c r="G1192" s="520"/>
      <c r="H1192" s="523"/>
      <c r="I1192" s="520"/>
      <c r="J1192" s="523"/>
      <c r="K1192" s="520"/>
      <c r="L1192" s="523"/>
      <c r="M1192" s="520"/>
      <c r="N1192" s="523"/>
      <c r="O1192" s="520"/>
      <c r="P1192" s="523"/>
      <c r="Q1192" s="520"/>
      <c r="R1192" s="167"/>
      <c r="S1192" s="520"/>
      <c r="T1192" s="167"/>
      <c r="U1192" s="528"/>
      <c r="V1192" s="522"/>
      <c r="X1192" s="4"/>
    </row>
    <row r="1193" spans="1:24" s="8" customFormat="1" ht="16.5" customHeight="1">
      <c r="A1193" s="521"/>
      <c r="B1193" s="167"/>
      <c r="C1193" s="165"/>
      <c r="E1193" s="513" t="s">
        <v>1304</v>
      </c>
      <c r="F1193" s="523"/>
      <c r="G1193" s="977">
        <f>_xlfn.IFNA(IF(VLOOKUP($B1184,'PY1 TFR ADA'!$F:$AU,MATCH("B-1.5",'PY1 TFR ADA'!$F$5:$AU$5,0),FALSE)=TRUE,IF(VLOOKUP($B1184,'PY1 TFR ADA'!$F:$AU,MATCH("C-1",'PY1 TFR ADA'!$F$5:$AU$5,0),FALSE)=TRUE,"Alternative Rate","LCFF Rate"),"LCFF Rate"),0)</f>
        <v>0</v>
      </c>
      <c r="H1193" s="523"/>
      <c r="I1193" s="977">
        <f>_xlfn.IFNA(IF(VLOOKUP($B1184,'PY1 TFR ADA'!$F:$AU,MATCH("B-2.5",'PY1 TFR ADA'!$F$5:$AU$5,0),FALSE)=TRUE,IF(VLOOKUP($B1184,'PY1 TFR ADA'!$F:$AU,MATCH("C-1",'PY1 TFR ADA'!$F$5:$AU$5,0),FALSE)=TRUE,"Alternative Rate","LCFF Rate"),"LCFF Rate"),0)</f>
        <v>0</v>
      </c>
      <c r="J1193" s="523"/>
      <c r="K1193" s="977">
        <f>_xlfn.IFNA(IF(VLOOKUP($B1184,'PY1 TFR ADA'!$F:$AU,MATCH("B-3.5",'PY1 TFR ADA'!$F$5:$AU$5,0),FALSE)=TRUE,IF(VLOOKUP($B1184,'PY1 TFR ADA'!$F:$AU,MATCH("C-1",'PY1 TFR ADA'!$F$5:$AU$5,0),FALSE)=TRUE,"Alternative Rate","LCFF Rate"),"LCFF Rate"),0)</f>
        <v>0</v>
      </c>
      <c r="L1193" s="523"/>
      <c r="M1193" s="977">
        <f>_xlfn.IFNA(IF(VLOOKUP($B1184,'PY1 TFR ADA'!$F:$AU,MATCH("B-4.5",'PY1 TFR ADA'!$F$5:$AU$5,0),FALSE)=TRUE,IF(VLOOKUP($B1184,'PY1 TFR ADA'!$F:$AU,MATCH("C-1",'PY1 TFR ADA'!$F$5:$AU$5,0),FALSE)=TRUE,"Alternative Rate","LCFF Rate"),"LCFF Rate"),0)</f>
        <v>0</v>
      </c>
      <c r="N1193" s="523"/>
      <c r="O1193" s="977">
        <f>_xlfn.IFNA(IF(VLOOKUP($B1184,'PY1 TFR ADA'!$F:$AU,MATCH("B-5.5",'PY1 TFR ADA'!$F$5:$AU$5,0),FALSE)=TRUE,IF(VLOOKUP($B1184,'PY1 TFR ADA'!$F:$AU,MATCH("C-1",'PY1 TFR ADA'!$F$5:$AU$5,0),FALSE)=TRUE,"Alternative Rate","LCFF Rate"),"LCFF Rate"),0)</f>
        <v>0</v>
      </c>
      <c r="P1193" s="523"/>
      <c r="Q1193" s="977">
        <f>_xlfn.IFNA(IF(VLOOKUP($B1184,'PY1 TFR ADA'!$F:$AU,MATCH("B-6.5",'PY1 TFR ADA'!$F$5:$AU$5,0),FALSE)=TRUE,IF(VLOOKUP($B1184,'PY1 TFR ADA'!$F:$AU,MATCH("C-1",'PY1 TFR ADA'!$F$5:$AU$5,0),FALSE)=TRUE,"Alternative Rate","LCFF Rate"),"LCFF Rate"),0)</f>
        <v>0</v>
      </c>
      <c r="R1193" s="167"/>
      <c r="S1193" s="520"/>
      <c r="T1193" s="167"/>
      <c r="U1193" s="528"/>
      <c r="V1193" s="522"/>
      <c r="X1193" s="283"/>
    </row>
    <row r="1194" spans="1:24" s="8" customFormat="1" ht="8.25" customHeight="1">
      <c r="A1194" s="521"/>
      <c r="B1194" s="167"/>
      <c r="C1194" s="165"/>
      <c r="D1194" s="523"/>
      <c r="E1194" s="165"/>
      <c r="F1194" s="523"/>
      <c r="G1194" s="520"/>
      <c r="H1194" s="523"/>
      <c r="I1194" s="520"/>
      <c r="J1194" s="523"/>
      <c r="K1194" s="520"/>
      <c r="L1194" s="523"/>
      <c r="M1194" s="520"/>
      <c r="N1194" s="523"/>
      <c r="O1194" s="520"/>
      <c r="P1194" s="523"/>
      <c r="Q1194" s="520"/>
      <c r="R1194" s="167"/>
      <c r="S1194" s="520"/>
      <c r="T1194" s="167"/>
      <c r="U1194" s="528"/>
      <c r="V1194" s="522"/>
      <c r="X1194" s="4"/>
    </row>
    <row r="1195" spans="1:24" s="8" customFormat="1" ht="16.8">
      <c r="A1195" s="521"/>
      <c r="B1195" s="2"/>
      <c r="F1195" s="523"/>
      <c r="G1195" s="535">
        <f t="shared" ref="G1195" si="1791">IF(G1193="LCFF Rate",(G1186*C1186+G1187*C1187+G1188*C1188+G1189*C1189),(G1191*E1189))</f>
        <v>0</v>
      </c>
      <c r="H1195" s="537"/>
      <c r="I1195" s="535">
        <f t="shared" ref="I1195" si="1792">IF(I1193="LCFF Rate",(I1186*C1186+I1187*C1187+I1188*C1188+I1189*C1189),(I1191*E1189))</f>
        <v>0</v>
      </c>
      <c r="J1195" s="537"/>
      <c r="K1195" s="535">
        <f t="shared" ref="K1195" si="1793">IF(K1193="LCFF Rate",(K1186*C1186+K1187*C1187+K1188*C1188+K1189*C1189),(K1191*E1189))</f>
        <v>0</v>
      </c>
      <c r="L1195" s="537"/>
      <c r="M1195" s="535">
        <f t="shared" ref="M1195" si="1794">IF(M1193="LCFF Rate",(M1186*C1186+M1187*C1187+M1188*C1188+M1189*C1189),(M1191*E1189))</f>
        <v>0</v>
      </c>
      <c r="N1195" s="537"/>
      <c r="O1195" s="535">
        <f t="shared" ref="O1195" si="1795">IF(O1193="LCFF Rate",(O1186*C1186+O1187*C1187+O1188*C1188+O1189*C1189),(O1191*E1189))</f>
        <v>0</v>
      </c>
      <c r="P1195" s="537"/>
      <c r="Q1195" s="535">
        <f t="shared" ref="Q1195" si="1796">IF(Q1193="LCFF Rate",(Q1186*C1186+Q1187*C1187+Q1188*C1188+Q1189*C1189),(Q1191*E1189))</f>
        <v>0</v>
      </c>
      <c r="R1195" s="167"/>
      <c r="S1195" s="538">
        <f t="shared" ref="S1195" si="1797">SUM(G1195:Q1195)</f>
        <v>0</v>
      </c>
      <c r="T1195" s="167"/>
      <c r="U1195" s="528"/>
      <c r="V1195" s="522"/>
      <c r="X1195" s="979"/>
    </row>
    <row r="1196" spans="1:24" s="8" customFormat="1" ht="9" customHeight="1" thickBot="1">
      <c r="A1196" s="529"/>
      <c r="B1196" s="530"/>
      <c r="C1196" s="531"/>
      <c r="D1196" s="532"/>
      <c r="E1196" s="533"/>
      <c r="F1196" s="532"/>
      <c r="G1196" s="530"/>
      <c r="H1196" s="532"/>
      <c r="I1196" s="530"/>
      <c r="J1196" s="532"/>
      <c r="K1196" s="530"/>
      <c r="L1196" s="532"/>
      <c r="M1196" s="530"/>
      <c r="N1196" s="532"/>
      <c r="O1196" s="530"/>
      <c r="P1196" s="532"/>
      <c r="Q1196" s="530"/>
      <c r="R1196" s="532"/>
      <c r="S1196" s="530"/>
      <c r="T1196" s="532"/>
      <c r="U1196" s="532"/>
      <c r="V1196" s="534"/>
      <c r="X1196" s="4"/>
    </row>
    <row r="1197" spans="1:24" s="82" customFormat="1" ht="18" customHeight="1" thickBot="1">
      <c r="A1197" s="890">
        <f>+A1184+1</f>
        <v>92</v>
      </c>
      <c r="B1197" s="891" t="str">
        <f>'Data Entry'!$B$3&amp;"-"&amp;C1197</f>
        <v>-</v>
      </c>
      <c r="C1197" s="891" t="str">
        <f>IFERROR(VLOOKUP('Data Entry'!$B$3&amp;"-"&amp;A1197,'PY1 TFR ADA'!$D:$AT,2,FALSE),"")</f>
        <v/>
      </c>
      <c r="D1197" s="892" t="str">
        <f>IFERROR(VLOOKUP('Data Entry'!$B$3&amp;"-"&amp;A1197,'PY1 TFR ADA'!$D:$AT,4,FALSE),"")</f>
        <v/>
      </c>
      <c r="E1197" s="893"/>
      <c r="F1197" s="893"/>
      <c r="G1197" s="893"/>
      <c r="H1197" s="893"/>
      <c r="I1197" s="893"/>
      <c r="J1197" s="893"/>
      <c r="K1197" s="893"/>
      <c r="L1197" s="893"/>
      <c r="M1197" s="893"/>
      <c r="N1197" s="893"/>
      <c r="O1197" s="893"/>
      <c r="P1197" s="893"/>
      <c r="Q1197" s="893"/>
      <c r="R1197" s="893"/>
      <c r="S1197" s="893"/>
      <c r="T1197" s="893"/>
      <c r="U1197" s="893"/>
      <c r="V1197" s="894"/>
      <c r="X1197" s="83"/>
    </row>
    <row r="1198" spans="1:24" ht="75" customHeight="1">
      <c r="A1198" s="521"/>
      <c r="C1198" s="540" t="s">
        <v>1315</v>
      </c>
      <c r="D1198" s="512"/>
      <c r="E1198" s="540" t="s">
        <v>1316</v>
      </c>
      <c r="F1198" s="512"/>
      <c r="G1198" s="540" t="s">
        <v>1309</v>
      </c>
      <c r="H1198" s="512"/>
      <c r="I1198" s="540" t="s">
        <v>1310</v>
      </c>
      <c r="J1198" s="512"/>
      <c r="K1198" s="540" t="s">
        <v>1311</v>
      </c>
      <c r="L1198" s="512"/>
      <c r="M1198" s="540" t="s">
        <v>1312</v>
      </c>
      <c r="N1198" s="512"/>
      <c r="O1198" s="540" t="s">
        <v>1313</v>
      </c>
      <c r="P1198" s="512"/>
      <c r="Q1198" s="540" t="s">
        <v>1314</v>
      </c>
      <c r="R1198" s="167"/>
      <c r="S1198" s="540" t="s">
        <v>1308</v>
      </c>
      <c r="T1198" s="167"/>
      <c r="U1198" s="512" t="s">
        <v>1307</v>
      </c>
      <c r="V1198" s="524"/>
      <c r="X1198" s="283"/>
    </row>
    <row r="1199" spans="1:24" s="8" customFormat="1" ht="14.4">
      <c r="A1199" s="521"/>
      <c r="B1199" s="510" t="s">
        <v>94</v>
      </c>
      <c r="C1199" s="525">
        <f>IFERROR(VLOOKUP($B1197,'PY1 TFR ADA'!$F:$AU,MATCH("A-1.1",'PY1 TFR ADA'!$F$5:$AU$5,0),FALSE),0)</f>
        <v>0</v>
      </c>
      <c r="D1199" s="167"/>
      <c r="E1199" s="525">
        <f>IFERROR(VALUE(VLOOKUP($B1197,'PY1 TFR ADA'!$F:$AU,MATCH("A-2.1",'PY1 TFR ADA'!$F$5:$AU$5,0),FALSE)),0)</f>
        <v>0</v>
      </c>
      <c r="F1199" s="167"/>
      <c r="G1199" s="609">
        <f>IFERROR(VLOOKUP($B1197,'PY1 TFR ADA'!$F:$AU,MATCH("b-1.1",'PY1 TFR ADA'!$F$5:$AU$5,0),FALSE),0)</f>
        <v>0</v>
      </c>
      <c r="H1199" s="527"/>
      <c r="I1199" s="609">
        <f>IFERROR(VLOOKUP($B1197,'PY1 TFR ADA'!$F:$AU,MATCH("b-2.1",'PY1 TFR ADA'!$F$5:$AU$5,0),FALSE),0)</f>
        <v>0</v>
      </c>
      <c r="J1199" s="527"/>
      <c r="K1199" s="609">
        <f>IFERROR(VLOOKUP($B1197,'PY1 TFR ADA'!$F:$AU,MATCH("b-3.1",'PY1 TFR ADA'!$F$5:$AU$5,0),FALSE),0)</f>
        <v>0</v>
      </c>
      <c r="L1199" s="527"/>
      <c r="M1199" s="609">
        <f>IFERROR(VLOOKUP($B1197,'PY1 TFR ADA'!$F:$AU,MATCH("b-4.1",'PY1 TFR ADA'!$F$5:$AU$5,0),FALSE),0)</f>
        <v>0</v>
      </c>
      <c r="N1199" s="527"/>
      <c r="O1199" s="609">
        <f>IFERROR(VLOOKUP($B1197,'PY1 TFR ADA'!$F:$AU,MATCH("b-5.1",'PY1 TFR ADA'!$F$5:$AU$5,0),FALSE),0)</f>
        <v>0</v>
      </c>
      <c r="P1199" s="527"/>
      <c r="Q1199" s="609">
        <f>IFERROR(VLOOKUP($B1197,'PY1 TFR ADA'!$F:$AU,MATCH("b-6.1",'PY1 TFR ADA'!$F$5:$AU$5,0),FALSE),0)</f>
        <v>0</v>
      </c>
      <c r="R1199" s="551"/>
      <c r="S1199" s="601">
        <f t="shared" ref="S1199:S1202" si="1798">SUM(G1199:Q1199)</f>
        <v>0</v>
      </c>
      <c r="T1199" s="551"/>
      <c r="U1199" s="536">
        <f t="shared" ref="U1199" si="1799">ROUND(IF($G1206="LCFF Rate",(G1199*$C1199),(G1199*$E1199))+IF($I1206="LCFF Rate",(I1199*$C1199),(I1199*$E1199))+IF($K1206="LCFF Rate",(K1199*$C1199),(K1199*$E1199))+IF($M1206="LCFF Rate",(M1199*$C1199),(M1199*$E1199))+IF($O1206="LCFF Rate",(O1199*$C1199),(O1199*$E1199))+IF($Q1206="LCFF Rate",(Q1199*$C1199),(Q1199*$E1199)),0)</f>
        <v>0</v>
      </c>
      <c r="V1199" s="524"/>
      <c r="X1199" s="496"/>
    </row>
    <row r="1200" spans="1:24" s="8" customFormat="1" ht="14.4">
      <c r="A1200" s="521"/>
      <c r="B1200" s="510" t="s">
        <v>2</v>
      </c>
      <c r="C1200" s="525">
        <f>IFERROR(VLOOKUP($B1197,'PY1 TFR ADA'!$F:$AU,MATCH("A-1.2",'PY1 TFR ADA'!$F$5:$AU$5,0),FALSE),0)</f>
        <v>0</v>
      </c>
      <c r="D1200" s="167"/>
      <c r="E1200" s="525">
        <f>IFERROR(VALUE(VLOOKUP($B1197,'PY1 TFR ADA'!$F:$AU,MATCH("A-2.2",'PY1 TFR ADA'!$F$5:$AU$5,0),FALSE)),0)</f>
        <v>0</v>
      </c>
      <c r="F1200" s="167"/>
      <c r="G1200" s="609">
        <f>IFERROR(VLOOKUP($B1197,'PY1 TFR ADA'!$F:$AU,MATCH("b-1.2",'PY1 TFR ADA'!$F$5:$AU$5,0),FALSE),0)</f>
        <v>0</v>
      </c>
      <c r="H1200" s="527"/>
      <c r="I1200" s="609">
        <f>IFERROR(VLOOKUP($B1197,'PY1 TFR ADA'!$F:$AU,MATCH("b-2.2",'PY1 TFR ADA'!$F$5:$AU$5,0),FALSE),0)</f>
        <v>0</v>
      </c>
      <c r="J1200" s="527"/>
      <c r="K1200" s="609">
        <f>IFERROR(VLOOKUP($B1197,'PY1 TFR ADA'!$F:$AU,MATCH("b-3.2",'PY1 TFR ADA'!$F$5:$AU$5,0),FALSE),0)</f>
        <v>0</v>
      </c>
      <c r="L1200" s="527"/>
      <c r="M1200" s="609">
        <f>IFERROR(VLOOKUP($B1197,'PY1 TFR ADA'!$F:$AU,MATCH("b-4.2",'PY1 TFR ADA'!$F$5:$AU$5,0),FALSE),0)</f>
        <v>0</v>
      </c>
      <c r="N1200" s="527"/>
      <c r="O1200" s="609">
        <f>IFERROR(VLOOKUP($B1197,'PY1 TFR ADA'!$F:$AU,MATCH("b-5.2",'PY1 TFR ADA'!$F$5:$AU$5,0),FALSE),0)</f>
        <v>0</v>
      </c>
      <c r="P1200" s="527"/>
      <c r="Q1200" s="609">
        <f>IFERROR(VLOOKUP($B1197,'PY1 TFR ADA'!$F:$AU,MATCH("b-6.2",'PY1 TFR ADA'!$F$5:$AU$5,0),FALSE),0)</f>
        <v>0</v>
      </c>
      <c r="R1200" s="551"/>
      <c r="S1200" s="601">
        <f t="shared" si="1798"/>
        <v>0</v>
      </c>
      <c r="T1200" s="551"/>
      <c r="U1200" s="536">
        <f t="shared" ref="U1200" si="1800">ROUND(IF($G1206="LCFF Rate",(G1200*$C1200),(G1200*$E1200))+IF($I1206="LCFF Rate",(I1200*$C1200),(I1200*$E1200))+IF($K1206="LCFF Rate",(K1200*$C1200),(K1200*$E1200))+IF($M1206="LCFF Rate",(M1200*$C1200),(M1200*$E1200))+IF($O1206="LCFF Rate",(O1200*$C1200),(O1200*$E1200))+IF($Q1206="LCFF Rate",(Q1200*$C1200),(Q1200*$E1200)),0)</f>
        <v>0</v>
      </c>
      <c r="V1200" s="524"/>
      <c r="X1200" s="4"/>
    </row>
    <row r="1201" spans="1:24" s="8" customFormat="1" ht="14.4">
      <c r="A1201" s="521"/>
      <c r="B1201" s="510" t="s">
        <v>3</v>
      </c>
      <c r="C1201" s="525">
        <f>IFERROR(VLOOKUP($B1197,'PY1 TFR ADA'!$F:$AU,MATCH("A-1.3",'PY1 TFR ADA'!$F$5:$AU$5,0),FALSE),0)</f>
        <v>0</v>
      </c>
      <c r="D1201" s="167"/>
      <c r="E1201" s="525">
        <f>IFERROR(VALUE(VLOOKUP($B1197,'PY1 TFR ADA'!$F:$AU,MATCH("A-2.3",'PY1 TFR ADA'!$F$5:$AU$5,0),FALSE)),0)</f>
        <v>0</v>
      </c>
      <c r="F1201" s="167"/>
      <c r="G1201" s="609">
        <f>IFERROR(VLOOKUP($B1197,'PY1 TFR ADA'!$F:$AU,MATCH("b-1.3",'PY1 TFR ADA'!$F$5:$AU$5,0),FALSE),0)</f>
        <v>0</v>
      </c>
      <c r="H1201" s="527"/>
      <c r="I1201" s="609">
        <f>IFERROR(VLOOKUP($B1197,'PY1 TFR ADA'!$F:$AU,MATCH("b-2.3",'PY1 TFR ADA'!$F$5:$AU$5,0),FALSE),0)</f>
        <v>0</v>
      </c>
      <c r="J1201" s="527"/>
      <c r="K1201" s="609">
        <f>IFERROR(VLOOKUP($B1197,'PY1 TFR ADA'!$F:$AU,MATCH("b-3.3",'PY1 TFR ADA'!$F$5:$AU$5,0),FALSE),0)</f>
        <v>0</v>
      </c>
      <c r="L1201" s="527"/>
      <c r="M1201" s="609">
        <f>IFERROR(VLOOKUP($B1197,'PY1 TFR ADA'!$F:$AU,MATCH("b-4.3",'PY1 TFR ADA'!$F$5:$AU$5,0),FALSE),0)</f>
        <v>0</v>
      </c>
      <c r="N1201" s="527"/>
      <c r="O1201" s="609">
        <f>IFERROR(VLOOKUP($B1197,'PY1 TFR ADA'!$F:$AU,MATCH("b-5.3",'PY1 TFR ADA'!$F$5:$AU$5,0),FALSE),0)</f>
        <v>0</v>
      </c>
      <c r="P1201" s="527"/>
      <c r="Q1201" s="609">
        <f>IFERROR(VLOOKUP($B1197,'PY1 TFR ADA'!$F:$AU,MATCH("b-6.3",'PY1 TFR ADA'!$F$5:$AU$5,0),FALSE),0)</f>
        <v>0</v>
      </c>
      <c r="R1201" s="551"/>
      <c r="S1201" s="601">
        <f t="shared" si="1798"/>
        <v>0</v>
      </c>
      <c r="T1201" s="551"/>
      <c r="U1201" s="536">
        <f t="shared" ref="U1201" si="1801">ROUND(IF($G1206="LCFF Rate",(G1201*$C1201),(G1201*$E1201))+IF($I1206="LCFF Rate",(I1201*$C1201),(I1201*$E1201))+IF($K1206="LCFF Rate",(K1201*$C1201),(K1201*$E1201))+IF($M1206="LCFF Rate",(M1201*$C1201),(M1201*$E1201))+IF($O1206="LCFF Rate",(O1201*$C1201),(O1201*$E1201))+IF($Q1206="LCFF Rate",(Q1201*$C1201),(Q1201*$E1201)),0)</f>
        <v>0</v>
      </c>
      <c r="V1201" s="524"/>
      <c r="X1201" s="4"/>
    </row>
    <row r="1202" spans="1:24" s="8" customFormat="1" ht="14.4">
      <c r="A1202" s="526"/>
      <c r="B1202" s="510" t="s">
        <v>4</v>
      </c>
      <c r="C1202" s="525">
        <f>IFERROR(VLOOKUP($B1197,'PY1 TFR ADA'!$F:$AU,MATCH("A-1.4",'PY1 TFR ADA'!$F$5:$AU$5,0),FALSE),0)</f>
        <v>0</v>
      </c>
      <c r="D1202" s="523"/>
      <c r="E1202" s="525">
        <f>IFERROR(VALUE(VLOOKUP($B1197,'PY1 TFR ADA'!$F:$AU,MATCH("A-2.4",'PY1 TFR ADA'!$F$5:$AU$5,0),FALSE)),0)</f>
        <v>0</v>
      </c>
      <c r="F1202" s="523"/>
      <c r="G1202" s="609">
        <f>IFERROR(VLOOKUP($B1197,'PY1 TFR ADA'!$F:$AU,MATCH("b-1.4",'PY1 TFR ADA'!$F$5:$AU$5,0),FALSE),0)</f>
        <v>0</v>
      </c>
      <c r="H1202" s="527"/>
      <c r="I1202" s="609">
        <f>IFERROR(VLOOKUP($B1197,'PY1 TFR ADA'!$F:$AU,MATCH("b-2.4",'PY1 TFR ADA'!$F$5:$AU$5,0),FALSE),0)</f>
        <v>0</v>
      </c>
      <c r="J1202" s="527"/>
      <c r="K1202" s="609">
        <f>IFERROR(VLOOKUP($B1197,'PY1 TFR ADA'!$F:$AU,MATCH("b-3.4",'PY1 TFR ADA'!$F$5:$AU$5,0),FALSE),0)</f>
        <v>0</v>
      </c>
      <c r="L1202" s="527"/>
      <c r="M1202" s="609">
        <f>IFERROR(VLOOKUP($B1197,'PY1 TFR ADA'!$F:$AU,MATCH("b-4.4",'PY1 TFR ADA'!$F$5:$AU$5,0),FALSE),0)</f>
        <v>0</v>
      </c>
      <c r="N1202" s="527"/>
      <c r="O1202" s="609">
        <f>IFERROR(VLOOKUP($B1197,'PY1 TFR ADA'!$F:$AU,MATCH("b-5.4",'PY1 TFR ADA'!$F$5:$AU$5,0),FALSE),0)</f>
        <v>0</v>
      </c>
      <c r="P1202" s="527"/>
      <c r="Q1202" s="609">
        <f>IFERROR(VLOOKUP($B1197,'PY1 TFR ADA'!$F:$AU,MATCH("b-6.4",'PY1 TFR ADA'!$F$5:$AU$5,0),FALSE),0)</f>
        <v>0</v>
      </c>
      <c r="R1202" s="551"/>
      <c r="S1202" s="601">
        <f t="shared" si="1798"/>
        <v>0</v>
      </c>
      <c r="T1202" s="551"/>
      <c r="U1202" s="536">
        <f t="shared" ref="U1202" si="1802">ROUND(IF($G1206="LCFF Rate",(G1202*$C1202),(G1202*$E1202))+IF($I1206="LCFF Rate",(I1202*$C1202),(I1202*$E1202))+IF($K1206="LCFF Rate",(K1202*$C1202),(K1202*$E1202))+IF($M1206="LCFF Rate",(M1202*$C1202),(M1202*$E1202))+IF($O1206="LCFF Rate",(O1202*$C1202),(O1202*$E1202))+IF($Q1206="LCFF Rate",(Q1202*$C1202),(Q1202*$E1202)),0)</f>
        <v>0</v>
      </c>
      <c r="V1202" s="522"/>
      <c r="X1202" s="496"/>
    </row>
    <row r="1203" spans="1:24" s="8" customFormat="1" ht="8.25" customHeight="1">
      <c r="A1203" s="521"/>
      <c r="B1203" s="167"/>
      <c r="C1203" s="165"/>
      <c r="D1203" s="523"/>
      <c r="E1203" s="165"/>
      <c r="F1203" s="523"/>
      <c r="G1203" s="520"/>
      <c r="H1203" s="523"/>
      <c r="I1203" s="520"/>
      <c r="J1203" s="523"/>
      <c r="K1203" s="520"/>
      <c r="L1203" s="523"/>
      <c r="M1203" s="520"/>
      <c r="N1203" s="523"/>
      <c r="O1203" s="520"/>
      <c r="P1203" s="523"/>
      <c r="Q1203" s="520"/>
      <c r="R1203" s="167"/>
      <c r="S1203" s="520"/>
      <c r="T1203" s="167"/>
      <c r="U1203" s="602"/>
      <c r="V1203" s="522"/>
      <c r="X1203" s="4"/>
    </row>
    <row r="1204" spans="1:24" s="8" customFormat="1" ht="14.4">
      <c r="A1204" s="521"/>
      <c r="B1204" s="167"/>
      <c r="C1204" s="165"/>
      <c r="D1204" s="523"/>
      <c r="E1204" s="513" t="s">
        <v>1317</v>
      </c>
      <c r="F1204" s="523"/>
      <c r="G1204" s="601">
        <f t="shared" ref="G1204" si="1803">SUM(G1199:G1202)</f>
        <v>0</v>
      </c>
      <c r="H1204" s="527"/>
      <c r="I1204" s="601">
        <f t="shared" ref="I1204" si="1804">SUM(I1199:I1202)</f>
        <v>0</v>
      </c>
      <c r="J1204" s="527"/>
      <c r="K1204" s="601">
        <f t="shared" ref="K1204" si="1805">SUM(K1199:K1202)</f>
        <v>0</v>
      </c>
      <c r="L1204" s="527"/>
      <c r="M1204" s="601">
        <f t="shared" ref="M1204" si="1806">SUM(M1199:M1202)</f>
        <v>0</v>
      </c>
      <c r="N1204" s="527"/>
      <c r="O1204" s="601">
        <f t="shared" ref="O1204" si="1807">SUM(O1199:O1202)</f>
        <v>0</v>
      </c>
      <c r="P1204" s="527"/>
      <c r="Q1204" s="601">
        <f t="shared" ref="Q1204" si="1808">SUM(Q1199:Q1202)</f>
        <v>0</v>
      </c>
      <c r="R1204" s="527"/>
      <c r="S1204" s="601">
        <f t="shared" ref="S1204" si="1809">SUM(S1199:S1202)</f>
        <v>0</v>
      </c>
      <c r="T1204" s="527"/>
      <c r="U1204" s="536">
        <f t="shared" ref="U1204" si="1810">SUM(U1199:U1202)</f>
        <v>0</v>
      </c>
      <c r="V1204" s="522"/>
      <c r="X1204" s="4"/>
    </row>
    <row r="1205" spans="1:24" s="8" customFormat="1" ht="8.25" customHeight="1">
      <c r="A1205" s="521"/>
      <c r="B1205" s="167"/>
      <c r="C1205" s="165"/>
      <c r="D1205" s="523"/>
      <c r="E1205" s="165"/>
      <c r="F1205" s="523"/>
      <c r="G1205" s="520"/>
      <c r="H1205" s="523"/>
      <c r="I1205" s="520"/>
      <c r="J1205" s="523"/>
      <c r="K1205" s="520"/>
      <c r="L1205" s="523"/>
      <c r="M1205" s="520"/>
      <c r="N1205" s="523"/>
      <c r="O1205" s="520"/>
      <c r="P1205" s="523"/>
      <c r="Q1205" s="520"/>
      <c r="R1205" s="167"/>
      <c r="S1205" s="520"/>
      <c r="T1205" s="167"/>
      <c r="U1205" s="528"/>
      <c r="V1205" s="522"/>
      <c r="X1205" s="4"/>
    </row>
    <row r="1206" spans="1:24" s="8" customFormat="1" ht="16.5" customHeight="1">
      <c r="A1206" s="521"/>
      <c r="B1206" s="167"/>
      <c r="C1206" s="165"/>
      <c r="E1206" s="513" t="s">
        <v>1304</v>
      </c>
      <c r="F1206" s="523"/>
      <c r="G1206" s="977">
        <f>_xlfn.IFNA(IF(VLOOKUP($B1197,'PY1 TFR ADA'!$F:$AU,MATCH("B-1.5",'PY1 TFR ADA'!$F$5:$AU$5,0),FALSE)=TRUE,IF(VLOOKUP($B1197,'PY1 TFR ADA'!$F:$AU,MATCH("C-1",'PY1 TFR ADA'!$F$5:$AU$5,0),FALSE)=TRUE,"Alternative Rate","LCFF Rate"),"LCFF Rate"),0)</f>
        <v>0</v>
      </c>
      <c r="H1206" s="523"/>
      <c r="I1206" s="977">
        <f>_xlfn.IFNA(IF(VLOOKUP($B1197,'PY1 TFR ADA'!$F:$AU,MATCH("B-2.5",'PY1 TFR ADA'!$F$5:$AU$5,0),FALSE)=TRUE,IF(VLOOKUP($B1197,'PY1 TFR ADA'!$F:$AU,MATCH("C-1",'PY1 TFR ADA'!$F$5:$AU$5,0),FALSE)=TRUE,"Alternative Rate","LCFF Rate"),"LCFF Rate"),0)</f>
        <v>0</v>
      </c>
      <c r="J1206" s="523"/>
      <c r="K1206" s="977">
        <f>_xlfn.IFNA(IF(VLOOKUP($B1197,'PY1 TFR ADA'!$F:$AU,MATCH("B-3.5",'PY1 TFR ADA'!$F$5:$AU$5,0),FALSE)=TRUE,IF(VLOOKUP($B1197,'PY1 TFR ADA'!$F:$AU,MATCH("C-1",'PY1 TFR ADA'!$F$5:$AU$5,0),FALSE)=TRUE,"Alternative Rate","LCFF Rate"),"LCFF Rate"),0)</f>
        <v>0</v>
      </c>
      <c r="L1206" s="523"/>
      <c r="M1206" s="977">
        <f>_xlfn.IFNA(IF(VLOOKUP($B1197,'PY1 TFR ADA'!$F:$AU,MATCH("B-4.5",'PY1 TFR ADA'!$F$5:$AU$5,0),FALSE)=TRUE,IF(VLOOKUP($B1197,'PY1 TFR ADA'!$F:$AU,MATCH("C-1",'PY1 TFR ADA'!$F$5:$AU$5,0),FALSE)=TRUE,"Alternative Rate","LCFF Rate"),"LCFF Rate"),0)</f>
        <v>0</v>
      </c>
      <c r="N1206" s="523"/>
      <c r="O1206" s="977">
        <f>_xlfn.IFNA(IF(VLOOKUP($B1197,'PY1 TFR ADA'!$F:$AU,MATCH("B-5.5",'PY1 TFR ADA'!$F$5:$AU$5,0),FALSE)=TRUE,IF(VLOOKUP($B1197,'PY1 TFR ADA'!$F:$AU,MATCH("C-1",'PY1 TFR ADA'!$F$5:$AU$5,0),FALSE)=TRUE,"Alternative Rate","LCFF Rate"),"LCFF Rate"),0)</f>
        <v>0</v>
      </c>
      <c r="P1206" s="523"/>
      <c r="Q1206" s="977">
        <f>_xlfn.IFNA(IF(VLOOKUP($B1197,'PY1 TFR ADA'!$F:$AU,MATCH("B-6.5",'PY1 TFR ADA'!$F$5:$AU$5,0),FALSE)=TRUE,IF(VLOOKUP($B1197,'PY1 TFR ADA'!$F:$AU,MATCH("C-1",'PY1 TFR ADA'!$F$5:$AU$5,0),FALSE)=TRUE,"Alternative Rate","LCFF Rate"),"LCFF Rate"),0)</f>
        <v>0</v>
      </c>
      <c r="R1206" s="167"/>
      <c r="S1206" s="520"/>
      <c r="T1206" s="167"/>
      <c r="U1206" s="528"/>
      <c r="V1206" s="522"/>
      <c r="X1206" s="283"/>
    </row>
    <row r="1207" spans="1:24" s="8" customFormat="1" ht="8.25" customHeight="1">
      <c r="A1207" s="521"/>
      <c r="B1207" s="167"/>
      <c r="C1207" s="165"/>
      <c r="D1207" s="523"/>
      <c r="E1207" s="165"/>
      <c r="F1207" s="523"/>
      <c r="G1207" s="520"/>
      <c r="H1207" s="523"/>
      <c r="I1207" s="520"/>
      <c r="J1207" s="523"/>
      <c r="K1207" s="520"/>
      <c r="L1207" s="523"/>
      <c r="M1207" s="520"/>
      <c r="N1207" s="523"/>
      <c r="O1207" s="520"/>
      <c r="P1207" s="523"/>
      <c r="Q1207" s="520"/>
      <c r="R1207" s="167"/>
      <c r="S1207" s="520"/>
      <c r="T1207" s="167"/>
      <c r="U1207" s="528"/>
      <c r="V1207" s="522"/>
      <c r="X1207" s="4"/>
    </row>
    <row r="1208" spans="1:24" s="8" customFormat="1" ht="16.8">
      <c r="A1208" s="521"/>
      <c r="B1208" s="2"/>
      <c r="F1208" s="523"/>
      <c r="G1208" s="535">
        <f t="shared" ref="G1208" si="1811">IF(G1206="LCFF Rate",(G1199*C1199+G1200*C1200+G1201*C1201+G1202*C1202),(G1204*E1202))</f>
        <v>0</v>
      </c>
      <c r="H1208" s="537"/>
      <c r="I1208" s="535">
        <f t="shared" ref="I1208" si="1812">IF(I1206="LCFF Rate",(I1199*C1199+I1200*C1200+I1201*C1201+I1202*C1202),(I1204*E1202))</f>
        <v>0</v>
      </c>
      <c r="J1208" s="537"/>
      <c r="K1208" s="535">
        <f t="shared" ref="K1208" si="1813">IF(K1206="LCFF Rate",(K1199*C1199+K1200*C1200+K1201*C1201+K1202*C1202),(K1204*E1202))</f>
        <v>0</v>
      </c>
      <c r="L1208" s="537"/>
      <c r="M1208" s="535">
        <f t="shared" ref="M1208" si="1814">IF(M1206="LCFF Rate",(M1199*C1199+M1200*C1200+M1201*C1201+M1202*C1202),(M1204*E1202))</f>
        <v>0</v>
      </c>
      <c r="N1208" s="537"/>
      <c r="O1208" s="535">
        <f t="shared" ref="O1208" si="1815">IF(O1206="LCFF Rate",(O1199*C1199+O1200*C1200+O1201*C1201+O1202*C1202),(O1204*E1202))</f>
        <v>0</v>
      </c>
      <c r="P1208" s="537"/>
      <c r="Q1208" s="535">
        <f t="shared" ref="Q1208" si="1816">IF(Q1206="LCFF Rate",(Q1199*C1199+Q1200*C1200+Q1201*C1201+Q1202*C1202),(Q1204*E1202))</f>
        <v>0</v>
      </c>
      <c r="R1208" s="167"/>
      <c r="S1208" s="538">
        <f t="shared" ref="S1208" si="1817">SUM(G1208:Q1208)</f>
        <v>0</v>
      </c>
      <c r="T1208" s="167"/>
      <c r="U1208" s="528"/>
      <c r="V1208" s="522"/>
      <c r="X1208" s="979"/>
    </row>
    <row r="1209" spans="1:24" s="8" customFormat="1" ht="9" customHeight="1" thickBot="1">
      <c r="A1209" s="529"/>
      <c r="B1209" s="530"/>
      <c r="C1209" s="531"/>
      <c r="D1209" s="532"/>
      <c r="E1209" s="533"/>
      <c r="F1209" s="532"/>
      <c r="G1209" s="530"/>
      <c r="H1209" s="532"/>
      <c r="I1209" s="530"/>
      <c r="J1209" s="532"/>
      <c r="K1209" s="530"/>
      <c r="L1209" s="532"/>
      <c r="M1209" s="530"/>
      <c r="N1209" s="532"/>
      <c r="O1209" s="530"/>
      <c r="P1209" s="532"/>
      <c r="Q1209" s="530"/>
      <c r="R1209" s="532"/>
      <c r="S1209" s="530"/>
      <c r="T1209" s="532"/>
      <c r="U1209" s="532"/>
      <c r="V1209" s="534"/>
      <c r="X1209" s="4"/>
    </row>
    <row r="1210" spans="1:24" s="82" customFormat="1" ht="18" customHeight="1" thickBot="1">
      <c r="A1210" s="890">
        <f>+A1197+1</f>
        <v>93</v>
      </c>
      <c r="B1210" s="891" t="str">
        <f>'Data Entry'!$B$3&amp;"-"&amp;C1210</f>
        <v>-</v>
      </c>
      <c r="C1210" s="891" t="str">
        <f>IFERROR(VLOOKUP('Data Entry'!$B$3&amp;"-"&amp;A1210,'PY1 TFR ADA'!$D:$AT,2,FALSE),"")</f>
        <v/>
      </c>
      <c r="D1210" s="892" t="str">
        <f>IFERROR(VLOOKUP('Data Entry'!$B$3&amp;"-"&amp;A1210,'PY1 TFR ADA'!$D:$AT,4,FALSE),"")</f>
        <v/>
      </c>
      <c r="E1210" s="893"/>
      <c r="F1210" s="893"/>
      <c r="G1210" s="893"/>
      <c r="H1210" s="893"/>
      <c r="I1210" s="893"/>
      <c r="J1210" s="893"/>
      <c r="K1210" s="893"/>
      <c r="L1210" s="893"/>
      <c r="M1210" s="893"/>
      <c r="N1210" s="893"/>
      <c r="O1210" s="893"/>
      <c r="P1210" s="893"/>
      <c r="Q1210" s="893"/>
      <c r="R1210" s="893"/>
      <c r="S1210" s="893"/>
      <c r="T1210" s="893"/>
      <c r="U1210" s="893"/>
      <c r="V1210" s="894"/>
      <c r="X1210" s="83"/>
    </row>
    <row r="1211" spans="1:24" ht="75" customHeight="1">
      <c r="A1211" s="521"/>
      <c r="C1211" s="540" t="s">
        <v>1315</v>
      </c>
      <c r="D1211" s="512"/>
      <c r="E1211" s="540" t="s">
        <v>1316</v>
      </c>
      <c r="F1211" s="512"/>
      <c r="G1211" s="540" t="s">
        <v>1309</v>
      </c>
      <c r="H1211" s="512"/>
      <c r="I1211" s="540" t="s">
        <v>1310</v>
      </c>
      <c r="J1211" s="512"/>
      <c r="K1211" s="540" t="s">
        <v>1311</v>
      </c>
      <c r="L1211" s="512"/>
      <c r="M1211" s="540" t="s">
        <v>1312</v>
      </c>
      <c r="N1211" s="512"/>
      <c r="O1211" s="540" t="s">
        <v>1313</v>
      </c>
      <c r="P1211" s="512"/>
      <c r="Q1211" s="540" t="s">
        <v>1314</v>
      </c>
      <c r="R1211" s="167"/>
      <c r="S1211" s="540" t="s">
        <v>1308</v>
      </c>
      <c r="T1211" s="167"/>
      <c r="U1211" s="512" t="s">
        <v>1307</v>
      </c>
      <c r="V1211" s="524"/>
      <c r="X1211" s="283"/>
    </row>
    <row r="1212" spans="1:24" s="8" customFormat="1" ht="14.4">
      <c r="A1212" s="521"/>
      <c r="B1212" s="510" t="s">
        <v>94</v>
      </c>
      <c r="C1212" s="525">
        <f>IFERROR(VLOOKUP($B1210,'PY1 TFR ADA'!$F:$AU,MATCH("A-1.1",'PY1 TFR ADA'!$F$5:$AU$5,0),FALSE),0)</f>
        <v>0</v>
      </c>
      <c r="D1212" s="167"/>
      <c r="E1212" s="525">
        <f>IFERROR(VALUE(VLOOKUP($B1210,'PY1 TFR ADA'!$F:$AU,MATCH("A-2.1",'PY1 TFR ADA'!$F$5:$AU$5,0),FALSE)),0)</f>
        <v>0</v>
      </c>
      <c r="F1212" s="167"/>
      <c r="G1212" s="609">
        <f>IFERROR(VLOOKUP($B1210,'PY1 TFR ADA'!$F:$AU,MATCH("b-1.1",'PY1 TFR ADA'!$F$5:$AU$5,0),FALSE),0)</f>
        <v>0</v>
      </c>
      <c r="H1212" s="527"/>
      <c r="I1212" s="609">
        <f>IFERROR(VLOOKUP($B1210,'PY1 TFR ADA'!$F:$AU,MATCH("b-2.1",'PY1 TFR ADA'!$F$5:$AU$5,0),FALSE),0)</f>
        <v>0</v>
      </c>
      <c r="J1212" s="527"/>
      <c r="K1212" s="609">
        <f>IFERROR(VLOOKUP($B1210,'PY1 TFR ADA'!$F:$AU,MATCH("b-3.1",'PY1 TFR ADA'!$F$5:$AU$5,0),FALSE),0)</f>
        <v>0</v>
      </c>
      <c r="L1212" s="527"/>
      <c r="M1212" s="609">
        <f>IFERROR(VLOOKUP($B1210,'PY1 TFR ADA'!$F:$AU,MATCH("b-4.1",'PY1 TFR ADA'!$F$5:$AU$5,0),FALSE),0)</f>
        <v>0</v>
      </c>
      <c r="N1212" s="527"/>
      <c r="O1212" s="609">
        <f>IFERROR(VLOOKUP($B1210,'PY1 TFR ADA'!$F:$AU,MATCH("b-5.1",'PY1 TFR ADA'!$F$5:$AU$5,0),FALSE),0)</f>
        <v>0</v>
      </c>
      <c r="P1212" s="527"/>
      <c r="Q1212" s="609">
        <f>IFERROR(VLOOKUP($B1210,'PY1 TFR ADA'!$F:$AU,MATCH("b-6.1",'PY1 TFR ADA'!$F$5:$AU$5,0),FALSE),0)</f>
        <v>0</v>
      </c>
      <c r="R1212" s="551"/>
      <c r="S1212" s="601">
        <f t="shared" ref="S1212:S1215" si="1818">SUM(G1212:Q1212)</f>
        <v>0</v>
      </c>
      <c r="T1212" s="551"/>
      <c r="U1212" s="536">
        <f t="shared" ref="U1212" si="1819">ROUND(IF($G1219="LCFF Rate",(G1212*$C1212),(G1212*$E1212))+IF($I1219="LCFF Rate",(I1212*$C1212),(I1212*$E1212))+IF($K1219="LCFF Rate",(K1212*$C1212),(K1212*$E1212))+IF($M1219="LCFF Rate",(M1212*$C1212),(M1212*$E1212))+IF($O1219="LCFF Rate",(O1212*$C1212),(O1212*$E1212))+IF($Q1219="LCFF Rate",(Q1212*$C1212),(Q1212*$E1212)),0)</f>
        <v>0</v>
      </c>
      <c r="V1212" s="524"/>
      <c r="X1212" s="496"/>
    </row>
    <row r="1213" spans="1:24" s="8" customFormat="1" ht="14.4">
      <c r="A1213" s="521"/>
      <c r="B1213" s="510" t="s">
        <v>2</v>
      </c>
      <c r="C1213" s="525">
        <f>IFERROR(VLOOKUP($B1210,'PY1 TFR ADA'!$F:$AU,MATCH("A-1.2",'PY1 TFR ADA'!$F$5:$AU$5,0),FALSE),0)</f>
        <v>0</v>
      </c>
      <c r="D1213" s="167"/>
      <c r="E1213" s="525">
        <f>IFERROR(VALUE(VLOOKUP($B1210,'PY1 TFR ADA'!$F:$AU,MATCH("A-2.2",'PY1 TFR ADA'!$F$5:$AU$5,0),FALSE)),0)</f>
        <v>0</v>
      </c>
      <c r="F1213" s="167"/>
      <c r="G1213" s="609">
        <f>IFERROR(VLOOKUP($B1210,'PY1 TFR ADA'!$F:$AU,MATCH("b-1.2",'PY1 TFR ADA'!$F$5:$AU$5,0),FALSE),0)</f>
        <v>0</v>
      </c>
      <c r="H1213" s="527"/>
      <c r="I1213" s="609">
        <f>IFERROR(VLOOKUP($B1210,'PY1 TFR ADA'!$F:$AU,MATCH("b-2.2",'PY1 TFR ADA'!$F$5:$AU$5,0),FALSE),0)</f>
        <v>0</v>
      </c>
      <c r="J1213" s="527"/>
      <c r="K1213" s="609">
        <f>IFERROR(VLOOKUP($B1210,'PY1 TFR ADA'!$F:$AU,MATCH("b-3.2",'PY1 TFR ADA'!$F$5:$AU$5,0),FALSE),0)</f>
        <v>0</v>
      </c>
      <c r="L1213" s="527"/>
      <c r="M1213" s="609">
        <f>IFERROR(VLOOKUP($B1210,'PY1 TFR ADA'!$F:$AU,MATCH("b-4.2",'PY1 TFR ADA'!$F$5:$AU$5,0),FALSE),0)</f>
        <v>0</v>
      </c>
      <c r="N1213" s="527"/>
      <c r="O1213" s="609">
        <f>IFERROR(VLOOKUP($B1210,'PY1 TFR ADA'!$F:$AU,MATCH("b-5.2",'PY1 TFR ADA'!$F$5:$AU$5,0),FALSE),0)</f>
        <v>0</v>
      </c>
      <c r="P1213" s="527"/>
      <c r="Q1213" s="609">
        <f>IFERROR(VLOOKUP($B1210,'PY1 TFR ADA'!$F:$AU,MATCH("b-6.2",'PY1 TFR ADA'!$F$5:$AU$5,0),FALSE),0)</f>
        <v>0</v>
      </c>
      <c r="R1213" s="551"/>
      <c r="S1213" s="601">
        <f t="shared" si="1818"/>
        <v>0</v>
      </c>
      <c r="T1213" s="551"/>
      <c r="U1213" s="536">
        <f t="shared" ref="U1213" si="1820">ROUND(IF($G1219="LCFF Rate",(G1213*$C1213),(G1213*$E1213))+IF($I1219="LCFF Rate",(I1213*$C1213),(I1213*$E1213))+IF($K1219="LCFF Rate",(K1213*$C1213),(K1213*$E1213))+IF($M1219="LCFF Rate",(M1213*$C1213),(M1213*$E1213))+IF($O1219="LCFF Rate",(O1213*$C1213),(O1213*$E1213))+IF($Q1219="LCFF Rate",(Q1213*$C1213),(Q1213*$E1213)),0)</f>
        <v>0</v>
      </c>
      <c r="V1213" s="524"/>
      <c r="X1213" s="4"/>
    </row>
    <row r="1214" spans="1:24" s="8" customFormat="1" ht="14.4">
      <c r="A1214" s="521"/>
      <c r="B1214" s="510" t="s">
        <v>3</v>
      </c>
      <c r="C1214" s="525">
        <f>IFERROR(VLOOKUP($B1210,'PY1 TFR ADA'!$F:$AU,MATCH("A-1.3",'PY1 TFR ADA'!$F$5:$AU$5,0),FALSE),0)</f>
        <v>0</v>
      </c>
      <c r="D1214" s="167"/>
      <c r="E1214" s="525">
        <f>IFERROR(VALUE(VLOOKUP($B1210,'PY1 TFR ADA'!$F:$AU,MATCH("A-2.3",'PY1 TFR ADA'!$F$5:$AU$5,0),FALSE)),0)</f>
        <v>0</v>
      </c>
      <c r="F1214" s="167"/>
      <c r="G1214" s="609">
        <f>IFERROR(VLOOKUP($B1210,'PY1 TFR ADA'!$F:$AU,MATCH("b-1.3",'PY1 TFR ADA'!$F$5:$AU$5,0),FALSE),0)</f>
        <v>0</v>
      </c>
      <c r="H1214" s="527"/>
      <c r="I1214" s="609">
        <f>IFERROR(VLOOKUP($B1210,'PY1 TFR ADA'!$F:$AU,MATCH("b-2.3",'PY1 TFR ADA'!$F$5:$AU$5,0),FALSE),0)</f>
        <v>0</v>
      </c>
      <c r="J1214" s="527"/>
      <c r="K1214" s="609">
        <f>IFERROR(VLOOKUP($B1210,'PY1 TFR ADA'!$F:$AU,MATCH("b-3.3",'PY1 TFR ADA'!$F$5:$AU$5,0),FALSE),0)</f>
        <v>0</v>
      </c>
      <c r="L1214" s="527"/>
      <c r="M1214" s="609">
        <f>IFERROR(VLOOKUP($B1210,'PY1 TFR ADA'!$F:$AU,MATCH("b-4.3",'PY1 TFR ADA'!$F$5:$AU$5,0),FALSE),0)</f>
        <v>0</v>
      </c>
      <c r="N1214" s="527"/>
      <c r="O1214" s="609">
        <f>IFERROR(VLOOKUP($B1210,'PY1 TFR ADA'!$F:$AU,MATCH("b-5.3",'PY1 TFR ADA'!$F$5:$AU$5,0),FALSE),0)</f>
        <v>0</v>
      </c>
      <c r="P1214" s="527"/>
      <c r="Q1214" s="609">
        <f>IFERROR(VLOOKUP($B1210,'PY1 TFR ADA'!$F:$AU,MATCH("b-6.3",'PY1 TFR ADA'!$F$5:$AU$5,0),FALSE),0)</f>
        <v>0</v>
      </c>
      <c r="R1214" s="551"/>
      <c r="S1214" s="601">
        <f t="shared" si="1818"/>
        <v>0</v>
      </c>
      <c r="T1214" s="551"/>
      <c r="U1214" s="536">
        <f t="shared" ref="U1214" si="1821">ROUND(IF($G1219="LCFF Rate",(G1214*$C1214),(G1214*$E1214))+IF($I1219="LCFF Rate",(I1214*$C1214),(I1214*$E1214))+IF($K1219="LCFF Rate",(K1214*$C1214),(K1214*$E1214))+IF($M1219="LCFF Rate",(M1214*$C1214),(M1214*$E1214))+IF($O1219="LCFF Rate",(O1214*$C1214),(O1214*$E1214))+IF($Q1219="LCFF Rate",(Q1214*$C1214),(Q1214*$E1214)),0)</f>
        <v>0</v>
      </c>
      <c r="V1214" s="524"/>
      <c r="X1214" s="4"/>
    </row>
    <row r="1215" spans="1:24" s="8" customFormat="1" ht="14.4">
      <c r="A1215" s="526"/>
      <c r="B1215" s="510" t="s">
        <v>4</v>
      </c>
      <c r="C1215" s="525">
        <f>IFERROR(VLOOKUP($B1210,'PY1 TFR ADA'!$F:$AU,MATCH("A-1.4",'PY1 TFR ADA'!$F$5:$AU$5,0),FALSE),0)</f>
        <v>0</v>
      </c>
      <c r="D1215" s="523"/>
      <c r="E1215" s="525">
        <f>IFERROR(VALUE(VLOOKUP($B1210,'PY1 TFR ADA'!$F:$AU,MATCH("A-2.4",'PY1 TFR ADA'!$F$5:$AU$5,0),FALSE)),0)</f>
        <v>0</v>
      </c>
      <c r="F1215" s="523"/>
      <c r="G1215" s="609">
        <f>IFERROR(VLOOKUP($B1210,'PY1 TFR ADA'!$F:$AU,MATCH("b-1.4",'PY1 TFR ADA'!$F$5:$AU$5,0),FALSE),0)</f>
        <v>0</v>
      </c>
      <c r="H1215" s="527"/>
      <c r="I1215" s="609">
        <f>IFERROR(VLOOKUP($B1210,'PY1 TFR ADA'!$F:$AU,MATCH("b-2.4",'PY1 TFR ADA'!$F$5:$AU$5,0),FALSE),0)</f>
        <v>0</v>
      </c>
      <c r="J1215" s="527"/>
      <c r="K1215" s="609">
        <f>IFERROR(VLOOKUP($B1210,'PY1 TFR ADA'!$F:$AU,MATCH("b-3.4",'PY1 TFR ADA'!$F$5:$AU$5,0),FALSE),0)</f>
        <v>0</v>
      </c>
      <c r="L1215" s="527"/>
      <c r="M1215" s="609">
        <f>IFERROR(VLOOKUP($B1210,'PY1 TFR ADA'!$F:$AU,MATCH("b-4.4",'PY1 TFR ADA'!$F$5:$AU$5,0),FALSE),0)</f>
        <v>0</v>
      </c>
      <c r="N1215" s="527"/>
      <c r="O1215" s="609">
        <f>IFERROR(VLOOKUP($B1210,'PY1 TFR ADA'!$F:$AU,MATCH("b-5.4",'PY1 TFR ADA'!$F$5:$AU$5,0),FALSE),0)</f>
        <v>0</v>
      </c>
      <c r="P1215" s="527"/>
      <c r="Q1215" s="609">
        <f>IFERROR(VLOOKUP($B1210,'PY1 TFR ADA'!$F:$AU,MATCH("b-6.4",'PY1 TFR ADA'!$F$5:$AU$5,0),FALSE),0)</f>
        <v>0</v>
      </c>
      <c r="R1215" s="551"/>
      <c r="S1215" s="601">
        <f t="shared" si="1818"/>
        <v>0</v>
      </c>
      <c r="T1215" s="551"/>
      <c r="U1215" s="536">
        <f t="shared" ref="U1215" si="1822">ROUND(IF($G1219="LCFF Rate",(G1215*$C1215),(G1215*$E1215))+IF($I1219="LCFF Rate",(I1215*$C1215),(I1215*$E1215))+IF($K1219="LCFF Rate",(K1215*$C1215),(K1215*$E1215))+IF($M1219="LCFF Rate",(M1215*$C1215),(M1215*$E1215))+IF($O1219="LCFF Rate",(O1215*$C1215),(O1215*$E1215))+IF($Q1219="LCFF Rate",(Q1215*$C1215),(Q1215*$E1215)),0)</f>
        <v>0</v>
      </c>
      <c r="V1215" s="522"/>
      <c r="X1215" s="496"/>
    </row>
    <row r="1216" spans="1:24" s="8" customFormat="1" ht="8.25" customHeight="1">
      <c r="A1216" s="521"/>
      <c r="B1216" s="167"/>
      <c r="C1216" s="165"/>
      <c r="D1216" s="523"/>
      <c r="E1216" s="165"/>
      <c r="F1216" s="523"/>
      <c r="G1216" s="520"/>
      <c r="H1216" s="523"/>
      <c r="I1216" s="520"/>
      <c r="J1216" s="523"/>
      <c r="K1216" s="520"/>
      <c r="L1216" s="523"/>
      <c r="M1216" s="520"/>
      <c r="N1216" s="523"/>
      <c r="O1216" s="520"/>
      <c r="P1216" s="523"/>
      <c r="Q1216" s="520"/>
      <c r="R1216" s="167"/>
      <c r="S1216" s="520"/>
      <c r="T1216" s="167"/>
      <c r="U1216" s="602"/>
      <c r="V1216" s="522"/>
      <c r="X1216" s="4"/>
    </row>
    <row r="1217" spans="1:24" s="8" customFormat="1" ht="14.4">
      <c r="A1217" s="521"/>
      <c r="B1217" s="167"/>
      <c r="C1217" s="165"/>
      <c r="D1217" s="523"/>
      <c r="E1217" s="513" t="s">
        <v>1317</v>
      </c>
      <c r="F1217" s="523"/>
      <c r="G1217" s="601">
        <f t="shared" ref="G1217" si="1823">SUM(G1212:G1215)</f>
        <v>0</v>
      </c>
      <c r="H1217" s="527"/>
      <c r="I1217" s="601">
        <f t="shared" ref="I1217" si="1824">SUM(I1212:I1215)</f>
        <v>0</v>
      </c>
      <c r="J1217" s="527"/>
      <c r="K1217" s="601">
        <f t="shared" ref="K1217" si="1825">SUM(K1212:K1215)</f>
        <v>0</v>
      </c>
      <c r="L1217" s="527"/>
      <c r="M1217" s="601">
        <f t="shared" ref="M1217" si="1826">SUM(M1212:M1215)</f>
        <v>0</v>
      </c>
      <c r="N1217" s="527"/>
      <c r="O1217" s="601">
        <f t="shared" ref="O1217" si="1827">SUM(O1212:O1215)</f>
        <v>0</v>
      </c>
      <c r="P1217" s="527"/>
      <c r="Q1217" s="601">
        <f t="shared" ref="Q1217" si="1828">SUM(Q1212:Q1215)</f>
        <v>0</v>
      </c>
      <c r="R1217" s="527"/>
      <c r="S1217" s="601">
        <f t="shared" ref="S1217" si="1829">SUM(S1212:S1215)</f>
        <v>0</v>
      </c>
      <c r="T1217" s="527"/>
      <c r="U1217" s="536">
        <f t="shared" ref="U1217" si="1830">SUM(U1212:U1215)</f>
        <v>0</v>
      </c>
      <c r="V1217" s="522"/>
      <c r="X1217" s="4"/>
    </row>
    <row r="1218" spans="1:24" s="8" customFormat="1" ht="8.25" customHeight="1">
      <c r="A1218" s="521"/>
      <c r="B1218" s="167"/>
      <c r="C1218" s="165"/>
      <c r="D1218" s="523"/>
      <c r="E1218" s="165"/>
      <c r="F1218" s="523"/>
      <c r="G1218" s="520"/>
      <c r="H1218" s="523"/>
      <c r="I1218" s="520"/>
      <c r="J1218" s="523"/>
      <c r="K1218" s="520"/>
      <c r="L1218" s="523"/>
      <c r="M1218" s="520"/>
      <c r="N1218" s="523"/>
      <c r="O1218" s="520"/>
      <c r="P1218" s="523"/>
      <c r="Q1218" s="520"/>
      <c r="R1218" s="167"/>
      <c r="S1218" s="520"/>
      <c r="T1218" s="167"/>
      <c r="U1218" s="528"/>
      <c r="V1218" s="522"/>
      <c r="X1218" s="4"/>
    </row>
    <row r="1219" spans="1:24" s="8" customFormat="1" ht="16.5" customHeight="1">
      <c r="A1219" s="521"/>
      <c r="B1219" s="167"/>
      <c r="C1219" s="165"/>
      <c r="E1219" s="513" t="s">
        <v>1304</v>
      </c>
      <c r="F1219" s="523"/>
      <c r="G1219" s="977">
        <f>_xlfn.IFNA(IF(VLOOKUP($B1210,'PY1 TFR ADA'!$F:$AU,MATCH("B-1.5",'PY1 TFR ADA'!$F$5:$AU$5,0),FALSE)=TRUE,IF(VLOOKUP($B1210,'PY1 TFR ADA'!$F:$AU,MATCH("C-1",'PY1 TFR ADA'!$F$5:$AU$5,0),FALSE)=TRUE,"Alternative Rate","LCFF Rate"),"LCFF Rate"),0)</f>
        <v>0</v>
      </c>
      <c r="H1219" s="523"/>
      <c r="I1219" s="977">
        <f>_xlfn.IFNA(IF(VLOOKUP($B1210,'PY1 TFR ADA'!$F:$AU,MATCH("B-2.5",'PY1 TFR ADA'!$F$5:$AU$5,0),FALSE)=TRUE,IF(VLOOKUP($B1210,'PY1 TFR ADA'!$F:$AU,MATCH("C-1",'PY1 TFR ADA'!$F$5:$AU$5,0),FALSE)=TRUE,"Alternative Rate","LCFF Rate"),"LCFF Rate"),0)</f>
        <v>0</v>
      </c>
      <c r="J1219" s="523"/>
      <c r="K1219" s="977">
        <f>_xlfn.IFNA(IF(VLOOKUP($B1210,'PY1 TFR ADA'!$F:$AU,MATCH("B-3.5",'PY1 TFR ADA'!$F$5:$AU$5,0),FALSE)=TRUE,IF(VLOOKUP($B1210,'PY1 TFR ADA'!$F:$AU,MATCH("C-1",'PY1 TFR ADA'!$F$5:$AU$5,0),FALSE)=TRUE,"Alternative Rate","LCFF Rate"),"LCFF Rate"),0)</f>
        <v>0</v>
      </c>
      <c r="L1219" s="523"/>
      <c r="M1219" s="977">
        <f>_xlfn.IFNA(IF(VLOOKUP($B1210,'PY1 TFR ADA'!$F:$AU,MATCH("B-4.5",'PY1 TFR ADA'!$F$5:$AU$5,0),FALSE)=TRUE,IF(VLOOKUP($B1210,'PY1 TFR ADA'!$F:$AU,MATCH("C-1",'PY1 TFR ADA'!$F$5:$AU$5,0),FALSE)=TRUE,"Alternative Rate","LCFF Rate"),"LCFF Rate"),0)</f>
        <v>0</v>
      </c>
      <c r="N1219" s="523"/>
      <c r="O1219" s="977">
        <f>_xlfn.IFNA(IF(VLOOKUP($B1210,'PY1 TFR ADA'!$F:$AU,MATCH("B-5.5",'PY1 TFR ADA'!$F$5:$AU$5,0),FALSE)=TRUE,IF(VLOOKUP($B1210,'PY1 TFR ADA'!$F:$AU,MATCH("C-1",'PY1 TFR ADA'!$F$5:$AU$5,0),FALSE)=TRUE,"Alternative Rate","LCFF Rate"),"LCFF Rate"),0)</f>
        <v>0</v>
      </c>
      <c r="P1219" s="523"/>
      <c r="Q1219" s="977">
        <f>_xlfn.IFNA(IF(VLOOKUP($B1210,'PY1 TFR ADA'!$F:$AU,MATCH("B-6.5",'PY1 TFR ADA'!$F$5:$AU$5,0),FALSE)=TRUE,IF(VLOOKUP($B1210,'PY1 TFR ADA'!$F:$AU,MATCH("C-1",'PY1 TFR ADA'!$F$5:$AU$5,0),FALSE)=TRUE,"Alternative Rate","LCFF Rate"),"LCFF Rate"),0)</f>
        <v>0</v>
      </c>
      <c r="R1219" s="167"/>
      <c r="S1219" s="520"/>
      <c r="T1219" s="167"/>
      <c r="U1219" s="528"/>
      <c r="V1219" s="522"/>
      <c r="X1219" s="283"/>
    </row>
    <row r="1220" spans="1:24" s="8" customFormat="1" ht="8.25" customHeight="1">
      <c r="A1220" s="521"/>
      <c r="B1220" s="167"/>
      <c r="C1220" s="165"/>
      <c r="D1220" s="523"/>
      <c r="E1220" s="165"/>
      <c r="F1220" s="523"/>
      <c r="G1220" s="520"/>
      <c r="H1220" s="523"/>
      <c r="I1220" s="520"/>
      <c r="J1220" s="523"/>
      <c r="K1220" s="520"/>
      <c r="L1220" s="523"/>
      <c r="M1220" s="520"/>
      <c r="N1220" s="523"/>
      <c r="O1220" s="520"/>
      <c r="P1220" s="523"/>
      <c r="Q1220" s="520"/>
      <c r="R1220" s="167"/>
      <c r="S1220" s="520"/>
      <c r="T1220" s="167"/>
      <c r="U1220" s="528"/>
      <c r="V1220" s="522"/>
      <c r="X1220" s="4"/>
    </row>
    <row r="1221" spans="1:24" s="8" customFormat="1" ht="16.8">
      <c r="A1221" s="521"/>
      <c r="B1221" s="2"/>
      <c r="F1221" s="523"/>
      <c r="G1221" s="535">
        <f t="shared" ref="G1221" si="1831">IF(G1219="LCFF Rate",(G1212*C1212+G1213*C1213+G1214*C1214+G1215*C1215),(G1217*E1215))</f>
        <v>0</v>
      </c>
      <c r="H1221" s="537"/>
      <c r="I1221" s="535">
        <f t="shared" ref="I1221" si="1832">IF(I1219="LCFF Rate",(I1212*C1212+I1213*C1213+I1214*C1214+I1215*C1215),(I1217*E1215))</f>
        <v>0</v>
      </c>
      <c r="J1221" s="537"/>
      <c r="K1221" s="535">
        <f t="shared" ref="K1221" si="1833">IF(K1219="LCFF Rate",(K1212*C1212+K1213*C1213+K1214*C1214+K1215*C1215),(K1217*E1215))</f>
        <v>0</v>
      </c>
      <c r="L1221" s="537"/>
      <c r="M1221" s="535">
        <f t="shared" ref="M1221" si="1834">IF(M1219="LCFF Rate",(M1212*C1212+M1213*C1213+M1214*C1214+M1215*C1215),(M1217*E1215))</f>
        <v>0</v>
      </c>
      <c r="N1221" s="537"/>
      <c r="O1221" s="535">
        <f t="shared" ref="O1221" si="1835">IF(O1219="LCFF Rate",(O1212*C1212+O1213*C1213+O1214*C1214+O1215*C1215),(O1217*E1215))</f>
        <v>0</v>
      </c>
      <c r="P1221" s="537"/>
      <c r="Q1221" s="535">
        <f t="shared" ref="Q1221" si="1836">IF(Q1219="LCFF Rate",(Q1212*C1212+Q1213*C1213+Q1214*C1214+Q1215*C1215),(Q1217*E1215))</f>
        <v>0</v>
      </c>
      <c r="R1221" s="167"/>
      <c r="S1221" s="538">
        <f t="shared" ref="S1221" si="1837">SUM(G1221:Q1221)</f>
        <v>0</v>
      </c>
      <c r="T1221" s="167"/>
      <c r="U1221" s="528"/>
      <c r="V1221" s="522"/>
      <c r="X1221" s="979"/>
    </row>
    <row r="1222" spans="1:24" s="8" customFormat="1" ht="9" customHeight="1" thickBot="1">
      <c r="A1222" s="529"/>
      <c r="B1222" s="530"/>
      <c r="C1222" s="531"/>
      <c r="D1222" s="532"/>
      <c r="E1222" s="533"/>
      <c r="F1222" s="532"/>
      <c r="G1222" s="530"/>
      <c r="H1222" s="532"/>
      <c r="I1222" s="530"/>
      <c r="J1222" s="532"/>
      <c r="K1222" s="530"/>
      <c r="L1222" s="532"/>
      <c r="M1222" s="530"/>
      <c r="N1222" s="532"/>
      <c r="O1222" s="530"/>
      <c r="P1222" s="532"/>
      <c r="Q1222" s="530"/>
      <c r="R1222" s="532"/>
      <c r="S1222" s="530"/>
      <c r="T1222" s="532"/>
      <c r="U1222" s="532"/>
      <c r="V1222" s="534"/>
      <c r="X1222" s="4"/>
    </row>
    <row r="1223" spans="1:24" s="82" customFormat="1" ht="18" customHeight="1" thickBot="1">
      <c r="A1223" s="890">
        <f>+A1210+1</f>
        <v>94</v>
      </c>
      <c r="B1223" s="891" t="str">
        <f>'Data Entry'!$B$3&amp;"-"&amp;C1223</f>
        <v>-</v>
      </c>
      <c r="C1223" s="891" t="str">
        <f>IFERROR(VLOOKUP('Data Entry'!$B$3&amp;"-"&amp;A1223,'PY1 TFR ADA'!$D:$AT,2,FALSE),"")</f>
        <v/>
      </c>
      <c r="D1223" s="892" t="str">
        <f>IFERROR(VLOOKUP('Data Entry'!$B$3&amp;"-"&amp;A1223,'PY1 TFR ADA'!$D:$AT,4,FALSE),"")</f>
        <v/>
      </c>
      <c r="E1223" s="893"/>
      <c r="F1223" s="893"/>
      <c r="G1223" s="893"/>
      <c r="H1223" s="893"/>
      <c r="I1223" s="893"/>
      <c r="J1223" s="893"/>
      <c r="K1223" s="893"/>
      <c r="L1223" s="893"/>
      <c r="M1223" s="893"/>
      <c r="N1223" s="893"/>
      <c r="O1223" s="893"/>
      <c r="P1223" s="893"/>
      <c r="Q1223" s="893"/>
      <c r="R1223" s="893"/>
      <c r="S1223" s="893"/>
      <c r="T1223" s="893"/>
      <c r="U1223" s="893"/>
      <c r="V1223" s="894"/>
      <c r="X1223" s="83"/>
    </row>
    <row r="1224" spans="1:24" ht="75" customHeight="1">
      <c r="A1224" s="521"/>
      <c r="C1224" s="540" t="s">
        <v>1315</v>
      </c>
      <c r="D1224" s="512"/>
      <c r="E1224" s="540" t="s">
        <v>1316</v>
      </c>
      <c r="F1224" s="512"/>
      <c r="G1224" s="540" t="s">
        <v>1309</v>
      </c>
      <c r="H1224" s="512"/>
      <c r="I1224" s="540" t="s">
        <v>1310</v>
      </c>
      <c r="J1224" s="512"/>
      <c r="K1224" s="540" t="s">
        <v>1311</v>
      </c>
      <c r="L1224" s="512"/>
      <c r="M1224" s="540" t="s">
        <v>1312</v>
      </c>
      <c r="N1224" s="512"/>
      <c r="O1224" s="540" t="s">
        <v>1313</v>
      </c>
      <c r="P1224" s="512"/>
      <c r="Q1224" s="540" t="s">
        <v>1314</v>
      </c>
      <c r="R1224" s="167"/>
      <c r="S1224" s="540" t="s">
        <v>1308</v>
      </c>
      <c r="T1224" s="167"/>
      <c r="U1224" s="512" t="s">
        <v>1307</v>
      </c>
      <c r="V1224" s="524"/>
      <c r="X1224" s="283"/>
    </row>
    <row r="1225" spans="1:24" s="8" customFormat="1" ht="14.4">
      <c r="A1225" s="521"/>
      <c r="B1225" s="510" t="s">
        <v>94</v>
      </c>
      <c r="C1225" s="525">
        <f>IFERROR(VLOOKUP($B1223,'PY1 TFR ADA'!$F:$AU,MATCH("A-1.1",'PY1 TFR ADA'!$F$5:$AU$5,0),FALSE),0)</f>
        <v>0</v>
      </c>
      <c r="D1225" s="167"/>
      <c r="E1225" s="525">
        <f>IFERROR(VALUE(VLOOKUP($B1223,'PY1 TFR ADA'!$F:$AU,MATCH("A-2.1",'PY1 TFR ADA'!$F$5:$AU$5,0),FALSE)),0)</f>
        <v>0</v>
      </c>
      <c r="F1225" s="167"/>
      <c r="G1225" s="609">
        <f>IFERROR(VLOOKUP($B1223,'PY1 TFR ADA'!$F:$AU,MATCH("b-1.1",'PY1 TFR ADA'!$F$5:$AU$5,0),FALSE),0)</f>
        <v>0</v>
      </c>
      <c r="H1225" s="527"/>
      <c r="I1225" s="609">
        <f>IFERROR(VLOOKUP($B1223,'PY1 TFR ADA'!$F:$AU,MATCH("b-2.1",'PY1 TFR ADA'!$F$5:$AU$5,0),FALSE),0)</f>
        <v>0</v>
      </c>
      <c r="J1225" s="527"/>
      <c r="K1225" s="609">
        <f>IFERROR(VLOOKUP($B1223,'PY1 TFR ADA'!$F:$AU,MATCH("b-3.1",'PY1 TFR ADA'!$F$5:$AU$5,0),FALSE),0)</f>
        <v>0</v>
      </c>
      <c r="L1225" s="527"/>
      <c r="M1225" s="609">
        <f>IFERROR(VLOOKUP($B1223,'PY1 TFR ADA'!$F:$AU,MATCH("b-4.1",'PY1 TFR ADA'!$F$5:$AU$5,0),FALSE),0)</f>
        <v>0</v>
      </c>
      <c r="N1225" s="527"/>
      <c r="O1225" s="609">
        <f>IFERROR(VLOOKUP($B1223,'PY1 TFR ADA'!$F:$AU,MATCH("b-5.1",'PY1 TFR ADA'!$F$5:$AU$5,0),FALSE),0)</f>
        <v>0</v>
      </c>
      <c r="P1225" s="527"/>
      <c r="Q1225" s="609">
        <f>IFERROR(VLOOKUP($B1223,'PY1 TFR ADA'!$F:$AU,MATCH("b-6.1",'PY1 TFR ADA'!$F$5:$AU$5,0),FALSE),0)</f>
        <v>0</v>
      </c>
      <c r="R1225" s="551"/>
      <c r="S1225" s="601">
        <f t="shared" ref="S1225:S1228" si="1838">SUM(G1225:Q1225)</f>
        <v>0</v>
      </c>
      <c r="T1225" s="551"/>
      <c r="U1225" s="536">
        <f t="shared" ref="U1225" si="1839">ROUND(IF($G1232="LCFF Rate",(G1225*$C1225),(G1225*$E1225))+IF($I1232="LCFF Rate",(I1225*$C1225),(I1225*$E1225))+IF($K1232="LCFF Rate",(K1225*$C1225),(K1225*$E1225))+IF($M1232="LCFF Rate",(M1225*$C1225),(M1225*$E1225))+IF($O1232="LCFF Rate",(O1225*$C1225),(O1225*$E1225))+IF($Q1232="LCFF Rate",(Q1225*$C1225),(Q1225*$E1225)),0)</f>
        <v>0</v>
      </c>
      <c r="V1225" s="524"/>
      <c r="X1225" s="496"/>
    </row>
    <row r="1226" spans="1:24" s="8" customFormat="1" ht="14.4">
      <c r="A1226" s="521"/>
      <c r="B1226" s="510" t="s">
        <v>2</v>
      </c>
      <c r="C1226" s="525">
        <f>IFERROR(VLOOKUP($B1223,'PY1 TFR ADA'!$F:$AU,MATCH("A-1.2",'PY1 TFR ADA'!$F$5:$AU$5,0),FALSE),0)</f>
        <v>0</v>
      </c>
      <c r="D1226" s="167"/>
      <c r="E1226" s="525">
        <f>IFERROR(VALUE(VLOOKUP($B1223,'PY1 TFR ADA'!$F:$AU,MATCH("A-2.2",'PY1 TFR ADA'!$F$5:$AU$5,0),FALSE)),0)</f>
        <v>0</v>
      </c>
      <c r="F1226" s="167"/>
      <c r="G1226" s="609">
        <f>IFERROR(VLOOKUP($B1223,'PY1 TFR ADA'!$F:$AU,MATCH("b-1.2",'PY1 TFR ADA'!$F$5:$AU$5,0),FALSE),0)</f>
        <v>0</v>
      </c>
      <c r="H1226" s="527"/>
      <c r="I1226" s="609">
        <f>IFERROR(VLOOKUP($B1223,'PY1 TFR ADA'!$F:$AU,MATCH("b-2.2",'PY1 TFR ADA'!$F$5:$AU$5,0),FALSE),0)</f>
        <v>0</v>
      </c>
      <c r="J1226" s="527"/>
      <c r="K1226" s="609">
        <f>IFERROR(VLOOKUP($B1223,'PY1 TFR ADA'!$F:$AU,MATCH("b-3.2",'PY1 TFR ADA'!$F$5:$AU$5,0),FALSE),0)</f>
        <v>0</v>
      </c>
      <c r="L1226" s="527"/>
      <c r="M1226" s="609">
        <f>IFERROR(VLOOKUP($B1223,'PY1 TFR ADA'!$F:$AU,MATCH("b-4.2",'PY1 TFR ADA'!$F$5:$AU$5,0),FALSE),0)</f>
        <v>0</v>
      </c>
      <c r="N1226" s="527"/>
      <c r="O1226" s="609">
        <f>IFERROR(VLOOKUP($B1223,'PY1 TFR ADA'!$F:$AU,MATCH("b-5.2",'PY1 TFR ADA'!$F$5:$AU$5,0),FALSE),0)</f>
        <v>0</v>
      </c>
      <c r="P1226" s="527"/>
      <c r="Q1226" s="609">
        <f>IFERROR(VLOOKUP($B1223,'PY1 TFR ADA'!$F:$AU,MATCH("b-6.2",'PY1 TFR ADA'!$F$5:$AU$5,0),FALSE),0)</f>
        <v>0</v>
      </c>
      <c r="R1226" s="551"/>
      <c r="S1226" s="601">
        <f t="shared" si="1838"/>
        <v>0</v>
      </c>
      <c r="T1226" s="551"/>
      <c r="U1226" s="536">
        <f t="shared" ref="U1226" si="1840">ROUND(IF($G1232="LCFF Rate",(G1226*$C1226),(G1226*$E1226))+IF($I1232="LCFF Rate",(I1226*$C1226),(I1226*$E1226))+IF($K1232="LCFF Rate",(K1226*$C1226),(K1226*$E1226))+IF($M1232="LCFF Rate",(M1226*$C1226),(M1226*$E1226))+IF($O1232="LCFF Rate",(O1226*$C1226),(O1226*$E1226))+IF($Q1232="LCFF Rate",(Q1226*$C1226),(Q1226*$E1226)),0)</f>
        <v>0</v>
      </c>
      <c r="V1226" s="524"/>
      <c r="X1226" s="4"/>
    </row>
    <row r="1227" spans="1:24" s="8" customFormat="1" ht="14.4">
      <c r="A1227" s="521"/>
      <c r="B1227" s="510" t="s">
        <v>3</v>
      </c>
      <c r="C1227" s="525">
        <f>IFERROR(VLOOKUP($B1223,'PY1 TFR ADA'!$F:$AU,MATCH("A-1.3",'PY1 TFR ADA'!$F$5:$AU$5,0),FALSE),0)</f>
        <v>0</v>
      </c>
      <c r="D1227" s="167"/>
      <c r="E1227" s="525">
        <f>IFERROR(VALUE(VLOOKUP($B1223,'PY1 TFR ADA'!$F:$AU,MATCH("A-2.3",'PY1 TFR ADA'!$F$5:$AU$5,0),FALSE)),0)</f>
        <v>0</v>
      </c>
      <c r="F1227" s="167"/>
      <c r="G1227" s="609">
        <f>IFERROR(VLOOKUP($B1223,'PY1 TFR ADA'!$F:$AU,MATCH("b-1.3",'PY1 TFR ADA'!$F$5:$AU$5,0),FALSE),0)</f>
        <v>0</v>
      </c>
      <c r="H1227" s="527"/>
      <c r="I1227" s="609">
        <f>IFERROR(VLOOKUP($B1223,'PY1 TFR ADA'!$F:$AU,MATCH("b-2.3",'PY1 TFR ADA'!$F$5:$AU$5,0),FALSE),0)</f>
        <v>0</v>
      </c>
      <c r="J1227" s="527"/>
      <c r="K1227" s="609">
        <f>IFERROR(VLOOKUP($B1223,'PY1 TFR ADA'!$F:$AU,MATCH("b-3.3",'PY1 TFR ADA'!$F$5:$AU$5,0),FALSE),0)</f>
        <v>0</v>
      </c>
      <c r="L1227" s="527"/>
      <c r="M1227" s="609">
        <f>IFERROR(VLOOKUP($B1223,'PY1 TFR ADA'!$F:$AU,MATCH("b-4.3",'PY1 TFR ADA'!$F$5:$AU$5,0),FALSE),0)</f>
        <v>0</v>
      </c>
      <c r="N1227" s="527"/>
      <c r="O1227" s="609">
        <f>IFERROR(VLOOKUP($B1223,'PY1 TFR ADA'!$F:$AU,MATCH("b-5.3",'PY1 TFR ADA'!$F$5:$AU$5,0),FALSE),0)</f>
        <v>0</v>
      </c>
      <c r="P1227" s="527"/>
      <c r="Q1227" s="609">
        <f>IFERROR(VLOOKUP($B1223,'PY1 TFR ADA'!$F:$AU,MATCH("b-6.3",'PY1 TFR ADA'!$F$5:$AU$5,0),FALSE),0)</f>
        <v>0</v>
      </c>
      <c r="R1227" s="551"/>
      <c r="S1227" s="601">
        <f t="shared" si="1838"/>
        <v>0</v>
      </c>
      <c r="T1227" s="551"/>
      <c r="U1227" s="536">
        <f t="shared" ref="U1227" si="1841">ROUND(IF($G1232="LCFF Rate",(G1227*$C1227),(G1227*$E1227))+IF($I1232="LCFF Rate",(I1227*$C1227),(I1227*$E1227))+IF($K1232="LCFF Rate",(K1227*$C1227),(K1227*$E1227))+IF($M1232="LCFF Rate",(M1227*$C1227),(M1227*$E1227))+IF($O1232="LCFF Rate",(O1227*$C1227),(O1227*$E1227))+IF($Q1232="LCFF Rate",(Q1227*$C1227),(Q1227*$E1227)),0)</f>
        <v>0</v>
      </c>
      <c r="V1227" s="524"/>
      <c r="X1227" s="4"/>
    </row>
    <row r="1228" spans="1:24" s="8" customFormat="1" ht="14.4">
      <c r="A1228" s="526"/>
      <c r="B1228" s="510" t="s">
        <v>4</v>
      </c>
      <c r="C1228" s="525">
        <f>IFERROR(VLOOKUP($B1223,'PY1 TFR ADA'!$F:$AU,MATCH("A-1.4",'PY1 TFR ADA'!$F$5:$AU$5,0),FALSE),0)</f>
        <v>0</v>
      </c>
      <c r="D1228" s="523"/>
      <c r="E1228" s="525">
        <f>IFERROR(VALUE(VLOOKUP($B1223,'PY1 TFR ADA'!$F:$AU,MATCH("A-2.4",'PY1 TFR ADA'!$F$5:$AU$5,0),FALSE)),0)</f>
        <v>0</v>
      </c>
      <c r="F1228" s="523"/>
      <c r="G1228" s="609">
        <f>IFERROR(VLOOKUP($B1223,'PY1 TFR ADA'!$F:$AU,MATCH("b-1.4",'PY1 TFR ADA'!$F$5:$AU$5,0),FALSE),0)</f>
        <v>0</v>
      </c>
      <c r="H1228" s="527"/>
      <c r="I1228" s="609">
        <f>IFERROR(VLOOKUP($B1223,'PY1 TFR ADA'!$F:$AU,MATCH("b-2.4",'PY1 TFR ADA'!$F$5:$AU$5,0),FALSE),0)</f>
        <v>0</v>
      </c>
      <c r="J1228" s="527"/>
      <c r="K1228" s="609">
        <f>IFERROR(VLOOKUP($B1223,'PY1 TFR ADA'!$F:$AU,MATCH("b-3.4",'PY1 TFR ADA'!$F$5:$AU$5,0),FALSE),0)</f>
        <v>0</v>
      </c>
      <c r="L1228" s="527"/>
      <c r="M1228" s="609">
        <f>IFERROR(VLOOKUP($B1223,'PY1 TFR ADA'!$F:$AU,MATCH("b-4.4",'PY1 TFR ADA'!$F$5:$AU$5,0),FALSE),0)</f>
        <v>0</v>
      </c>
      <c r="N1228" s="527"/>
      <c r="O1228" s="609">
        <f>IFERROR(VLOOKUP($B1223,'PY1 TFR ADA'!$F:$AU,MATCH("b-5.4",'PY1 TFR ADA'!$F$5:$AU$5,0),FALSE),0)</f>
        <v>0</v>
      </c>
      <c r="P1228" s="527"/>
      <c r="Q1228" s="609">
        <f>IFERROR(VLOOKUP($B1223,'PY1 TFR ADA'!$F:$AU,MATCH("b-6.4",'PY1 TFR ADA'!$F$5:$AU$5,0),FALSE),0)</f>
        <v>0</v>
      </c>
      <c r="R1228" s="551"/>
      <c r="S1228" s="601">
        <f t="shared" si="1838"/>
        <v>0</v>
      </c>
      <c r="T1228" s="551"/>
      <c r="U1228" s="536">
        <f t="shared" ref="U1228" si="1842">ROUND(IF($G1232="LCFF Rate",(G1228*$C1228),(G1228*$E1228))+IF($I1232="LCFF Rate",(I1228*$C1228),(I1228*$E1228))+IF($K1232="LCFF Rate",(K1228*$C1228),(K1228*$E1228))+IF($M1232="LCFF Rate",(M1228*$C1228),(M1228*$E1228))+IF($O1232="LCFF Rate",(O1228*$C1228),(O1228*$E1228))+IF($Q1232="LCFF Rate",(Q1228*$C1228),(Q1228*$E1228)),0)</f>
        <v>0</v>
      </c>
      <c r="V1228" s="522"/>
      <c r="X1228" s="496"/>
    </row>
    <row r="1229" spans="1:24" s="8" customFormat="1" ht="8.25" customHeight="1">
      <c r="A1229" s="521"/>
      <c r="B1229" s="167"/>
      <c r="C1229" s="165"/>
      <c r="D1229" s="523"/>
      <c r="E1229" s="165"/>
      <c r="F1229" s="523"/>
      <c r="G1229" s="520"/>
      <c r="H1229" s="523"/>
      <c r="I1229" s="520"/>
      <c r="J1229" s="523"/>
      <c r="K1229" s="520"/>
      <c r="L1229" s="523"/>
      <c r="M1229" s="520"/>
      <c r="N1229" s="523"/>
      <c r="O1229" s="520"/>
      <c r="P1229" s="523"/>
      <c r="Q1229" s="520"/>
      <c r="R1229" s="167"/>
      <c r="S1229" s="520"/>
      <c r="T1229" s="167"/>
      <c r="U1229" s="602"/>
      <c r="V1229" s="522"/>
      <c r="X1229" s="4"/>
    </row>
    <row r="1230" spans="1:24" s="8" customFormat="1" ht="14.4">
      <c r="A1230" s="521"/>
      <c r="B1230" s="167"/>
      <c r="C1230" s="165"/>
      <c r="D1230" s="523"/>
      <c r="E1230" s="513" t="s">
        <v>1317</v>
      </c>
      <c r="F1230" s="523"/>
      <c r="G1230" s="601">
        <f t="shared" ref="G1230" si="1843">SUM(G1225:G1228)</f>
        <v>0</v>
      </c>
      <c r="H1230" s="527"/>
      <c r="I1230" s="601">
        <f t="shared" ref="I1230" si="1844">SUM(I1225:I1228)</f>
        <v>0</v>
      </c>
      <c r="J1230" s="527"/>
      <c r="K1230" s="601">
        <f t="shared" ref="K1230" si="1845">SUM(K1225:K1228)</f>
        <v>0</v>
      </c>
      <c r="L1230" s="527"/>
      <c r="M1230" s="601">
        <f t="shared" ref="M1230" si="1846">SUM(M1225:M1228)</f>
        <v>0</v>
      </c>
      <c r="N1230" s="527"/>
      <c r="O1230" s="601">
        <f t="shared" ref="O1230" si="1847">SUM(O1225:O1228)</f>
        <v>0</v>
      </c>
      <c r="P1230" s="527"/>
      <c r="Q1230" s="601">
        <f t="shared" ref="Q1230" si="1848">SUM(Q1225:Q1228)</f>
        <v>0</v>
      </c>
      <c r="R1230" s="527"/>
      <c r="S1230" s="601">
        <f t="shared" ref="S1230" si="1849">SUM(S1225:S1228)</f>
        <v>0</v>
      </c>
      <c r="T1230" s="527"/>
      <c r="U1230" s="536">
        <f t="shared" ref="U1230" si="1850">SUM(U1225:U1228)</f>
        <v>0</v>
      </c>
      <c r="V1230" s="522"/>
      <c r="X1230" s="4"/>
    </row>
    <row r="1231" spans="1:24" s="8" customFormat="1" ht="8.25" customHeight="1">
      <c r="A1231" s="521"/>
      <c r="B1231" s="167"/>
      <c r="C1231" s="165"/>
      <c r="D1231" s="523"/>
      <c r="E1231" s="165"/>
      <c r="F1231" s="523"/>
      <c r="G1231" s="520"/>
      <c r="H1231" s="523"/>
      <c r="I1231" s="520"/>
      <c r="J1231" s="523"/>
      <c r="K1231" s="520"/>
      <c r="L1231" s="523"/>
      <c r="M1231" s="520"/>
      <c r="N1231" s="523"/>
      <c r="O1231" s="520"/>
      <c r="P1231" s="523"/>
      <c r="Q1231" s="520"/>
      <c r="R1231" s="167"/>
      <c r="S1231" s="520"/>
      <c r="T1231" s="167"/>
      <c r="U1231" s="528"/>
      <c r="V1231" s="522"/>
      <c r="X1231" s="4"/>
    </row>
    <row r="1232" spans="1:24" s="8" customFormat="1" ht="16.5" customHeight="1">
      <c r="A1232" s="521"/>
      <c r="B1232" s="167"/>
      <c r="C1232" s="165"/>
      <c r="E1232" s="513" t="s">
        <v>1304</v>
      </c>
      <c r="F1232" s="523"/>
      <c r="G1232" s="977">
        <f>_xlfn.IFNA(IF(VLOOKUP($B1223,'PY1 TFR ADA'!$F:$AU,MATCH("B-1.5",'PY1 TFR ADA'!$F$5:$AU$5,0),FALSE)=TRUE,IF(VLOOKUP($B1223,'PY1 TFR ADA'!$F:$AU,MATCH("C-1",'PY1 TFR ADA'!$F$5:$AU$5,0),FALSE)=TRUE,"Alternative Rate","LCFF Rate"),"LCFF Rate"),0)</f>
        <v>0</v>
      </c>
      <c r="H1232" s="523"/>
      <c r="I1232" s="977">
        <f>_xlfn.IFNA(IF(VLOOKUP($B1223,'PY1 TFR ADA'!$F:$AU,MATCH("B-2.5",'PY1 TFR ADA'!$F$5:$AU$5,0),FALSE)=TRUE,IF(VLOOKUP($B1223,'PY1 TFR ADA'!$F:$AU,MATCH("C-1",'PY1 TFR ADA'!$F$5:$AU$5,0),FALSE)=TRUE,"Alternative Rate","LCFF Rate"),"LCFF Rate"),0)</f>
        <v>0</v>
      </c>
      <c r="J1232" s="523"/>
      <c r="K1232" s="977">
        <f>_xlfn.IFNA(IF(VLOOKUP($B1223,'PY1 TFR ADA'!$F:$AU,MATCH("B-3.5",'PY1 TFR ADA'!$F$5:$AU$5,0),FALSE)=TRUE,IF(VLOOKUP($B1223,'PY1 TFR ADA'!$F:$AU,MATCH("C-1",'PY1 TFR ADA'!$F$5:$AU$5,0),FALSE)=TRUE,"Alternative Rate","LCFF Rate"),"LCFF Rate"),0)</f>
        <v>0</v>
      </c>
      <c r="L1232" s="523"/>
      <c r="M1232" s="977">
        <f>_xlfn.IFNA(IF(VLOOKUP($B1223,'PY1 TFR ADA'!$F:$AU,MATCH("B-4.5",'PY1 TFR ADA'!$F$5:$AU$5,0),FALSE)=TRUE,IF(VLOOKUP($B1223,'PY1 TFR ADA'!$F:$AU,MATCH("C-1",'PY1 TFR ADA'!$F$5:$AU$5,0),FALSE)=TRUE,"Alternative Rate","LCFF Rate"),"LCFF Rate"),0)</f>
        <v>0</v>
      </c>
      <c r="N1232" s="523"/>
      <c r="O1232" s="977">
        <f>_xlfn.IFNA(IF(VLOOKUP($B1223,'PY1 TFR ADA'!$F:$AU,MATCH("B-5.5",'PY1 TFR ADA'!$F$5:$AU$5,0),FALSE)=TRUE,IF(VLOOKUP($B1223,'PY1 TFR ADA'!$F:$AU,MATCH("C-1",'PY1 TFR ADA'!$F$5:$AU$5,0),FALSE)=TRUE,"Alternative Rate","LCFF Rate"),"LCFF Rate"),0)</f>
        <v>0</v>
      </c>
      <c r="P1232" s="523"/>
      <c r="Q1232" s="977">
        <f>_xlfn.IFNA(IF(VLOOKUP($B1223,'PY1 TFR ADA'!$F:$AU,MATCH("B-6.5",'PY1 TFR ADA'!$F$5:$AU$5,0),FALSE)=TRUE,IF(VLOOKUP($B1223,'PY1 TFR ADA'!$F:$AU,MATCH("C-1",'PY1 TFR ADA'!$F$5:$AU$5,0),FALSE)=TRUE,"Alternative Rate","LCFF Rate"),"LCFF Rate"),0)</f>
        <v>0</v>
      </c>
      <c r="R1232" s="167"/>
      <c r="S1232" s="520"/>
      <c r="T1232" s="167"/>
      <c r="U1232" s="528"/>
      <c r="V1232" s="522"/>
      <c r="X1232" s="283"/>
    </row>
    <row r="1233" spans="1:24" s="8" customFormat="1" ht="8.25" customHeight="1">
      <c r="A1233" s="521"/>
      <c r="B1233" s="167"/>
      <c r="C1233" s="165"/>
      <c r="D1233" s="523"/>
      <c r="E1233" s="165"/>
      <c r="F1233" s="523"/>
      <c r="G1233" s="520"/>
      <c r="H1233" s="523"/>
      <c r="I1233" s="520"/>
      <c r="J1233" s="523"/>
      <c r="K1233" s="520"/>
      <c r="L1233" s="523"/>
      <c r="M1233" s="520"/>
      <c r="N1233" s="523"/>
      <c r="O1233" s="520"/>
      <c r="P1233" s="523"/>
      <c r="Q1233" s="520"/>
      <c r="R1233" s="167"/>
      <c r="S1233" s="520"/>
      <c r="T1233" s="167"/>
      <c r="U1233" s="528"/>
      <c r="V1233" s="522"/>
      <c r="X1233" s="4"/>
    </row>
    <row r="1234" spans="1:24" s="8" customFormat="1" ht="16.8">
      <c r="A1234" s="521"/>
      <c r="B1234" s="2"/>
      <c r="F1234" s="523"/>
      <c r="G1234" s="535">
        <f t="shared" ref="G1234" si="1851">IF(G1232="LCFF Rate",(G1225*C1225+G1226*C1226+G1227*C1227+G1228*C1228),(G1230*E1228))</f>
        <v>0</v>
      </c>
      <c r="H1234" s="537"/>
      <c r="I1234" s="535">
        <f t="shared" ref="I1234" si="1852">IF(I1232="LCFF Rate",(I1225*C1225+I1226*C1226+I1227*C1227+I1228*C1228),(I1230*E1228))</f>
        <v>0</v>
      </c>
      <c r="J1234" s="537"/>
      <c r="K1234" s="535">
        <f t="shared" ref="K1234" si="1853">IF(K1232="LCFF Rate",(K1225*C1225+K1226*C1226+K1227*C1227+K1228*C1228),(K1230*E1228))</f>
        <v>0</v>
      </c>
      <c r="L1234" s="537"/>
      <c r="M1234" s="535">
        <f t="shared" ref="M1234" si="1854">IF(M1232="LCFF Rate",(M1225*C1225+M1226*C1226+M1227*C1227+M1228*C1228),(M1230*E1228))</f>
        <v>0</v>
      </c>
      <c r="N1234" s="537"/>
      <c r="O1234" s="535">
        <f t="shared" ref="O1234" si="1855">IF(O1232="LCFF Rate",(O1225*C1225+O1226*C1226+O1227*C1227+O1228*C1228),(O1230*E1228))</f>
        <v>0</v>
      </c>
      <c r="P1234" s="537"/>
      <c r="Q1234" s="535">
        <f t="shared" ref="Q1234" si="1856">IF(Q1232="LCFF Rate",(Q1225*C1225+Q1226*C1226+Q1227*C1227+Q1228*C1228),(Q1230*E1228))</f>
        <v>0</v>
      </c>
      <c r="R1234" s="167"/>
      <c r="S1234" s="538">
        <f t="shared" ref="S1234" si="1857">SUM(G1234:Q1234)</f>
        <v>0</v>
      </c>
      <c r="T1234" s="167"/>
      <c r="U1234" s="528"/>
      <c r="V1234" s="522"/>
      <c r="X1234" s="979"/>
    </row>
    <row r="1235" spans="1:24" s="8" customFormat="1" ht="9" customHeight="1" thickBot="1">
      <c r="A1235" s="529"/>
      <c r="B1235" s="530"/>
      <c r="C1235" s="531"/>
      <c r="D1235" s="532"/>
      <c r="E1235" s="533"/>
      <c r="F1235" s="532"/>
      <c r="G1235" s="530"/>
      <c r="H1235" s="532"/>
      <c r="I1235" s="530"/>
      <c r="J1235" s="532"/>
      <c r="K1235" s="530"/>
      <c r="L1235" s="532"/>
      <c r="M1235" s="530"/>
      <c r="N1235" s="532"/>
      <c r="O1235" s="530"/>
      <c r="P1235" s="532"/>
      <c r="Q1235" s="530"/>
      <c r="R1235" s="532"/>
      <c r="S1235" s="530"/>
      <c r="T1235" s="532"/>
      <c r="U1235" s="532"/>
      <c r="V1235" s="534"/>
      <c r="X1235" s="4"/>
    </row>
    <row r="1236" spans="1:24" s="82" customFormat="1" ht="18" customHeight="1" thickBot="1">
      <c r="A1236" s="890">
        <f>+A1223+1</f>
        <v>95</v>
      </c>
      <c r="B1236" s="891" t="str">
        <f>'Data Entry'!$B$3&amp;"-"&amp;C1236</f>
        <v>-</v>
      </c>
      <c r="C1236" s="891" t="str">
        <f>IFERROR(VLOOKUP('Data Entry'!$B$3&amp;"-"&amp;A1236,'PY1 TFR ADA'!$D:$AT,2,FALSE),"")</f>
        <v/>
      </c>
      <c r="D1236" s="892" t="str">
        <f>IFERROR(VLOOKUP('Data Entry'!$B$3&amp;"-"&amp;A1236,'PY1 TFR ADA'!$D:$AT,4,FALSE),"")</f>
        <v/>
      </c>
      <c r="E1236" s="893"/>
      <c r="F1236" s="893"/>
      <c r="G1236" s="893"/>
      <c r="H1236" s="893"/>
      <c r="I1236" s="893"/>
      <c r="J1236" s="893"/>
      <c r="K1236" s="893"/>
      <c r="L1236" s="893"/>
      <c r="M1236" s="893"/>
      <c r="N1236" s="893"/>
      <c r="O1236" s="893"/>
      <c r="P1236" s="893"/>
      <c r="Q1236" s="893"/>
      <c r="R1236" s="893"/>
      <c r="S1236" s="893"/>
      <c r="T1236" s="893"/>
      <c r="U1236" s="893"/>
      <c r="V1236" s="894"/>
      <c r="X1236" s="83"/>
    </row>
    <row r="1237" spans="1:24" ht="75" customHeight="1">
      <c r="A1237" s="521"/>
      <c r="C1237" s="540" t="s">
        <v>1315</v>
      </c>
      <c r="D1237" s="512"/>
      <c r="E1237" s="540" t="s">
        <v>1316</v>
      </c>
      <c r="F1237" s="512"/>
      <c r="G1237" s="540" t="s">
        <v>1309</v>
      </c>
      <c r="H1237" s="512"/>
      <c r="I1237" s="540" t="s">
        <v>1310</v>
      </c>
      <c r="J1237" s="512"/>
      <c r="K1237" s="540" t="s">
        <v>1311</v>
      </c>
      <c r="L1237" s="512"/>
      <c r="M1237" s="540" t="s">
        <v>1312</v>
      </c>
      <c r="N1237" s="512"/>
      <c r="O1237" s="540" t="s">
        <v>1313</v>
      </c>
      <c r="P1237" s="512"/>
      <c r="Q1237" s="540" t="s">
        <v>1314</v>
      </c>
      <c r="R1237" s="167"/>
      <c r="S1237" s="540" t="s">
        <v>1308</v>
      </c>
      <c r="T1237" s="167"/>
      <c r="U1237" s="512" t="s">
        <v>1307</v>
      </c>
      <c r="V1237" s="524"/>
      <c r="X1237" s="283"/>
    </row>
    <row r="1238" spans="1:24" s="8" customFormat="1" ht="14.4">
      <c r="A1238" s="521"/>
      <c r="B1238" s="510" t="s">
        <v>94</v>
      </c>
      <c r="C1238" s="525">
        <f>IFERROR(VLOOKUP($B1236,'PY1 TFR ADA'!$F:$AU,MATCH("A-1.1",'PY1 TFR ADA'!$F$5:$AU$5,0),FALSE),0)</f>
        <v>0</v>
      </c>
      <c r="D1238" s="167"/>
      <c r="E1238" s="525">
        <f>IFERROR(VALUE(VLOOKUP($B1236,'PY1 TFR ADA'!$F:$AU,MATCH("A-2.1",'PY1 TFR ADA'!$F$5:$AU$5,0),FALSE)),0)</f>
        <v>0</v>
      </c>
      <c r="F1238" s="167"/>
      <c r="G1238" s="609">
        <f>IFERROR(VLOOKUP($B1236,'PY1 TFR ADA'!$F:$AU,MATCH("b-1.1",'PY1 TFR ADA'!$F$5:$AU$5,0),FALSE),0)</f>
        <v>0</v>
      </c>
      <c r="H1238" s="527"/>
      <c r="I1238" s="609">
        <f>IFERROR(VLOOKUP($B1236,'PY1 TFR ADA'!$F:$AU,MATCH("b-2.1",'PY1 TFR ADA'!$F$5:$AU$5,0),FALSE),0)</f>
        <v>0</v>
      </c>
      <c r="J1238" s="527"/>
      <c r="K1238" s="609">
        <f>IFERROR(VLOOKUP($B1236,'PY1 TFR ADA'!$F:$AU,MATCH("b-3.1",'PY1 TFR ADA'!$F$5:$AU$5,0),FALSE),0)</f>
        <v>0</v>
      </c>
      <c r="L1238" s="527"/>
      <c r="M1238" s="609">
        <f>IFERROR(VLOOKUP($B1236,'PY1 TFR ADA'!$F:$AU,MATCH("b-4.1",'PY1 TFR ADA'!$F$5:$AU$5,0),FALSE),0)</f>
        <v>0</v>
      </c>
      <c r="N1238" s="527"/>
      <c r="O1238" s="609">
        <f>IFERROR(VLOOKUP($B1236,'PY1 TFR ADA'!$F:$AU,MATCH("b-5.1",'PY1 TFR ADA'!$F$5:$AU$5,0),FALSE),0)</f>
        <v>0</v>
      </c>
      <c r="P1238" s="527"/>
      <c r="Q1238" s="609">
        <f>IFERROR(VLOOKUP($B1236,'PY1 TFR ADA'!$F:$AU,MATCH("b-6.1",'PY1 TFR ADA'!$F$5:$AU$5,0),FALSE),0)</f>
        <v>0</v>
      </c>
      <c r="R1238" s="551"/>
      <c r="S1238" s="601">
        <f t="shared" ref="S1238:S1241" si="1858">SUM(G1238:Q1238)</f>
        <v>0</v>
      </c>
      <c r="T1238" s="551"/>
      <c r="U1238" s="536">
        <f t="shared" ref="U1238" si="1859">ROUND(IF($G1245="LCFF Rate",(G1238*$C1238),(G1238*$E1238))+IF($I1245="LCFF Rate",(I1238*$C1238),(I1238*$E1238))+IF($K1245="LCFF Rate",(K1238*$C1238),(K1238*$E1238))+IF($M1245="LCFF Rate",(M1238*$C1238),(M1238*$E1238))+IF($O1245="LCFF Rate",(O1238*$C1238),(O1238*$E1238))+IF($Q1245="LCFF Rate",(Q1238*$C1238),(Q1238*$E1238)),0)</f>
        <v>0</v>
      </c>
      <c r="V1238" s="524"/>
      <c r="X1238" s="496"/>
    </row>
    <row r="1239" spans="1:24" s="8" customFormat="1" ht="14.4">
      <c r="A1239" s="521"/>
      <c r="B1239" s="510" t="s">
        <v>2</v>
      </c>
      <c r="C1239" s="525">
        <f>IFERROR(VLOOKUP($B1236,'PY1 TFR ADA'!$F:$AU,MATCH("A-1.2",'PY1 TFR ADA'!$F$5:$AU$5,0),FALSE),0)</f>
        <v>0</v>
      </c>
      <c r="D1239" s="167"/>
      <c r="E1239" s="525">
        <f>IFERROR(VALUE(VLOOKUP($B1236,'PY1 TFR ADA'!$F:$AU,MATCH("A-2.2",'PY1 TFR ADA'!$F$5:$AU$5,0),FALSE)),0)</f>
        <v>0</v>
      </c>
      <c r="F1239" s="167"/>
      <c r="G1239" s="609">
        <f>IFERROR(VLOOKUP($B1236,'PY1 TFR ADA'!$F:$AU,MATCH("b-1.2",'PY1 TFR ADA'!$F$5:$AU$5,0),FALSE),0)</f>
        <v>0</v>
      </c>
      <c r="H1239" s="527"/>
      <c r="I1239" s="609">
        <f>IFERROR(VLOOKUP($B1236,'PY1 TFR ADA'!$F:$AU,MATCH("b-2.2",'PY1 TFR ADA'!$F$5:$AU$5,0),FALSE),0)</f>
        <v>0</v>
      </c>
      <c r="J1239" s="527"/>
      <c r="K1239" s="609">
        <f>IFERROR(VLOOKUP($B1236,'PY1 TFR ADA'!$F:$AU,MATCH("b-3.2",'PY1 TFR ADA'!$F$5:$AU$5,0),FALSE),0)</f>
        <v>0</v>
      </c>
      <c r="L1239" s="527"/>
      <c r="M1239" s="609">
        <f>IFERROR(VLOOKUP($B1236,'PY1 TFR ADA'!$F:$AU,MATCH("b-4.2",'PY1 TFR ADA'!$F$5:$AU$5,0),FALSE),0)</f>
        <v>0</v>
      </c>
      <c r="N1239" s="527"/>
      <c r="O1239" s="609">
        <f>IFERROR(VLOOKUP($B1236,'PY1 TFR ADA'!$F:$AU,MATCH("b-5.2",'PY1 TFR ADA'!$F$5:$AU$5,0),FALSE),0)</f>
        <v>0</v>
      </c>
      <c r="P1239" s="527"/>
      <c r="Q1239" s="609">
        <f>IFERROR(VLOOKUP($B1236,'PY1 TFR ADA'!$F:$AU,MATCH("b-6.2",'PY1 TFR ADA'!$F$5:$AU$5,0),FALSE),0)</f>
        <v>0</v>
      </c>
      <c r="R1239" s="551"/>
      <c r="S1239" s="601">
        <f t="shared" si="1858"/>
        <v>0</v>
      </c>
      <c r="T1239" s="551"/>
      <c r="U1239" s="536">
        <f t="shared" ref="U1239" si="1860">ROUND(IF($G1245="LCFF Rate",(G1239*$C1239),(G1239*$E1239))+IF($I1245="LCFF Rate",(I1239*$C1239),(I1239*$E1239))+IF($K1245="LCFF Rate",(K1239*$C1239),(K1239*$E1239))+IF($M1245="LCFF Rate",(M1239*$C1239),(M1239*$E1239))+IF($O1245="LCFF Rate",(O1239*$C1239),(O1239*$E1239))+IF($Q1245="LCFF Rate",(Q1239*$C1239),(Q1239*$E1239)),0)</f>
        <v>0</v>
      </c>
      <c r="V1239" s="524"/>
      <c r="X1239" s="4"/>
    </row>
    <row r="1240" spans="1:24" s="8" customFormat="1" ht="14.4">
      <c r="A1240" s="521"/>
      <c r="B1240" s="510" t="s">
        <v>3</v>
      </c>
      <c r="C1240" s="525">
        <f>IFERROR(VLOOKUP($B1236,'PY1 TFR ADA'!$F:$AU,MATCH("A-1.3",'PY1 TFR ADA'!$F$5:$AU$5,0),FALSE),0)</f>
        <v>0</v>
      </c>
      <c r="D1240" s="167"/>
      <c r="E1240" s="525">
        <f>IFERROR(VALUE(VLOOKUP($B1236,'PY1 TFR ADA'!$F:$AU,MATCH("A-2.3",'PY1 TFR ADA'!$F$5:$AU$5,0),FALSE)),0)</f>
        <v>0</v>
      </c>
      <c r="F1240" s="167"/>
      <c r="G1240" s="609">
        <f>IFERROR(VLOOKUP($B1236,'PY1 TFR ADA'!$F:$AU,MATCH("b-1.3",'PY1 TFR ADA'!$F$5:$AU$5,0),FALSE),0)</f>
        <v>0</v>
      </c>
      <c r="H1240" s="527"/>
      <c r="I1240" s="609">
        <f>IFERROR(VLOOKUP($B1236,'PY1 TFR ADA'!$F:$AU,MATCH("b-2.3",'PY1 TFR ADA'!$F$5:$AU$5,0),FALSE),0)</f>
        <v>0</v>
      </c>
      <c r="J1240" s="527"/>
      <c r="K1240" s="609">
        <f>IFERROR(VLOOKUP($B1236,'PY1 TFR ADA'!$F:$AU,MATCH("b-3.3",'PY1 TFR ADA'!$F$5:$AU$5,0),FALSE),0)</f>
        <v>0</v>
      </c>
      <c r="L1240" s="527"/>
      <c r="M1240" s="609">
        <f>IFERROR(VLOOKUP($B1236,'PY1 TFR ADA'!$F:$AU,MATCH("b-4.3",'PY1 TFR ADA'!$F$5:$AU$5,0),FALSE),0)</f>
        <v>0</v>
      </c>
      <c r="N1240" s="527"/>
      <c r="O1240" s="609">
        <f>IFERROR(VLOOKUP($B1236,'PY1 TFR ADA'!$F:$AU,MATCH("b-5.3",'PY1 TFR ADA'!$F$5:$AU$5,0),FALSE),0)</f>
        <v>0</v>
      </c>
      <c r="P1240" s="527"/>
      <c r="Q1240" s="609">
        <f>IFERROR(VLOOKUP($B1236,'PY1 TFR ADA'!$F:$AU,MATCH("b-6.3",'PY1 TFR ADA'!$F$5:$AU$5,0),FALSE),0)</f>
        <v>0</v>
      </c>
      <c r="R1240" s="551"/>
      <c r="S1240" s="601">
        <f t="shared" si="1858"/>
        <v>0</v>
      </c>
      <c r="T1240" s="551"/>
      <c r="U1240" s="536">
        <f t="shared" ref="U1240" si="1861">ROUND(IF($G1245="LCFF Rate",(G1240*$C1240),(G1240*$E1240))+IF($I1245="LCFF Rate",(I1240*$C1240),(I1240*$E1240))+IF($K1245="LCFF Rate",(K1240*$C1240),(K1240*$E1240))+IF($M1245="LCFF Rate",(M1240*$C1240),(M1240*$E1240))+IF($O1245="LCFF Rate",(O1240*$C1240),(O1240*$E1240))+IF($Q1245="LCFF Rate",(Q1240*$C1240),(Q1240*$E1240)),0)</f>
        <v>0</v>
      </c>
      <c r="V1240" s="524"/>
      <c r="X1240" s="4"/>
    </row>
    <row r="1241" spans="1:24" s="8" customFormat="1" ht="14.4">
      <c r="A1241" s="526"/>
      <c r="B1241" s="510" t="s">
        <v>4</v>
      </c>
      <c r="C1241" s="525">
        <f>IFERROR(VLOOKUP($B1236,'PY1 TFR ADA'!$F:$AU,MATCH("A-1.4",'PY1 TFR ADA'!$F$5:$AU$5,0),FALSE),0)</f>
        <v>0</v>
      </c>
      <c r="D1241" s="523"/>
      <c r="E1241" s="525">
        <f>IFERROR(VALUE(VLOOKUP($B1236,'PY1 TFR ADA'!$F:$AU,MATCH("A-2.4",'PY1 TFR ADA'!$F$5:$AU$5,0),FALSE)),0)</f>
        <v>0</v>
      </c>
      <c r="F1241" s="523"/>
      <c r="G1241" s="609">
        <f>IFERROR(VLOOKUP($B1236,'PY1 TFR ADA'!$F:$AU,MATCH("b-1.4",'PY1 TFR ADA'!$F$5:$AU$5,0),FALSE),0)</f>
        <v>0</v>
      </c>
      <c r="H1241" s="527"/>
      <c r="I1241" s="609">
        <f>IFERROR(VLOOKUP($B1236,'PY1 TFR ADA'!$F:$AU,MATCH("b-2.4",'PY1 TFR ADA'!$F$5:$AU$5,0),FALSE),0)</f>
        <v>0</v>
      </c>
      <c r="J1241" s="527"/>
      <c r="K1241" s="609">
        <f>IFERROR(VLOOKUP($B1236,'PY1 TFR ADA'!$F:$AU,MATCH("b-3.4",'PY1 TFR ADA'!$F$5:$AU$5,0),FALSE),0)</f>
        <v>0</v>
      </c>
      <c r="L1241" s="527"/>
      <c r="M1241" s="609">
        <f>IFERROR(VLOOKUP($B1236,'PY1 TFR ADA'!$F:$AU,MATCH("b-4.4",'PY1 TFR ADA'!$F$5:$AU$5,0),FALSE),0)</f>
        <v>0</v>
      </c>
      <c r="N1241" s="527"/>
      <c r="O1241" s="609">
        <f>IFERROR(VLOOKUP($B1236,'PY1 TFR ADA'!$F:$AU,MATCH("b-5.4",'PY1 TFR ADA'!$F$5:$AU$5,0),FALSE),0)</f>
        <v>0</v>
      </c>
      <c r="P1241" s="527"/>
      <c r="Q1241" s="609">
        <f>IFERROR(VLOOKUP($B1236,'PY1 TFR ADA'!$F:$AU,MATCH("b-6.4",'PY1 TFR ADA'!$F$5:$AU$5,0),FALSE),0)</f>
        <v>0</v>
      </c>
      <c r="R1241" s="551"/>
      <c r="S1241" s="601">
        <f t="shared" si="1858"/>
        <v>0</v>
      </c>
      <c r="T1241" s="551"/>
      <c r="U1241" s="536">
        <f t="shared" ref="U1241" si="1862">ROUND(IF($G1245="LCFF Rate",(G1241*$C1241),(G1241*$E1241))+IF($I1245="LCFF Rate",(I1241*$C1241),(I1241*$E1241))+IF($K1245="LCFF Rate",(K1241*$C1241),(K1241*$E1241))+IF($M1245="LCFF Rate",(M1241*$C1241),(M1241*$E1241))+IF($O1245="LCFF Rate",(O1241*$C1241),(O1241*$E1241))+IF($Q1245="LCFF Rate",(Q1241*$C1241),(Q1241*$E1241)),0)</f>
        <v>0</v>
      </c>
      <c r="V1241" s="522"/>
      <c r="X1241" s="496"/>
    </row>
    <row r="1242" spans="1:24" s="8" customFormat="1" ht="8.25" customHeight="1">
      <c r="A1242" s="521"/>
      <c r="B1242" s="167"/>
      <c r="C1242" s="165"/>
      <c r="D1242" s="523"/>
      <c r="E1242" s="165"/>
      <c r="F1242" s="523"/>
      <c r="G1242" s="520"/>
      <c r="H1242" s="523"/>
      <c r="I1242" s="520"/>
      <c r="J1242" s="523"/>
      <c r="K1242" s="520"/>
      <c r="L1242" s="523"/>
      <c r="M1242" s="520"/>
      <c r="N1242" s="523"/>
      <c r="O1242" s="520"/>
      <c r="P1242" s="523"/>
      <c r="Q1242" s="520"/>
      <c r="R1242" s="167"/>
      <c r="S1242" s="520"/>
      <c r="T1242" s="167"/>
      <c r="U1242" s="602"/>
      <c r="V1242" s="522"/>
      <c r="X1242" s="4"/>
    </row>
    <row r="1243" spans="1:24" s="8" customFormat="1" ht="14.4">
      <c r="A1243" s="521"/>
      <c r="B1243" s="167"/>
      <c r="C1243" s="165"/>
      <c r="D1243" s="523"/>
      <c r="E1243" s="513" t="s">
        <v>1317</v>
      </c>
      <c r="F1243" s="523"/>
      <c r="G1243" s="601">
        <f t="shared" ref="G1243" si="1863">SUM(G1238:G1241)</f>
        <v>0</v>
      </c>
      <c r="H1243" s="527"/>
      <c r="I1243" s="601">
        <f t="shared" ref="I1243" si="1864">SUM(I1238:I1241)</f>
        <v>0</v>
      </c>
      <c r="J1243" s="527"/>
      <c r="K1243" s="601">
        <f t="shared" ref="K1243" si="1865">SUM(K1238:K1241)</f>
        <v>0</v>
      </c>
      <c r="L1243" s="527"/>
      <c r="M1243" s="601">
        <f t="shared" ref="M1243" si="1866">SUM(M1238:M1241)</f>
        <v>0</v>
      </c>
      <c r="N1243" s="527"/>
      <c r="O1243" s="601">
        <f t="shared" ref="O1243" si="1867">SUM(O1238:O1241)</f>
        <v>0</v>
      </c>
      <c r="P1243" s="527"/>
      <c r="Q1243" s="601">
        <f t="shared" ref="Q1243" si="1868">SUM(Q1238:Q1241)</f>
        <v>0</v>
      </c>
      <c r="R1243" s="527"/>
      <c r="S1243" s="601">
        <f t="shared" ref="S1243" si="1869">SUM(S1238:S1241)</f>
        <v>0</v>
      </c>
      <c r="T1243" s="527"/>
      <c r="U1243" s="536">
        <f t="shared" ref="U1243" si="1870">SUM(U1238:U1241)</f>
        <v>0</v>
      </c>
      <c r="V1243" s="522"/>
      <c r="X1243" s="4"/>
    </row>
    <row r="1244" spans="1:24" s="8" customFormat="1" ht="8.25" customHeight="1">
      <c r="A1244" s="521"/>
      <c r="B1244" s="167"/>
      <c r="C1244" s="165"/>
      <c r="D1244" s="523"/>
      <c r="E1244" s="165"/>
      <c r="F1244" s="523"/>
      <c r="G1244" s="520"/>
      <c r="H1244" s="523"/>
      <c r="I1244" s="520"/>
      <c r="J1244" s="523"/>
      <c r="K1244" s="520"/>
      <c r="L1244" s="523"/>
      <c r="M1244" s="520"/>
      <c r="N1244" s="523"/>
      <c r="O1244" s="520"/>
      <c r="P1244" s="523"/>
      <c r="Q1244" s="520"/>
      <c r="R1244" s="167"/>
      <c r="S1244" s="520"/>
      <c r="T1244" s="167"/>
      <c r="U1244" s="528"/>
      <c r="V1244" s="522"/>
      <c r="X1244" s="4"/>
    </row>
    <row r="1245" spans="1:24" s="8" customFormat="1" ht="16.5" customHeight="1">
      <c r="A1245" s="521"/>
      <c r="B1245" s="167"/>
      <c r="C1245" s="165"/>
      <c r="E1245" s="513" t="s">
        <v>1304</v>
      </c>
      <c r="F1245" s="523"/>
      <c r="G1245" s="977">
        <f>_xlfn.IFNA(IF(VLOOKUP($B1236,'PY1 TFR ADA'!$F:$AU,MATCH("B-1.5",'PY1 TFR ADA'!$F$5:$AU$5,0),FALSE)=TRUE,IF(VLOOKUP($B1236,'PY1 TFR ADA'!$F:$AU,MATCH("C-1",'PY1 TFR ADA'!$F$5:$AU$5,0),FALSE)=TRUE,"Alternative Rate","LCFF Rate"),"LCFF Rate"),0)</f>
        <v>0</v>
      </c>
      <c r="H1245" s="523"/>
      <c r="I1245" s="977">
        <f>_xlfn.IFNA(IF(VLOOKUP($B1236,'PY1 TFR ADA'!$F:$AU,MATCH("B-2.5",'PY1 TFR ADA'!$F$5:$AU$5,0),FALSE)=TRUE,IF(VLOOKUP($B1236,'PY1 TFR ADA'!$F:$AU,MATCH("C-1",'PY1 TFR ADA'!$F$5:$AU$5,0),FALSE)=TRUE,"Alternative Rate","LCFF Rate"),"LCFF Rate"),0)</f>
        <v>0</v>
      </c>
      <c r="J1245" s="523"/>
      <c r="K1245" s="977">
        <f>_xlfn.IFNA(IF(VLOOKUP($B1236,'PY1 TFR ADA'!$F:$AU,MATCH("B-3.5",'PY1 TFR ADA'!$F$5:$AU$5,0),FALSE)=TRUE,IF(VLOOKUP($B1236,'PY1 TFR ADA'!$F:$AU,MATCH("C-1",'PY1 TFR ADA'!$F$5:$AU$5,0),FALSE)=TRUE,"Alternative Rate","LCFF Rate"),"LCFF Rate"),0)</f>
        <v>0</v>
      </c>
      <c r="L1245" s="523"/>
      <c r="M1245" s="977">
        <f>_xlfn.IFNA(IF(VLOOKUP($B1236,'PY1 TFR ADA'!$F:$AU,MATCH("B-4.5",'PY1 TFR ADA'!$F$5:$AU$5,0),FALSE)=TRUE,IF(VLOOKUP($B1236,'PY1 TFR ADA'!$F:$AU,MATCH("C-1",'PY1 TFR ADA'!$F$5:$AU$5,0),FALSE)=TRUE,"Alternative Rate","LCFF Rate"),"LCFF Rate"),0)</f>
        <v>0</v>
      </c>
      <c r="N1245" s="523"/>
      <c r="O1245" s="977">
        <f>_xlfn.IFNA(IF(VLOOKUP($B1236,'PY1 TFR ADA'!$F:$AU,MATCH("B-5.5",'PY1 TFR ADA'!$F$5:$AU$5,0),FALSE)=TRUE,IF(VLOOKUP($B1236,'PY1 TFR ADA'!$F:$AU,MATCH("C-1",'PY1 TFR ADA'!$F$5:$AU$5,0),FALSE)=TRUE,"Alternative Rate","LCFF Rate"),"LCFF Rate"),0)</f>
        <v>0</v>
      </c>
      <c r="P1245" s="523"/>
      <c r="Q1245" s="977">
        <f>_xlfn.IFNA(IF(VLOOKUP($B1236,'PY1 TFR ADA'!$F:$AU,MATCH("B-6.5",'PY1 TFR ADA'!$F$5:$AU$5,0),FALSE)=TRUE,IF(VLOOKUP($B1236,'PY1 TFR ADA'!$F:$AU,MATCH("C-1",'PY1 TFR ADA'!$F$5:$AU$5,0),FALSE)=TRUE,"Alternative Rate","LCFF Rate"),"LCFF Rate"),0)</f>
        <v>0</v>
      </c>
      <c r="R1245" s="167"/>
      <c r="S1245" s="520"/>
      <c r="T1245" s="167"/>
      <c r="U1245" s="528"/>
      <c r="V1245" s="522"/>
      <c r="X1245" s="283"/>
    </row>
    <row r="1246" spans="1:24" s="8" customFormat="1" ht="8.25" customHeight="1">
      <c r="A1246" s="521"/>
      <c r="B1246" s="167"/>
      <c r="C1246" s="165"/>
      <c r="D1246" s="523"/>
      <c r="E1246" s="165"/>
      <c r="F1246" s="523"/>
      <c r="G1246" s="520"/>
      <c r="H1246" s="523"/>
      <c r="I1246" s="520"/>
      <c r="J1246" s="523"/>
      <c r="K1246" s="520"/>
      <c r="L1246" s="523"/>
      <c r="M1246" s="520"/>
      <c r="N1246" s="523"/>
      <c r="O1246" s="520"/>
      <c r="P1246" s="523"/>
      <c r="Q1246" s="520"/>
      <c r="R1246" s="167"/>
      <c r="S1246" s="520"/>
      <c r="T1246" s="167"/>
      <c r="U1246" s="528"/>
      <c r="V1246" s="522"/>
      <c r="X1246" s="4"/>
    </row>
    <row r="1247" spans="1:24" s="8" customFormat="1" ht="16.8">
      <c r="A1247" s="521"/>
      <c r="B1247" s="2"/>
      <c r="F1247" s="523"/>
      <c r="G1247" s="535">
        <f t="shared" ref="G1247" si="1871">IF(G1245="LCFF Rate",(G1238*C1238+G1239*C1239+G1240*C1240+G1241*C1241),(G1243*E1241))</f>
        <v>0</v>
      </c>
      <c r="H1247" s="537"/>
      <c r="I1247" s="535">
        <f t="shared" ref="I1247" si="1872">IF(I1245="LCFF Rate",(I1238*C1238+I1239*C1239+I1240*C1240+I1241*C1241),(I1243*E1241))</f>
        <v>0</v>
      </c>
      <c r="J1247" s="537"/>
      <c r="K1247" s="535">
        <f t="shared" ref="K1247" si="1873">IF(K1245="LCFF Rate",(K1238*C1238+K1239*C1239+K1240*C1240+K1241*C1241),(K1243*E1241))</f>
        <v>0</v>
      </c>
      <c r="L1247" s="537"/>
      <c r="M1247" s="535">
        <f t="shared" ref="M1247" si="1874">IF(M1245="LCFF Rate",(M1238*C1238+M1239*C1239+M1240*C1240+M1241*C1241),(M1243*E1241))</f>
        <v>0</v>
      </c>
      <c r="N1247" s="537"/>
      <c r="O1247" s="535">
        <f t="shared" ref="O1247" si="1875">IF(O1245="LCFF Rate",(O1238*C1238+O1239*C1239+O1240*C1240+O1241*C1241),(O1243*E1241))</f>
        <v>0</v>
      </c>
      <c r="P1247" s="537"/>
      <c r="Q1247" s="535">
        <f t="shared" ref="Q1247" si="1876">IF(Q1245="LCFF Rate",(Q1238*C1238+Q1239*C1239+Q1240*C1240+Q1241*C1241),(Q1243*E1241))</f>
        <v>0</v>
      </c>
      <c r="R1247" s="167"/>
      <c r="S1247" s="538">
        <f t="shared" ref="S1247" si="1877">SUM(G1247:Q1247)</f>
        <v>0</v>
      </c>
      <c r="T1247" s="167"/>
      <c r="U1247" s="528"/>
      <c r="V1247" s="522"/>
      <c r="X1247" s="979"/>
    </row>
    <row r="1248" spans="1:24" s="8" customFormat="1" ht="9" customHeight="1" thickBot="1">
      <c r="A1248" s="529"/>
      <c r="B1248" s="530"/>
      <c r="C1248" s="531"/>
      <c r="D1248" s="532"/>
      <c r="E1248" s="533"/>
      <c r="F1248" s="532"/>
      <c r="G1248" s="530"/>
      <c r="H1248" s="532"/>
      <c r="I1248" s="530"/>
      <c r="J1248" s="532"/>
      <c r="K1248" s="530"/>
      <c r="L1248" s="532"/>
      <c r="M1248" s="530"/>
      <c r="N1248" s="532"/>
      <c r="O1248" s="530"/>
      <c r="P1248" s="532"/>
      <c r="Q1248" s="530"/>
      <c r="R1248" s="532"/>
      <c r="S1248" s="530"/>
      <c r="T1248" s="532"/>
      <c r="U1248" s="532"/>
      <c r="V1248" s="534"/>
      <c r="X1248" s="4"/>
    </row>
    <row r="1249" spans="1:24" s="82" customFormat="1" ht="18" customHeight="1" thickBot="1">
      <c r="A1249" s="890">
        <f>+A1236+1</f>
        <v>96</v>
      </c>
      <c r="B1249" s="891" t="str">
        <f>'Data Entry'!$B$3&amp;"-"&amp;C1249</f>
        <v>-</v>
      </c>
      <c r="C1249" s="891" t="str">
        <f>IFERROR(VLOOKUP('Data Entry'!$B$3&amp;"-"&amp;A1249,'PY1 TFR ADA'!$D:$AT,2,FALSE),"")</f>
        <v/>
      </c>
      <c r="D1249" s="892" t="str">
        <f>IFERROR(VLOOKUP('Data Entry'!$B$3&amp;"-"&amp;A1249,'PY1 TFR ADA'!$D:$AT,4,FALSE),"")</f>
        <v/>
      </c>
      <c r="E1249" s="893"/>
      <c r="F1249" s="893"/>
      <c r="G1249" s="893"/>
      <c r="H1249" s="893"/>
      <c r="I1249" s="893"/>
      <c r="J1249" s="893"/>
      <c r="K1249" s="893"/>
      <c r="L1249" s="893"/>
      <c r="M1249" s="893"/>
      <c r="N1249" s="893"/>
      <c r="O1249" s="893"/>
      <c r="P1249" s="893"/>
      <c r="Q1249" s="893"/>
      <c r="R1249" s="893"/>
      <c r="S1249" s="893"/>
      <c r="T1249" s="893"/>
      <c r="U1249" s="893"/>
      <c r="V1249" s="894"/>
      <c r="X1249" s="83"/>
    </row>
    <row r="1250" spans="1:24" ht="75" customHeight="1">
      <c r="A1250" s="521"/>
      <c r="C1250" s="540" t="s">
        <v>1315</v>
      </c>
      <c r="D1250" s="512"/>
      <c r="E1250" s="540" t="s">
        <v>1316</v>
      </c>
      <c r="F1250" s="512"/>
      <c r="G1250" s="540" t="s">
        <v>1309</v>
      </c>
      <c r="H1250" s="512"/>
      <c r="I1250" s="540" t="s">
        <v>1310</v>
      </c>
      <c r="J1250" s="512"/>
      <c r="K1250" s="540" t="s">
        <v>1311</v>
      </c>
      <c r="L1250" s="512"/>
      <c r="M1250" s="540" t="s">
        <v>1312</v>
      </c>
      <c r="N1250" s="512"/>
      <c r="O1250" s="540" t="s">
        <v>1313</v>
      </c>
      <c r="P1250" s="512"/>
      <c r="Q1250" s="540" t="s">
        <v>1314</v>
      </c>
      <c r="R1250" s="167"/>
      <c r="S1250" s="540" t="s">
        <v>1308</v>
      </c>
      <c r="T1250" s="167"/>
      <c r="U1250" s="512" t="s">
        <v>1307</v>
      </c>
      <c r="V1250" s="524"/>
      <c r="X1250" s="283"/>
    </row>
    <row r="1251" spans="1:24" s="8" customFormat="1" ht="14.4">
      <c r="A1251" s="521"/>
      <c r="B1251" s="510" t="s">
        <v>94</v>
      </c>
      <c r="C1251" s="525">
        <f>IFERROR(VLOOKUP($B1249,'PY1 TFR ADA'!$F:$AU,MATCH("A-1.1",'PY1 TFR ADA'!$F$5:$AU$5,0),FALSE),0)</f>
        <v>0</v>
      </c>
      <c r="D1251" s="167"/>
      <c r="E1251" s="525">
        <f>IFERROR(VALUE(VLOOKUP($B1249,'PY1 TFR ADA'!$F:$AU,MATCH("A-2.1",'PY1 TFR ADA'!$F$5:$AU$5,0),FALSE)),0)</f>
        <v>0</v>
      </c>
      <c r="F1251" s="167"/>
      <c r="G1251" s="609">
        <f>IFERROR(VLOOKUP($B1249,'PY1 TFR ADA'!$F:$AU,MATCH("b-1.1",'PY1 TFR ADA'!$F$5:$AU$5,0),FALSE),0)</f>
        <v>0</v>
      </c>
      <c r="H1251" s="527"/>
      <c r="I1251" s="609">
        <f>IFERROR(VLOOKUP($B1249,'PY1 TFR ADA'!$F:$AU,MATCH("b-2.1",'PY1 TFR ADA'!$F$5:$AU$5,0),FALSE),0)</f>
        <v>0</v>
      </c>
      <c r="J1251" s="527"/>
      <c r="K1251" s="609">
        <f>IFERROR(VLOOKUP($B1249,'PY1 TFR ADA'!$F:$AU,MATCH("b-3.1",'PY1 TFR ADA'!$F$5:$AU$5,0),FALSE),0)</f>
        <v>0</v>
      </c>
      <c r="L1251" s="527"/>
      <c r="M1251" s="609">
        <f>IFERROR(VLOOKUP($B1249,'PY1 TFR ADA'!$F:$AU,MATCH("b-4.1",'PY1 TFR ADA'!$F$5:$AU$5,0),FALSE),0)</f>
        <v>0</v>
      </c>
      <c r="N1251" s="527"/>
      <c r="O1251" s="609">
        <f>IFERROR(VLOOKUP($B1249,'PY1 TFR ADA'!$F:$AU,MATCH("b-5.1",'PY1 TFR ADA'!$F$5:$AU$5,0),FALSE),0)</f>
        <v>0</v>
      </c>
      <c r="P1251" s="527"/>
      <c r="Q1251" s="609">
        <f>IFERROR(VLOOKUP($B1249,'PY1 TFR ADA'!$F:$AU,MATCH("b-6.1",'PY1 TFR ADA'!$F$5:$AU$5,0),FALSE),0)</f>
        <v>0</v>
      </c>
      <c r="R1251" s="551"/>
      <c r="S1251" s="601">
        <f t="shared" ref="S1251:S1254" si="1878">SUM(G1251:Q1251)</f>
        <v>0</v>
      </c>
      <c r="T1251" s="551"/>
      <c r="U1251" s="536">
        <f t="shared" ref="U1251" si="1879">ROUND(IF($G1258="LCFF Rate",(G1251*$C1251),(G1251*$E1251))+IF($I1258="LCFF Rate",(I1251*$C1251),(I1251*$E1251))+IF($K1258="LCFF Rate",(K1251*$C1251),(K1251*$E1251))+IF($M1258="LCFF Rate",(M1251*$C1251),(M1251*$E1251))+IF($O1258="LCFF Rate",(O1251*$C1251),(O1251*$E1251))+IF($Q1258="LCFF Rate",(Q1251*$C1251),(Q1251*$E1251)),0)</f>
        <v>0</v>
      </c>
      <c r="V1251" s="524"/>
      <c r="X1251" s="496"/>
    </row>
    <row r="1252" spans="1:24" s="8" customFormat="1" ht="14.4">
      <c r="A1252" s="521"/>
      <c r="B1252" s="510" t="s">
        <v>2</v>
      </c>
      <c r="C1252" s="525">
        <f>IFERROR(VLOOKUP($B1249,'PY1 TFR ADA'!$F:$AU,MATCH("A-1.2",'PY1 TFR ADA'!$F$5:$AU$5,0),FALSE),0)</f>
        <v>0</v>
      </c>
      <c r="D1252" s="167"/>
      <c r="E1252" s="525">
        <f>IFERROR(VALUE(VLOOKUP($B1249,'PY1 TFR ADA'!$F:$AU,MATCH("A-2.2",'PY1 TFR ADA'!$F$5:$AU$5,0),FALSE)),0)</f>
        <v>0</v>
      </c>
      <c r="F1252" s="167"/>
      <c r="G1252" s="609">
        <f>IFERROR(VLOOKUP($B1249,'PY1 TFR ADA'!$F:$AU,MATCH("b-1.2",'PY1 TFR ADA'!$F$5:$AU$5,0),FALSE),0)</f>
        <v>0</v>
      </c>
      <c r="H1252" s="527"/>
      <c r="I1252" s="609">
        <f>IFERROR(VLOOKUP($B1249,'PY1 TFR ADA'!$F:$AU,MATCH("b-2.2",'PY1 TFR ADA'!$F$5:$AU$5,0),FALSE),0)</f>
        <v>0</v>
      </c>
      <c r="J1252" s="527"/>
      <c r="K1252" s="609">
        <f>IFERROR(VLOOKUP($B1249,'PY1 TFR ADA'!$F:$AU,MATCH("b-3.2",'PY1 TFR ADA'!$F$5:$AU$5,0),FALSE),0)</f>
        <v>0</v>
      </c>
      <c r="L1252" s="527"/>
      <c r="M1252" s="609">
        <f>IFERROR(VLOOKUP($B1249,'PY1 TFR ADA'!$F:$AU,MATCH("b-4.2",'PY1 TFR ADA'!$F$5:$AU$5,0),FALSE),0)</f>
        <v>0</v>
      </c>
      <c r="N1252" s="527"/>
      <c r="O1252" s="609">
        <f>IFERROR(VLOOKUP($B1249,'PY1 TFR ADA'!$F:$AU,MATCH("b-5.2",'PY1 TFR ADA'!$F$5:$AU$5,0),FALSE),0)</f>
        <v>0</v>
      </c>
      <c r="P1252" s="527"/>
      <c r="Q1252" s="609">
        <f>IFERROR(VLOOKUP($B1249,'PY1 TFR ADA'!$F:$AU,MATCH("b-6.2",'PY1 TFR ADA'!$F$5:$AU$5,0),FALSE),0)</f>
        <v>0</v>
      </c>
      <c r="R1252" s="551"/>
      <c r="S1252" s="601">
        <f t="shared" si="1878"/>
        <v>0</v>
      </c>
      <c r="T1252" s="551"/>
      <c r="U1252" s="536">
        <f t="shared" ref="U1252" si="1880">ROUND(IF($G1258="LCFF Rate",(G1252*$C1252),(G1252*$E1252))+IF($I1258="LCFF Rate",(I1252*$C1252),(I1252*$E1252))+IF($K1258="LCFF Rate",(K1252*$C1252),(K1252*$E1252))+IF($M1258="LCFF Rate",(M1252*$C1252),(M1252*$E1252))+IF($O1258="LCFF Rate",(O1252*$C1252),(O1252*$E1252))+IF($Q1258="LCFF Rate",(Q1252*$C1252),(Q1252*$E1252)),0)</f>
        <v>0</v>
      </c>
      <c r="V1252" s="524"/>
      <c r="X1252" s="4"/>
    </row>
    <row r="1253" spans="1:24" s="8" customFormat="1" ht="14.4">
      <c r="A1253" s="521"/>
      <c r="B1253" s="510" t="s">
        <v>3</v>
      </c>
      <c r="C1253" s="525">
        <f>IFERROR(VLOOKUP($B1249,'PY1 TFR ADA'!$F:$AU,MATCH("A-1.3",'PY1 TFR ADA'!$F$5:$AU$5,0),FALSE),0)</f>
        <v>0</v>
      </c>
      <c r="D1253" s="167"/>
      <c r="E1253" s="525">
        <f>IFERROR(VALUE(VLOOKUP($B1249,'PY1 TFR ADA'!$F:$AU,MATCH("A-2.3",'PY1 TFR ADA'!$F$5:$AU$5,0),FALSE)),0)</f>
        <v>0</v>
      </c>
      <c r="F1253" s="167"/>
      <c r="G1253" s="609">
        <f>IFERROR(VLOOKUP($B1249,'PY1 TFR ADA'!$F:$AU,MATCH("b-1.3",'PY1 TFR ADA'!$F$5:$AU$5,0),FALSE),0)</f>
        <v>0</v>
      </c>
      <c r="H1253" s="527"/>
      <c r="I1253" s="609">
        <f>IFERROR(VLOOKUP($B1249,'PY1 TFR ADA'!$F:$AU,MATCH("b-2.3",'PY1 TFR ADA'!$F$5:$AU$5,0),FALSE),0)</f>
        <v>0</v>
      </c>
      <c r="J1253" s="527"/>
      <c r="K1253" s="609">
        <f>IFERROR(VLOOKUP($B1249,'PY1 TFR ADA'!$F:$AU,MATCH("b-3.3",'PY1 TFR ADA'!$F$5:$AU$5,0),FALSE),0)</f>
        <v>0</v>
      </c>
      <c r="L1253" s="527"/>
      <c r="M1253" s="609">
        <f>IFERROR(VLOOKUP($B1249,'PY1 TFR ADA'!$F:$AU,MATCH("b-4.3",'PY1 TFR ADA'!$F$5:$AU$5,0),FALSE),0)</f>
        <v>0</v>
      </c>
      <c r="N1253" s="527"/>
      <c r="O1253" s="609">
        <f>IFERROR(VLOOKUP($B1249,'PY1 TFR ADA'!$F:$AU,MATCH("b-5.3",'PY1 TFR ADA'!$F$5:$AU$5,0),FALSE),0)</f>
        <v>0</v>
      </c>
      <c r="P1253" s="527"/>
      <c r="Q1253" s="609">
        <f>IFERROR(VLOOKUP($B1249,'PY1 TFR ADA'!$F:$AU,MATCH("b-6.3",'PY1 TFR ADA'!$F$5:$AU$5,0),FALSE),0)</f>
        <v>0</v>
      </c>
      <c r="R1253" s="551"/>
      <c r="S1253" s="601">
        <f t="shared" si="1878"/>
        <v>0</v>
      </c>
      <c r="T1253" s="551"/>
      <c r="U1253" s="536">
        <f t="shared" ref="U1253" si="1881">ROUND(IF($G1258="LCFF Rate",(G1253*$C1253),(G1253*$E1253))+IF($I1258="LCFF Rate",(I1253*$C1253),(I1253*$E1253))+IF($K1258="LCFF Rate",(K1253*$C1253),(K1253*$E1253))+IF($M1258="LCFF Rate",(M1253*$C1253),(M1253*$E1253))+IF($O1258="LCFF Rate",(O1253*$C1253),(O1253*$E1253))+IF($Q1258="LCFF Rate",(Q1253*$C1253),(Q1253*$E1253)),0)</f>
        <v>0</v>
      </c>
      <c r="V1253" s="524"/>
      <c r="X1253" s="4"/>
    </row>
    <row r="1254" spans="1:24" s="8" customFormat="1" ht="14.4">
      <c r="A1254" s="526"/>
      <c r="B1254" s="510" t="s">
        <v>4</v>
      </c>
      <c r="C1254" s="525">
        <f>IFERROR(VLOOKUP($B1249,'PY1 TFR ADA'!$F:$AU,MATCH("A-1.4",'PY1 TFR ADA'!$F$5:$AU$5,0),FALSE),0)</f>
        <v>0</v>
      </c>
      <c r="D1254" s="523"/>
      <c r="E1254" s="525">
        <f>IFERROR(VALUE(VLOOKUP($B1249,'PY1 TFR ADA'!$F:$AU,MATCH("A-2.4",'PY1 TFR ADA'!$F$5:$AU$5,0),FALSE)),0)</f>
        <v>0</v>
      </c>
      <c r="F1254" s="523"/>
      <c r="G1254" s="609">
        <f>IFERROR(VLOOKUP($B1249,'PY1 TFR ADA'!$F:$AU,MATCH("b-1.4",'PY1 TFR ADA'!$F$5:$AU$5,0),FALSE),0)</f>
        <v>0</v>
      </c>
      <c r="H1254" s="527"/>
      <c r="I1254" s="609">
        <f>IFERROR(VLOOKUP($B1249,'PY1 TFR ADA'!$F:$AU,MATCH("b-2.4",'PY1 TFR ADA'!$F$5:$AU$5,0),FALSE),0)</f>
        <v>0</v>
      </c>
      <c r="J1254" s="527"/>
      <c r="K1254" s="609">
        <f>IFERROR(VLOOKUP($B1249,'PY1 TFR ADA'!$F:$AU,MATCH("b-3.4",'PY1 TFR ADA'!$F$5:$AU$5,0),FALSE),0)</f>
        <v>0</v>
      </c>
      <c r="L1254" s="527"/>
      <c r="M1254" s="609">
        <f>IFERROR(VLOOKUP($B1249,'PY1 TFR ADA'!$F:$AU,MATCH("b-4.4",'PY1 TFR ADA'!$F$5:$AU$5,0),FALSE),0)</f>
        <v>0</v>
      </c>
      <c r="N1254" s="527"/>
      <c r="O1254" s="609">
        <f>IFERROR(VLOOKUP($B1249,'PY1 TFR ADA'!$F:$AU,MATCH("b-5.4",'PY1 TFR ADA'!$F$5:$AU$5,0),FALSE),0)</f>
        <v>0</v>
      </c>
      <c r="P1254" s="527"/>
      <c r="Q1254" s="609">
        <f>IFERROR(VLOOKUP($B1249,'PY1 TFR ADA'!$F:$AU,MATCH("b-6.4",'PY1 TFR ADA'!$F$5:$AU$5,0),FALSE),0)</f>
        <v>0</v>
      </c>
      <c r="R1254" s="551"/>
      <c r="S1254" s="601">
        <f t="shared" si="1878"/>
        <v>0</v>
      </c>
      <c r="T1254" s="551"/>
      <c r="U1254" s="536">
        <f t="shared" ref="U1254" si="1882">ROUND(IF($G1258="LCFF Rate",(G1254*$C1254),(G1254*$E1254))+IF($I1258="LCFF Rate",(I1254*$C1254),(I1254*$E1254))+IF($K1258="LCFF Rate",(K1254*$C1254),(K1254*$E1254))+IF($M1258="LCFF Rate",(M1254*$C1254),(M1254*$E1254))+IF($O1258="LCFF Rate",(O1254*$C1254),(O1254*$E1254))+IF($Q1258="LCFF Rate",(Q1254*$C1254),(Q1254*$E1254)),0)</f>
        <v>0</v>
      </c>
      <c r="V1254" s="522"/>
      <c r="X1254" s="496"/>
    </row>
    <row r="1255" spans="1:24" s="8" customFormat="1" ht="8.25" customHeight="1">
      <c r="A1255" s="521"/>
      <c r="B1255" s="167"/>
      <c r="C1255" s="165"/>
      <c r="D1255" s="523"/>
      <c r="E1255" s="165"/>
      <c r="F1255" s="523"/>
      <c r="G1255" s="520"/>
      <c r="H1255" s="523"/>
      <c r="I1255" s="520"/>
      <c r="J1255" s="523"/>
      <c r="K1255" s="520"/>
      <c r="L1255" s="523"/>
      <c r="M1255" s="520"/>
      <c r="N1255" s="523"/>
      <c r="O1255" s="520"/>
      <c r="P1255" s="523"/>
      <c r="Q1255" s="520"/>
      <c r="R1255" s="167"/>
      <c r="S1255" s="520"/>
      <c r="T1255" s="167"/>
      <c r="U1255" s="602"/>
      <c r="V1255" s="522"/>
      <c r="X1255" s="4"/>
    </row>
    <row r="1256" spans="1:24" s="8" customFormat="1" ht="14.4">
      <c r="A1256" s="521"/>
      <c r="B1256" s="167"/>
      <c r="C1256" s="165"/>
      <c r="D1256" s="523"/>
      <c r="E1256" s="513" t="s">
        <v>1317</v>
      </c>
      <c r="F1256" s="523"/>
      <c r="G1256" s="601">
        <f t="shared" ref="G1256" si="1883">SUM(G1251:G1254)</f>
        <v>0</v>
      </c>
      <c r="H1256" s="527"/>
      <c r="I1256" s="601">
        <f t="shared" ref="I1256" si="1884">SUM(I1251:I1254)</f>
        <v>0</v>
      </c>
      <c r="J1256" s="527"/>
      <c r="K1256" s="601">
        <f t="shared" ref="K1256" si="1885">SUM(K1251:K1254)</f>
        <v>0</v>
      </c>
      <c r="L1256" s="527"/>
      <c r="M1256" s="601">
        <f t="shared" ref="M1256" si="1886">SUM(M1251:M1254)</f>
        <v>0</v>
      </c>
      <c r="N1256" s="527"/>
      <c r="O1256" s="601">
        <f t="shared" ref="O1256" si="1887">SUM(O1251:O1254)</f>
        <v>0</v>
      </c>
      <c r="P1256" s="527"/>
      <c r="Q1256" s="601">
        <f t="shared" ref="Q1256" si="1888">SUM(Q1251:Q1254)</f>
        <v>0</v>
      </c>
      <c r="R1256" s="527"/>
      <c r="S1256" s="601">
        <f t="shared" ref="S1256" si="1889">SUM(S1251:S1254)</f>
        <v>0</v>
      </c>
      <c r="T1256" s="527"/>
      <c r="U1256" s="536">
        <f t="shared" ref="U1256" si="1890">SUM(U1251:U1254)</f>
        <v>0</v>
      </c>
      <c r="V1256" s="522"/>
      <c r="X1256" s="4"/>
    </row>
    <row r="1257" spans="1:24" s="8" customFormat="1" ht="8.25" customHeight="1">
      <c r="A1257" s="521"/>
      <c r="B1257" s="167"/>
      <c r="C1257" s="165"/>
      <c r="D1257" s="523"/>
      <c r="E1257" s="165"/>
      <c r="F1257" s="523"/>
      <c r="G1257" s="520"/>
      <c r="H1257" s="523"/>
      <c r="I1257" s="520"/>
      <c r="J1257" s="523"/>
      <c r="K1257" s="520"/>
      <c r="L1257" s="523"/>
      <c r="M1257" s="520"/>
      <c r="N1257" s="523"/>
      <c r="O1257" s="520"/>
      <c r="P1257" s="523"/>
      <c r="Q1257" s="520"/>
      <c r="R1257" s="167"/>
      <c r="S1257" s="520"/>
      <c r="T1257" s="167"/>
      <c r="U1257" s="528"/>
      <c r="V1257" s="522"/>
      <c r="X1257" s="4"/>
    </row>
    <row r="1258" spans="1:24" s="8" customFormat="1" ht="16.5" customHeight="1">
      <c r="A1258" s="521"/>
      <c r="B1258" s="167"/>
      <c r="C1258" s="165"/>
      <c r="E1258" s="513" t="s">
        <v>1304</v>
      </c>
      <c r="F1258" s="523"/>
      <c r="G1258" s="977">
        <f>_xlfn.IFNA(IF(VLOOKUP($B1249,'PY1 TFR ADA'!$F:$AU,MATCH("B-1.5",'PY1 TFR ADA'!$F$5:$AU$5,0),FALSE)=TRUE,IF(VLOOKUP($B1249,'PY1 TFR ADA'!$F:$AU,MATCH("C-1",'PY1 TFR ADA'!$F$5:$AU$5,0),FALSE)=TRUE,"Alternative Rate","LCFF Rate"),"LCFF Rate"),0)</f>
        <v>0</v>
      </c>
      <c r="H1258" s="523"/>
      <c r="I1258" s="977">
        <f>_xlfn.IFNA(IF(VLOOKUP($B1249,'PY1 TFR ADA'!$F:$AU,MATCH("B-2.5",'PY1 TFR ADA'!$F$5:$AU$5,0),FALSE)=TRUE,IF(VLOOKUP($B1249,'PY1 TFR ADA'!$F:$AU,MATCH("C-1",'PY1 TFR ADA'!$F$5:$AU$5,0),FALSE)=TRUE,"Alternative Rate","LCFF Rate"),"LCFF Rate"),0)</f>
        <v>0</v>
      </c>
      <c r="J1258" s="523"/>
      <c r="K1258" s="977">
        <f>_xlfn.IFNA(IF(VLOOKUP($B1249,'PY1 TFR ADA'!$F:$AU,MATCH("B-3.5",'PY1 TFR ADA'!$F$5:$AU$5,0),FALSE)=TRUE,IF(VLOOKUP($B1249,'PY1 TFR ADA'!$F:$AU,MATCH("C-1",'PY1 TFR ADA'!$F$5:$AU$5,0),FALSE)=TRUE,"Alternative Rate","LCFF Rate"),"LCFF Rate"),0)</f>
        <v>0</v>
      </c>
      <c r="L1258" s="523"/>
      <c r="M1258" s="977">
        <f>_xlfn.IFNA(IF(VLOOKUP($B1249,'PY1 TFR ADA'!$F:$AU,MATCH("B-4.5",'PY1 TFR ADA'!$F$5:$AU$5,0),FALSE)=TRUE,IF(VLOOKUP($B1249,'PY1 TFR ADA'!$F:$AU,MATCH("C-1",'PY1 TFR ADA'!$F$5:$AU$5,0),FALSE)=TRUE,"Alternative Rate","LCFF Rate"),"LCFF Rate"),0)</f>
        <v>0</v>
      </c>
      <c r="N1258" s="523"/>
      <c r="O1258" s="977">
        <f>_xlfn.IFNA(IF(VLOOKUP($B1249,'PY1 TFR ADA'!$F:$AU,MATCH("B-5.5",'PY1 TFR ADA'!$F$5:$AU$5,0),FALSE)=TRUE,IF(VLOOKUP($B1249,'PY1 TFR ADA'!$F:$AU,MATCH("C-1",'PY1 TFR ADA'!$F$5:$AU$5,0),FALSE)=TRUE,"Alternative Rate","LCFF Rate"),"LCFF Rate"),0)</f>
        <v>0</v>
      </c>
      <c r="P1258" s="523"/>
      <c r="Q1258" s="977">
        <f>_xlfn.IFNA(IF(VLOOKUP($B1249,'PY1 TFR ADA'!$F:$AU,MATCH("B-6.5",'PY1 TFR ADA'!$F$5:$AU$5,0),FALSE)=TRUE,IF(VLOOKUP($B1249,'PY1 TFR ADA'!$F:$AU,MATCH("C-1",'PY1 TFR ADA'!$F$5:$AU$5,0),FALSE)=TRUE,"Alternative Rate","LCFF Rate"),"LCFF Rate"),0)</f>
        <v>0</v>
      </c>
      <c r="R1258" s="167"/>
      <c r="S1258" s="520"/>
      <c r="T1258" s="167"/>
      <c r="U1258" s="528"/>
      <c r="V1258" s="522"/>
      <c r="X1258" s="283"/>
    </row>
    <row r="1259" spans="1:24" s="8" customFormat="1" ht="8.25" customHeight="1">
      <c r="A1259" s="521"/>
      <c r="B1259" s="167"/>
      <c r="C1259" s="165"/>
      <c r="D1259" s="523"/>
      <c r="E1259" s="165"/>
      <c r="F1259" s="523"/>
      <c r="G1259" s="520"/>
      <c r="H1259" s="523"/>
      <c r="I1259" s="520"/>
      <c r="J1259" s="523"/>
      <c r="K1259" s="520"/>
      <c r="L1259" s="523"/>
      <c r="M1259" s="520"/>
      <c r="N1259" s="523"/>
      <c r="O1259" s="520"/>
      <c r="P1259" s="523"/>
      <c r="Q1259" s="520"/>
      <c r="R1259" s="167"/>
      <c r="S1259" s="520"/>
      <c r="T1259" s="167"/>
      <c r="U1259" s="528"/>
      <c r="V1259" s="522"/>
      <c r="X1259" s="4"/>
    </row>
    <row r="1260" spans="1:24" s="8" customFormat="1" ht="16.8">
      <c r="A1260" s="521"/>
      <c r="B1260" s="2"/>
      <c r="F1260" s="523"/>
      <c r="G1260" s="535">
        <f t="shared" ref="G1260" si="1891">IF(G1258="LCFF Rate",(G1251*C1251+G1252*C1252+G1253*C1253+G1254*C1254),(G1256*E1254))</f>
        <v>0</v>
      </c>
      <c r="H1260" s="537"/>
      <c r="I1260" s="535">
        <f t="shared" ref="I1260" si="1892">IF(I1258="LCFF Rate",(I1251*C1251+I1252*C1252+I1253*C1253+I1254*C1254),(I1256*E1254))</f>
        <v>0</v>
      </c>
      <c r="J1260" s="537"/>
      <c r="K1260" s="535">
        <f t="shared" ref="K1260" si="1893">IF(K1258="LCFF Rate",(K1251*C1251+K1252*C1252+K1253*C1253+K1254*C1254),(K1256*E1254))</f>
        <v>0</v>
      </c>
      <c r="L1260" s="537"/>
      <c r="M1260" s="535">
        <f t="shared" ref="M1260" si="1894">IF(M1258="LCFF Rate",(M1251*C1251+M1252*C1252+M1253*C1253+M1254*C1254),(M1256*E1254))</f>
        <v>0</v>
      </c>
      <c r="N1260" s="537"/>
      <c r="O1260" s="535">
        <f t="shared" ref="O1260" si="1895">IF(O1258="LCFF Rate",(O1251*C1251+O1252*C1252+O1253*C1253+O1254*C1254),(O1256*E1254))</f>
        <v>0</v>
      </c>
      <c r="P1260" s="537"/>
      <c r="Q1260" s="535">
        <f t="shared" ref="Q1260" si="1896">IF(Q1258="LCFF Rate",(Q1251*C1251+Q1252*C1252+Q1253*C1253+Q1254*C1254),(Q1256*E1254))</f>
        <v>0</v>
      </c>
      <c r="R1260" s="167"/>
      <c r="S1260" s="538">
        <f t="shared" ref="S1260" si="1897">SUM(G1260:Q1260)</f>
        <v>0</v>
      </c>
      <c r="T1260" s="167"/>
      <c r="U1260" s="528"/>
      <c r="V1260" s="522"/>
      <c r="X1260" s="979"/>
    </row>
    <row r="1261" spans="1:24" s="8" customFormat="1" ht="9" customHeight="1" thickBot="1">
      <c r="A1261" s="529"/>
      <c r="B1261" s="530"/>
      <c r="C1261" s="531"/>
      <c r="D1261" s="532"/>
      <c r="E1261" s="533"/>
      <c r="F1261" s="532"/>
      <c r="G1261" s="530"/>
      <c r="H1261" s="532"/>
      <c r="I1261" s="530"/>
      <c r="J1261" s="532"/>
      <c r="K1261" s="530"/>
      <c r="L1261" s="532"/>
      <c r="M1261" s="530"/>
      <c r="N1261" s="532"/>
      <c r="O1261" s="530"/>
      <c r="P1261" s="532"/>
      <c r="Q1261" s="530"/>
      <c r="R1261" s="532"/>
      <c r="S1261" s="530"/>
      <c r="T1261" s="532"/>
      <c r="U1261" s="532"/>
      <c r="V1261" s="534"/>
      <c r="X1261" s="4"/>
    </row>
    <row r="1262" spans="1:24" s="82" customFormat="1" ht="18" customHeight="1" thickBot="1">
      <c r="A1262" s="890">
        <f>+A1249+1</f>
        <v>97</v>
      </c>
      <c r="B1262" s="891" t="str">
        <f>'Data Entry'!$B$3&amp;"-"&amp;C1262</f>
        <v>-</v>
      </c>
      <c r="C1262" s="891" t="str">
        <f>IFERROR(VLOOKUP('Data Entry'!$B$3&amp;"-"&amp;A1262,'PY1 TFR ADA'!$D:$AT,2,FALSE),"")</f>
        <v/>
      </c>
      <c r="D1262" s="892" t="str">
        <f>IFERROR(VLOOKUP('Data Entry'!$B$3&amp;"-"&amp;A1262,'PY1 TFR ADA'!$D:$AT,4,FALSE),"")</f>
        <v/>
      </c>
      <c r="E1262" s="893"/>
      <c r="F1262" s="893"/>
      <c r="G1262" s="893"/>
      <c r="H1262" s="893"/>
      <c r="I1262" s="893"/>
      <c r="J1262" s="893"/>
      <c r="K1262" s="893"/>
      <c r="L1262" s="893"/>
      <c r="M1262" s="893"/>
      <c r="N1262" s="893"/>
      <c r="O1262" s="893"/>
      <c r="P1262" s="893"/>
      <c r="Q1262" s="893"/>
      <c r="R1262" s="893"/>
      <c r="S1262" s="893"/>
      <c r="T1262" s="893"/>
      <c r="U1262" s="893"/>
      <c r="V1262" s="894"/>
      <c r="X1262" s="83"/>
    </row>
    <row r="1263" spans="1:24" ht="75" customHeight="1">
      <c r="A1263" s="521"/>
      <c r="C1263" s="540" t="s">
        <v>1315</v>
      </c>
      <c r="D1263" s="512"/>
      <c r="E1263" s="540" t="s">
        <v>1316</v>
      </c>
      <c r="F1263" s="512"/>
      <c r="G1263" s="540" t="s">
        <v>1309</v>
      </c>
      <c r="H1263" s="512"/>
      <c r="I1263" s="540" t="s">
        <v>1310</v>
      </c>
      <c r="J1263" s="512"/>
      <c r="K1263" s="540" t="s">
        <v>1311</v>
      </c>
      <c r="L1263" s="512"/>
      <c r="M1263" s="540" t="s">
        <v>1312</v>
      </c>
      <c r="N1263" s="512"/>
      <c r="O1263" s="540" t="s">
        <v>1313</v>
      </c>
      <c r="P1263" s="512"/>
      <c r="Q1263" s="540" t="s">
        <v>1314</v>
      </c>
      <c r="R1263" s="167"/>
      <c r="S1263" s="540" t="s">
        <v>1308</v>
      </c>
      <c r="T1263" s="167"/>
      <c r="U1263" s="512" t="s">
        <v>1307</v>
      </c>
      <c r="V1263" s="524"/>
      <c r="X1263" s="283"/>
    </row>
    <row r="1264" spans="1:24" s="8" customFormat="1" ht="14.4">
      <c r="A1264" s="521"/>
      <c r="B1264" s="510" t="s">
        <v>94</v>
      </c>
      <c r="C1264" s="525">
        <f>IFERROR(VLOOKUP($B1262,'PY1 TFR ADA'!$F:$AU,MATCH("A-1.1",'PY1 TFR ADA'!$F$5:$AU$5,0),FALSE),0)</f>
        <v>0</v>
      </c>
      <c r="D1264" s="167"/>
      <c r="E1264" s="525">
        <f>IFERROR(VALUE(VLOOKUP($B1262,'PY1 TFR ADA'!$F:$AU,MATCH("A-2.1",'PY1 TFR ADA'!$F$5:$AU$5,0),FALSE)),0)</f>
        <v>0</v>
      </c>
      <c r="F1264" s="167"/>
      <c r="G1264" s="609">
        <f>IFERROR(VLOOKUP($B1262,'PY1 TFR ADA'!$F:$AU,MATCH("b-1.1",'PY1 TFR ADA'!$F$5:$AU$5,0),FALSE),0)</f>
        <v>0</v>
      </c>
      <c r="H1264" s="527"/>
      <c r="I1264" s="609">
        <f>IFERROR(VLOOKUP($B1262,'PY1 TFR ADA'!$F:$AU,MATCH("b-2.1",'PY1 TFR ADA'!$F$5:$AU$5,0),FALSE),0)</f>
        <v>0</v>
      </c>
      <c r="J1264" s="527"/>
      <c r="K1264" s="609">
        <f>IFERROR(VLOOKUP($B1262,'PY1 TFR ADA'!$F:$AU,MATCH("b-3.1",'PY1 TFR ADA'!$F$5:$AU$5,0),FALSE),0)</f>
        <v>0</v>
      </c>
      <c r="L1264" s="527"/>
      <c r="M1264" s="609">
        <f>IFERROR(VLOOKUP($B1262,'PY1 TFR ADA'!$F:$AU,MATCH("b-4.1",'PY1 TFR ADA'!$F$5:$AU$5,0),FALSE),0)</f>
        <v>0</v>
      </c>
      <c r="N1264" s="527"/>
      <c r="O1264" s="609">
        <f>IFERROR(VLOOKUP($B1262,'PY1 TFR ADA'!$F:$AU,MATCH("b-5.1",'PY1 TFR ADA'!$F$5:$AU$5,0),FALSE),0)</f>
        <v>0</v>
      </c>
      <c r="P1264" s="527"/>
      <c r="Q1264" s="609">
        <f>IFERROR(VLOOKUP($B1262,'PY1 TFR ADA'!$F:$AU,MATCH("b-6.1",'PY1 TFR ADA'!$F$5:$AU$5,0),FALSE),0)</f>
        <v>0</v>
      </c>
      <c r="R1264" s="551"/>
      <c r="S1264" s="601">
        <f t="shared" ref="S1264:S1267" si="1898">SUM(G1264:Q1264)</f>
        <v>0</v>
      </c>
      <c r="T1264" s="551"/>
      <c r="U1264" s="536">
        <f t="shared" ref="U1264" si="1899">ROUND(IF($G1271="LCFF Rate",(G1264*$C1264),(G1264*$E1264))+IF($I1271="LCFF Rate",(I1264*$C1264),(I1264*$E1264))+IF($K1271="LCFF Rate",(K1264*$C1264),(K1264*$E1264))+IF($M1271="LCFF Rate",(M1264*$C1264),(M1264*$E1264))+IF($O1271="LCFF Rate",(O1264*$C1264),(O1264*$E1264))+IF($Q1271="LCFF Rate",(Q1264*$C1264),(Q1264*$E1264)),0)</f>
        <v>0</v>
      </c>
      <c r="V1264" s="524"/>
      <c r="X1264" s="496"/>
    </row>
    <row r="1265" spans="1:24" s="8" customFormat="1" ht="14.4">
      <c r="A1265" s="521"/>
      <c r="B1265" s="510" t="s">
        <v>2</v>
      </c>
      <c r="C1265" s="525">
        <f>IFERROR(VLOOKUP($B1262,'PY1 TFR ADA'!$F:$AU,MATCH("A-1.2",'PY1 TFR ADA'!$F$5:$AU$5,0),FALSE),0)</f>
        <v>0</v>
      </c>
      <c r="D1265" s="167"/>
      <c r="E1265" s="525">
        <f>IFERROR(VALUE(VLOOKUP($B1262,'PY1 TFR ADA'!$F:$AU,MATCH("A-2.2",'PY1 TFR ADA'!$F$5:$AU$5,0),FALSE)),0)</f>
        <v>0</v>
      </c>
      <c r="F1265" s="167"/>
      <c r="G1265" s="609">
        <f>IFERROR(VLOOKUP($B1262,'PY1 TFR ADA'!$F:$AU,MATCH("b-1.2",'PY1 TFR ADA'!$F$5:$AU$5,0),FALSE),0)</f>
        <v>0</v>
      </c>
      <c r="H1265" s="527"/>
      <c r="I1265" s="609">
        <f>IFERROR(VLOOKUP($B1262,'PY1 TFR ADA'!$F:$AU,MATCH("b-2.2",'PY1 TFR ADA'!$F$5:$AU$5,0),FALSE),0)</f>
        <v>0</v>
      </c>
      <c r="J1265" s="527"/>
      <c r="K1265" s="609">
        <f>IFERROR(VLOOKUP($B1262,'PY1 TFR ADA'!$F:$AU,MATCH("b-3.2",'PY1 TFR ADA'!$F$5:$AU$5,0),FALSE),0)</f>
        <v>0</v>
      </c>
      <c r="L1265" s="527"/>
      <c r="M1265" s="609">
        <f>IFERROR(VLOOKUP($B1262,'PY1 TFR ADA'!$F:$AU,MATCH("b-4.2",'PY1 TFR ADA'!$F$5:$AU$5,0),FALSE),0)</f>
        <v>0</v>
      </c>
      <c r="N1265" s="527"/>
      <c r="O1265" s="609">
        <f>IFERROR(VLOOKUP($B1262,'PY1 TFR ADA'!$F:$AU,MATCH("b-5.2",'PY1 TFR ADA'!$F$5:$AU$5,0),FALSE),0)</f>
        <v>0</v>
      </c>
      <c r="P1265" s="527"/>
      <c r="Q1265" s="609">
        <f>IFERROR(VLOOKUP($B1262,'PY1 TFR ADA'!$F:$AU,MATCH("b-6.2",'PY1 TFR ADA'!$F$5:$AU$5,0),FALSE),0)</f>
        <v>0</v>
      </c>
      <c r="R1265" s="551"/>
      <c r="S1265" s="601">
        <f t="shared" si="1898"/>
        <v>0</v>
      </c>
      <c r="T1265" s="551"/>
      <c r="U1265" s="536">
        <f t="shared" ref="U1265" si="1900">ROUND(IF($G1271="LCFF Rate",(G1265*$C1265),(G1265*$E1265))+IF($I1271="LCFF Rate",(I1265*$C1265),(I1265*$E1265))+IF($K1271="LCFF Rate",(K1265*$C1265),(K1265*$E1265))+IF($M1271="LCFF Rate",(M1265*$C1265),(M1265*$E1265))+IF($O1271="LCFF Rate",(O1265*$C1265),(O1265*$E1265))+IF($Q1271="LCFF Rate",(Q1265*$C1265),(Q1265*$E1265)),0)</f>
        <v>0</v>
      </c>
      <c r="V1265" s="524"/>
      <c r="X1265" s="4"/>
    </row>
    <row r="1266" spans="1:24" s="8" customFormat="1" ht="14.4">
      <c r="A1266" s="521"/>
      <c r="B1266" s="510" t="s">
        <v>3</v>
      </c>
      <c r="C1266" s="525">
        <f>IFERROR(VLOOKUP($B1262,'PY1 TFR ADA'!$F:$AU,MATCH("A-1.3",'PY1 TFR ADA'!$F$5:$AU$5,0),FALSE),0)</f>
        <v>0</v>
      </c>
      <c r="D1266" s="167"/>
      <c r="E1266" s="525">
        <f>IFERROR(VALUE(VLOOKUP($B1262,'PY1 TFR ADA'!$F:$AU,MATCH("A-2.3",'PY1 TFR ADA'!$F$5:$AU$5,0),FALSE)),0)</f>
        <v>0</v>
      </c>
      <c r="F1266" s="167"/>
      <c r="G1266" s="609">
        <f>IFERROR(VLOOKUP($B1262,'PY1 TFR ADA'!$F:$AU,MATCH("b-1.3",'PY1 TFR ADA'!$F$5:$AU$5,0),FALSE),0)</f>
        <v>0</v>
      </c>
      <c r="H1266" s="527"/>
      <c r="I1266" s="609">
        <f>IFERROR(VLOOKUP($B1262,'PY1 TFR ADA'!$F:$AU,MATCH("b-2.3",'PY1 TFR ADA'!$F$5:$AU$5,0),FALSE),0)</f>
        <v>0</v>
      </c>
      <c r="J1266" s="527"/>
      <c r="K1266" s="609">
        <f>IFERROR(VLOOKUP($B1262,'PY1 TFR ADA'!$F:$AU,MATCH("b-3.3",'PY1 TFR ADA'!$F$5:$AU$5,0),FALSE),0)</f>
        <v>0</v>
      </c>
      <c r="L1266" s="527"/>
      <c r="M1266" s="609">
        <f>IFERROR(VLOOKUP($B1262,'PY1 TFR ADA'!$F:$AU,MATCH("b-4.3",'PY1 TFR ADA'!$F$5:$AU$5,0),FALSE),0)</f>
        <v>0</v>
      </c>
      <c r="N1266" s="527"/>
      <c r="O1266" s="609">
        <f>IFERROR(VLOOKUP($B1262,'PY1 TFR ADA'!$F:$AU,MATCH("b-5.3",'PY1 TFR ADA'!$F$5:$AU$5,0),FALSE),0)</f>
        <v>0</v>
      </c>
      <c r="P1266" s="527"/>
      <c r="Q1266" s="609">
        <f>IFERROR(VLOOKUP($B1262,'PY1 TFR ADA'!$F:$AU,MATCH("b-6.3",'PY1 TFR ADA'!$F$5:$AU$5,0),FALSE),0)</f>
        <v>0</v>
      </c>
      <c r="R1266" s="551"/>
      <c r="S1266" s="601">
        <f t="shared" si="1898"/>
        <v>0</v>
      </c>
      <c r="T1266" s="551"/>
      <c r="U1266" s="536">
        <f t="shared" ref="U1266" si="1901">ROUND(IF($G1271="LCFF Rate",(G1266*$C1266),(G1266*$E1266))+IF($I1271="LCFF Rate",(I1266*$C1266),(I1266*$E1266))+IF($K1271="LCFF Rate",(K1266*$C1266),(K1266*$E1266))+IF($M1271="LCFF Rate",(M1266*$C1266),(M1266*$E1266))+IF($O1271="LCFF Rate",(O1266*$C1266),(O1266*$E1266))+IF($Q1271="LCFF Rate",(Q1266*$C1266),(Q1266*$E1266)),0)</f>
        <v>0</v>
      </c>
      <c r="V1266" s="524"/>
      <c r="X1266" s="4"/>
    </row>
    <row r="1267" spans="1:24" s="8" customFormat="1" ht="14.4">
      <c r="A1267" s="526"/>
      <c r="B1267" s="510" t="s">
        <v>4</v>
      </c>
      <c r="C1267" s="525">
        <f>IFERROR(VLOOKUP($B1262,'PY1 TFR ADA'!$F:$AU,MATCH("A-1.4",'PY1 TFR ADA'!$F$5:$AU$5,0),FALSE),0)</f>
        <v>0</v>
      </c>
      <c r="D1267" s="523"/>
      <c r="E1267" s="525">
        <f>IFERROR(VALUE(VLOOKUP($B1262,'PY1 TFR ADA'!$F:$AU,MATCH("A-2.4",'PY1 TFR ADA'!$F$5:$AU$5,0),FALSE)),0)</f>
        <v>0</v>
      </c>
      <c r="F1267" s="523"/>
      <c r="G1267" s="609">
        <f>IFERROR(VLOOKUP($B1262,'PY1 TFR ADA'!$F:$AU,MATCH("b-1.4",'PY1 TFR ADA'!$F$5:$AU$5,0),FALSE),0)</f>
        <v>0</v>
      </c>
      <c r="H1267" s="527"/>
      <c r="I1267" s="609">
        <f>IFERROR(VLOOKUP($B1262,'PY1 TFR ADA'!$F:$AU,MATCH("b-2.4",'PY1 TFR ADA'!$F$5:$AU$5,0),FALSE),0)</f>
        <v>0</v>
      </c>
      <c r="J1267" s="527"/>
      <c r="K1267" s="609">
        <f>IFERROR(VLOOKUP($B1262,'PY1 TFR ADA'!$F:$AU,MATCH("b-3.4",'PY1 TFR ADA'!$F$5:$AU$5,0),FALSE),0)</f>
        <v>0</v>
      </c>
      <c r="L1267" s="527"/>
      <c r="M1267" s="609">
        <f>IFERROR(VLOOKUP($B1262,'PY1 TFR ADA'!$F:$AU,MATCH("b-4.4",'PY1 TFR ADA'!$F$5:$AU$5,0),FALSE),0)</f>
        <v>0</v>
      </c>
      <c r="N1267" s="527"/>
      <c r="O1267" s="609">
        <f>IFERROR(VLOOKUP($B1262,'PY1 TFR ADA'!$F:$AU,MATCH("b-5.4",'PY1 TFR ADA'!$F$5:$AU$5,0),FALSE),0)</f>
        <v>0</v>
      </c>
      <c r="P1267" s="527"/>
      <c r="Q1267" s="609">
        <f>IFERROR(VLOOKUP($B1262,'PY1 TFR ADA'!$F:$AU,MATCH("b-6.4",'PY1 TFR ADA'!$F$5:$AU$5,0),FALSE),0)</f>
        <v>0</v>
      </c>
      <c r="R1267" s="551"/>
      <c r="S1267" s="601">
        <f t="shared" si="1898"/>
        <v>0</v>
      </c>
      <c r="T1267" s="551"/>
      <c r="U1267" s="536">
        <f t="shared" ref="U1267" si="1902">ROUND(IF($G1271="LCFF Rate",(G1267*$C1267),(G1267*$E1267))+IF($I1271="LCFF Rate",(I1267*$C1267),(I1267*$E1267))+IF($K1271="LCFF Rate",(K1267*$C1267),(K1267*$E1267))+IF($M1271="LCFF Rate",(M1267*$C1267),(M1267*$E1267))+IF($O1271="LCFF Rate",(O1267*$C1267),(O1267*$E1267))+IF($Q1271="LCFF Rate",(Q1267*$C1267),(Q1267*$E1267)),0)</f>
        <v>0</v>
      </c>
      <c r="V1267" s="522"/>
      <c r="X1267" s="496"/>
    </row>
    <row r="1268" spans="1:24" s="8" customFormat="1" ht="8.25" customHeight="1">
      <c r="A1268" s="521"/>
      <c r="B1268" s="167"/>
      <c r="C1268" s="165"/>
      <c r="D1268" s="523"/>
      <c r="E1268" s="165"/>
      <c r="F1268" s="523"/>
      <c r="G1268" s="520"/>
      <c r="H1268" s="523"/>
      <c r="I1268" s="520"/>
      <c r="J1268" s="523"/>
      <c r="K1268" s="520"/>
      <c r="L1268" s="523"/>
      <c r="M1268" s="520"/>
      <c r="N1268" s="523"/>
      <c r="O1268" s="520"/>
      <c r="P1268" s="523"/>
      <c r="Q1268" s="520"/>
      <c r="R1268" s="167"/>
      <c r="S1268" s="520"/>
      <c r="T1268" s="167"/>
      <c r="U1268" s="602"/>
      <c r="V1268" s="522"/>
      <c r="X1268" s="4"/>
    </row>
    <row r="1269" spans="1:24" s="8" customFormat="1" ht="14.4">
      <c r="A1269" s="521"/>
      <c r="B1269" s="167"/>
      <c r="C1269" s="165"/>
      <c r="D1269" s="523"/>
      <c r="E1269" s="513" t="s">
        <v>1317</v>
      </c>
      <c r="F1269" s="523"/>
      <c r="G1269" s="601">
        <f t="shared" ref="G1269" si="1903">SUM(G1264:G1267)</f>
        <v>0</v>
      </c>
      <c r="H1269" s="527"/>
      <c r="I1269" s="601">
        <f t="shared" ref="I1269" si="1904">SUM(I1264:I1267)</f>
        <v>0</v>
      </c>
      <c r="J1269" s="527"/>
      <c r="K1269" s="601">
        <f t="shared" ref="K1269" si="1905">SUM(K1264:K1267)</f>
        <v>0</v>
      </c>
      <c r="L1269" s="527"/>
      <c r="M1269" s="601">
        <f t="shared" ref="M1269" si="1906">SUM(M1264:M1267)</f>
        <v>0</v>
      </c>
      <c r="N1269" s="527"/>
      <c r="O1269" s="601">
        <f t="shared" ref="O1269" si="1907">SUM(O1264:O1267)</f>
        <v>0</v>
      </c>
      <c r="P1269" s="527"/>
      <c r="Q1269" s="601">
        <f t="shared" ref="Q1269" si="1908">SUM(Q1264:Q1267)</f>
        <v>0</v>
      </c>
      <c r="R1269" s="527"/>
      <c r="S1269" s="601">
        <f t="shared" ref="S1269" si="1909">SUM(S1264:S1267)</f>
        <v>0</v>
      </c>
      <c r="T1269" s="527"/>
      <c r="U1269" s="536">
        <f t="shared" ref="U1269" si="1910">SUM(U1264:U1267)</f>
        <v>0</v>
      </c>
      <c r="V1269" s="522"/>
      <c r="X1269" s="4"/>
    </row>
    <row r="1270" spans="1:24" s="8" customFormat="1" ht="8.25" customHeight="1">
      <c r="A1270" s="521"/>
      <c r="B1270" s="167"/>
      <c r="C1270" s="165"/>
      <c r="D1270" s="523"/>
      <c r="E1270" s="165"/>
      <c r="F1270" s="523"/>
      <c r="G1270" s="520"/>
      <c r="H1270" s="523"/>
      <c r="I1270" s="520"/>
      <c r="J1270" s="523"/>
      <c r="K1270" s="520"/>
      <c r="L1270" s="523"/>
      <c r="M1270" s="520"/>
      <c r="N1270" s="523"/>
      <c r="O1270" s="520"/>
      <c r="P1270" s="523"/>
      <c r="Q1270" s="520"/>
      <c r="R1270" s="167"/>
      <c r="S1270" s="520"/>
      <c r="T1270" s="167"/>
      <c r="U1270" s="528"/>
      <c r="V1270" s="522"/>
      <c r="X1270" s="4"/>
    </row>
    <row r="1271" spans="1:24" s="8" customFormat="1" ht="16.5" customHeight="1">
      <c r="A1271" s="521"/>
      <c r="B1271" s="167"/>
      <c r="C1271" s="165"/>
      <c r="E1271" s="513" t="s">
        <v>1304</v>
      </c>
      <c r="F1271" s="523"/>
      <c r="G1271" s="977">
        <f>_xlfn.IFNA(IF(VLOOKUP($B1262,'PY1 TFR ADA'!$F:$AU,MATCH("B-1.5",'PY1 TFR ADA'!$F$5:$AU$5,0),FALSE)=TRUE,IF(VLOOKUP($B1262,'PY1 TFR ADA'!$F:$AU,MATCH("C-1",'PY1 TFR ADA'!$F$5:$AU$5,0),FALSE)=TRUE,"Alternative Rate","LCFF Rate"),"LCFF Rate"),0)</f>
        <v>0</v>
      </c>
      <c r="H1271" s="523"/>
      <c r="I1271" s="977">
        <f>_xlfn.IFNA(IF(VLOOKUP($B1262,'PY1 TFR ADA'!$F:$AU,MATCH("B-2.5",'PY1 TFR ADA'!$F$5:$AU$5,0),FALSE)=TRUE,IF(VLOOKUP($B1262,'PY1 TFR ADA'!$F:$AU,MATCH("C-1",'PY1 TFR ADA'!$F$5:$AU$5,0),FALSE)=TRUE,"Alternative Rate","LCFF Rate"),"LCFF Rate"),0)</f>
        <v>0</v>
      </c>
      <c r="J1271" s="523"/>
      <c r="K1271" s="977">
        <f>_xlfn.IFNA(IF(VLOOKUP($B1262,'PY1 TFR ADA'!$F:$AU,MATCH("B-3.5",'PY1 TFR ADA'!$F$5:$AU$5,0),FALSE)=TRUE,IF(VLOOKUP($B1262,'PY1 TFR ADA'!$F:$AU,MATCH("C-1",'PY1 TFR ADA'!$F$5:$AU$5,0),FALSE)=TRUE,"Alternative Rate","LCFF Rate"),"LCFF Rate"),0)</f>
        <v>0</v>
      </c>
      <c r="L1271" s="523"/>
      <c r="M1271" s="977">
        <f>_xlfn.IFNA(IF(VLOOKUP($B1262,'PY1 TFR ADA'!$F:$AU,MATCH("B-4.5",'PY1 TFR ADA'!$F$5:$AU$5,0),FALSE)=TRUE,IF(VLOOKUP($B1262,'PY1 TFR ADA'!$F:$AU,MATCH("C-1",'PY1 TFR ADA'!$F$5:$AU$5,0),FALSE)=TRUE,"Alternative Rate","LCFF Rate"),"LCFF Rate"),0)</f>
        <v>0</v>
      </c>
      <c r="N1271" s="523"/>
      <c r="O1271" s="977">
        <f>_xlfn.IFNA(IF(VLOOKUP($B1262,'PY1 TFR ADA'!$F:$AU,MATCH("B-5.5",'PY1 TFR ADA'!$F$5:$AU$5,0),FALSE)=TRUE,IF(VLOOKUP($B1262,'PY1 TFR ADA'!$F:$AU,MATCH("C-1",'PY1 TFR ADA'!$F$5:$AU$5,0),FALSE)=TRUE,"Alternative Rate","LCFF Rate"),"LCFF Rate"),0)</f>
        <v>0</v>
      </c>
      <c r="P1271" s="523"/>
      <c r="Q1271" s="977">
        <f>_xlfn.IFNA(IF(VLOOKUP($B1262,'PY1 TFR ADA'!$F:$AU,MATCH("B-6.5",'PY1 TFR ADA'!$F$5:$AU$5,0),FALSE)=TRUE,IF(VLOOKUP($B1262,'PY1 TFR ADA'!$F:$AU,MATCH("C-1",'PY1 TFR ADA'!$F$5:$AU$5,0),FALSE)=TRUE,"Alternative Rate","LCFF Rate"),"LCFF Rate"),0)</f>
        <v>0</v>
      </c>
      <c r="R1271" s="167"/>
      <c r="S1271" s="520"/>
      <c r="T1271" s="167"/>
      <c r="U1271" s="528"/>
      <c r="V1271" s="522"/>
      <c r="X1271" s="283"/>
    </row>
    <row r="1272" spans="1:24" s="8" customFormat="1" ht="8.25" customHeight="1">
      <c r="A1272" s="521"/>
      <c r="B1272" s="167"/>
      <c r="C1272" s="165"/>
      <c r="D1272" s="523"/>
      <c r="E1272" s="165"/>
      <c r="F1272" s="523"/>
      <c r="G1272" s="520"/>
      <c r="H1272" s="523"/>
      <c r="I1272" s="520"/>
      <c r="J1272" s="523"/>
      <c r="K1272" s="520"/>
      <c r="L1272" s="523"/>
      <c r="M1272" s="520"/>
      <c r="N1272" s="523"/>
      <c r="O1272" s="520"/>
      <c r="P1272" s="523"/>
      <c r="Q1272" s="520"/>
      <c r="R1272" s="167"/>
      <c r="S1272" s="520"/>
      <c r="T1272" s="167"/>
      <c r="U1272" s="528"/>
      <c r="V1272" s="522"/>
      <c r="X1272" s="4"/>
    </row>
    <row r="1273" spans="1:24" s="8" customFormat="1" ht="16.8">
      <c r="A1273" s="521"/>
      <c r="B1273" s="2"/>
      <c r="F1273" s="523"/>
      <c r="G1273" s="535">
        <f t="shared" ref="G1273" si="1911">IF(G1271="LCFF Rate",(G1264*C1264+G1265*C1265+G1266*C1266+G1267*C1267),(G1269*E1267))</f>
        <v>0</v>
      </c>
      <c r="H1273" s="537"/>
      <c r="I1273" s="535">
        <f t="shared" ref="I1273" si="1912">IF(I1271="LCFF Rate",(I1264*C1264+I1265*C1265+I1266*C1266+I1267*C1267),(I1269*E1267))</f>
        <v>0</v>
      </c>
      <c r="J1273" s="537"/>
      <c r="K1273" s="535">
        <f t="shared" ref="K1273" si="1913">IF(K1271="LCFF Rate",(K1264*C1264+K1265*C1265+K1266*C1266+K1267*C1267),(K1269*E1267))</f>
        <v>0</v>
      </c>
      <c r="L1273" s="537"/>
      <c r="M1273" s="535">
        <f t="shared" ref="M1273" si="1914">IF(M1271="LCFF Rate",(M1264*C1264+M1265*C1265+M1266*C1266+M1267*C1267),(M1269*E1267))</f>
        <v>0</v>
      </c>
      <c r="N1273" s="537"/>
      <c r="O1273" s="535">
        <f t="shared" ref="O1273" si="1915">IF(O1271="LCFF Rate",(O1264*C1264+O1265*C1265+O1266*C1266+O1267*C1267),(O1269*E1267))</f>
        <v>0</v>
      </c>
      <c r="P1273" s="537"/>
      <c r="Q1273" s="535">
        <f t="shared" ref="Q1273" si="1916">IF(Q1271="LCFF Rate",(Q1264*C1264+Q1265*C1265+Q1266*C1266+Q1267*C1267),(Q1269*E1267))</f>
        <v>0</v>
      </c>
      <c r="R1273" s="167"/>
      <c r="S1273" s="538">
        <f t="shared" ref="S1273" si="1917">SUM(G1273:Q1273)</f>
        <v>0</v>
      </c>
      <c r="T1273" s="167"/>
      <c r="U1273" s="528"/>
      <c r="V1273" s="522"/>
      <c r="X1273" s="979"/>
    </row>
    <row r="1274" spans="1:24" s="8" customFormat="1" ht="9" customHeight="1" thickBot="1">
      <c r="A1274" s="529"/>
      <c r="B1274" s="530"/>
      <c r="C1274" s="531"/>
      <c r="D1274" s="532"/>
      <c r="E1274" s="533"/>
      <c r="F1274" s="532"/>
      <c r="G1274" s="530"/>
      <c r="H1274" s="532"/>
      <c r="I1274" s="530"/>
      <c r="J1274" s="532"/>
      <c r="K1274" s="530"/>
      <c r="L1274" s="532"/>
      <c r="M1274" s="530"/>
      <c r="N1274" s="532"/>
      <c r="O1274" s="530"/>
      <c r="P1274" s="532"/>
      <c r="Q1274" s="530"/>
      <c r="R1274" s="532"/>
      <c r="S1274" s="530"/>
      <c r="T1274" s="532"/>
      <c r="U1274" s="532"/>
      <c r="V1274" s="534"/>
      <c r="X1274" s="4"/>
    </row>
    <row r="1275" spans="1:24" s="82" customFormat="1" ht="18" customHeight="1" thickBot="1">
      <c r="A1275" s="890">
        <f>+A1262+1</f>
        <v>98</v>
      </c>
      <c r="B1275" s="891" t="str">
        <f>'Data Entry'!$B$3&amp;"-"&amp;C1275</f>
        <v>-</v>
      </c>
      <c r="C1275" s="891" t="str">
        <f>IFERROR(VLOOKUP('Data Entry'!$B$3&amp;"-"&amp;A1275,'PY1 TFR ADA'!$D:$AT,2,FALSE),"")</f>
        <v/>
      </c>
      <c r="D1275" s="892" t="str">
        <f>IFERROR(VLOOKUP('Data Entry'!$B$3&amp;"-"&amp;A1275,'PY1 TFR ADA'!$D:$AT,4,FALSE),"")</f>
        <v/>
      </c>
      <c r="E1275" s="893"/>
      <c r="F1275" s="893"/>
      <c r="G1275" s="893"/>
      <c r="H1275" s="893"/>
      <c r="I1275" s="893"/>
      <c r="J1275" s="893"/>
      <c r="K1275" s="893"/>
      <c r="L1275" s="893"/>
      <c r="M1275" s="893"/>
      <c r="N1275" s="893"/>
      <c r="O1275" s="893"/>
      <c r="P1275" s="893"/>
      <c r="Q1275" s="893"/>
      <c r="R1275" s="893"/>
      <c r="S1275" s="893"/>
      <c r="T1275" s="893"/>
      <c r="U1275" s="893"/>
      <c r="V1275" s="894"/>
      <c r="X1275" s="83"/>
    </row>
    <row r="1276" spans="1:24" ht="75" customHeight="1">
      <c r="A1276" s="521"/>
      <c r="C1276" s="540" t="s">
        <v>1315</v>
      </c>
      <c r="D1276" s="512"/>
      <c r="E1276" s="540" t="s">
        <v>1316</v>
      </c>
      <c r="F1276" s="512"/>
      <c r="G1276" s="540" t="s">
        <v>1309</v>
      </c>
      <c r="H1276" s="512"/>
      <c r="I1276" s="540" t="s">
        <v>1310</v>
      </c>
      <c r="J1276" s="512"/>
      <c r="K1276" s="540" t="s">
        <v>1311</v>
      </c>
      <c r="L1276" s="512"/>
      <c r="M1276" s="540" t="s">
        <v>1312</v>
      </c>
      <c r="N1276" s="512"/>
      <c r="O1276" s="540" t="s">
        <v>1313</v>
      </c>
      <c r="P1276" s="512"/>
      <c r="Q1276" s="540" t="s">
        <v>1314</v>
      </c>
      <c r="R1276" s="167"/>
      <c r="S1276" s="540" t="s">
        <v>1308</v>
      </c>
      <c r="T1276" s="167"/>
      <c r="U1276" s="512" t="s">
        <v>1307</v>
      </c>
      <c r="V1276" s="524"/>
      <c r="X1276" s="283"/>
    </row>
    <row r="1277" spans="1:24" s="8" customFormat="1" ht="14.4">
      <c r="A1277" s="521"/>
      <c r="B1277" s="510" t="s">
        <v>94</v>
      </c>
      <c r="C1277" s="525">
        <f>IFERROR(VLOOKUP($B1275,'PY1 TFR ADA'!$F:$AU,MATCH("A-1.1",'PY1 TFR ADA'!$F$5:$AU$5,0),FALSE),0)</f>
        <v>0</v>
      </c>
      <c r="D1277" s="167"/>
      <c r="E1277" s="525">
        <f>IFERROR(VALUE(VLOOKUP($B1275,'PY1 TFR ADA'!$F:$AU,MATCH("A-2.1",'PY1 TFR ADA'!$F$5:$AU$5,0),FALSE)),0)</f>
        <v>0</v>
      </c>
      <c r="F1277" s="167"/>
      <c r="G1277" s="609">
        <f>IFERROR(VLOOKUP($B1275,'PY1 TFR ADA'!$F:$AU,MATCH("b-1.1",'PY1 TFR ADA'!$F$5:$AU$5,0),FALSE),0)</f>
        <v>0</v>
      </c>
      <c r="H1277" s="527"/>
      <c r="I1277" s="609">
        <f>IFERROR(VLOOKUP($B1275,'PY1 TFR ADA'!$F:$AU,MATCH("b-2.1",'PY1 TFR ADA'!$F$5:$AU$5,0),FALSE),0)</f>
        <v>0</v>
      </c>
      <c r="J1277" s="527"/>
      <c r="K1277" s="609">
        <f>IFERROR(VLOOKUP($B1275,'PY1 TFR ADA'!$F:$AU,MATCH("b-3.1",'PY1 TFR ADA'!$F$5:$AU$5,0),FALSE),0)</f>
        <v>0</v>
      </c>
      <c r="L1277" s="527"/>
      <c r="M1277" s="609">
        <f>IFERROR(VLOOKUP($B1275,'PY1 TFR ADA'!$F:$AU,MATCH("b-4.1",'PY1 TFR ADA'!$F$5:$AU$5,0),FALSE),0)</f>
        <v>0</v>
      </c>
      <c r="N1277" s="527"/>
      <c r="O1277" s="609">
        <f>IFERROR(VLOOKUP($B1275,'PY1 TFR ADA'!$F:$AU,MATCH("b-5.1",'PY1 TFR ADA'!$F$5:$AU$5,0),FALSE),0)</f>
        <v>0</v>
      </c>
      <c r="P1277" s="527"/>
      <c r="Q1277" s="609">
        <f>IFERROR(VLOOKUP($B1275,'PY1 TFR ADA'!$F:$AU,MATCH("b-6.1",'PY1 TFR ADA'!$F$5:$AU$5,0),FALSE),0)</f>
        <v>0</v>
      </c>
      <c r="R1277" s="551"/>
      <c r="S1277" s="601">
        <f t="shared" ref="S1277:S1280" si="1918">SUM(G1277:Q1277)</f>
        <v>0</v>
      </c>
      <c r="T1277" s="551"/>
      <c r="U1277" s="536">
        <f t="shared" ref="U1277" si="1919">ROUND(IF($G1284="LCFF Rate",(G1277*$C1277),(G1277*$E1277))+IF($I1284="LCFF Rate",(I1277*$C1277),(I1277*$E1277))+IF($K1284="LCFF Rate",(K1277*$C1277),(K1277*$E1277))+IF($M1284="LCFF Rate",(M1277*$C1277),(M1277*$E1277))+IF($O1284="LCFF Rate",(O1277*$C1277),(O1277*$E1277))+IF($Q1284="LCFF Rate",(Q1277*$C1277),(Q1277*$E1277)),0)</f>
        <v>0</v>
      </c>
      <c r="V1277" s="524"/>
      <c r="X1277" s="496"/>
    </row>
    <row r="1278" spans="1:24" s="8" customFormat="1" ht="14.4">
      <c r="A1278" s="521"/>
      <c r="B1278" s="510" t="s">
        <v>2</v>
      </c>
      <c r="C1278" s="525">
        <f>IFERROR(VLOOKUP($B1275,'PY1 TFR ADA'!$F:$AU,MATCH("A-1.2",'PY1 TFR ADA'!$F$5:$AU$5,0),FALSE),0)</f>
        <v>0</v>
      </c>
      <c r="D1278" s="167"/>
      <c r="E1278" s="525">
        <f>IFERROR(VALUE(VLOOKUP($B1275,'PY1 TFR ADA'!$F:$AU,MATCH("A-2.2",'PY1 TFR ADA'!$F$5:$AU$5,0),FALSE)),0)</f>
        <v>0</v>
      </c>
      <c r="F1278" s="167"/>
      <c r="G1278" s="609">
        <f>IFERROR(VLOOKUP($B1275,'PY1 TFR ADA'!$F:$AU,MATCH("b-1.2",'PY1 TFR ADA'!$F$5:$AU$5,0),FALSE),0)</f>
        <v>0</v>
      </c>
      <c r="H1278" s="527"/>
      <c r="I1278" s="609">
        <f>IFERROR(VLOOKUP($B1275,'PY1 TFR ADA'!$F:$AU,MATCH("b-2.2",'PY1 TFR ADA'!$F$5:$AU$5,0),FALSE),0)</f>
        <v>0</v>
      </c>
      <c r="J1278" s="527"/>
      <c r="K1278" s="609">
        <f>IFERROR(VLOOKUP($B1275,'PY1 TFR ADA'!$F:$AU,MATCH("b-3.2",'PY1 TFR ADA'!$F$5:$AU$5,0),FALSE),0)</f>
        <v>0</v>
      </c>
      <c r="L1278" s="527"/>
      <c r="M1278" s="609">
        <f>IFERROR(VLOOKUP($B1275,'PY1 TFR ADA'!$F:$AU,MATCH("b-4.2",'PY1 TFR ADA'!$F$5:$AU$5,0),FALSE),0)</f>
        <v>0</v>
      </c>
      <c r="N1278" s="527"/>
      <c r="O1278" s="609">
        <f>IFERROR(VLOOKUP($B1275,'PY1 TFR ADA'!$F:$AU,MATCH("b-5.2",'PY1 TFR ADA'!$F$5:$AU$5,0),FALSE),0)</f>
        <v>0</v>
      </c>
      <c r="P1278" s="527"/>
      <c r="Q1278" s="609">
        <f>IFERROR(VLOOKUP($B1275,'PY1 TFR ADA'!$F:$AU,MATCH("b-6.2",'PY1 TFR ADA'!$F$5:$AU$5,0),FALSE),0)</f>
        <v>0</v>
      </c>
      <c r="R1278" s="551"/>
      <c r="S1278" s="601">
        <f t="shared" si="1918"/>
        <v>0</v>
      </c>
      <c r="T1278" s="551"/>
      <c r="U1278" s="536">
        <f t="shared" ref="U1278" si="1920">ROUND(IF($G1284="LCFF Rate",(G1278*$C1278),(G1278*$E1278))+IF($I1284="LCFF Rate",(I1278*$C1278),(I1278*$E1278))+IF($K1284="LCFF Rate",(K1278*$C1278),(K1278*$E1278))+IF($M1284="LCFF Rate",(M1278*$C1278),(M1278*$E1278))+IF($O1284="LCFF Rate",(O1278*$C1278),(O1278*$E1278))+IF($Q1284="LCFF Rate",(Q1278*$C1278),(Q1278*$E1278)),0)</f>
        <v>0</v>
      </c>
      <c r="V1278" s="524"/>
      <c r="X1278" s="4"/>
    </row>
    <row r="1279" spans="1:24" s="8" customFormat="1" ht="14.4">
      <c r="A1279" s="521"/>
      <c r="B1279" s="510" t="s">
        <v>3</v>
      </c>
      <c r="C1279" s="525">
        <f>IFERROR(VLOOKUP($B1275,'PY1 TFR ADA'!$F:$AU,MATCH("A-1.3",'PY1 TFR ADA'!$F$5:$AU$5,0),FALSE),0)</f>
        <v>0</v>
      </c>
      <c r="D1279" s="167"/>
      <c r="E1279" s="525">
        <f>IFERROR(VALUE(VLOOKUP($B1275,'PY1 TFR ADA'!$F:$AU,MATCH("A-2.3",'PY1 TFR ADA'!$F$5:$AU$5,0),FALSE)),0)</f>
        <v>0</v>
      </c>
      <c r="F1279" s="167"/>
      <c r="G1279" s="609">
        <f>IFERROR(VLOOKUP($B1275,'PY1 TFR ADA'!$F:$AU,MATCH("b-1.3",'PY1 TFR ADA'!$F$5:$AU$5,0),FALSE),0)</f>
        <v>0</v>
      </c>
      <c r="H1279" s="527"/>
      <c r="I1279" s="609">
        <f>IFERROR(VLOOKUP($B1275,'PY1 TFR ADA'!$F:$AU,MATCH("b-2.3",'PY1 TFR ADA'!$F$5:$AU$5,0),FALSE),0)</f>
        <v>0</v>
      </c>
      <c r="J1279" s="527"/>
      <c r="K1279" s="609">
        <f>IFERROR(VLOOKUP($B1275,'PY1 TFR ADA'!$F:$AU,MATCH("b-3.3",'PY1 TFR ADA'!$F$5:$AU$5,0),FALSE),0)</f>
        <v>0</v>
      </c>
      <c r="L1279" s="527"/>
      <c r="M1279" s="609">
        <f>IFERROR(VLOOKUP($B1275,'PY1 TFR ADA'!$F:$AU,MATCH("b-4.3",'PY1 TFR ADA'!$F$5:$AU$5,0),FALSE),0)</f>
        <v>0</v>
      </c>
      <c r="N1279" s="527"/>
      <c r="O1279" s="609">
        <f>IFERROR(VLOOKUP($B1275,'PY1 TFR ADA'!$F:$AU,MATCH("b-5.3",'PY1 TFR ADA'!$F$5:$AU$5,0),FALSE),0)</f>
        <v>0</v>
      </c>
      <c r="P1279" s="527"/>
      <c r="Q1279" s="609">
        <f>IFERROR(VLOOKUP($B1275,'PY1 TFR ADA'!$F:$AU,MATCH("b-6.3",'PY1 TFR ADA'!$F$5:$AU$5,0),FALSE),0)</f>
        <v>0</v>
      </c>
      <c r="R1279" s="551"/>
      <c r="S1279" s="601">
        <f t="shared" si="1918"/>
        <v>0</v>
      </c>
      <c r="T1279" s="551"/>
      <c r="U1279" s="536">
        <f t="shared" ref="U1279" si="1921">ROUND(IF($G1284="LCFF Rate",(G1279*$C1279),(G1279*$E1279))+IF($I1284="LCFF Rate",(I1279*$C1279),(I1279*$E1279))+IF($K1284="LCFF Rate",(K1279*$C1279),(K1279*$E1279))+IF($M1284="LCFF Rate",(M1279*$C1279),(M1279*$E1279))+IF($O1284="LCFF Rate",(O1279*$C1279),(O1279*$E1279))+IF($Q1284="LCFF Rate",(Q1279*$C1279),(Q1279*$E1279)),0)</f>
        <v>0</v>
      </c>
      <c r="V1279" s="524"/>
      <c r="X1279" s="4"/>
    </row>
    <row r="1280" spans="1:24" s="8" customFormat="1" ht="14.4">
      <c r="A1280" s="526"/>
      <c r="B1280" s="510" t="s">
        <v>4</v>
      </c>
      <c r="C1280" s="525">
        <f>IFERROR(VLOOKUP($B1275,'PY1 TFR ADA'!$F:$AU,MATCH("A-1.4",'PY1 TFR ADA'!$F$5:$AU$5,0),FALSE),0)</f>
        <v>0</v>
      </c>
      <c r="D1280" s="523"/>
      <c r="E1280" s="525">
        <f>IFERROR(VALUE(VLOOKUP($B1275,'PY1 TFR ADA'!$F:$AU,MATCH("A-2.4",'PY1 TFR ADA'!$F$5:$AU$5,0),FALSE)),0)</f>
        <v>0</v>
      </c>
      <c r="F1280" s="523"/>
      <c r="G1280" s="609">
        <f>IFERROR(VLOOKUP($B1275,'PY1 TFR ADA'!$F:$AU,MATCH("b-1.4",'PY1 TFR ADA'!$F$5:$AU$5,0),FALSE),0)</f>
        <v>0</v>
      </c>
      <c r="H1280" s="527"/>
      <c r="I1280" s="609">
        <f>IFERROR(VLOOKUP($B1275,'PY1 TFR ADA'!$F:$AU,MATCH("b-2.4",'PY1 TFR ADA'!$F$5:$AU$5,0),FALSE),0)</f>
        <v>0</v>
      </c>
      <c r="J1280" s="527"/>
      <c r="K1280" s="609">
        <f>IFERROR(VLOOKUP($B1275,'PY1 TFR ADA'!$F:$AU,MATCH("b-3.4",'PY1 TFR ADA'!$F$5:$AU$5,0),FALSE),0)</f>
        <v>0</v>
      </c>
      <c r="L1280" s="527"/>
      <c r="M1280" s="609">
        <f>IFERROR(VLOOKUP($B1275,'PY1 TFR ADA'!$F:$AU,MATCH("b-4.4",'PY1 TFR ADA'!$F$5:$AU$5,0),FALSE),0)</f>
        <v>0</v>
      </c>
      <c r="N1280" s="527"/>
      <c r="O1280" s="609">
        <f>IFERROR(VLOOKUP($B1275,'PY1 TFR ADA'!$F:$AU,MATCH("b-5.4",'PY1 TFR ADA'!$F$5:$AU$5,0),FALSE),0)</f>
        <v>0</v>
      </c>
      <c r="P1280" s="527"/>
      <c r="Q1280" s="609">
        <f>IFERROR(VLOOKUP($B1275,'PY1 TFR ADA'!$F:$AU,MATCH("b-6.4",'PY1 TFR ADA'!$F$5:$AU$5,0),FALSE),0)</f>
        <v>0</v>
      </c>
      <c r="R1280" s="551"/>
      <c r="S1280" s="601">
        <f t="shared" si="1918"/>
        <v>0</v>
      </c>
      <c r="T1280" s="551"/>
      <c r="U1280" s="536">
        <f t="shared" ref="U1280" si="1922">ROUND(IF($G1284="LCFF Rate",(G1280*$C1280),(G1280*$E1280))+IF($I1284="LCFF Rate",(I1280*$C1280),(I1280*$E1280))+IF($K1284="LCFF Rate",(K1280*$C1280),(K1280*$E1280))+IF($M1284="LCFF Rate",(M1280*$C1280),(M1280*$E1280))+IF($O1284="LCFF Rate",(O1280*$C1280),(O1280*$E1280))+IF($Q1284="LCFF Rate",(Q1280*$C1280),(Q1280*$E1280)),0)</f>
        <v>0</v>
      </c>
      <c r="V1280" s="522"/>
      <c r="X1280" s="496"/>
    </row>
    <row r="1281" spans="1:24" s="8" customFormat="1" ht="8.25" customHeight="1">
      <c r="A1281" s="521"/>
      <c r="B1281" s="167"/>
      <c r="C1281" s="165"/>
      <c r="D1281" s="523"/>
      <c r="E1281" s="165"/>
      <c r="F1281" s="523"/>
      <c r="G1281" s="520"/>
      <c r="H1281" s="523"/>
      <c r="I1281" s="520"/>
      <c r="J1281" s="523"/>
      <c r="K1281" s="520"/>
      <c r="L1281" s="523"/>
      <c r="M1281" s="520"/>
      <c r="N1281" s="523"/>
      <c r="O1281" s="520"/>
      <c r="P1281" s="523"/>
      <c r="Q1281" s="520"/>
      <c r="R1281" s="167"/>
      <c r="S1281" s="520"/>
      <c r="T1281" s="167"/>
      <c r="U1281" s="602"/>
      <c r="V1281" s="522"/>
      <c r="X1281" s="4"/>
    </row>
    <row r="1282" spans="1:24" s="8" customFormat="1" ht="14.4">
      <c r="A1282" s="521"/>
      <c r="B1282" s="167"/>
      <c r="C1282" s="165"/>
      <c r="D1282" s="523"/>
      <c r="E1282" s="513" t="s">
        <v>1317</v>
      </c>
      <c r="F1282" s="523"/>
      <c r="G1282" s="601">
        <f t="shared" ref="G1282" si="1923">SUM(G1277:G1280)</f>
        <v>0</v>
      </c>
      <c r="H1282" s="527"/>
      <c r="I1282" s="601">
        <f t="shared" ref="I1282" si="1924">SUM(I1277:I1280)</f>
        <v>0</v>
      </c>
      <c r="J1282" s="527"/>
      <c r="K1282" s="601">
        <f t="shared" ref="K1282" si="1925">SUM(K1277:K1280)</f>
        <v>0</v>
      </c>
      <c r="L1282" s="527"/>
      <c r="M1282" s="601">
        <f t="shared" ref="M1282" si="1926">SUM(M1277:M1280)</f>
        <v>0</v>
      </c>
      <c r="N1282" s="527"/>
      <c r="O1282" s="601">
        <f t="shared" ref="O1282" si="1927">SUM(O1277:O1280)</f>
        <v>0</v>
      </c>
      <c r="P1282" s="527"/>
      <c r="Q1282" s="601">
        <f t="shared" ref="Q1282" si="1928">SUM(Q1277:Q1280)</f>
        <v>0</v>
      </c>
      <c r="R1282" s="527"/>
      <c r="S1282" s="601">
        <f t="shared" ref="S1282" si="1929">SUM(S1277:S1280)</f>
        <v>0</v>
      </c>
      <c r="T1282" s="527"/>
      <c r="U1282" s="536">
        <f t="shared" ref="U1282" si="1930">SUM(U1277:U1280)</f>
        <v>0</v>
      </c>
      <c r="V1282" s="522"/>
      <c r="X1282" s="4"/>
    </row>
    <row r="1283" spans="1:24" s="8" customFormat="1" ht="8.25" customHeight="1">
      <c r="A1283" s="521"/>
      <c r="B1283" s="167"/>
      <c r="C1283" s="165"/>
      <c r="D1283" s="523"/>
      <c r="E1283" s="165"/>
      <c r="F1283" s="523"/>
      <c r="G1283" s="520"/>
      <c r="H1283" s="523"/>
      <c r="I1283" s="520"/>
      <c r="J1283" s="523"/>
      <c r="K1283" s="520"/>
      <c r="L1283" s="523"/>
      <c r="M1283" s="520"/>
      <c r="N1283" s="523"/>
      <c r="O1283" s="520"/>
      <c r="P1283" s="523"/>
      <c r="Q1283" s="520"/>
      <c r="R1283" s="167"/>
      <c r="S1283" s="520"/>
      <c r="T1283" s="167"/>
      <c r="U1283" s="528"/>
      <c r="V1283" s="522"/>
      <c r="X1283" s="4"/>
    </row>
    <row r="1284" spans="1:24" s="8" customFormat="1" ht="16.5" customHeight="1">
      <c r="A1284" s="521"/>
      <c r="B1284" s="167"/>
      <c r="C1284" s="165"/>
      <c r="E1284" s="513" t="s">
        <v>1304</v>
      </c>
      <c r="F1284" s="523"/>
      <c r="G1284" s="977">
        <f>_xlfn.IFNA(IF(VLOOKUP($B1275,'PY1 TFR ADA'!$F:$AU,MATCH("B-1.5",'PY1 TFR ADA'!$F$5:$AU$5,0),FALSE)=TRUE,IF(VLOOKUP($B1275,'PY1 TFR ADA'!$F:$AU,MATCH("C-1",'PY1 TFR ADA'!$F$5:$AU$5,0),FALSE)=TRUE,"Alternative Rate","LCFF Rate"),"LCFF Rate"),0)</f>
        <v>0</v>
      </c>
      <c r="H1284" s="523"/>
      <c r="I1284" s="977">
        <f>_xlfn.IFNA(IF(VLOOKUP($B1275,'PY1 TFR ADA'!$F:$AU,MATCH("B-2.5",'PY1 TFR ADA'!$F$5:$AU$5,0),FALSE)=TRUE,IF(VLOOKUP($B1275,'PY1 TFR ADA'!$F:$AU,MATCH("C-1",'PY1 TFR ADA'!$F$5:$AU$5,0),FALSE)=TRUE,"Alternative Rate","LCFF Rate"),"LCFF Rate"),0)</f>
        <v>0</v>
      </c>
      <c r="J1284" s="523"/>
      <c r="K1284" s="977">
        <f>_xlfn.IFNA(IF(VLOOKUP($B1275,'PY1 TFR ADA'!$F:$AU,MATCH("B-3.5",'PY1 TFR ADA'!$F$5:$AU$5,0),FALSE)=TRUE,IF(VLOOKUP($B1275,'PY1 TFR ADA'!$F:$AU,MATCH("C-1",'PY1 TFR ADA'!$F$5:$AU$5,0),FALSE)=TRUE,"Alternative Rate","LCFF Rate"),"LCFF Rate"),0)</f>
        <v>0</v>
      </c>
      <c r="L1284" s="523"/>
      <c r="M1284" s="977">
        <f>_xlfn.IFNA(IF(VLOOKUP($B1275,'PY1 TFR ADA'!$F:$AU,MATCH("B-4.5",'PY1 TFR ADA'!$F$5:$AU$5,0),FALSE)=TRUE,IF(VLOOKUP($B1275,'PY1 TFR ADA'!$F:$AU,MATCH("C-1",'PY1 TFR ADA'!$F$5:$AU$5,0),FALSE)=TRUE,"Alternative Rate","LCFF Rate"),"LCFF Rate"),0)</f>
        <v>0</v>
      </c>
      <c r="N1284" s="523"/>
      <c r="O1284" s="977">
        <f>_xlfn.IFNA(IF(VLOOKUP($B1275,'PY1 TFR ADA'!$F:$AU,MATCH("B-5.5",'PY1 TFR ADA'!$F$5:$AU$5,0),FALSE)=TRUE,IF(VLOOKUP($B1275,'PY1 TFR ADA'!$F:$AU,MATCH("C-1",'PY1 TFR ADA'!$F$5:$AU$5,0),FALSE)=TRUE,"Alternative Rate","LCFF Rate"),"LCFF Rate"),0)</f>
        <v>0</v>
      </c>
      <c r="P1284" s="523"/>
      <c r="Q1284" s="977">
        <f>_xlfn.IFNA(IF(VLOOKUP($B1275,'PY1 TFR ADA'!$F:$AU,MATCH("B-6.5",'PY1 TFR ADA'!$F$5:$AU$5,0),FALSE)=TRUE,IF(VLOOKUP($B1275,'PY1 TFR ADA'!$F:$AU,MATCH("C-1",'PY1 TFR ADA'!$F$5:$AU$5,0),FALSE)=TRUE,"Alternative Rate","LCFF Rate"),"LCFF Rate"),0)</f>
        <v>0</v>
      </c>
      <c r="R1284" s="167"/>
      <c r="S1284" s="520"/>
      <c r="T1284" s="167"/>
      <c r="U1284" s="528"/>
      <c r="V1284" s="522"/>
      <c r="X1284" s="283"/>
    </row>
    <row r="1285" spans="1:24" s="8" customFormat="1" ht="8.25" customHeight="1">
      <c r="A1285" s="521"/>
      <c r="B1285" s="167"/>
      <c r="C1285" s="165"/>
      <c r="D1285" s="523"/>
      <c r="E1285" s="165"/>
      <c r="F1285" s="523"/>
      <c r="G1285" s="520"/>
      <c r="H1285" s="523"/>
      <c r="I1285" s="520"/>
      <c r="J1285" s="523"/>
      <c r="K1285" s="520"/>
      <c r="L1285" s="523"/>
      <c r="M1285" s="520"/>
      <c r="N1285" s="523"/>
      <c r="O1285" s="520"/>
      <c r="P1285" s="523"/>
      <c r="Q1285" s="520"/>
      <c r="R1285" s="167"/>
      <c r="S1285" s="520"/>
      <c r="T1285" s="167"/>
      <c r="U1285" s="528"/>
      <c r="V1285" s="522"/>
      <c r="X1285" s="4"/>
    </row>
    <row r="1286" spans="1:24" s="8" customFormat="1" ht="16.8">
      <c r="A1286" s="521"/>
      <c r="B1286" s="2"/>
      <c r="F1286" s="523"/>
      <c r="G1286" s="535">
        <f t="shared" ref="G1286" si="1931">IF(G1284="LCFF Rate",(G1277*C1277+G1278*C1278+G1279*C1279+G1280*C1280),(G1282*E1280))</f>
        <v>0</v>
      </c>
      <c r="H1286" s="537"/>
      <c r="I1286" s="535">
        <f t="shared" ref="I1286" si="1932">IF(I1284="LCFF Rate",(I1277*C1277+I1278*C1278+I1279*C1279+I1280*C1280),(I1282*E1280))</f>
        <v>0</v>
      </c>
      <c r="J1286" s="537"/>
      <c r="K1286" s="535">
        <f t="shared" ref="K1286" si="1933">IF(K1284="LCFF Rate",(K1277*C1277+K1278*C1278+K1279*C1279+K1280*C1280),(K1282*E1280))</f>
        <v>0</v>
      </c>
      <c r="L1286" s="537"/>
      <c r="M1286" s="535">
        <f t="shared" ref="M1286" si="1934">IF(M1284="LCFF Rate",(M1277*C1277+M1278*C1278+M1279*C1279+M1280*C1280),(M1282*E1280))</f>
        <v>0</v>
      </c>
      <c r="N1286" s="537"/>
      <c r="O1286" s="535">
        <f t="shared" ref="O1286" si="1935">IF(O1284="LCFF Rate",(O1277*C1277+O1278*C1278+O1279*C1279+O1280*C1280),(O1282*E1280))</f>
        <v>0</v>
      </c>
      <c r="P1286" s="537"/>
      <c r="Q1286" s="535">
        <f t="shared" ref="Q1286" si="1936">IF(Q1284="LCFF Rate",(Q1277*C1277+Q1278*C1278+Q1279*C1279+Q1280*C1280),(Q1282*E1280))</f>
        <v>0</v>
      </c>
      <c r="R1286" s="167"/>
      <c r="S1286" s="538">
        <f t="shared" ref="S1286" si="1937">SUM(G1286:Q1286)</f>
        <v>0</v>
      </c>
      <c r="T1286" s="167"/>
      <c r="U1286" s="528"/>
      <c r="V1286" s="522"/>
      <c r="X1286" s="979"/>
    </row>
    <row r="1287" spans="1:24" s="8" customFormat="1" ht="9" customHeight="1" thickBot="1">
      <c r="A1287" s="529"/>
      <c r="B1287" s="530"/>
      <c r="C1287" s="531"/>
      <c r="D1287" s="532"/>
      <c r="E1287" s="533"/>
      <c r="F1287" s="532"/>
      <c r="G1287" s="530"/>
      <c r="H1287" s="532"/>
      <c r="I1287" s="530"/>
      <c r="J1287" s="532"/>
      <c r="K1287" s="530"/>
      <c r="L1287" s="532"/>
      <c r="M1287" s="530"/>
      <c r="N1287" s="532"/>
      <c r="O1287" s="530"/>
      <c r="P1287" s="532"/>
      <c r="Q1287" s="530"/>
      <c r="R1287" s="532"/>
      <c r="S1287" s="530"/>
      <c r="T1287" s="532"/>
      <c r="U1287" s="532"/>
      <c r="V1287" s="534"/>
      <c r="X1287" s="4"/>
    </row>
    <row r="1288" spans="1:24" s="82" customFormat="1" ht="18" customHeight="1" thickBot="1">
      <c r="A1288" s="890">
        <f>+A1275+1</f>
        <v>99</v>
      </c>
      <c r="B1288" s="891" t="str">
        <f>'Data Entry'!$B$3&amp;"-"&amp;C1288</f>
        <v>-</v>
      </c>
      <c r="C1288" s="891" t="str">
        <f>IFERROR(VLOOKUP('Data Entry'!$B$3&amp;"-"&amp;A1288,'PY1 TFR ADA'!$D:$AT,2,FALSE),"")</f>
        <v/>
      </c>
      <c r="D1288" s="892" t="str">
        <f>IFERROR(VLOOKUP('Data Entry'!$B$3&amp;"-"&amp;A1288,'PY1 TFR ADA'!$D:$AT,4,FALSE),"")</f>
        <v/>
      </c>
      <c r="E1288" s="893"/>
      <c r="F1288" s="893"/>
      <c r="G1288" s="893"/>
      <c r="H1288" s="893"/>
      <c r="I1288" s="893"/>
      <c r="J1288" s="893"/>
      <c r="K1288" s="893"/>
      <c r="L1288" s="893"/>
      <c r="M1288" s="893"/>
      <c r="N1288" s="893"/>
      <c r="O1288" s="893"/>
      <c r="P1288" s="893"/>
      <c r="Q1288" s="893"/>
      <c r="R1288" s="893"/>
      <c r="S1288" s="893"/>
      <c r="T1288" s="893"/>
      <c r="U1288" s="893"/>
      <c r="V1288" s="894"/>
      <c r="X1288" s="83"/>
    </row>
    <row r="1289" spans="1:24" ht="75" customHeight="1">
      <c r="A1289" s="521"/>
      <c r="C1289" s="540" t="s">
        <v>1315</v>
      </c>
      <c r="D1289" s="512"/>
      <c r="E1289" s="540" t="s">
        <v>1316</v>
      </c>
      <c r="F1289" s="512"/>
      <c r="G1289" s="540" t="s">
        <v>1309</v>
      </c>
      <c r="H1289" s="512"/>
      <c r="I1289" s="540" t="s">
        <v>1310</v>
      </c>
      <c r="J1289" s="512"/>
      <c r="K1289" s="540" t="s">
        <v>1311</v>
      </c>
      <c r="L1289" s="512"/>
      <c r="M1289" s="540" t="s">
        <v>1312</v>
      </c>
      <c r="N1289" s="512"/>
      <c r="O1289" s="540" t="s">
        <v>1313</v>
      </c>
      <c r="P1289" s="512"/>
      <c r="Q1289" s="540" t="s">
        <v>1314</v>
      </c>
      <c r="R1289" s="167"/>
      <c r="S1289" s="540" t="s">
        <v>1308</v>
      </c>
      <c r="T1289" s="167"/>
      <c r="U1289" s="512" t="s">
        <v>1307</v>
      </c>
      <c r="V1289" s="524"/>
      <c r="X1289" s="283"/>
    </row>
    <row r="1290" spans="1:24" s="8" customFormat="1" ht="14.4">
      <c r="A1290" s="521"/>
      <c r="B1290" s="510" t="s">
        <v>94</v>
      </c>
      <c r="C1290" s="525">
        <f>IFERROR(VLOOKUP($B1288,'PY1 TFR ADA'!$F:$AU,MATCH("A-1.1",'PY1 TFR ADA'!$F$5:$AU$5,0),FALSE),0)</f>
        <v>0</v>
      </c>
      <c r="D1290" s="167"/>
      <c r="E1290" s="525">
        <f>IFERROR(VALUE(VLOOKUP($B1288,'PY1 TFR ADA'!$F:$AU,MATCH("A-2.1",'PY1 TFR ADA'!$F$5:$AU$5,0),FALSE)),0)</f>
        <v>0</v>
      </c>
      <c r="F1290" s="167"/>
      <c r="G1290" s="609">
        <f>IFERROR(VLOOKUP($B1288,'PY1 TFR ADA'!$F:$AU,MATCH("b-1.1",'PY1 TFR ADA'!$F$5:$AU$5,0),FALSE),0)</f>
        <v>0</v>
      </c>
      <c r="H1290" s="527"/>
      <c r="I1290" s="609">
        <f>IFERROR(VLOOKUP($B1288,'PY1 TFR ADA'!$F:$AU,MATCH("b-2.1",'PY1 TFR ADA'!$F$5:$AU$5,0),FALSE),0)</f>
        <v>0</v>
      </c>
      <c r="J1290" s="527"/>
      <c r="K1290" s="609">
        <f>IFERROR(VLOOKUP($B1288,'PY1 TFR ADA'!$F:$AU,MATCH("b-3.1",'PY1 TFR ADA'!$F$5:$AU$5,0),FALSE),0)</f>
        <v>0</v>
      </c>
      <c r="L1290" s="527"/>
      <c r="M1290" s="609">
        <f>IFERROR(VLOOKUP($B1288,'PY1 TFR ADA'!$F:$AU,MATCH("b-4.1",'PY1 TFR ADA'!$F$5:$AU$5,0),FALSE),0)</f>
        <v>0</v>
      </c>
      <c r="N1290" s="527"/>
      <c r="O1290" s="609">
        <f>IFERROR(VLOOKUP($B1288,'PY1 TFR ADA'!$F:$AU,MATCH("b-5.1",'PY1 TFR ADA'!$F$5:$AU$5,0),FALSE),0)</f>
        <v>0</v>
      </c>
      <c r="P1290" s="527"/>
      <c r="Q1290" s="609">
        <f>IFERROR(VLOOKUP($B1288,'PY1 TFR ADA'!$F:$AU,MATCH("b-6.1",'PY1 TFR ADA'!$F$5:$AU$5,0),FALSE),0)</f>
        <v>0</v>
      </c>
      <c r="R1290" s="551"/>
      <c r="S1290" s="601">
        <f t="shared" ref="S1290:S1293" si="1938">SUM(G1290:Q1290)</f>
        <v>0</v>
      </c>
      <c r="T1290" s="551"/>
      <c r="U1290" s="536">
        <f t="shared" ref="U1290" si="1939">ROUND(IF($G1297="LCFF Rate",(G1290*$C1290),(G1290*$E1290))+IF($I1297="LCFF Rate",(I1290*$C1290),(I1290*$E1290))+IF($K1297="LCFF Rate",(K1290*$C1290),(K1290*$E1290))+IF($M1297="LCFF Rate",(M1290*$C1290),(M1290*$E1290))+IF($O1297="LCFF Rate",(O1290*$C1290),(O1290*$E1290))+IF($Q1297="LCFF Rate",(Q1290*$C1290),(Q1290*$E1290)),0)</f>
        <v>0</v>
      </c>
      <c r="V1290" s="524"/>
      <c r="X1290" s="496"/>
    </row>
    <row r="1291" spans="1:24" s="8" customFormat="1" ht="14.4">
      <c r="A1291" s="521"/>
      <c r="B1291" s="510" t="s">
        <v>2</v>
      </c>
      <c r="C1291" s="525">
        <f>IFERROR(VLOOKUP($B1288,'PY1 TFR ADA'!$F:$AU,MATCH("A-1.2",'PY1 TFR ADA'!$F$5:$AU$5,0),FALSE),0)</f>
        <v>0</v>
      </c>
      <c r="D1291" s="167"/>
      <c r="E1291" s="525">
        <f>IFERROR(VALUE(VLOOKUP($B1288,'PY1 TFR ADA'!$F:$AU,MATCH("A-2.2",'PY1 TFR ADA'!$F$5:$AU$5,0),FALSE)),0)</f>
        <v>0</v>
      </c>
      <c r="F1291" s="167"/>
      <c r="G1291" s="609">
        <f>IFERROR(VLOOKUP($B1288,'PY1 TFR ADA'!$F:$AU,MATCH("b-1.2",'PY1 TFR ADA'!$F$5:$AU$5,0),FALSE),0)</f>
        <v>0</v>
      </c>
      <c r="H1291" s="527"/>
      <c r="I1291" s="609">
        <f>IFERROR(VLOOKUP($B1288,'PY1 TFR ADA'!$F:$AU,MATCH("b-2.2",'PY1 TFR ADA'!$F$5:$AU$5,0),FALSE),0)</f>
        <v>0</v>
      </c>
      <c r="J1291" s="527"/>
      <c r="K1291" s="609">
        <f>IFERROR(VLOOKUP($B1288,'PY1 TFR ADA'!$F:$AU,MATCH("b-3.2",'PY1 TFR ADA'!$F$5:$AU$5,0),FALSE),0)</f>
        <v>0</v>
      </c>
      <c r="L1291" s="527"/>
      <c r="M1291" s="609">
        <f>IFERROR(VLOOKUP($B1288,'PY1 TFR ADA'!$F:$AU,MATCH("b-4.2",'PY1 TFR ADA'!$F$5:$AU$5,0),FALSE),0)</f>
        <v>0</v>
      </c>
      <c r="N1291" s="527"/>
      <c r="O1291" s="609">
        <f>IFERROR(VLOOKUP($B1288,'PY1 TFR ADA'!$F:$AU,MATCH("b-5.2",'PY1 TFR ADA'!$F$5:$AU$5,0),FALSE),0)</f>
        <v>0</v>
      </c>
      <c r="P1291" s="527"/>
      <c r="Q1291" s="609">
        <f>IFERROR(VLOOKUP($B1288,'PY1 TFR ADA'!$F:$AU,MATCH("b-6.2",'PY1 TFR ADA'!$F$5:$AU$5,0),FALSE),0)</f>
        <v>0</v>
      </c>
      <c r="R1291" s="551"/>
      <c r="S1291" s="601">
        <f t="shared" si="1938"/>
        <v>0</v>
      </c>
      <c r="T1291" s="551"/>
      <c r="U1291" s="536">
        <f t="shared" ref="U1291" si="1940">ROUND(IF($G1297="LCFF Rate",(G1291*$C1291),(G1291*$E1291))+IF($I1297="LCFF Rate",(I1291*$C1291),(I1291*$E1291))+IF($K1297="LCFF Rate",(K1291*$C1291),(K1291*$E1291))+IF($M1297="LCFF Rate",(M1291*$C1291),(M1291*$E1291))+IF($O1297="LCFF Rate",(O1291*$C1291),(O1291*$E1291))+IF($Q1297="LCFF Rate",(Q1291*$C1291),(Q1291*$E1291)),0)</f>
        <v>0</v>
      </c>
      <c r="V1291" s="524"/>
      <c r="X1291" s="4"/>
    </row>
    <row r="1292" spans="1:24" s="8" customFormat="1" ht="14.4">
      <c r="A1292" s="521"/>
      <c r="B1292" s="510" t="s">
        <v>3</v>
      </c>
      <c r="C1292" s="525">
        <f>IFERROR(VLOOKUP($B1288,'PY1 TFR ADA'!$F:$AU,MATCH("A-1.3",'PY1 TFR ADA'!$F$5:$AU$5,0),FALSE),0)</f>
        <v>0</v>
      </c>
      <c r="D1292" s="167"/>
      <c r="E1292" s="525">
        <f>IFERROR(VALUE(VLOOKUP($B1288,'PY1 TFR ADA'!$F:$AU,MATCH("A-2.3",'PY1 TFR ADA'!$F$5:$AU$5,0),FALSE)),0)</f>
        <v>0</v>
      </c>
      <c r="F1292" s="167"/>
      <c r="G1292" s="609">
        <f>IFERROR(VLOOKUP($B1288,'PY1 TFR ADA'!$F:$AU,MATCH("b-1.3",'PY1 TFR ADA'!$F$5:$AU$5,0),FALSE),0)</f>
        <v>0</v>
      </c>
      <c r="H1292" s="527"/>
      <c r="I1292" s="609">
        <f>IFERROR(VLOOKUP($B1288,'PY1 TFR ADA'!$F:$AU,MATCH("b-2.3",'PY1 TFR ADA'!$F$5:$AU$5,0),FALSE),0)</f>
        <v>0</v>
      </c>
      <c r="J1292" s="527"/>
      <c r="K1292" s="609">
        <f>IFERROR(VLOOKUP($B1288,'PY1 TFR ADA'!$F:$AU,MATCH("b-3.3",'PY1 TFR ADA'!$F$5:$AU$5,0),FALSE),0)</f>
        <v>0</v>
      </c>
      <c r="L1292" s="527"/>
      <c r="M1292" s="609">
        <f>IFERROR(VLOOKUP($B1288,'PY1 TFR ADA'!$F:$AU,MATCH("b-4.3",'PY1 TFR ADA'!$F$5:$AU$5,0),FALSE),0)</f>
        <v>0</v>
      </c>
      <c r="N1292" s="527"/>
      <c r="O1292" s="609">
        <f>IFERROR(VLOOKUP($B1288,'PY1 TFR ADA'!$F:$AU,MATCH("b-5.3",'PY1 TFR ADA'!$F$5:$AU$5,0),FALSE),0)</f>
        <v>0</v>
      </c>
      <c r="P1292" s="527"/>
      <c r="Q1292" s="609">
        <f>IFERROR(VLOOKUP($B1288,'PY1 TFR ADA'!$F:$AU,MATCH("b-6.3",'PY1 TFR ADA'!$F$5:$AU$5,0),FALSE),0)</f>
        <v>0</v>
      </c>
      <c r="R1292" s="551"/>
      <c r="S1292" s="601">
        <f t="shared" si="1938"/>
        <v>0</v>
      </c>
      <c r="T1292" s="551"/>
      <c r="U1292" s="536">
        <f t="shared" ref="U1292" si="1941">ROUND(IF($G1297="LCFF Rate",(G1292*$C1292),(G1292*$E1292))+IF($I1297="LCFF Rate",(I1292*$C1292),(I1292*$E1292))+IF($K1297="LCFF Rate",(K1292*$C1292),(K1292*$E1292))+IF($M1297="LCFF Rate",(M1292*$C1292),(M1292*$E1292))+IF($O1297="LCFF Rate",(O1292*$C1292),(O1292*$E1292))+IF($Q1297="LCFF Rate",(Q1292*$C1292),(Q1292*$E1292)),0)</f>
        <v>0</v>
      </c>
      <c r="V1292" s="524"/>
      <c r="X1292" s="4"/>
    </row>
    <row r="1293" spans="1:24" s="8" customFormat="1" ht="14.4">
      <c r="A1293" s="526"/>
      <c r="B1293" s="510" t="s">
        <v>4</v>
      </c>
      <c r="C1293" s="525">
        <f>IFERROR(VLOOKUP($B1288,'PY1 TFR ADA'!$F:$AU,MATCH("A-1.4",'PY1 TFR ADA'!$F$5:$AU$5,0),FALSE),0)</f>
        <v>0</v>
      </c>
      <c r="D1293" s="523"/>
      <c r="E1293" s="525">
        <f>IFERROR(VALUE(VLOOKUP($B1288,'PY1 TFR ADA'!$F:$AU,MATCH("A-2.4",'PY1 TFR ADA'!$F$5:$AU$5,0),FALSE)),0)</f>
        <v>0</v>
      </c>
      <c r="F1293" s="523"/>
      <c r="G1293" s="609">
        <f>IFERROR(VLOOKUP($B1288,'PY1 TFR ADA'!$F:$AU,MATCH("b-1.4",'PY1 TFR ADA'!$F$5:$AU$5,0),FALSE),0)</f>
        <v>0</v>
      </c>
      <c r="H1293" s="527"/>
      <c r="I1293" s="609">
        <f>IFERROR(VLOOKUP($B1288,'PY1 TFR ADA'!$F:$AU,MATCH("b-2.4",'PY1 TFR ADA'!$F$5:$AU$5,0),FALSE),0)</f>
        <v>0</v>
      </c>
      <c r="J1293" s="527"/>
      <c r="K1293" s="609">
        <f>IFERROR(VLOOKUP($B1288,'PY1 TFR ADA'!$F:$AU,MATCH("b-3.4",'PY1 TFR ADA'!$F$5:$AU$5,0),FALSE),0)</f>
        <v>0</v>
      </c>
      <c r="L1293" s="527"/>
      <c r="M1293" s="609">
        <f>IFERROR(VLOOKUP($B1288,'PY1 TFR ADA'!$F:$AU,MATCH("b-4.4",'PY1 TFR ADA'!$F$5:$AU$5,0),FALSE),0)</f>
        <v>0</v>
      </c>
      <c r="N1293" s="527"/>
      <c r="O1293" s="609">
        <f>IFERROR(VLOOKUP($B1288,'PY1 TFR ADA'!$F:$AU,MATCH("b-5.4",'PY1 TFR ADA'!$F$5:$AU$5,0),FALSE),0)</f>
        <v>0</v>
      </c>
      <c r="P1293" s="527"/>
      <c r="Q1293" s="609">
        <f>IFERROR(VLOOKUP($B1288,'PY1 TFR ADA'!$F:$AU,MATCH("b-6.4",'PY1 TFR ADA'!$F$5:$AU$5,0),FALSE),0)</f>
        <v>0</v>
      </c>
      <c r="R1293" s="551"/>
      <c r="S1293" s="601">
        <f t="shared" si="1938"/>
        <v>0</v>
      </c>
      <c r="T1293" s="551"/>
      <c r="U1293" s="536">
        <f t="shared" ref="U1293" si="1942">ROUND(IF($G1297="LCFF Rate",(G1293*$C1293),(G1293*$E1293))+IF($I1297="LCFF Rate",(I1293*$C1293),(I1293*$E1293))+IF($K1297="LCFF Rate",(K1293*$C1293),(K1293*$E1293))+IF($M1297="LCFF Rate",(M1293*$C1293),(M1293*$E1293))+IF($O1297="LCFF Rate",(O1293*$C1293),(O1293*$E1293))+IF($Q1297="LCFF Rate",(Q1293*$C1293),(Q1293*$E1293)),0)</f>
        <v>0</v>
      </c>
      <c r="V1293" s="522"/>
      <c r="X1293" s="496"/>
    </row>
    <row r="1294" spans="1:24" s="8" customFormat="1" ht="8.25" customHeight="1">
      <c r="A1294" s="521"/>
      <c r="B1294" s="167"/>
      <c r="C1294" s="165"/>
      <c r="D1294" s="523"/>
      <c r="E1294" s="165"/>
      <c r="F1294" s="523"/>
      <c r="G1294" s="520"/>
      <c r="H1294" s="523"/>
      <c r="I1294" s="520"/>
      <c r="J1294" s="523"/>
      <c r="K1294" s="520"/>
      <c r="L1294" s="523"/>
      <c r="M1294" s="520"/>
      <c r="N1294" s="523"/>
      <c r="O1294" s="520"/>
      <c r="P1294" s="523"/>
      <c r="Q1294" s="520"/>
      <c r="R1294" s="167"/>
      <c r="S1294" s="520"/>
      <c r="T1294" s="167"/>
      <c r="U1294" s="602"/>
      <c r="V1294" s="522"/>
      <c r="X1294" s="4"/>
    </row>
    <row r="1295" spans="1:24" s="8" customFormat="1" ht="14.4">
      <c r="A1295" s="521"/>
      <c r="B1295" s="167"/>
      <c r="C1295" s="165"/>
      <c r="D1295" s="523"/>
      <c r="E1295" s="513" t="s">
        <v>1317</v>
      </c>
      <c r="F1295" s="523"/>
      <c r="G1295" s="601">
        <f t="shared" ref="G1295" si="1943">SUM(G1290:G1293)</f>
        <v>0</v>
      </c>
      <c r="H1295" s="527"/>
      <c r="I1295" s="601">
        <f t="shared" ref="I1295" si="1944">SUM(I1290:I1293)</f>
        <v>0</v>
      </c>
      <c r="J1295" s="527"/>
      <c r="K1295" s="601">
        <f t="shared" ref="K1295" si="1945">SUM(K1290:K1293)</f>
        <v>0</v>
      </c>
      <c r="L1295" s="527"/>
      <c r="M1295" s="601">
        <f t="shared" ref="M1295" si="1946">SUM(M1290:M1293)</f>
        <v>0</v>
      </c>
      <c r="N1295" s="527"/>
      <c r="O1295" s="601">
        <f t="shared" ref="O1295" si="1947">SUM(O1290:O1293)</f>
        <v>0</v>
      </c>
      <c r="P1295" s="527"/>
      <c r="Q1295" s="601">
        <f t="shared" ref="Q1295" si="1948">SUM(Q1290:Q1293)</f>
        <v>0</v>
      </c>
      <c r="R1295" s="527"/>
      <c r="S1295" s="601">
        <f t="shared" ref="S1295" si="1949">SUM(S1290:S1293)</f>
        <v>0</v>
      </c>
      <c r="T1295" s="527"/>
      <c r="U1295" s="536">
        <f t="shared" ref="U1295" si="1950">SUM(U1290:U1293)</f>
        <v>0</v>
      </c>
      <c r="V1295" s="522"/>
      <c r="X1295" s="4"/>
    </row>
    <row r="1296" spans="1:24" s="8" customFormat="1" ht="8.25" customHeight="1">
      <c r="A1296" s="521"/>
      <c r="B1296" s="167"/>
      <c r="C1296" s="165"/>
      <c r="D1296" s="523"/>
      <c r="E1296" s="165"/>
      <c r="F1296" s="523"/>
      <c r="G1296" s="520"/>
      <c r="H1296" s="523"/>
      <c r="I1296" s="520"/>
      <c r="J1296" s="523"/>
      <c r="K1296" s="520"/>
      <c r="L1296" s="523"/>
      <c r="M1296" s="520"/>
      <c r="N1296" s="523"/>
      <c r="O1296" s="520"/>
      <c r="P1296" s="523"/>
      <c r="Q1296" s="520"/>
      <c r="R1296" s="167"/>
      <c r="S1296" s="520"/>
      <c r="T1296" s="167"/>
      <c r="U1296" s="528"/>
      <c r="V1296" s="522"/>
      <c r="X1296" s="4"/>
    </row>
    <row r="1297" spans="1:24" s="8" customFormat="1" ht="16.5" customHeight="1">
      <c r="A1297" s="521"/>
      <c r="B1297" s="167"/>
      <c r="C1297" s="165"/>
      <c r="E1297" s="513" t="s">
        <v>1304</v>
      </c>
      <c r="F1297" s="523"/>
      <c r="G1297" s="977">
        <f>_xlfn.IFNA(IF(VLOOKUP($B1288,'PY1 TFR ADA'!$F:$AU,MATCH("B-1.5",'PY1 TFR ADA'!$F$5:$AU$5,0),FALSE)=TRUE,IF(VLOOKUP($B1288,'PY1 TFR ADA'!$F:$AU,MATCH("C-1",'PY1 TFR ADA'!$F$5:$AU$5,0),FALSE)=TRUE,"Alternative Rate","LCFF Rate"),"LCFF Rate"),0)</f>
        <v>0</v>
      </c>
      <c r="H1297" s="523"/>
      <c r="I1297" s="977">
        <f>_xlfn.IFNA(IF(VLOOKUP($B1288,'PY1 TFR ADA'!$F:$AU,MATCH("B-2.5",'PY1 TFR ADA'!$F$5:$AU$5,0),FALSE)=TRUE,IF(VLOOKUP($B1288,'PY1 TFR ADA'!$F:$AU,MATCH("C-1",'PY1 TFR ADA'!$F$5:$AU$5,0),FALSE)=TRUE,"Alternative Rate","LCFF Rate"),"LCFF Rate"),0)</f>
        <v>0</v>
      </c>
      <c r="J1297" s="523"/>
      <c r="K1297" s="977">
        <f>_xlfn.IFNA(IF(VLOOKUP($B1288,'PY1 TFR ADA'!$F:$AU,MATCH("B-3.5",'PY1 TFR ADA'!$F$5:$AU$5,0),FALSE)=TRUE,IF(VLOOKUP($B1288,'PY1 TFR ADA'!$F:$AU,MATCH("C-1",'PY1 TFR ADA'!$F$5:$AU$5,0),FALSE)=TRUE,"Alternative Rate","LCFF Rate"),"LCFF Rate"),0)</f>
        <v>0</v>
      </c>
      <c r="L1297" s="523"/>
      <c r="M1297" s="977">
        <f>_xlfn.IFNA(IF(VLOOKUP($B1288,'PY1 TFR ADA'!$F:$AU,MATCH("B-4.5",'PY1 TFR ADA'!$F$5:$AU$5,0),FALSE)=TRUE,IF(VLOOKUP($B1288,'PY1 TFR ADA'!$F:$AU,MATCH("C-1",'PY1 TFR ADA'!$F$5:$AU$5,0),FALSE)=TRUE,"Alternative Rate","LCFF Rate"),"LCFF Rate"),0)</f>
        <v>0</v>
      </c>
      <c r="N1297" s="523"/>
      <c r="O1297" s="977">
        <f>_xlfn.IFNA(IF(VLOOKUP($B1288,'PY1 TFR ADA'!$F:$AU,MATCH("B-5.5",'PY1 TFR ADA'!$F$5:$AU$5,0),FALSE)=TRUE,IF(VLOOKUP($B1288,'PY1 TFR ADA'!$F:$AU,MATCH("C-1",'PY1 TFR ADA'!$F$5:$AU$5,0),FALSE)=TRUE,"Alternative Rate","LCFF Rate"),"LCFF Rate"),0)</f>
        <v>0</v>
      </c>
      <c r="P1297" s="523"/>
      <c r="Q1297" s="977">
        <f>_xlfn.IFNA(IF(VLOOKUP($B1288,'PY1 TFR ADA'!$F:$AU,MATCH("B-6.5",'PY1 TFR ADA'!$F$5:$AU$5,0),FALSE)=TRUE,IF(VLOOKUP($B1288,'PY1 TFR ADA'!$F:$AU,MATCH("C-1",'PY1 TFR ADA'!$F$5:$AU$5,0),FALSE)=TRUE,"Alternative Rate","LCFF Rate"),"LCFF Rate"),0)</f>
        <v>0</v>
      </c>
      <c r="R1297" s="167"/>
      <c r="S1297" s="520"/>
      <c r="T1297" s="167"/>
      <c r="U1297" s="528"/>
      <c r="V1297" s="522"/>
      <c r="X1297" s="283"/>
    </row>
    <row r="1298" spans="1:24" s="8" customFormat="1" ht="8.25" customHeight="1">
      <c r="A1298" s="521"/>
      <c r="B1298" s="167"/>
      <c r="C1298" s="165"/>
      <c r="D1298" s="523"/>
      <c r="E1298" s="165"/>
      <c r="F1298" s="523"/>
      <c r="G1298" s="520"/>
      <c r="H1298" s="523"/>
      <c r="I1298" s="520"/>
      <c r="J1298" s="523"/>
      <c r="K1298" s="520"/>
      <c r="L1298" s="523"/>
      <c r="M1298" s="520"/>
      <c r="N1298" s="523"/>
      <c r="O1298" s="520"/>
      <c r="P1298" s="523"/>
      <c r="Q1298" s="520"/>
      <c r="R1298" s="167"/>
      <c r="S1298" s="520"/>
      <c r="T1298" s="167"/>
      <c r="U1298" s="528"/>
      <c r="V1298" s="522"/>
      <c r="X1298" s="4"/>
    </row>
    <row r="1299" spans="1:24" s="8" customFormat="1" ht="16.8">
      <c r="A1299" s="521"/>
      <c r="B1299" s="2"/>
      <c r="F1299" s="523"/>
      <c r="G1299" s="535">
        <f t="shared" ref="G1299" si="1951">IF(G1297="LCFF Rate",(G1290*C1290+G1291*C1291+G1292*C1292+G1293*C1293),(G1295*E1293))</f>
        <v>0</v>
      </c>
      <c r="H1299" s="537"/>
      <c r="I1299" s="535">
        <f t="shared" ref="I1299" si="1952">IF(I1297="LCFF Rate",(I1290*C1290+I1291*C1291+I1292*C1292+I1293*C1293),(I1295*E1293))</f>
        <v>0</v>
      </c>
      <c r="J1299" s="537"/>
      <c r="K1299" s="535">
        <f t="shared" ref="K1299" si="1953">IF(K1297="LCFF Rate",(K1290*C1290+K1291*C1291+K1292*C1292+K1293*C1293),(K1295*E1293))</f>
        <v>0</v>
      </c>
      <c r="L1299" s="537"/>
      <c r="M1299" s="535">
        <f t="shared" ref="M1299" si="1954">IF(M1297="LCFF Rate",(M1290*C1290+M1291*C1291+M1292*C1292+M1293*C1293),(M1295*E1293))</f>
        <v>0</v>
      </c>
      <c r="N1299" s="537"/>
      <c r="O1299" s="535">
        <f t="shared" ref="O1299" si="1955">IF(O1297="LCFF Rate",(O1290*C1290+O1291*C1291+O1292*C1292+O1293*C1293),(O1295*E1293))</f>
        <v>0</v>
      </c>
      <c r="P1299" s="537"/>
      <c r="Q1299" s="535">
        <f t="shared" ref="Q1299" si="1956">IF(Q1297="LCFF Rate",(Q1290*C1290+Q1291*C1291+Q1292*C1292+Q1293*C1293),(Q1295*E1293))</f>
        <v>0</v>
      </c>
      <c r="R1299" s="167"/>
      <c r="S1299" s="538">
        <f t="shared" ref="S1299" si="1957">SUM(G1299:Q1299)</f>
        <v>0</v>
      </c>
      <c r="T1299" s="167"/>
      <c r="U1299" s="528"/>
      <c r="V1299" s="522"/>
      <c r="X1299" s="979"/>
    </row>
    <row r="1300" spans="1:24" s="8" customFormat="1" ht="9" customHeight="1" thickBot="1">
      <c r="A1300" s="529"/>
      <c r="B1300" s="530"/>
      <c r="C1300" s="531"/>
      <c r="D1300" s="532"/>
      <c r="E1300" s="533"/>
      <c r="F1300" s="532"/>
      <c r="G1300" s="530"/>
      <c r="H1300" s="532"/>
      <c r="I1300" s="530"/>
      <c r="J1300" s="532"/>
      <c r="K1300" s="530"/>
      <c r="L1300" s="532"/>
      <c r="M1300" s="530"/>
      <c r="N1300" s="532"/>
      <c r="O1300" s="530"/>
      <c r="P1300" s="532"/>
      <c r="Q1300" s="530"/>
      <c r="R1300" s="532"/>
      <c r="S1300" s="530"/>
      <c r="T1300" s="532"/>
      <c r="U1300" s="532"/>
      <c r="V1300" s="534"/>
      <c r="X1300" s="4"/>
    </row>
    <row r="1301" spans="1:24" s="82" customFormat="1" ht="18" customHeight="1" thickBot="1">
      <c r="A1301" s="890">
        <f>+A1288+1</f>
        <v>100</v>
      </c>
      <c r="B1301" s="891" t="str">
        <f>'Data Entry'!$B$3&amp;"-"&amp;C1301</f>
        <v>-</v>
      </c>
      <c r="C1301" s="891" t="str">
        <f>IFERROR(VLOOKUP('Data Entry'!$B$3&amp;"-"&amp;A1301,'PY1 TFR ADA'!$D:$AT,2,FALSE),"")</f>
        <v/>
      </c>
      <c r="D1301" s="892" t="str">
        <f>IFERROR(VLOOKUP('Data Entry'!$B$3&amp;"-"&amp;A1301,'PY1 TFR ADA'!$D:$AT,4,FALSE),"")</f>
        <v/>
      </c>
      <c r="E1301" s="893"/>
      <c r="F1301" s="893"/>
      <c r="G1301" s="893"/>
      <c r="H1301" s="893"/>
      <c r="I1301" s="893"/>
      <c r="J1301" s="893"/>
      <c r="K1301" s="893"/>
      <c r="L1301" s="893"/>
      <c r="M1301" s="893"/>
      <c r="N1301" s="893"/>
      <c r="O1301" s="893"/>
      <c r="P1301" s="893"/>
      <c r="Q1301" s="893"/>
      <c r="R1301" s="893"/>
      <c r="S1301" s="893"/>
      <c r="T1301" s="893"/>
      <c r="U1301" s="893"/>
      <c r="V1301" s="894"/>
      <c r="X1301" s="83"/>
    </row>
    <row r="1302" spans="1:24" ht="75" customHeight="1">
      <c r="A1302" s="521"/>
      <c r="C1302" s="540" t="s">
        <v>1315</v>
      </c>
      <c r="D1302" s="512"/>
      <c r="E1302" s="540" t="s">
        <v>1316</v>
      </c>
      <c r="F1302" s="512"/>
      <c r="G1302" s="540" t="s">
        <v>1309</v>
      </c>
      <c r="H1302" s="512"/>
      <c r="I1302" s="540" t="s">
        <v>1310</v>
      </c>
      <c r="J1302" s="512"/>
      <c r="K1302" s="540" t="s">
        <v>1311</v>
      </c>
      <c r="L1302" s="512"/>
      <c r="M1302" s="540" t="s">
        <v>1312</v>
      </c>
      <c r="N1302" s="512"/>
      <c r="O1302" s="540" t="s">
        <v>1313</v>
      </c>
      <c r="P1302" s="512"/>
      <c r="Q1302" s="540" t="s">
        <v>1314</v>
      </c>
      <c r="R1302" s="167"/>
      <c r="S1302" s="540" t="s">
        <v>1308</v>
      </c>
      <c r="T1302" s="167"/>
      <c r="U1302" s="512" t="s">
        <v>1307</v>
      </c>
      <c r="V1302" s="524"/>
      <c r="X1302" s="283"/>
    </row>
    <row r="1303" spans="1:24" s="8" customFormat="1" ht="14.4">
      <c r="A1303" s="521"/>
      <c r="B1303" s="510" t="s">
        <v>94</v>
      </c>
      <c r="C1303" s="525">
        <f>IFERROR(VLOOKUP($B1301,'PY1 TFR ADA'!$F:$AU,MATCH("A-1.1",'PY1 TFR ADA'!$F$5:$AU$5,0),FALSE),0)</f>
        <v>0</v>
      </c>
      <c r="D1303" s="167"/>
      <c r="E1303" s="525">
        <f>IFERROR(VALUE(VLOOKUP($B1301,'PY1 TFR ADA'!$F:$AU,MATCH("A-2.1",'PY1 TFR ADA'!$F$5:$AU$5,0),FALSE)),0)</f>
        <v>0</v>
      </c>
      <c r="F1303" s="167"/>
      <c r="G1303" s="609">
        <f>IFERROR(VLOOKUP($B1301,'PY1 TFR ADA'!$F:$AU,MATCH("b-1.1",'PY1 TFR ADA'!$F$5:$AU$5,0),FALSE),0)</f>
        <v>0</v>
      </c>
      <c r="H1303" s="527"/>
      <c r="I1303" s="609">
        <f>IFERROR(VLOOKUP($B1301,'PY1 TFR ADA'!$F:$AU,MATCH("b-2.1",'PY1 TFR ADA'!$F$5:$AU$5,0),FALSE),0)</f>
        <v>0</v>
      </c>
      <c r="J1303" s="527"/>
      <c r="K1303" s="609">
        <f>IFERROR(VLOOKUP($B1301,'PY1 TFR ADA'!$F:$AU,MATCH("b-3.1",'PY1 TFR ADA'!$F$5:$AU$5,0),FALSE),0)</f>
        <v>0</v>
      </c>
      <c r="L1303" s="527"/>
      <c r="M1303" s="609">
        <f>IFERROR(VLOOKUP($B1301,'PY1 TFR ADA'!$F:$AU,MATCH("b-4.1",'PY1 TFR ADA'!$F$5:$AU$5,0),FALSE),0)</f>
        <v>0</v>
      </c>
      <c r="N1303" s="527"/>
      <c r="O1303" s="609">
        <f>IFERROR(VLOOKUP($B1301,'PY1 TFR ADA'!$F:$AU,MATCH("b-5.1",'PY1 TFR ADA'!$F$5:$AU$5,0),FALSE),0)</f>
        <v>0</v>
      </c>
      <c r="P1303" s="527"/>
      <c r="Q1303" s="609">
        <f>IFERROR(VLOOKUP($B1301,'PY1 TFR ADA'!$F:$AU,MATCH("b-6.1",'PY1 TFR ADA'!$F$5:$AU$5,0),FALSE),0)</f>
        <v>0</v>
      </c>
      <c r="R1303" s="551"/>
      <c r="S1303" s="601">
        <f t="shared" ref="S1303:S1306" si="1958">SUM(G1303:Q1303)</f>
        <v>0</v>
      </c>
      <c r="T1303" s="551"/>
      <c r="U1303" s="536">
        <f t="shared" ref="U1303" si="1959">ROUND(IF($G1310="LCFF Rate",(G1303*$C1303),(G1303*$E1303))+IF($I1310="LCFF Rate",(I1303*$C1303),(I1303*$E1303))+IF($K1310="LCFF Rate",(K1303*$C1303),(K1303*$E1303))+IF($M1310="LCFF Rate",(M1303*$C1303),(M1303*$E1303))+IF($O1310="LCFF Rate",(O1303*$C1303),(O1303*$E1303))+IF($Q1310="LCFF Rate",(Q1303*$C1303),(Q1303*$E1303)),0)</f>
        <v>0</v>
      </c>
      <c r="V1303" s="524"/>
      <c r="X1303" s="496"/>
    </row>
    <row r="1304" spans="1:24" s="8" customFormat="1" ht="14.4">
      <c r="A1304" s="521"/>
      <c r="B1304" s="510" t="s">
        <v>2</v>
      </c>
      <c r="C1304" s="525">
        <f>IFERROR(VLOOKUP($B1301,'PY1 TFR ADA'!$F:$AU,MATCH("A-1.2",'PY1 TFR ADA'!$F$5:$AU$5,0),FALSE),0)</f>
        <v>0</v>
      </c>
      <c r="D1304" s="167"/>
      <c r="E1304" s="525">
        <f>IFERROR(VALUE(VLOOKUP($B1301,'PY1 TFR ADA'!$F:$AU,MATCH("A-2.2",'PY1 TFR ADA'!$F$5:$AU$5,0),FALSE)),0)</f>
        <v>0</v>
      </c>
      <c r="F1304" s="167"/>
      <c r="G1304" s="609">
        <f>IFERROR(VLOOKUP($B1301,'PY1 TFR ADA'!$F:$AU,MATCH("b-1.2",'PY1 TFR ADA'!$F$5:$AU$5,0),FALSE),0)</f>
        <v>0</v>
      </c>
      <c r="H1304" s="527"/>
      <c r="I1304" s="609">
        <f>IFERROR(VLOOKUP($B1301,'PY1 TFR ADA'!$F:$AU,MATCH("b-2.2",'PY1 TFR ADA'!$F$5:$AU$5,0),FALSE),0)</f>
        <v>0</v>
      </c>
      <c r="J1304" s="527"/>
      <c r="K1304" s="609">
        <f>IFERROR(VLOOKUP($B1301,'PY1 TFR ADA'!$F:$AU,MATCH("b-3.2",'PY1 TFR ADA'!$F$5:$AU$5,0),FALSE),0)</f>
        <v>0</v>
      </c>
      <c r="L1304" s="527"/>
      <c r="M1304" s="609">
        <f>IFERROR(VLOOKUP($B1301,'PY1 TFR ADA'!$F:$AU,MATCH("b-4.2",'PY1 TFR ADA'!$F$5:$AU$5,0),FALSE),0)</f>
        <v>0</v>
      </c>
      <c r="N1304" s="527"/>
      <c r="O1304" s="609">
        <f>IFERROR(VLOOKUP($B1301,'PY1 TFR ADA'!$F:$AU,MATCH("b-5.2",'PY1 TFR ADA'!$F$5:$AU$5,0),FALSE),0)</f>
        <v>0</v>
      </c>
      <c r="P1304" s="527"/>
      <c r="Q1304" s="609">
        <f>IFERROR(VLOOKUP($B1301,'PY1 TFR ADA'!$F:$AU,MATCH("b-6.2",'PY1 TFR ADA'!$F$5:$AU$5,0),FALSE),0)</f>
        <v>0</v>
      </c>
      <c r="R1304" s="551"/>
      <c r="S1304" s="601">
        <f t="shared" si="1958"/>
        <v>0</v>
      </c>
      <c r="T1304" s="551"/>
      <c r="U1304" s="536">
        <f t="shared" ref="U1304" si="1960">ROUND(IF($G1310="LCFF Rate",(G1304*$C1304),(G1304*$E1304))+IF($I1310="LCFF Rate",(I1304*$C1304),(I1304*$E1304))+IF($K1310="LCFF Rate",(K1304*$C1304),(K1304*$E1304))+IF($M1310="LCFF Rate",(M1304*$C1304),(M1304*$E1304))+IF($O1310="LCFF Rate",(O1304*$C1304),(O1304*$E1304))+IF($Q1310="LCFF Rate",(Q1304*$C1304),(Q1304*$E1304)),0)</f>
        <v>0</v>
      </c>
      <c r="V1304" s="524"/>
      <c r="X1304" s="4"/>
    </row>
    <row r="1305" spans="1:24" s="8" customFormat="1" ht="14.4">
      <c r="A1305" s="521"/>
      <c r="B1305" s="510" t="s">
        <v>3</v>
      </c>
      <c r="C1305" s="525">
        <f>IFERROR(VLOOKUP($B1301,'PY1 TFR ADA'!$F:$AU,MATCH("A-1.3",'PY1 TFR ADA'!$F$5:$AU$5,0),FALSE),0)</f>
        <v>0</v>
      </c>
      <c r="D1305" s="167"/>
      <c r="E1305" s="525">
        <f>IFERROR(VALUE(VLOOKUP($B1301,'PY1 TFR ADA'!$F:$AU,MATCH("A-2.3",'PY1 TFR ADA'!$F$5:$AU$5,0),FALSE)),0)</f>
        <v>0</v>
      </c>
      <c r="F1305" s="167"/>
      <c r="G1305" s="609">
        <f>IFERROR(VLOOKUP($B1301,'PY1 TFR ADA'!$F:$AU,MATCH("b-1.3",'PY1 TFR ADA'!$F$5:$AU$5,0),FALSE),0)</f>
        <v>0</v>
      </c>
      <c r="H1305" s="527"/>
      <c r="I1305" s="609">
        <f>IFERROR(VLOOKUP($B1301,'PY1 TFR ADA'!$F:$AU,MATCH("b-2.3",'PY1 TFR ADA'!$F$5:$AU$5,0),FALSE),0)</f>
        <v>0</v>
      </c>
      <c r="J1305" s="527"/>
      <c r="K1305" s="609">
        <f>IFERROR(VLOOKUP($B1301,'PY1 TFR ADA'!$F:$AU,MATCH("b-3.3",'PY1 TFR ADA'!$F$5:$AU$5,0),FALSE),0)</f>
        <v>0</v>
      </c>
      <c r="L1305" s="527"/>
      <c r="M1305" s="609">
        <f>IFERROR(VLOOKUP($B1301,'PY1 TFR ADA'!$F:$AU,MATCH("b-4.3",'PY1 TFR ADA'!$F$5:$AU$5,0),FALSE),0)</f>
        <v>0</v>
      </c>
      <c r="N1305" s="527"/>
      <c r="O1305" s="609">
        <f>IFERROR(VLOOKUP($B1301,'PY1 TFR ADA'!$F:$AU,MATCH("b-5.3",'PY1 TFR ADA'!$F$5:$AU$5,0),FALSE),0)</f>
        <v>0</v>
      </c>
      <c r="P1305" s="527"/>
      <c r="Q1305" s="609">
        <f>IFERROR(VLOOKUP($B1301,'PY1 TFR ADA'!$F:$AU,MATCH("b-6.3",'PY1 TFR ADA'!$F$5:$AU$5,0),FALSE),0)</f>
        <v>0</v>
      </c>
      <c r="R1305" s="551"/>
      <c r="S1305" s="601">
        <f t="shared" si="1958"/>
        <v>0</v>
      </c>
      <c r="T1305" s="551"/>
      <c r="U1305" s="536">
        <f t="shared" ref="U1305" si="1961">ROUND(IF($G1310="LCFF Rate",(G1305*$C1305),(G1305*$E1305))+IF($I1310="LCFF Rate",(I1305*$C1305),(I1305*$E1305))+IF($K1310="LCFF Rate",(K1305*$C1305),(K1305*$E1305))+IF($M1310="LCFF Rate",(M1305*$C1305),(M1305*$E1305))+IF($O1310="LCFF Rate",(O1305*$C1305),(O1305*$E1305))+IF($Q1310="LCFF Rate",(Q1305*$C1305),(Q1305*$E1305)),0)</f>
        <v>0</v>
      </c>
      <c r="V1305" s="524"/>
      <c r="X1305" s="4"/>
    </row>
    <row r="1306" spans="1:24" s="8" customFormat="1" ht="14.4">
      <c r="A1306" s="526"/>
      <c r="B1306" s="510" t="s">
        <v>4</v>
      </c>
      <c r="C1306" s="525">
        <f>IFERROR(VLOOKUP($B1301,'PY1 TFR ADA'!$F:$AU,MATCH("A-1.4",'PY1 TFR ADA'!$F$5:$AU$5,0),FALSE),0)</f>
        <v>0</v>
      </c>
      <c r="D1306" s="523"/>
      <c r="E1306" s="525">
        <f>IFERROR(VALUE(VLOOKUP($B1301,'PY1 TFR ADA'!$F:$AU,MATCH("A-2.4",'PY1 TFR ADA'!$F$5:$AU$5,0),FALSE)),0)</f>
        <v>0</v>
      </c>
      <c r="F1306" s="523"/>
      <c r="G1306" s="609">
        <f>IFERROR(VLOOKUP($B1301,'PY1 TFR ADA'!$F:$AU,MATCH("b-1.4",'PY1 TFR ADA'!$F$5:$AU$5,0),FALSE),0)</f>
        <v>0</v>
      </c>
      <c r="H1306" s="527"/>
      <c r="I1306" s="609">
        <f>IFERROR(VLOOKUP($B1301,'PY1 TFR ADA'!$F:$AU,MATCH("b-2.4",'PY1 TFR ADA'!$F$5:$AU$5,0),FALSE),0)</f>
        <v>0</v>
      </c>
      <c r="J1306" s="527"/>
      <c r="K1306" s="609">
        <f>IFERROR(VLOOKUP($B1301,'PY1 TFR ADA'!$F:$AU,MATCH("b-3.4",'PY1 TFR ADA'!$F$5:$AU$5,0),FALSE),0)</f>
        <v>0</v>
      </c>
      <c r="L1306" s="527"/>
      <c r="M1306" s="609">
        <f>IFERROR(VLOOKUP($B1301,'PY1 TFR ADA'!$F:$AU,MATCH("b-4.4",'PY1 TFR ADA'!$F$5:$AU$5,0),FALSE),0)</f>
        <v>0</v>
      </c>
      <c r="N1306" s="527"/>
      <c r="O1306" s="609">
        <f>IFERROR(VLOOKUP($B1301,'PY1 TFR ADA'!$F:$AU,MATCH("b-5.4",'PY1 TFR ADA'!$F$5:$AU$5,0),FALSE),0)</f>
        <v>0</v>
      </c>
      <c r="P1306" s="527"/>
      <c r="Q1306" s="609">
        <f>IFERROR(VLOOKUP($B1301,'PY1 TFR ADA'!$F:$AU,MATCH("b-6.4",'PY1 TFR ADA'!$F$5:$AU$5,0),FALSE),0)</f>
        <v>0</v>
      </c>
      <c r="R1306" s="551"/>
      <c r="S1306" s="601">
        <f t="shared" si="1958"/>
        <v>0</v>
      </c>
      <c r="T1306" s="551"/>
      <c r="U1306" s="536">
        <f t="shared" ref="U1306" si="1962">ROUND(IF($G1310="LCFF Rate",(G1306*$C1306),(G1306*$E1306))+IF($I1310="LCFF Rate",(I1306*$C1306),(I1306*$E1306))+IF($K1310="LCFF Rate",(K1306*$C1306),(K1306*$E1306))+IF($M1310="LCFF Rate",(M1306*$C1306),(M1306*$E1306))+IF($O1310="LCFF Rate",(O1306*$C1306),(O1306*$E1306))+IF($Q1310="LCFF Rate",(Q1306*$C1306),(Q1306*$E1306)),0)</f>
        <v>0</v>
      </c>
      <c r="V1306" s="522"/>
      <c r="X1306" s="496"/>
    </row>
    <row r="1307" spans="1:24" s="8" customFormat="1" ht="8.25" customHeight="1">
      <c r="A1307" s="521"/>
      <c r="B1307" s="167"/>
      <c r="C1307" s="165"/>
      <c r="D1307" s="523"/>
      <c r="E1307" s="165"/>
      <c r="F1307" s="523"/>
      <c r="G1307" s="520"/>
      <c r="H1307" s="523"/>
      <c r="I1307" s="520"/>
      <c r="J1307" s="523"/>
      <c r="K1307" s="520"/>
      <c r="L1307" s="523"/>
      <c r="M1307" s="520"/>
      <c r="N1307" s="523"/>
      <c r="O1307" s="520"/>
      <c r="P1307" s="523"/>
      <c r="Q1307" s="520"/>
      <c r="R1307" s="167"/>
      <c r="S1307" s="520"/>
      <c r="T1307" s="167"/>
      <c r="U1307" s="602"/>
      <c r="V1307" s="522"/>
      <c r="X1307" s="4"/>
    </row>
    <row r="1308" spans="1:24" s="8" customFormat="1" ht="14.4">
      <c r="A1308" s="521"/>
      <c r="B1308" s="167"/>
      <c r="C1308" s="165"/>
      <c r="D1308" s="523"/>
      <c r="E1308" s="513" t="s">
        <v>1317</v>
      </c>
      <c r="F1308" s="523"/>
      <c r="G1308" s="601">
        <f t="shared" ref="G1308" si="1963">SUM(G1303:G1306)</f>
        <v>0</v>
      </c>
      <c r="H1308" s="527"/>
      <c r="I1308" s="601">
        <f t="shared" ref="I1308" si="1964">SUM(I1303:I1306)</f>
        <v>0</v>
      </c>
      <c r="J1308" s="527"/>
      <c r="K1308" s="601">
        <f t="shared" ref="K1308" si="1965">SUM(K1303:K1306)</f>
        <v>0</v>
      </c>
      <c r="L1308" s="527"/>
      <c r="M1308" s="601">
        <f t="shared" ref="M1308" si="1966">SUM(M1303:M1306)</f>
        <v>0</v>
      </c>
      <c r="N1308" s="527"/>
      <c r="O1308" s="601">
        <f t="shared" ref="O1308" si="1967">SUM(O1303:O1306)</f>
        <v>0</v>
      </c>
      <c r="P1308" s="527"/>
      <c r="Q1308" s="601">
        <f t="shared" ref="Q1308" si="1968">SUM(Q1303:Q1306)</f>
        <v>0</v>
      </c>
      <c r="R1308" s="527"/>
      <c r="S1308" s="601">
        <f t="shared" ref="S1308" si="1969">SUM(S1303:S1306)</f>
        <v>0</v>
      </c>
      <c r="T1308" s="527"/>
      <c r="U1308" s="536">
        <f t="shared" ref="U1308" si="1970">SUM(U1303:U1306)</f>
        <v>0</v>
      </c>
      <c r="V1308" s="522"/>
      <c r="X1308" s="4"/>
    </row>
    <row r="1309" spans="1:24" s="8" customFormat="1" ht="8.25" customHeight="1">
      <c r="A1309" s="521"/>
      <c r="B1309" s="167"/>
      <c r="C1309" s="165"/>
      <c r="D1309" s="523"/>
      <c r="E1309" s="165"/>
      <c r="F1309" s="523"/>
      <c r="G1309" s="520"/>
      <c r="H1309" s="523"/>
      <c r="I1309" s="520"/>
      <c r="J1309" s="523"/>
      <c r="K1309" s="520"/>
      <c r="L1309" s="523"/>
      <c r="M1309" s="520"/>
      <c r="N1309" s="523"/>
      <c r="O1309" s="520"/>
      <c r="P1309" s="523"/>
      <c r="Q1309" s="520"/>
      <c r="R1309" s="167"/>
      <c r="S1309" s="520"/>
      <c r="T1309" s="167"/>
      <c r="U1309" s="528"/>
      <c r="V1309" s="522"/>
      <c r="X1309" s="4"/>
    </row>
    <row r="1310" spans="1:24" s="8" customFormat="1" ht="16.5" customHeight="1">
      <c r="A1310" s="521"/>
      <c r="B1310" s="167"/>
      <c r="C1310" s="165"/>
      <c r="E1310" s="513" t="s">
        <v>1304</v>
      </c>
      <c r="F1310" s="523"/>
      <c r="G1310" s="977">
        <f>_xlfn.IFNA(IF(VLOOKUP($B1301,'PY1 TFR ADA'!$F:$AU,MATCH("B-1.5",'PY1 TFR ADA'!$F$5:$AU$5,0),FALSE)=TRUE,IF(VLOOKUP($B1301,'PY1 TFR ADA'!$F:$AU,MATCH("C-1",'PY1 TFR ADA'!$F$5:$AU$5,0),FALSE)=TRUE,"Alternative Rate","LCFF Rate"),"LCFF Rate"),0)</f>
        <v>0</v>
      </c>
      <c r="H1310" s="523"/>
      <c r="I1310" s="977">
        <f>_xlfn.IFNA(IF(VLOOKUP($B1301,'PY1 TFR ADA'!$F:$AU,MATCH("B-2.5",'PY1 TFR ADA'!$F$5:$AU$5,0),FALSE)=TRUE,IF(VLOOKUP($B1301,'PY1 TFR ADA'!$F:$AU,MATCH("C-1",'PY1 TFR ADA'!$F$5:$AU$5,0),FALSE)=TRUE,"Alternative Rate","LCFF Rate"),"LCFF Rate"),0)</f>
        <v>0</v>
      </c>
      <c r="J1310" s="523"/>
      <c r="K1310" s="977">
        <f>_xlfn.IFNA(IF(VLOOKUP($B1301,'PY1 TFR ADA'!$F:$AU,MATCH("B-3.5",'PY1 TFR ADA'!$F$5:$AU$5,0),FALSE)=TRUE,IF(VLOOKUP($B1301,'PY1 TFR ADA'!$F:$AU,MATCH("C-1",'PY1 TFR ADA'!$F$5:$AU$5,0),FALSE)=TRUE,"Alternative Rate","LCFF Rate"),"LCFF Rate"),0)</f>
        <v>0</v>
      </c>
      <c r="L1310" s="523"/>
      <c r="M1310" s="977">
        <f>_xlfn.IFNA(IF(VLOOKUP($B1301,'PY1 TFR ADA'!$F:$AU,MATCH("B-4.5",'PY1 TFR ADA'!$F$5:$AU$5,0),FALSE)=TRUE,IF(VLOOKUP($B1301,'PY1 TFR ADA'!$F:$AU,MATCH("C-1",'PY1 TFR ADA'!$F$5:$AU$5,0),FALSE)=TRUE,"Alternative Rate","LCFF Rate"),"LCFF Rate"),0)</f>
        <v>0</v>
      </c>
      <c r="N1310" s="523"/>
      <c r="O1310" s="977">
        <f>_xlfn.IFNA(IF(VLOOKUP($B1301,'PY1 TFR ADA'!$F:$AU,MATCH("B-5.5",'PY1 TFR ADA'!$F$5:$AU$5,0),FALSE)=TRUE,IF(VLOOKUP($B1301,'PY1 TFR ADA'!$F:$AU,MATCH("C-1",'PY1 TFR ADA'!$F$5:$AU$5,0),FALSE)=TRUE,"Alternative Rate","LCFF Rate"),"LCFF Rate"),0)</f>
        <v>0</v>
      </c>
      <c r="P1310" s="523"/>
      <c r="Q1310" s="977">
        <f>_xlfn.IFNA(IF(VLOOKUP($B1301,'PY1 TFR ADA'!$F:$AU,MATCH("B-6.5",'PY1 TFR ADA'!$F$5:$AU$5,0),FALSE)=TRUE,IF(VLOOKUP($B1301,'PY1 TFR ADA'!$F:$AU,MATCH("C-1",'PY1 TFR ADA'!$F$5:$AU$5,0),FALSE)=TRUE,"Alternative Rate","LCFF Rate"),"LCFF Rate"),0)</f>
        <v>0</v>
      </c>
      <c r="R1310" s="167"/>
      <c r="S1310" s="520"/>
      <c r="T1310" s="167"/>
      <c r="U1310" s="528"/>
      <c r="V1310" s="522"/>
      <c r="X1310" s="283"/>
    </row>
    <row r="1311" spans="1:24" s="8" customFormat="1" ht="8.25" customHeight="1">
      <c r="A1311" s="521"/>
      <c r="B1311" s="167"/>
      <c r="C1311" s="165"/>
      <c r="D1311" s="523"/>
      <c r="E1311" s="165"/>
      <c r="F1311" s="523"/>
      <c r="G1311" s="520"/>
      <c r="H1311" s="523"/>
      <c r="I1311" s="520"/>
      <c r="J1311" s="523"/>
      <c r="K1311" s="520"/>
      <c r="L1311" s="523"/>
      <c r="M1311" s="520"/>
      <c r="N1311" s="523"/>
      <c r="O1311" s="520"/>
      <c r="P1311" s="523"/>
      <c r="Q1311" s="520"/>
      <c r="R1311" s="167"/>
      <c r="S1311" s="520"/>
      <c r="T1311" s="167"/>
      <c r="U1311" s="528"/>
      <c r="V1311" s="522"/>
      <c r="X1311" s="4"/>
    </row>
    <row r="1312" spans="1:24" s="8" customFormat="1" ht="16.8">
      <c r="A1312" s="521"/>
      <c r="B1312" s="2"/>
      <c r="F1312" s="523"/>
      <c r="G1312" s="535">
        <f t="shared" ref="G1312" si="1971">IF(G1310="LCFF Rate",(G1303*C1303+G1304*C1304+G1305*C1305+G1306*C1306),(G1308*E1306))</f>
        <v>0</v>
      </c>
      <c r="H1312" s="537"/>
      <c r="I1312" s="535">
        <f t="shared" ref="I1312" si="1972">IF(I1310="LCFF Rate",(I1303*C1303+I1304*C1304+I1305*C1305+I1306*C1306),(I1308*E1306))</f>
        <v>0</v>
      </c>
      <c r="J1312" s="537"/>
      <c r="K1312" s="535">
        <f t="shared" ref="K1312" si="1973">IF(K1310="LCFF Rate",(K1303*C1303+K1304*C1304+K1305*C1305+K1306*C1306),(K1308*E1306))</f>
        <v>0</v>
      </c>
      <c r="L1312" s="537"/>
      <c r="M1312" s="535">
        <f t="shared" ref="M1312" si="1974">IF(M1310="LCFF Rate",(M1303*C1303+M1304*C1304+M1305*C1305+M1306*C1306),(M1308*E1306))</f>
        <v>0</v>
      </c>
      <c r="N1312" s="537"/>
      <c r="O1312" s="535">
        <f t="shared" ref="O1312" si="1975">IF(O1310="LCFF Rate",(O1303*C1303+O1304*C1304+O1305*C1305+O1306*C1306),(O1308*E1306))</f>
        <v>0</v>
      </c>
      <c r="P1312" s="537"/>
      <c r="Q1312" s="535">
        <f t="shared" ref="Q1312" si="1976">IF(Q1310="LCFF Rate",(Q1303*C1303+Q1304*C1304+Q1305*C1305+Q1306*C1306),(Q1308*E1306))</f>
        <v>0</v>
      </c>
      <c r="R1312" s="167"/>
      <c r="S1312" s="538">
        <f t="shared" ref="S1312" si="1977">SUM(G1312:Q1312)</f>
        <v>0</v>
      </c>
      <c r="T1312" s="167"/>
      <c r="U1312" s="528"/>
      <c r="V1312" s="522"/>
      <c r="X1312" s="979"/>
    </row>
    <row r="1313" spans="1:24" s="8" customFormat="1" ht="9" customHeight="1" thickBot="1">
      <c r="A1313" s="529"/>
      <c r="B1313" s="530"/>
      <c r="C1313" s="531"/>
      <c r="D1313" s="532"/>
      <c r="E1313" s="533"/>
      <c r="F1313" s="532"/>
      <c r="G1313" s="530"/>
      <c r="H1313" s="532"/>
      <c r="I1313" s="530"/>
      <c r="J1313" s="532"/>
      <c r="K1313" s="530"/>
      <c r="L1313" s="532"/>
      <c r="M1313" s="530"/>
      <c r="N1313" s="532"/>
      <c r="O1313" s="530"/>
      <c r="P1313" s="532"/>
      <c r="Q1313" s="530"/>
      <c r="R1313" s="532"/>
      <c r="S1313" s="530"/>
      <c r="T1313" s="532"/>
      <c r="U1313" s="532"/>
      <c r="V1313" s="534"/>
      <c r="X1313" s="4"/>
    </row>
    <row r="1314" spans="1:24" s="82" customFormat="1" ht="18" customHeight="1" thickBot="1">
      <c r="A1314" s="890">
        <f>+A1301+1</f>
        <v>101</v>
      </c>
      <c r="B1314" s="891" t="str">
        <f>'Data Entry'!$B$3&amp;"-"&amp;C1314</f>
        <v>-</v>
      </c>
      <c r="C1314" s="891" t="str">
        <f>IFERROR(VLOOKUP('Data Entry'!$B$3&amp;"-"&amp;A1314,'PY1 TFR ADA'!$D:$AT,2,FALSE),"")</f>
        <v/>
      </c>
      <c r="D1314" s="892" t="str">
        <f>IFERROR(VLOOKUP('Data Entry'!$B$3&amp;"-"&amp;A1314,'PY1 TFR ADA'!$D:$AT,4,FALSE),"")</f>
        <v/>
      </c>
      <c r="E1314" s="893"/>
      <c r="F1314" s="893"/>
      <c r="G1314" s="893"/>
      <c r="H1314" s="893"/>
      <c r="I1314" s="893"/>
      <c r="J1314" s="893"/>
      <c r="K1314" s="893"/>
      <c r="L1314" s="893"/>
      <c r="M1314" s="893"/>
      <c r="N1314" s="893"/>
      <c r="O1314" s="893"/>
      <c r="P1314" s="893"/>
      <c r="Q1314" s="893"/>
      <c r="R1314" s="893"/>
      <c r="S1314" s="893"/>
      <c r="T1314" s="893"/>
      <c r="U1314" s="893"/>
      <c r="V1314" s="894"/>
      <c r="X1314" s="83"/>
    </row>
    <row r="1315" spans="1:24" ht="75" customHeight="1">
      <c r="A1315" s="521"/>
      <c r="C1315" s="540" t="s">
        <v>1315</v>
      </c>
      <c r="D1315" s="512"/>
      <c r="E1315" s="540" t="s">
        <v>1316</v>
      </c>
      <c r="F1315" s="512"/>
      <c r="G1315" s="540" t="s">
        <v>1309</v>
      </c>
      <c r="H1315" s="512"/>
      <c r="I1315" s="540" t="s">
        <v>1310</v>
      </c>
      <c r="J1315" s="512"/>
      <c r="K1315" s="540" t="s">
        <v>1311</v>
      </c>
      <c r="L1315" s="512"/>
      <c r="M1315" s="540" t="s">
        <v>1312</v>
      </c>
      <c r="N1315" s="512"/>
      <c r="O1315" s="540" t="s">
        <v>1313</v>
      </c>
      <c r="P1315" s="512"/>
      <c r="Q1315" s="540" t="s">
        <v>1314</v>
      </c>
      <c r="R1315" s="167"/>
      <c r="S1315" s="540" t="s">
        <v>1308</v>
      </c>
      <c r="T1315" s="167"/>
      <c r="U1315" s="512" t="s">
        <v>1307</v>
      </c>
      <c r="V1315" s="524"/>
      <c r="X1315" s="283"/>
    </row>
    <row r="1316" spans="1:24" s="8" customFormat="1" ht="14.4">
      <c r="A1316" s="521"/>
      <c r="B1316" s="510" t="s">
        <v>94</v>
      </c>
      <c r="C1316" s="525">
        <f>IFERROR(VLOOKUP($B1314,'PY1 TFR ADA'!$F:$AU,MATCH("A-1.1",'PY1 TFR ADA'!$F$5:$AU$5,0),FALSE),0)</f>
        <v>0</v>
      </c>
      <c r="D1316" s="167"/>
      <c r="E1316" s="525">
        <f>IFERROR(VALUE(VLOOKUP($B1314,'PY1 TFR ADA'!$F:$AU,MATCH("A-2.1",'PY1 TFR ADA'!$F$5:$AU$5,0),FALSE)),0)</f>
        <v>0</v>
      </c>
      <c r="F1316" s="167"/>
      <c r="G1316" s="609">
        <f>IFERROR(VLOOKUP($B1314,'PY1 TFR ADA'!$F:$AU,MATCH("b-1.1",'PY1 TFR ADA'!$F$5:$AU$5,0),FALSE),0)</f>
        <v>0</v>
      </c>
      <c r="H1316" s="527"/>
      <c r="I1316" s="609">
        <f>IFERROR(VLOOKUP($B1314,'PY1 TFR ADA'!$F:$AU,MATCH("b-2.1",'PY1 TFR ADA'!$F$5:$AU$5,0),FALSE),0)</f>
        <v>0</v>
      </c>
      <c r="J1316" s="527"/>
      <c r="K1316" s="609">
        <f>IFERROR(VLOOKUP($B1314,'PY1 TFR ADA'!$F:$AU,MATCH("b-3.1",'PY1 TFR ADA'!$F$5:$AU$5,0),FALSE),0)</f>
        <v>0</v>
      </c>
      <c r="L1316" s="527"/>
      <c r="M1316" s="609">
        <f>IFERROR(VLOOKUP($B1314,'PY1 TFR ADA'!$F:$AU,MATCH("b-4.1",'PY1 TFR ADA'!$F$5:$AU$5,0),FALSE),0)</f>
        <v>0</v>
      </c>
      <c r="N1316" s="527"/>
      <c r="O1316" s="609">
        <f>IFERROR(VLOOKUP($B1314,'PY1 TFR ADA'!$F:$AU,MATCH("b-5.1",'PY1 TFR ADA'!$F$5:$AU$5,0),FALSE),0)</f>
        <v>0</v>
      </c>
      <c r="P1316" s="527"/>
      <c r="Q1316" s="609">
        <f>IFERROR(VLOOKUP($B1314,'PY1 TFR ADA'!$F:$AU,MATCH("b-6.1",'PY1 TFR ADA'!$F$5:$AU$5,0),FALSE),0)</f>
        <v>0</v>
      </c>
      <c r="R1316" s="551"/>
      <c r="S1316" s="601">
        <f t="shared" ref="S1316:S1319" si="1978">SUM(G1316:Q1316)</f>
        <v>0</v>
      </c>
      <c r="T1316" s="551"/>
      <c r="U1316" s="536">
        <f t="shared" ref="U1316" si="1979">ROUND(IF($G1323="LCFF Rate",(G1316*$C1316),(G1316*$E1316))+IF($I1323="LCFF Rate",(I1316*$C1316),(I1316*$E1316))+IF($K1323="LCFF Rate",(K1316*$C1316),(K1316*$E1316))+IF($M1323="LCFF Rate",(M1316*$C1316),(M1316*$E1316))+IF($O1323="LCFF Rate",(O1316*$C1316),(O1316*$E1316))+IF($Q1323="LCFF Rate",(Q1316*$C1316),(Q1316*$E1316)),0)</f>
        <v>0</v>
      </c>
      <c r="V1316" s="524"/>
      <c r="X1316" s="496"/>
    </row>
    <row r="1317" spans="1:24" s="8" customFormat="1" ht="14.4">
      <c r="A1317" s="521"/>
      <c r="B1317" s="510" t="s">
        <v>2</v>
      </c>
      <c r="C1317" s="525">
        <f>IFERROR(VLOOKUP($B1314,'PY1 TFR ADA'!$F:$AU,MATCH("A-1.2",'PY1 TFR ADA'!$F$5:$AU$5,0),FALSE),0)</f>
        <v>0</v>
      </c>
      <c r="D1317" s="167"/>
      <c r="E1317" s="525">
        <f>IFERROR(VALUE(VLOOKUP($B1314,'PY1 TFR ADA'!$F:$AU,MATCH("A-2.2",'PY1 TFR ADA'!$F$5:$AU$5,0),FALSE)),0)</f>
        <v>0</v>
      </c>
      <c r="F1317" s="167"/>
      <c r="G1317" s="609">
        <f>IFERROR(VLOOKUP($B1314,'PY1 TFR ADA'!$F:$AU,MATCH("b-1.2",'PY1 TFR ADA'!$F$5:$AU$5,0),FALSE),0)</f>
        <v>0</v>
      </c>
      <c r="H1317" s="527"/>
      <c r="I1317" s="609">
        <f>IFERROR(VLOOKUP($B1314,'PY1 TFR ADA'!$F:$AU,MATCH("b-2.2",'PY1 TFR ADA'!$F$5:$AU$5,0),FALSE),0)</f>
        <v>0</v>
      </c>
      <c r="J1317" s="527"/>
      <c r="K1317" s="609">
        <f>IFERROR(VLOOKUP($B1314,'PY1 TFR ADA'!$F:$AU,MATCH("b-3.2",'PY1 TFR ADA'!$F$5:$AU$5,0),FALSE),0)</f>
        <v>0</v>
      </c>
      <c r="L1317" s="527"/>
      <c r="M1317" s="609">
        <f>IFERROR(VLOOKUP($B1314,'PY1 TFR ADA'!$F:$AU,MATCH("b-4.2",'PY1 TFR ADA'!$F$5:$AU$5,0),FALSE),0)</f>
        <v>0</v>
      </c>
      <c r="N1317" s="527"/>
      <c r="O1317" s="609">
        <f>IFERROR(VLOOKUP($B1314,'PY1 TFR ADA'!$F:$AU,MATCH("b-5.2",'PY1 TFR ADA'!$F$5:$AU$5,0),FALSE),0)</f>
        <v>0</v>
      </c>
      <c r="P1317" s="527"/>
      <c r="Q1317" s="609">
        <f>IFERROR(VLOOKUP($B1314,'PY1 TFR ADA'!$F:$AU,MATCH("b-6.2",'PY1 TFR ADA'!$F$5:$AU$5,0),FALSE),0)</f>
        <v>0</v>
      </c>
      <c r="R1317" s="551"/>
      <c r="S1317" s="601">
        <f t="shared" si="1978"/>
        <v>0</v>
      </c>
      <c r="T1317" s="551"/>
      <c r="U1317" s="536">
        <f t="shared" ref="U1317" si="1980">ROUND(IF($G1323="LCFF Rate",(G1317*$C1317),(G1317*$E1317))+IF($I1323="LCFF Rate",(I1317*$C1317),(I1317*$E1317))+IF($K1323="LCFF Rate",(K1317*$C1317),(K1317*$E1317))+IF($M1323="LCFF Rate",(M1317*$C1317),(M1317*$E1317))+IF($O1323="LCFF Rate",(O1317*$C1317),(O1317*$E1317))+IF($Q1323="LCFF Rate",(Q1317*$C1317),(Q1317*$E1317)),0)</f>
        <v>0</v>
      </c>
      <c r="V1317" s="524"/>
      <c r="X1317" s="4"/>
    </row>
    <row r="1318" spans="1:24" s="8" customFormat="1" ht="14.4">
      <c r="A1318" s="521"/>
      <c r="B1318" s="510" t="s">
        <v>3</v>
      </c>
      <c r="C1318" s="525">
        <f>IFERROR(VLOOKUP($B1314,'PY1 TFR ADA'!$F:$AU,MATCH("A-1.3",'PY1 TFR ADA'!$F$5:$AU$5,0),FALSE),0)</f>
        <v>0</v>
      </c>
      <c r="D1318" s="167"/>
      <c r="E1318" s="525">
        <f>IFERROR(VALUE(VLOOKUP($B1314,'PY1 TFR ADA'!$F:$AU,MATCH("A-2.3",'PY1 TFR ADA'!$F$5:$AU$5,0),FALSE)),0)</f>
        <v>0</v>
      </c>
      <c r="F1318" s="167"/>
      <c r="G1318" s="609">
        <f>IFERROR(VLOOKUP($B1314,'PY1 TFR ADA'!$F:$AU,MATCH("b-1.3",'PY1 TFR ADA'!$F$5:$AU$5,0),FALSE),0)</f>
        <v>0</v>
      </c>
      <c r="H1318" s="527"/>
      <c r="I1318" s="609">
        <f>IFERROR(VLOOKUP($B1314,'PY1 TFR ADA'!$F:$AU,MATCH("b-2.3",'PY1 TFR ADA'!$F$5:$AU$5,0),FALSE),0)</f>
        <v>0</v>
      </c>
      <c r="J1318" s="527"/>
      <c r="K1318" s="609">
        <f>IFERROR(VLOOKUP($B1314,'PY1 TFR ADA'!$F:$AU,MATCH("b-3.3",'PY1 TFR ADA'!$F$5:$AU$5,0),FALSE),0)</f>
        <v>0</v>
      </c>
      <c r="L1318" s="527"/>
      <c r="M1318" s="609">
        <f>IFERROR(VLOOKUP($B1314,'PY1 TFR ADA'!$F:$AU,MATCH("b-4.3",'PY1 TFR ADA'!$F$5:$AU$5,0),FALSE),0)</f>
        <v>0</v>
      </c>
      <c r="N1318" s="527"/>
      <c r="O1318" s="609">
        <f>IFERROR(VLOOKUP($B1314,'PY1 TFR ADA'!$F:$AU,MATCH("b-5.3",'PY1 TFR ADA'!$F$5:$AU$5,0),FALSE),0)</f>
        <v>0</v>
      </c>
      <c r="P1318" s="527"/>
      <c r="Q1318" s="609">
        <f>IFERROR(VLOOKUP($B1314,'PY1 TFR ADA'!$F:$AU,MATCH("b-6.3",'PY1 TFR ADA'!$F$5:$AU$5,0),FALSE),0)</f>
        <v>0</v>
      </c>
      <c r="R1318" s="551"/>
      <c r="S1318" s="601">
        <f t="shared" si="1978"/>
        <v>0</v>
      </c>
      <c r="T1318" s="551"/>
      <c r="U1318" s="536">
        <f t="shared" ref="U1318" si="1981">ROUND(IF($G1323="LCFF Rate",(G1318*$C1318),(G1318*$E1318))+IF($I1323="LCFF Rate",(I1318*$C1318),(I1318*$E1318))+IF($K1323="LCFF Rate",(K1318*$C1318),(K1318*$E1318))+IF($M1323="LCFF Rate",(M1318*$C1318),(M1318*$E1318))+IF($O1323="LCFF Rate",(O1318*$C1318),(O1318*$E1318))+IF($Q1323="LCFF Rate",(Q1318*$C1318),(Q1318*$E1318)),0)</f>
        <v>0</v>
      </c>
      <c r="V1318" s="524"/>
      <c r="X1318" s="4"/>
    </row>
    <row r="1319" spans="1:24" s="8" customFormat="1" ht="14.4">
      <c r="A1319" s="526"/>
      <c r="B1319" s="510" t="s">
        <v>4</v>
      </c>
      <c r="C1319" s="525">
        <f>IFERROR(VLOOKUP($B1314,'PY1 TFR ADA'!$F:$AU,MATCH("A-1.4",'PY1 TFR ADA'!$F$5:$AU$5,0),FALSE),0)</f>
        <v>0</v>
      </c>
      <c r="D1319" s="523"/>
      <c r="E1319" s="525">
        <f>IFERROR(VALUE(VLOOKUP($B1314,'PY1 TFR ADA'!$F:$AU,MATCH("A-2.4",'PY1 TFR ADA'!$F$5:$AU$5,0),FALSE)),0)</f>
        <v>0</v>
      </c>
      <c r="F1319" s="523"/>
      <c r="G1319" s="609">
        <f>IFERROR(VLOOKUP($B1314,'PY1 TFR ADA'!$F:$AU,MATCH("b-1.4",'PY1 TFR ADA'!$F$5:$AU$5,0),FALSE),0)</f>
        <v>0</v>
      </c>
      <c r="H1319" s="527"/>
      <c r="I1319" s="609">
        <f>IFERROR(VLOOKUP($B1314,'PY1 TFR ADA'!$F:$AU,MATCH("b-2.4",'PY1 TFR ADA'!$F$5:$AU$5,0),FALSE),0)</f>
        <v>0</v>
      </c>
      <c r="J1319" s="527"/>
      <c r="K1319" s="609">
        <f>IFERROR(VLOOKUP($B1314,'PY1 TFR ADA'!$F:$AU,MATCH("b-3.4",'PY1 TFR ADA'!$F$5:$AU$5,0),FALSE),0)</f>
        <v>0</v>
      </c>
      <c r="L1319" s="527"/>
      <c r="M1319" s="609">
        <f>IFERROR(VLOOKUP($B1314,'PY1 TFR ADA'!$F:$AU,MATCH("b-4.4",'PY1 TFR ADA'!$F$5:$AU$5,0),FALSE),0)</f>
        <v>0</v>
      </c>
      <c r="N1319" s="527"/>
      <c r="O1319" s="609">
        <f>IFERROR(VLOOKUP($B1314,'PY1 TFR ADA'!$F:$AU,MATCH("b-5.4",'PY1 TFR ADA'!$F$5:$AU$5,0),FALSE),0)</f>
        <v>0</v>
      </c>
      <c r="P1319" s="527"/>
      <c r="Q1319" s="609">
        <f>IFERROR(VLOOKUP($B1314,'PY1 TFR ADA'!$F:$AU,MATCH("b-6.4",'PY1 TFR ADA'!$F$5:$AU$5,0),FALSE),0)</f>
        <v>0</v>
      </c>
      <c r="R1319" s="551"/>
      <c r="S1319" s="601">
        <f t="shared" si="1978"/>
        <v>0</v>
      </c>
      <c r="T1319" s="551"/>
      <c r="U1319" s="536">
        <f t="shared" ref="U1319" si="1982">ROUND(IF($G1323="LCFF Rate",(G1319*$C1319),(G1319*$E1319))+IF($I1323="LCFF Rate",(I1319*$C1319),(I1319*$E1319))+IF($K1323="LCFF Rate",(K1319*$C1319),(K1319*$E1319))+IF($M1323="LCFF Rate",(M1319*$C1319),(M1319*$E1319))+IF($O1323="LCFF Rate",(O1319*$C1319),(O1319*$E1319))+IF($Q1323="LCFF Rate",(Q1319*$C1319),(Q1319*$E1319)),0)</f>
        <v>0</v>
      </c>
      <c r="V1319" s="522"/>
      <c r="X1319" s="496"/>
    </row>
    <row r="1320" spans="1:24" s="8" customFormat="1" ht="8.25" customHeight="1">
      <c r="A1320" s="521"/>
      <c r="B1320" s="167"/>
      <c r="C1320" s="165"/>
      <c r="D1320" s="523"/>
      <c r="E1320" s="165"/>
      <c r="F1320" s="523"/>
      <c r="G1320" s="520"/>
      <c r="H1320" s="523"/>
      <c r="I1320" s="520"/>
      <c r="J1320" s="523"/>
      <c r="K1320" s="520"/>
      <c r="L1320" s="523"/>
      <c r="M1320" s="520"/>
      <c r="N1320" s="523"/>
      <c r="O1320" s="520"/>
      <c r="P1320" s="523"/>
      <c r="Q1320" s="520"/>
      <c r="R1320" s="167"/>
      <c r="S1320" s="520"/>
      <c r="T1320" s="167"/>
      <c r="U1320" s="602"/>
      <c r="V1320" s="522"/>
      <c r="X1320" s="4"/>
    </row>
    <row r="1321" spans="1:24" s="8" customFormat="1" ht="14.4">
      <c r="A1321" s="521"/>
      <c r="B1321" s="167"/>
      <c r="C1321" s="165"/>
      <c r="D1321" s="523"/>
      <c r="E1321" s="513" t="s">
        <v>1317</v>
      </c>
      <c r="F1321" s="523"/>
      <c r="G1321" s="601">
        <f t="shared" ref="G1321" si="1983">SUM(G1316:G1319)</f>
        <v>0</v>
      </c>
      <c r="H1321" s="527"/>
      <c r="I1321" s="601">
        <f t="shared" ref="I1321" si="1984">SUM(I1316:I1319)</f>
        <v>0</v>
      </c>
      <c r="J1321" s="527"/>
      <c r="K1321" s="601">
        <f t="shared" ref="K1321" si="1985">SUM(K1316:K1319)</f>
        <v>0</v>
      </c>
      <c r="L1321" s="527"/>
      <c r="M1321" s="601">
        <f t="shared" ref="M1321" si="1986">SUM(M1316:M1319)</f>
        <v>0</v>
      </c>
      <c r="N1321" s="527"/>
      <c r="O1321" s="601">
        <f t="shared" ref="O1321" si="1987">SUM(O1316:O1319)</f>
        <v>0</v>
      </c>
      <c r="P1321" s="527"/>
      <c r="Q1321" s="601">
        <f t="shared" ref="Q1321" si="1988">SUM(Q1316:Q1319)</f>
        <v>0</v>
      </c>
      <c r="R1321" s="527"/>
      <c r="S1321" s="601">
        <f t="shared" ref="S1321" si="1989">SUM(S1316:S1319)</f>
        <v>0</v>
      </c>
      <c r="T1321" s="527"/>
      <c r="U1321" s="536">
        <f t="shared" ref="U1321" si="1990">SUM(U1316:U1319)</f>
        <v>0</v>
      </c>
      <c r="V1321" s="522"/>
      <c r="X1321" s="4"/>
    </row>
    <row r="1322" spans="1:24" s="8" customFormat="1" ht="8.25" customHeight="1">
      <c r="A1322" s="521"/>
      <c r="B1322" s="167"/>
      <c r="C1322" s="165"/>
      <c r="D1322" s="523"/>
      <c r="E1322" s="165"/>
      <c r="F1322" s="523"/>
      <c r="G1322" s="520"/>
      <c r="H1322" s="523"/>
      <c r="I1322" s="520"/>
      <c r="J1322" s="523"/>
      <c r="K1322" s="520"/>
      <c r="L1322" s="523"/>
      <c r="M1322" s="520"/>
      <c r="N1322" s="523"/>
      <c r="O1322" s="520"/>
      <c r="P1322" s="523"/>
      <c r="Q1322" s="520"/>
      <c r="R1322" s="167"/>
      <c r="S1322" s="520"/>
      <c r="T1322" s="167"/>
      <c r="U1322" s="528"/>
      <c r="V1322" s="522"/>
      <c r="X1322" s="4"/>
    </row>
    <row r="1323" spans="1:24" s="8" customFormat="1" ht="16.5" customHeight="1">
      <c r="A1323" s="521"/>
      <c r="B1323" s="167"/>
      <c r="C1323" s="165"/>
      <c r="E1323" s="513" t="s">
        <v>1304</v>
      </c>
      <c r="F1323" s="523"/>
      <c r="G1323" s="977">
        <f>_xlfn.IFNA(IF(VLOOKUP($B1314,'PY1 TFR ADA'!$F:$AU,MATCH("B-1.5",'PY1 TFR ADA'!$F$5:$AU$5,0),FALSE)=TRUE,IF(VLOOKUP($B1314,'PY1 TFR ADA'!$F:$AU,MATCH("C-1",'PY1 TFR ADA'!$F$5:$AU$5,0),FALSE)=TRUE,"Alternative Rate","LCFF Rate"),"LCFF Rate"),0)</f>
        <v>0</v>
      </c>
      <c r="H1323" s="523"/>
      <c r="I1323" s="977">
        <f>_xlfn.IFNA(IF(VLOOKUP($B1314,'PY1 TFR ADA'!$F:$AU,MATCH("B-2.5",'PY1 TFR ADA'!$F$5:$AU$5,0),FALSE)=TRUE,IF(VLOOKUP($B1314,'PY1 TFR ADA'!$F:$AU,MATCH("C-1",'PY1 TFR ADA'!$F$5:$AU$5,0),FALSE)=TRUE,"Alternative Rate","LCFF Rate"),"LCFF Rate"),0)</f>
        <v>0</v>
      </c>
      <c r="J1323" s="523"/>
      <c r="K1323" s="977">
        <f>_xlfn.IFNA(IF(VLOOKUP($B1314,'PY1 TFR ADA'!$F:$AU,MATCH("B-3.5",'PY1 TFR ADA'!$F$5:$AU$5,0),FALSE)=TRUE,IF(VLOOKUP($B1314,'PY1 TFR ADA'!$F:$AU,MATCH("C-1",'PY1 TFR ADA'!$F$5:$AU$5,0),FALSE)=TRUE,"Alternative Rate","LCFF Rate"),"LCFF Rate"),0)</f>
        <v>0</v>
      </c>
      <c r="L1323" s="523"/>
      <c r="M1323" s="977">
        <f>_xlfn.IFNA(IF(VLOOKUP($B1314,'PY1 TFR ADA'!$F:$AU,MATCH("B-4.5",'PY1 TFR ADA'!$F$5:$AU$5,0),FALSE)=TRUE,IF(VLOOKUP($B1314,'PY1 TFR ADA'!$F:$AU,MATCH("C-1",'PY1 TFR ADA'!$F$5:$AU$5,0),FALSE)=TRUE,"Alternative Rate","LCFF Rate"),"LCFF Rate"),0)</f>
        <v>0</v>
      </c>
      <c r="N1323" s="523"/>
      <c r="O1323" s="977">
        <f>_xlfn.IFNA(IF(VLOOKUP($B1314,'PY1 TFR ADA'!$F:$AU,MATCH("B-5.5",'PY1 TFR ADA'!$F$5:$AU$5,0),FALSE)=TRUE,IF(VLOOKUP($B1314,'PY1 TFR ADA'!$F:$AU,MATCH("C-1",'PY1 TFR ADA'!$F$5:$AU$5,0),FALSE)=TRUE,"Alternative Rate","LCFF Rate"),"LCFF Rate"),0)</f>
        <v>0</v>
      </c>
      <c r="P1323" s="523"/>
      <c r="Q1323" s="977">
        <f>_xlfn.IFNA(IF(VLOOKUP($B1314,'PY1 TFR ADA'!$F:$AU,MATCH("B-6.5",'PY1 TFR ADA'!$F$5:$AU$5,0),FALSE)=TRUE,IF(VLOOKUP($B1314,'PY1 TFR ADA'!$F:$AU,MATCH("C-1",'PY1 TFR ADA'!$F$5:$AU$5,0),FALSE)=TRUE,"Alternative Rate","LCFF Rate"),"LCFF Rate"),0)</f>
        <v>0</v>
      </c>
      <c r="R1323" s="167"/>
      <c r="S1323" s="520"/>
      <c r="T1323" s="167"/>
      <c r="U1323" s="528"/>
      <c r="V1323" s="522"/>
      <c r="X1323" s="283"/>
    </row>
    <row r="1324" spans="1:24" s="8" customFormat="1" ht="8.25" customHeight="1">
      <c r="A1324" s="521"/>
      <c r="B1324" s="167"/>
      <c r="C1324" s="165"/>
      <c r="D1324" s="523"/>
      <c r="E1324" s="165"/>
      <c r="F1324" s="523"/>
      <c r="G1324" s="520"/>
      <c r="H1324" s="523"/>
      <c r="I1324" s="520"/>
      <c r="J1324" s="523"/>
      <c r="K1324" s="520"/>
      <c r="L1324" s="523"/>
      <c r="M1324" s="520"/>
      <c r="N1324" s="523"/>
      <c r="O1324" s="520"/>
      <c r="P1324" s="523"/>
      <c r="Q1324" s="520"/>
      <c r="R1324" s="167"/>
      <c r="S1324" s="520"/>
      <c r="T1324" s="167"/>
      <c r="U1324" s="528"/>
      <c r="V1324" s="522"/>
      <c r="X1324" s="4"/>
    </row>
    <row r="1325" spans="1:24" s="8" customFormat="1" ht="16.8">
      <c r="A1325" s="521"/>
      <c r="B1325" s="2"/>
      <c r="F1325" s="523"/>
      <c r="G1325" s="535">
        <f t="shared" ref="G1325" si="1991">IF(G1323="LCFF Rate",(G1316*C1316+G1317*C1317+G1318*C1318+G1319*C1319),(G1321*E1319))</f>
        <v>0</v>
      </c>
      <c r="H1325" s="537"/>
      <c r="I1325" s="535">
        <f t="shared" ref="I1325" si="1992">IF(I1323="LCFF Rate",(I1316*C1316+I1317*C1317+I1318*C1318+I1319*C1319),(I1321*E1319))</f>
        <v>0</v>
      </c>
      <c r="J1325" s="537"/>
      <c r="K1325" s="535">
        <f t="shared" ref="K1325" si="1993">IF(K1323="LCFF Rate",(K1316*C1316+K1317*C1317+K1318*C1318+K1319*C1319),(K1321*E1319))</f>
        <v>0</v>
      </c>
      <c r="L1325" s="537"/>
      <c r="M1325" s="535">
        <f t="shared" ref="M1325" si="1994">IF(M1323="LCFF Rate",(M1316*C1316+M1317*C1317+M1318*C1318+M1319*C1319),(M1321*E1319))</f>
        <v>0</v>
      </c>
      <c r="N1325" s="537"/>
      <c r="O1325" s="535">
        <f t="shared" ref="O1325" si="1995">IF(O1323="LCFF Rate",(O1316*C1316+O1317*C1317+O1318*C1318+O1319*C1319),(O1321*E1319))</f>
        <v>0</v>
      </c>
      <c r="P1325" s="537"/>
      <c r="Q1325" s="535">
        <f t="shared" ref="Q1325" si="1996">IF(Q1323="LCFF Rate",(Q1316*C1316+Q1317*C1317+Q1318*C1318+Q1319*C1319),(Q1321*E1319))</f>
        <v>0</v>
      </c>
      <c r="R1325" s="167"/>
      <c r="S1325" s="538">
        <f t="shared" ref="S1325" si="1997">SUM(G1325:Q1325)</f>
        <v>0</v>
      </c>
      <c r="T1325" s="167"/>
      <c r="U1325" s="528"/>
      <c r="V1325" s="522"/>
      <c r="X1325" s="979"/>
    </row>
    <row r="1326" spans="1:24" s="8" customFormat="1" ht="9" customHeight="1" thickBot="1">
      <c r="A1326" s="529"/>
      <c r="B1326" s="530"/>
      <c r="C1326" s="531"/>
      <c r="D1326" s="532"/>
      <c r="E1326" s="533"/>
      <c r="F1326" s="532"/>
      <c r="G1326" s="530"/>
      <c r="H1326" s="532"/>
      <c r="I1326" s="530"/>
      <c r="J1326" s="532"/>
      <c r="K1326" s="530"/>
      <c r="L1326" s="532"/>
      <c r="M1326" s="530"/>
      <c r="N1326" s="532"/>
      <c r="O1326" s="530"/>
      <c r="P1326" s="532"/>
      <c r="Q1326" s="530"/>
      <c r="R1326" s="532"/>
      <c r="S1326" s="530"/>
      <c r="T1326" s="532"/>
      <c r="U1326" s="532"/>
      <c r="V1326" s="534"/>
      <c r="X1326" s="4"/>
    </row>
    <row r="1327" spans="1:24" s="82" customFormat="1" ht="18" customHeight="1" thickBot="1">
      <c r="A1327" s="890">
        <f>+A1314+1</f>
        <v>102</v>
      </c>
      <c r="B1327" s="891" t="str">
        <f>'Data Entry'!$B$3&amp;"-"&amp;C1327</f>
        <v>-</v>
      </c>
      <c r="C1327" s="891" t="str">
        <f>IFERROR(VLOOKUP('Data Entry'!$B$3&amp;"-"&amp;A1327,'PY1 TFR ADA'!$D:$AT,2,FALSE),"")</f>
        <v/>
      </c>
      <c r="D1327" s="892" t="str">
        <f>IFERROR(VLOOKUP('Data Entry'!$B$3&amp;"-"&amp;A1327,'PY1 TFR ADA'!$D:$AT,4,FALSE),"")</f>
        <v/>
      </c>
      <c r="E1327" s="893"/>
      <c r="F1327" s="893"/>
      <c r="G1327" s="893"/>
      <c r="H1327" s="893"/>
      <c r="I1327" s="893"/>
      <c r="J1327" s="893"/>
      <c r="K1327" s="893"/>
      <c r="L1327" s="893"/>
      <c r="M1327" s="893"/>
      <c r="N1327" s="893"/>
      <c r="O1327" s="893"/>
      <c r="P1327" s="893"/>
      <c r="Q1327" s="893"/>
      <c r="R1327" s="893"/>
      <c r="S1327" s="893"/>
      <c r="T1327" s="893"/>
      <c r="U1327" s="893"/>
      <c r="V1327" s="894"/>
      <c r="X1327" s="83"/>
    </row>
    <row r="1328" spans="1:24" ht="75" customHeight="1">
      <c r="A1328" s="521"/>
      <c r="C1328" s="540" t="s">
        <v>1315</v>
      </c>
      <c r="D1328" s="512"/>
      <c r="E1328" s="540" t="s">
        <v>1316</v>
      </c>
      <c r="F1328" s="512"/>
      <c r="G1328" s="540" t="s">
        <v>1309</v>
      </c>
      <c r="H1328" s="512"/>
      <c r="I1328" s="540" t="s">
        <v>1310</v>
      </c>
      <c r="J1328" s="512"/>
      <c r="K1328" s="540" t="s">
        <v>1311</v>
      </c>
      <c r="L1328" s="512"/>
      <c r="M1328" s="540" t="s">
        <v>1312</v>
      </c>
      <c r="N1328" s="512"/>
      <c r="O1328" s="540" t="s">
        <v>1313</v>
      </c>
      <c r="P1328" s="512"/>
      <c r="Q1328" s="540" t="s">
        <v>1314</v>
      </c>
      <c r="R1328" s="167"/>
      <c r="S1328" s="540" t="s">
        <v>1308</v>
      </c>
      <c r="T1328" s="167"/>
      <c r="U1328" s="512" t="s">
        <v>1307</v>
      </c>
      <c r="V1328" s="524"/>
      <c r="X1328" s="283"/>
    </row>
    <row r="1329" spans="1:24" s="8" customFormat="1" ht="14.4">
      <c r="A1329" s="521"/>
      <c r="B1329" s="510" t="s">
        <v>94</v>
      </c>
      <c r="C1329" s="525">
        <f>IFERROR(VLOOKUP($B1327,'PY1 TFR ADA'!$F:$AU,MATCH("A-1.1",'PY1 TFR ADA'!$F$5:$AU$5,0),FALSE),0)</f>
        <v>0</v>
      </c>
      <c r="D1329" s="167"/>
      <c r="E1329" s="525">
        <f>IFERROR(VALUE(VLOOKUP($B1327,'PY1 TFR ADA'!$F:$AU,MATCH("A-2.1",'PY1 TFR ADA'!$F$5:$AU$5,0),FALSE)),0)</f>
        <v>0</v>
      </c>
      <c r="F1329" s="167"/>
      <c r="G1329" s="609">
        <f>IFERROR(VLOOKUP($B1327,'PY1 TFR ADA'!$F:$AU,MATCH("b-1.1",'PY1 TFR ADA'!$F$5:$AU$5,0),FALSE),0)</f>
        <v>0</v>
      </c>
      <c r="H1329" s="527"/>
      <c r="I1329" s="609">
        <f>IFERROR(VLOOKUP($B1327,'PY1 TFR ADA'!$F:$AU,MATCH("b-2.1",'PY1 TFR ADA'!$F$5:$AU$5,0),FALSE),0)</f>
        <v>0</v>
      </c>
      <c r="J1329" s="527"/>
      <c r="K1329" s="609">
        <f>IFERROR(VLOOKUP($B1327,'PY1 TFR ADA'!$F:$AU,MATCH("b-3.1",'PY1 TFR ADA'!$F$5:$AU$5,0),FALSE),0)</f>
        <v>0</v>
      </c>
      <c r="L1329" s="527"/>
      <c r="M1329" s="609">
        <f>IFERROR(VLOOKUP($B1327,'PY1 TFR ADA'!$F:$AU,MATCH("b-4.1",'PY1 TFR ADA'!$F$5:$AU$5,0),FALSE),0)</f>
        <v>0</v>
      </c>
      <c r="N1329" s="527"/>
      <c r="O1329" s="609">
        <f>IFERROR(VLOOKUP($B1327,'PY1 TFR ADA'!$F:$AU,MATCH("b-5.1",'PY1 TFR ADA'!$F$5:$AU$5,0),FALSE),0)</f>
        <v>0</v>
      </c>
      <c r="P1329" s="527"/>
      <c r="Q1329" s="609">
        <f>IFERROR(VLOOKUP($B1327,'PY1 TFR ADA'!$F:$AU,MATCH("b-6.1",'PY1 TFR ADA'!$F$5:$AU$5,0),FALSE),0)</f>
        <v>0</v>
      </c>
      <c r="R1329" s="551"/>
      <c r="S1329" s="601">
        <f t="shared" ref="S1329:S1332" si="1998">SUM(G1329:Q1329)</f>
        <v>0</v>
      </c>
      <c r="T1329" s="551"/>
      <c r="U1329" s="536">
        <f t="shared" ref="U1329" si="1999">ROUND(IF($G1336="LCFF Rate",(G1329*$C1329),(G1329*$E1329))+IF($I1336="LCFF Rate",(I1329*$C1329),(I1329*$E1329))+IF($K1336="LCFF Rate",(K1329*$C1329),(K1329*$E1329))+IF($M1336="LCFF Rate",(M1329*$C1329),(M1329*$E1329))+IF($O1336="LCFF Rate",(O1329*$C1329),(O1329*$E1329))+IF($Q1336="LCFF Rate",(Q1329*$C1329),(Q1329*$E1329)),0)</f>
        <v>0</v>
      </c>
      <c r="V1329" s="524"/>
      <c r="X1329" s="496"/>
    </row>
    <row r="1330" spans="1:24" s="8" customFormat="1" ht="14.4">
      <c r="A1330" s="521"/>
      <c r="B1330" s="510" t="s">
        <v>2</v>
      </c>
      <c r="C1330" s="525">
        <f>IFERROR(VLOOKUP($B1327,'PY1 TFR ADA'!$F:$AU,MATCH("A-1.2",'PY1 TFR ADA'!$F$5:$AU$5,0),FALSE),0)</f>
        <v>0</v>
      </c>
      <c r="D1330" s="167"/>
      <c r="E1330" s="525">
        <f>IFERROR(VALUE(VLOOKUP($B1327,'PY1 TFR ADA'!$F:$AU,MATCH("A-2.2",'PY1 TFR ADA'!$F$5:$AU$5,0),FALSE)),0)</f>
        <v>0</v>
      </c>
      <c r="F1330" s="167"/>
      <c r="G1330" s="609">
        <f>IFERROR(VLOOKUP($B1327,'PY1 TFR ADA'!$F:$AU,MATCH("b-1.2",'PY1 TFR ADA'!$F$5:$AU$5,0),FALSE),0)</f>
        <v>0</v>
      </c>
      <c r="H1330" s="527"/>
      <c r="I1330" s="609">
        <f>IFERROR(VLOOKUP($B1327,'PY1 TFR ADA'!$F:$AU,MATCH("b-2.2",'PY1 TFR ADA'!$F$5:$AU$5,0),FALSE),0)</f>
        <v>0</v>
      </c>
      <c r="J1330" s="527"/>
      <c r="K1330" s="609">
        <f>IFERROR(VLOOKUP($B1327,'PY1 TFR ADA'!$F:$AU,MATCH("b-3.2",'PY1 TFR ADA'!$F$5:$AU$5,0),FALSE),0)</f>
        <v>0</v>
      </c>
      <c r="L1330" s="527"/>
      <c r="M1330" s="609">
        <f>IFERROR(VLOOKUP($B1327,'PY1 TFR ADA'!$F:$AU,MATCH("b-4.2",'PY1 TFR ADA'!$F$5:$AU$5,0),FALSE),0)</f>
        <v>0</v>
      </c>
      <c r="N1330" s="527"/>
      <c r="O1330" s="609">
        <f>IFERROR(VLOOKUP($B1327,'PY1 TFR ADA'!$F:$AU,MATCH("b-5.2",'PY1 TFR ADA'!$F$5:$AU$5,0),FALSE),0)</f>
        <v>0</v>
      </c>
      <c r="P1330" s="527"/>
      <c r="Q1330" s="609">
        <f>IFERROR(VLOOKUP($B1327,'PY1 TFR ADA'!$F:$AU,MATCH("b-6.2",'PY1 TFR ADA'!$F$5:$AU$5,0),FALSE),0)</f>
        <v>0</v>
      </c>
      <c r="R1330" s="551"/>
      <c r="S1330" s="601">
        <f t="shared" si="1998"/>
        <v>0</v>
      </c>
      <c r="T1330" s="551"/>
      <c r="U1330" s="536">
        <f t="shared" ref="U1330" si="2000">ROUND(IF($G1336="LCFF Rate",(G1330*$C1330),(G1330*$E1330))+IF($I1336="LCFF Rate",(I1330*$C1330),(I1330*$E1330))+IF($K1336="LCFF Rate",(K1330*$C1330),(K1330*$E1330))+IF($M1336="LCFF Rate",(M1330*$C1330),(M1330*$E1330))+IF($O1336="LCFF Rate",(O1330*$C1330),(O1330*$E1330))+IF($Q1336="LCFF Rate",(Q1330*$C1330),(Q1330*$E1330)),0)</f>
        <v>0</v>
      </c>
      <c r="V1330" s="524"/>
      <c r="X1330" s="4"/>
    </row>
    <row r="1331" spans="1:24" s="8" customFormat="1" ht="14.4">
      <c r="A1331" s="521"/>
      <c r="B1331" s="510" t="s">
        <v>3</v>
      </c>
      <c r="C1331" s="525">
        <f>IFERROR(VLOOKUP($B1327,'PY1 TFR ADA'!$F:$AU,MATCH("A-1.3",'PY1 TFR ADA'!$F$5:$AU$5,0),FALSE),0)</f>
        <v>0</v>
      </c>
      <c r="D1331" s="167"/>
      <c r="E1331" s="525">
        <f>IFERROR(VALUE(VLOOKUP($B1327,'PY1 TFR ADA'!$F:$AU,MATCH("A-2.3",'PY1 TFR ADA'!$F$5:$AU$5,0),FALSE)),0)</f>
        <v>0</v>
      </c>
      <c r="F1331" s="167"/>
      <c r="G1331" s="609">
        <f>IFERROR(VLOOKUP($B1327,'PY1 TFR ADA'!$F:$AU,MATCH("b-1.3",'PY1 TFR ADA'!$F$5:$AU$5,0),FALSE),0)</f>
        <v>0</v>
      </c>
      <c r="H1331" s="527"/>
      <c r="I1331" s="609">
        <f>IFERROR(VLOOKUP($B1327,'PY1 TFR ADA'!$F:$AU,MATCH("b-2.3",'PY1 TFR ADA'!$F$5:$AU$5,0),FALSE),0)</f>
        <v>0</v>
      </c>
      <c r="J1331" s="527"/>
      <c r="K1331" s="609">
        <f>IFERROR(VLOOKUP($B1327,'PY1 TFR ADA'!$F:$AU,MATCH("b-3.3",'PY1 TFR ADA'!$F$5:$AU$5,0),FALSE),0)</f>
        <v>0</v>
      </c>
      <c r="L1331" s="527"/>
      <c r="M1331" s="609">
        <f>IFERROR(VLOOKUP($B1327,'PY1 TFR ADA'!$F:$AU,MATCH("b-4.3",'PY1 TFR ADA'!$F$5:$AU$5,0),FALSE),0)</f>
        <v>0</v>
      </c>
      <c r="N1331" s="527"/>
      <c r="O1331" s="609">
        <f>IFERROR(VLOOKUP($B1327,'PY1 TFR ADA'!$F:$AU,MATCH("b-5.3",'PY1 TFR ADA'!$F$5:$AU$5,0),FALSE),0)</f>
        <v>0</v>
      </c>
      <c r="P1331" s="527"/>
      <c r="Q1331" s="609">
        <f>IFERROR(VLOOKUP($B1327,'PY1 TFR ADA'!$F:$AU,MATCH("b-6.3",'PY1 TFR ADA'!$F$5:$AU$5,0),FALSE),0)</f>
        <v>0</v>
      </c>
      <c r="R1331" s="551"/>
      <c r="S1331" s="601">
        <f t="shared" si="1998"/>
        <v>0</v>
      </c>
      <c r="T1331" s="551"/>
      <c r="U1331" s="536">
        <f t="shared" ref="U1331" si="2001">ROUND(IF($G1336="LCFF Rate",(G1331*$C1331),(G1331*$E1331))+IF($I1336="LCFF Rate",(I1331*$C1331),(I1331*$E1331))+IF($K1336="LCFF Rate",(K1331*$C1331),(K1331*$E1331))+IF($M1336="LCFF Rate",(M1331*$C1331),(M1331*$E1331))+IF($O1336="LCFF Rate",(O1331*$C1331),(O1331*$E1331))+IF($Q1336="LCFF Rate",(Q1331*$C1331),(Q1331*$E1331)),0)</f>
        <v>0</v>
      </c>
      <c r="V1331" s="524"/>
      <c r="X1331" s="4"/>
    </row>
    <row r="1332" spans="1:24" s="8" customFormat="1" ht="14.4">
      <c r="A1332" s="526"/>
      <c r="B1332" s="510" t="s">
        <v>4</v>
      </c>
      <c r="C1332" s="525">
        <f>IFERROR(VLOOKUP($B1327,'PY1 TFR ADA'!$F:$AU,MATCH("A-1.4",'PY1 TFR ADA'!$F$5:$AU$5,0),FALSE),0)</f>
        <v>0</v>
      </c>
      <c r="D1332" s="523"/>
      <c r="E1332" s="525">
        <f>IFERROR(VALUE(VLOOKUP($B1327,'PY1 TFR ADA'!$F:$AU,MATCH("A-2.4",'PY1 TFR ADA'!$F$5:$AU$5,0),FALSE)),0)</f>
        <v>0</v>
      </c>
      <c r="F1332" s="523"/>
      <c r="G1332" s="609">
        <f>IFERROR(VLOOKUP($B1327,'PY1 TFR ADA'!$F:$AU,MATCH("b-1.4",'PY1 TFR ADA'!$F$5:$AU$5,0),FALSE),0)</f>
        <v>0</v>
      </c>
      <c r="H1332" s="527"/>
      <c r="I1332" s="609">
        <f>IFERROR(VLOOKUP($B1327,'PY1 TFR ADA'!$F:$AU,MATCH("b-2.4",'PY1 TFR ADA'!$F$5:$AU$5,0),FALSE),0)</f>
        <v>0</v>
      </c>
      <c r="J1332" s="527"/>
      <c r="K1332" s="609">
        <f>IFERROR(VLOOKUP($B1327,'PY1 TFR ADA'!$F:$AU,MATCH("b-3.4",'PY1 TFR ADA'!$F$5:$AU$5,0),FALSE),0)</f>
        <v>0</v>
      </c>
      <c r="L1332" s="527"/>
      <c r="M1332" s="609">
        <f>IFERROR(VLOOKUP($B1327,'PY1 TFR ADA'!$F:$AU,MATCH("b-4.4",'PY1 TFR ADA'!$F$5:$AU$5,0),FALSE),0)</f>
        <v>0</v>
      </c>
      <c r="N1332" s="527"/>
      <c r="O1332" s="609">
        <f>IFERROR(VLOOKUP($B1327,'PY1 TFR ADA'!$F:$AU,MATCH("b-5.4",'PY1 TFR ADA'!$F$5:$AU$5,0),FALSE),0)</f>
        <v>0</v>
      </c>
      <c r="P1332" s="527"/>
      <c r="Q1332" s="609">
        <f>IFERROR(VLOOKUP($B1327,'PY1 TFR ADA'!$F:$AU,MATCH("b-6.4",'PY1 TFR ADA'!$F$5:$AU$5,0),FALSE),0)</f>
        <v>0</v>
      </c>
      <c r="R1332" s="551"/>
      <c r="S1332" s="601">
        <f t="shared" si="1998"/>
        <v>0</v>
      </c>
      <c r="T1332" s="551"/>
      <c r="U1332" s="536">
        <f t="shared" ref="U1332" si="2002">ROUND(IF($G1336="LCFF Rate",(G1332*$C1332),(G1332*$E1332))+IF($I1336="LCFF Rate",(I1332*$C1332),(I1332*$E1332))+IF($K1336="LCFF Rate",(K1332*$C1332),(K1332*$E1332))+IF($M1336="LCFF Rate",(M1332*$C1332),(M1332*$E1332))+IF($O1336="LCFF Rate",(O1332*$C1332),(O1332*$E1332))+IF($Q1336="LCFF Rate",(Q1332*$C1332),(Q1332*$E1332)),0)</f>
        <v>0</v>
      </c>
      <c r="V1332" s="522"/>
      <c r="X1332" s="496"/>
    </row>
    <row r="1333" spans="1:24" s="8" customFormat="1" ht="8.25" customHeight="1">
      <c r="A1333" s="521"/>
      <c r="B1333" s="167"/>
      <c r="C1333" s="165"/>
      <c r="D1333" s="523"/>
      <c r="E1333" s="165"/>
      <c r="F1333" s="523"/>
      <c r="G1333" s="520"/>
      <c r="H1333" s="523"/>
      <c r="I1333" s="520"/>
      <c r="J1333" s="523"/>
      <c r="K1333" s="520"/>
      <c r="L1333" s="523"/>
      <c r="M1333" s="520"/>
      <c r="N1333" s="523"/>
      <c r="O1333" s="520"/>
      <c r="P1333" s="523"/>
      <c r="Q1333" s="520"/>
      <c r="R1333" s="167"/>
      <c r="S1333" s="520"/>
      <c r="T1333" s="167"/>
      <c r="U1333" s="602"/>
      <c r="V1333" s="522"/>
      <c r="X1333" s="4"/>
    </row>
    <row r="1334" spans="1:24" s="8" customFormat="1" ht="14.4">
      <c r="A1334" s="521"/>
      <c r="B1334" s="167"/>
      <c r="C1334" s="165"/>
      <c r="D1334" s="523"/>
      <c r="E1334" s="513" t="s">
        <v>1317</v>
      </c>
      <c r="F1334" s="523"/>
      <c r="G1334" s="601">
        <f t="shared" ref="G1334" si="2003">SUM(G1329:G1332)</f>
        <v>0</v>
      </c>
      <c r="H1334" s="527"/>
      <c r="I1334" s="601">
        <f t="shared" ref="I1334" si="2004">SUM(I1329:I1332)</f>
        <v>0</v>
      </c>
      <c r="J1334" s="527"/>
      <c r="K1334" s="601">
        <f t="shared" ref="K1334" si="2005">SUM(K1329:K1332)</f>
        <v>0</v>
      </c>
      <c r="L1334" s="527"/>
      <c r="M1334" s="601">
        <f t="shared" ref="M1334" si="2006">SUM(M1329:M1332)</f>
        <v>0</v>
      </c>
      <c r="N1334" s="527"/>
      <c r="O1334" s="601">
        <f t="shared" ref="O1334" si="2007">SUM(O1329:O1332)</f>
        <v>0</v>
      </c>
      <c r="P1334" s="527"/>
      <c r="Q1334" s="601">
        <f t="shared" ref="Q1334" si="2008">SUM(Q1329:Q1332)</f>
        <v>0</v>
      </c>
      <c r="R1334" s="527"/>
      <c r="S1334" s="601">
        <f t="shared" ref="S1334" si="2009">SUM(S1329:S1332)</f>
        <v>0</v>
      </c>
      <c r="T1334" s="527"/>
      <c r="U1334" s="536">
        <f t="shared" ref="U1334" si="2010">SUM(U1329:U1332)</f>
        <v>0</v>
      </c>
      <c r="V1334" s="522"/>
      <c r="X1334" s="4"/>
    </row>
    <row r="1335" spans="1:24" s="8" customFormat="1" ht="8.25" customHeight="1">
      <c r="A1335" s="521"/>
      <c r="B1335" s="167"/>
      <c r="C1335" s="165"/>
      <c r="D1335" s="523"/>
      <c r="E1335" s="165"/>
      <c r="F1335" s="523"/>
      <c r="G1335" s="520"/>
      <c r="H1335" s="523"/>
      <c r="I1335" s="520"/>
      <c r="J1335" s="523"/>
      <c r="K1335" s="520"/>
      <c r="L1335" s="523"/>
      <c r="M1335" s="520"/>
      <c r="N1335" s="523"/>
      <c r="O1335" s="520"/>
      <c r="P1335" s="523"/>
      <c r="Q1335" s="520"/>
      <c r="R1335" s="167"/>
      <c r="S1335" s="520"/>
      <c r="T1335" s="167"/>
      <c r="U1335" s="528"/>
      <c r="V1335" s="522"/>
      <c r="X1335" s="4"/>
    </row>
    <row r="1336" spans="1:24" s="8" customFormat="1" ht="16.5" customHeight="1">
      <c r="A1336" s="521"/>
      <c r="B1336" s="167"/>
      <c r="C1336" s="165"/>
      <c r="E1336" s="513" t="s">
        <v>1304</v>
      </c>
      <c r="F1336" s="523"/>
      <c r="G1336" s="977">
        <f>_xlfn.IFNA(IF(VLOOKUP($B1327,'PY1 TFR ADA'!$F:$AU,MATCH("B-1.5",'PY1 TFR ADA'!$F$5:$AU$5,0),FALSE)=TRUE,IF(VLOOKUP($B1327,'PY1 TFR ADA'!$F:$AU,MATCH("C-1",'PY1 TFR ADA'!$F$5:$AU$5,0),FALSE)=TRUE,"Alternative Rate","LCFF Rate"),"LCFF Rate"),0)</f>
        <v>0</v>
      </c>
      <c r="H1336" s="523"/>
      <c r="I1336" s="977">
        <f>_xlfn.IFNA(IF(VLOOKUP($B1327,'PY1 TFR ADA'!$F:$AU,MATCH("B-2.5",'PY1 TFR ADA'!$F$5:$AU$5,0),FALSE)=TRUE,IF(VLOOKUP($B1327,'PY1 TFR ADA'!$F:$AU,MATCH("C-1",'PY1 TFR ADA'!$F$5:$AU$5,0),FALSE)=TRUE,"Alternative Rate","LCFF Rate"),"LCFF Rate"),0)</f>
        <v>0</v>
      </c>
      <c r="J1336" s="523"/>
      <c r="K1336" s="977">
        <f>_xlfn.IFNA(IF(VLOOKUP($B1327,'PY1 TFR ADA'!$F:$AU,MATCH("B-3.5",'PY1 TFR ADA'!$F$5:$AU$5,0),FALSE)=TRUE,IF(VLOOKUP($B1327,'PY1 TFR ADA'!$F:$AU,MATCH("C-1",'PY1 TFR ADA'!$F$5:$AU$5,0),FALSE)=TRUE,"Alternative Rate","LCFF Rate"),"LCFF Rate"),0)</f>
        <v>0</v>
      </c>
      <c r="L1336" s="523"/>
      <c r="M1336" s="977">
        <f>_xlfn.IFNA(IF(VLOOKUP($B1327,'PY1 TFR ADA'!$F:$AU,MATCH("B-4.5",'PY1 TFR ADA'!$F$5:$AU$5,0),FALSE)=TRUE,IF(VLOOKUP($B1327,'PY1 TFR ADA'!$F:$AU,MATCH("C-1",'PY1 TFR ADA'!$F$5:$AU$5,0),FALSE)=TRUE,"Alternative Rate","LCFF Rate"),"LCFF Rate"),0)</f>
        <v>0</v>
      </c>
      <c r="N1336" s="523"/>
      <c r="O1336" s="977">
        <f>_xlfn.IFNA(IF(VLOOKUP($B1327,'PY1 TFR ADA'!$F:$AU,MATCH("B-5.5",'PY1 TFR ADA'!$F$5:$AU$5,0),FALSE)=TRUE,IF(VLOOKUP($B1327,'PY1 TFR ADA'!$F:$AU,MATCH("C-1",'PY1 TFR ADA'!$F$5:$AU$5,0),FALSE)=TRUE,"Alternative Rate","LCFF Rate"),"LCFF Rate"),0)</f>
        <v>0</v>
      </c>
      <c r="P1336" s="523"/>
      <c r="Q1336" s="977">
        <f>_xlfn.IFNA(IF(VLOOKUP($B1327,'PY1 TFR ADA'!$F:$AU,MATCH("B-6.5",'PY1 TFR ADA'!$F$5:$AU$5,0),FALSE)=TRUE,IF(VLOOKUP($B1327,'PY1 TFR ADA'!$F:$AU,MATCH("C-1",'PY1 TFR ADA'!$F$5:$AU$5,0),FALSE)=TRUE,"Alternative Rate","LCFF Rate"),"LCFF Rate"),0)</f>
        <v>0</v>
      </c>
      <c r="R1336" s="167"/>
      <c r="S1336" s="520"/>
      <c r="T1336" s="167"/>
      <c r="U1336" s="528"/>
      <c r="V1336" s="522"/>
      <c r="X1336" s="283"/>
    </row>
    <row r="1337" spans="1:24" s="8" customFormat="1" ht="8.25" customHeight="1">
      <c r="A1337" s="521"/>
      <c r="B1337" s="167"/>
      <c r="C1337" s="165"/>
      <c r="D1337" s="523"/>
      <c r="E1337" s="165"/>
      <c r="F1337" s="523"/>
      <c r="G1337" s="520"/>
      <c r="H1337" s="523"/>
      <c r="I1337" s="520"/>
      <c r="J1337" s="523"/>
      <c r="K1337" s="520"/>
      <c r="L1337" s="523"/>
      <c r="M1337" s="520"/>
      <c r="N1337" s="523"/>
      <c r="O1337" s="520"/>
      <c r="P1337" s="523"/>
      <c r="Q1337" s="520"/>
      <c r="R1337" s="167"/>
      <c r="S1337" s="520"/>
      <c r="T1337" s="167"/>
      <c r="U1337" s="528"/>
      <c r="V1337" s="522"/>
      <c r="X1337" s="4"/>
    </row>
    <row r="1338" spans="1:24" s="8" customFormat="1" ht="16.8">
      <c r="A1338" s="521"/>
      <c r="B1338" s="2"/>
      <c r="F1338" s="523"/>
      <c r="G1338" s="535">
        <f t="shared" ref="G1338" si="2011">IF(G1336="LCFF Rate",(G1329*C1329+G1330*C1330+G1331*C1331+G1332*C1332),(G1334*E1332))</f>
        <v>0</v>
      </c>
      <c r="H1338" s="537"/>
      <c r="I1338" s="535">
        <f t="shared" ref="I1338" si="2012">IF(I1336="LCFF Rate",(I1329*C1329+I1330*C1330+I1331*C1331+I1332*C1332),(I1334*E1332))</f>
        <v>0</v>
      </c>
      <c r="J1338" s="537"/>
      <c r="K1338" s="535">
        <f t="shared" ref="K1338" si="2013">IF(K1336="LCFF Rate",(K1329*C1329+K1330*C1330+K1331*C1331+K1332*C1332),(K1334*E1332))</f>
        <v>0</v>
      </c>
      <c r="L1338" s="537"/>
      <c r="M1338" s="535">
        <f t="shared" ref="M1338" si="2014">IF(M1336="LCFF Rate",(M1329*C1329+M1330*C1330+M1331*C1331+M1332*C1332),(M1334*E1332))</f>
        <v>0</v>
      </c>
      <c r="N1338" s="537"/>
      <c r="O1338" s="535">
        <f t="shared" ref="O1338" si="2015">IF(O1336="LCFF Rate",(O1329*C1329+O1330*C1330+O1331*C1331+O1332*C1332),(O1334*E1332))</f>
        <v>0</v>
      </c>
      <c r="P1338" s="537"/>
      <c r="Q1338" s="535">
        <f t="shared" ref="Q1338" si="2016">IF(Q1336="LCFF Rate",(Q1329*C1329+Q1330*C1330+Q1331*C1331+Q1332*C1332),(Q1334*E1332))</f>
        <v>0</v>
      </c>
      <c r="R1338" s="167"/>
      <c r="S1338" s="538">
        <f t="shared" ref="S1338" si="2017">SUM(G1338:Q1338)</f>
        <v>0</v>
      </c>
      <c r="T1338" s="167"/>
      <c r="U1338" s="528"/>
      <c r="V1338" s="522"/>
      <c r="X1338" s="979"/>
    </row>
    <row r="1339" spans="1:24" s="8" customFormat="1" ht="9" customHeight="1" thickBot="1">
      <c r="A1339" s="529"/>
      <c r="B1339" s="530"/>
      <c r="C1339" s="531"/>
      <c r="D1339" s="532"/>
      <c r="E1339" s="533"/>
      <c r="F1339" s="532"/>
      <c r="G1339" s="530"/>
      <c r="H1339" s="532"/>
      <c r="I1339" s="530"/>
      <c r="J1339" s="532"/>
      <c r="K1339" s="530"/>
      <c r="L1339" s="532"/>
      <c r="M1339" s="530"/>
      <c r="N1339" s="532"/>
      <c r="O1339" s="530"/>
      <c r="P1339" s="532"/>
      <c r="Q1339" s="530"/>
      <c r="R1339" s="532"/>
      <c r="S1339" s="530"/>
      <c r="T1339" s="532"/>
      <c r="U1339" s="532"/>
      <c r="V1339" s="534"/>
      <c r="X1339" s="4"/>
    </row>
    <row r="1340" spans="1:24" s="82" customFormat="1" ht="18" customHeight="1" thickBot="1">
      <c r="A1340" s="890">
        <f>+A1327+1</f>
        <v>103</v>
      </c>
      <c r="B1340" s="891" t="str">
        <f>'Data Entry'!$B$3&amp;"-"&amp;C1340</f>
        <v>-</v>
      </c>
      <c r="C1340" s="891" t="str">
        <f>IFERROR(VLOOKUP('Data Entry'!$B$3&amp;"-"&amp;A1340,'PY1 TFR ADA'!$D:$AT,2,FALSE),"")</f>
        <v/>
      </c>
      <c r="D1340" s="892" t="str">
        <f>IFERROR(VLOOKUP('Data Entry'!$B$3&amp;"-"&amp;A1340,'PY1 TFR ADA'!$D:$AT,4,FALSE),"")</f>
        <v/>
      </c>
      <c r="E1340" s="893"/>
      <c r="F1340" s="893"/>
      <c r="G1340" s="893"/>
      <c r="H1340" s="893"/>
      <c r="I1340" s="893"/>
      <c r="J1340" s="893"/>
      <c r="K1340" s="893"/>
      <c r="L1340" s="893"/>
      <c r="M1340" s="893"/>
      <c r="N1340" s="893"/>
      <c r="O1340" s="893"/>
      <c r="P1340" s="893"/>
      <c r="Q1340" s="893"/>
      <c r="R1340" s="893"/>
      <c r="S1340" s="893"/>
      <c r="T1340" s="893"/>
      <c r="U1340" s="893"/>
      <c r="V1340" s="894"/>
      <c r="X1340" s="83"/>
    </row>
    <row r="1341" spans="1:24" ht="75" customHeight="1">
      <c r="A1341" s="521"/>
      <c r="C1341" s="540" t="s">
        <v>1315</v>
      </c>
      <c r="D1341" s="512"/>
      <c r="E1341" s="540" t="s">
        <v>1316</v>
      </c>
      <c r="F1341" s="512"/>
      <c r="G1341" s="540" t="s">
        <v>1309</v>
      </c>
      <c r="H1341" s="512"/>
      <c r="I1341" s="540" t="s">
        <v>1310</v>
      </c>
      <c r="J1341" s="512"/>
      <c r="K1341" s="540" t="s">
        <v>1311</v>
      </c>
      <c r="L1341" s="512"/>
      <c r="M1341" s="540" t="s">
        <v>1312</v>
      </c>
      <c r="N1341" s="512"/>
      <c r="O1341" s="540" t="s">
        <v>1313</v>
      </c>
      <c r="P1341" s="512"/>
      <c r="Q1341" s="540" t="s">
        <v>1314</v>
      </c>
      <c r="R1341" s="167"/>
      <c r="S1341" s="540" t="s">
        <v>1308</v>
      </c>
      <c r="T1341" s="167"/>
      <c r="U1341" s="512" t="s">
        <v>1307</v>
      </c>
      <c r="V1341" s="524"/>
      <c r="X1341" s="283"/>
    </row>
    <row r="1342" spans="1:24" s="8" customFormat="1" ht="14.4">
      <c r="A1342" s="521"/>
      <c r="B1342" s="510" t="s">
        <v>94</v>
      </c>
      <c r="C1342" s="525">
        <f>IFERROR(VLOOKUP($B1340,'PY1 TFR ADA'!$F:$AU,MATCH("A-1.1",'PY1 TFR ADA'!$F$5:$AU$5,0),FALSE),0)</f>
        <v>0</v>
      </c>
      <c r="D1342" s="167"/>
      <c r="E1342" s="525">
        <f>IFERROR(VALUE(VLOOKUP($B1340,'PY1 TFR ADA'!$F:$AU,MATCH("A-2.1",'PY1 TFR ADA'!$F$5:$AU$5,0),FALSE)),0)</f>
        <v>0</v>
      </c>
      <c r="F1342" s="167"/>
      <c r="G1342" s="609">
        <f>IFERROR(VLOOKUP($B1340,'PY1 TFR ADA'!$F:$AU,MATCH("b-1.1",'PY1 TFR ADA'!$F$5:$AU$5,0),FALSE),0)</f>
        <v>0</v>
      </c>
      <c r="H1342" s="527"/>
      <c r="I1342" s="609">
        <f>IFERROR(VLOOKUP($B1340,'PY1 TFR ADA'!$F:$AU,MATCH("b-2.1",'PY1 TFR ADA'!$F$5:$AU$5,0),FALSE),0)</f>
        <v>0</v>
      </c>
      <c r="J1342" s="527"/>
      <c r="K1342" s="609">
        <f>IFERROR(VLOOKUP($B1340,'PY1 TFR ADA'!$F:$AU,MATCH("b-3.1",'PY1 TFR ADA'!$F$5:$AU$5,0),FALSE),0)</f>
        <v>0</v>
      </c>
      <c r="L1342" s="527"/>
      <c r="M1342" s="609">
        <f>IFERROR(VLOOKUP($B1340,'PY1 TFR ADA'!$F:$AU,MATCH("b-4.1",'PY1 TFR ADA'!$F$5:$AU$5,0),FALSE),0)</f>
        <v>0</v>
      </c>
      <c r="N1342" s="527"/>
      <c r="O1342" s="609">
        <f>IFERROR(VLOOKUP($B1340,'PY1 TFR ADA'!$F:$AU,MATCH("b-5.1",'PY1 TFR ADA'!$F$5:$AU$5,0),FALSE),0)</f>
        <v>0</v>
      </c>
      <c r="P1342" s="527"/>
      <c r="Q1342" s="609">
        <f>IFERROR(VLOOKUP($B1340,'PY1 TFR ADA'!$F:$AU,MATCH("b-6.1",'PY1 TFR ADA'!$F$5:$AU$5,0),FALSE),0)</f>
        <v>0</v>
      </c>
      <c r="R1342" s="551"/>
      <c r="S1342" s="601">
        <f t="shared" ref="S1342:S1345" si="2018">SUM(G1342:Q1342)</f>
        <v>0</v>
      </c>
      <c r="T1342" s="551"/>
      <c r="U1342" s="536">
        <f t="shared" ref="U1342" si="2019">ROUND(IF($G1349="LCFF Rate",(G1342*$C1342),(G1342*$E1342))+IF($I1349="LCFF Rate",(I1342*$C1342),(I1342*$E1342))+IF($K1349="LCFF Rate",(K1342*$C1342),(K1342*$E1342))+IF($M1349="LCFF Rate",(M1342*$C1342),(M1342*$E1342))+IF($O1349="LCFF Rate",(O1342*$C1342),(O1342*$E1342))+IF($Q1349="LCFF Rate",(Q1342*$C1342),(Q1342*$E1342)),0)</f>
        <v>0</v>
      </c>
      <c r="V1342" s="524"/>
      <c r="X1342" s="496"/>
    </row>
    <row r="1343" spans="1:24" s="8" customFormat="1" ht="14.4">
      <c r="A1343" s="521"/>
      <c r="B1343" s="510" t="s">
        <v>2</v>
      </c>
      <c r="C1343" s="525">
        <f>IFERROR(VLOOKUP($B1340,'PY1 TFR ADA'!$F:$AU,MATCH("A-1.2",'PY1 TFR ADA'!$F$5:$AU$5,0),FALSE),0)</f>
        <v>0</v>
      </c>
      <c r="D1343" s="167"/>
      <c r="E1343" s="525">
        <f>IFERROR(VALUE(VLOOKUP($B1340,'PY1 TFR ADA'!$F:$AU,MATCH("A-2.2",'PY1 TFR ADA'!$F$5:$AU$5,0),FALSE)),0)</f>
        <v>0</v>
      </c>
      <c r="F1343" s="167"/>
      <c r="G1343" s="609">
        <f>IFERROR(VLOOKUP($B1340,'PY1 TFR ADA'!$F:$AU,MATCH("b-1.2",'PY1 TFR ADA'!$F$5:$AU$5,0),FALSE),0)</f>
        <v>0</v>
      </c>
      <c r="H1343" s="527"/>
      <c r="I1343" s="609">
        <f>IFERROR(VLOOKUP($B1340,'PY1 TFR ADA'!$F:$AU,MATCH("b-2.2",'PY1 TFR ADA'!$F$5:$AU$5,0),FALSE),0)</f>
        <v>0</v>
      </c>
      <c r="J1343" s="527"/>
      <c r="K1343" s="609">
        <f>IFERROR(VLOOKUP($B1340,'PY1 TFR ADA'!$F:$AU,MATCH("b-3.2",'PY1 TFR ADA'!$F$5:$AU$5,0),FALSE),0)</f>
        <v>0</v>
      </c>
      <c r="L1343" s="527"/>
      <c r="M1343" s="609">
        <f>IFERROR(VLOOKUP($B1340,'PY1 TFR ADA'!$F:$AU,MATCH("b-4.2",'PY1 TFR ADA'!$F$5:$AU$5,0),FALSE),0)</f>
        <v>0</v>
      </c>
      <c r="N1343" s="527"/>
      <c r="O1343" s="609">
        <f>IFERROR(VLOOKUP($B1340,'PY1 TFR ADA'!$F:$AU,MATCH("b-5.2",'PY1 TFR ADA'!$F$5:$AU$5,0),FALSE),0)</f>
        <v>0</v>
      </c>
      <c r="P1343" s="527"/>
      <c r="Q1343" s="609">
        <f>IFERROR(VLOOKUP($B1340,'PY1 TFR ADA'!$F:$AU,MATCH("b-6.2",'PY1 TFR ADA'!$F$5:$AU$5,0),FALSE),0)</f>
        <v>0</v>
      </c>
      <c r="R1343" s="551"/>
      <c r="S1343" s="601">
        <f t="shared" si="2018"/>
        <v>0</v>
      </c>
      <c r="T1343" s="551"/>
      <c r="U1343" s="536">
        <f t="shared" ref="U1343" si="2020">ROUND(IF($G1349="LCFF Rate",(G1343*$C1343),(G1343*$E1343))+IF($I1349="LCFF Rate",(I1343*$C1343),(I1343*$E1343))+IF($K1349="LCFF Rate",(K1343*$C1343),(K1343*$E1343))+IF($M1349="LCFF Rate",(M1343*$C1343),(M1343*$E1343))+IF($O1349="LCFF Rate",(O1343*$C1343),(O1343*$E1343))+IF($Q1349="LCFF Rate",(Q1343*$C1343),(Q1343*$E1343)),0)</f>
        <v>0</v>
      </c>
      <c r="V1343" s="524"/>
      <c r="X1343" s="4"/>
    </row>
    <row r="1344" spans="1:24" s="8" customFormat="1" ht="14.4">
      <c r="A1344" s="521"/>
      <c r="B1344" s="510" t="s">
        <v>3</v>
      </c>
      <c r="C1344" s="525">
        <f>IFERROR(VLOOKUP($B1340,'PY1 TFR ADA'!$F:$AU,MATCH("A-1.3",'PY1 TFR ADA'!$F$5:$AU$5,0),FALSE),0)</f>
        <v>0</v>
      </c>
      <c r="D1344" s="167"/>
      <c r="E1344" s="525">
        <f>IFERROR(VALUE(VLOOKUP($B1340,'PY1 TFR ADA'!$F:$AU,MATCH("A-2.3",'PY1 TFR ADA'!$F$5:$AU$5,0),FALSE)),0)</f>
        <v>0</v>
      </c>
      <c r="F1344" s="167"/>
      <c r="G1344" s="609">
        <f>IFERROR(VLOOKUP($B1340,'PY1 TFR ADA'!$F:$AU,MATCH("b-1.3",'PY1 TFR ADA'!$F$5:$AU$5,0),FALSE),0)</f>
        <v>0</v>
      </c>
      <c r="H1344" s="527"/>
      <c r="I1344" s="609">
        <f>IFERROR(VLOOKUP($B1340,'PY1 TFR ADA'!$F:$AU,MATCH("b-2.3",'PY1 TFR ADA'!$F$5:$AU$5,0),FALSE),0)</f>
        <v>0</v>
      </c>
      <c r="J1344" s="527"/>
      <c r="K1344" s="609">
        <f>IFERROR(VLOOKUP($B1340,'PY1 TFR ADA'!$F:$AU,MATCH("b-3.3",'PY1 TFR ADA'!$F$5:$AU$5,0),FALSE),0)</f>
        <v>0</v>
      </c>
      <c r="L1344" s="527"/>
      <c r="M1344" s="609">
        <f>IFERROR(VLOOKUP($B1340,'PY1 TFR ADA'!$F:$AU,MATCH("b-4.3",'PY1 TFR ADA'!$F$5:$AU$5,0),FALSE),0)</f>
        <v>0</v>
      </c>
      <c r="N1344" s="527"/>
      <c r="O1344" s="609">
        <f>IFERROR(VLOOKUP($B1340,'PY1 TFR ADA'!$F:$AU,MATCH("b-5.3",'PY1 TFR ADA'!$F$5:$AU$5,0),FALSE),0)</f>
        <v>0</v>
      </c>
      <c r="P1344" s="527"/>
      <c r="Q1344" s="609">
        <f>IFERROR(VLOOKUP($B1340,'PY1 TFR ADA'!$F:$AU,MATCH("b-6.3",'PY1 TFR ADA'!$F$5:$AU$5,0),FALSE),0)</f>
        <v>0</v>
      </c>
      <c r="R1344" s="551"/>
      <c r="S1344" s="601">
        <f t="shared" si="2018"/>
        <v>0</v>
      </c>
      <c r="T1344" s="551"/>
      <c r="U1344" s="536">
        <f t="shared" ref="U1344" si="2021">ROUND(IF($G1349="LCFF Rate",(G1344*$C1344),(G1344*$E1344))+IF($I1349="LCFF Rate",(I1344*$C1344),(I1344*$E1344))+IF($K1349="LCFF Rate",(K1344*$C1344),(K1344*$E1344))+IF($M1349="LCFF Rate",(M1344*$C1344),(M1344*$E1344))+IF($O1349="LCFF Rate",(O1344*$C1344),(O1344*$E1344))+IF($Q1349="LCFF Rate",(Q1344*$C1344),(Q1344*$E1344)),0)</f>
        <v>0</v>
      </c>
      <c r="V1344" s="524"/>
      <c r="X1344" s="4"/>
    </row>
    <row r="1345" spans="1:24" s="8" customFormat="1" ht="14.4">
      <c r="A1345" s="526"/>
      <c r="B1345" s="510" t="s">
        <v>4</v>
      </c>
      <c r="C1345" s="525">
        <f>IFERROR(VLOOKUP($B1340,'PY1 TFR ADA'!$F:$AU,MATCH("A-1.4",'PY1 TFR ADA'!$F$5:$AU$5,0),FALSE),0)</f>
        <v>0</v>
      </c>
      <c r="D1345" s="523"/>
      <c r="E1345" s="525">
        <f>IFERROR(VALUE(VLOOKUP($B1340,'PY1 TFR ADA'!$F:$AU,MATCH("A-2.4",'PY1 TFR ADA'!$F$5:$AU$5,0),FALSE)),0)</f>
        <v>0</v>
      </c>
      <c r="F1345" s="523"/>
      <c r="G1345" s="609">
        <f>IFERROR(VLOOKUP($B1340,'PY1 TFR ADA'!$F:$AU,MATCH("b-1.4",'PY1 TFR ADA'!$F$5:$AU$5,0),FALSE),0)</f>
        <v>0</v>
      </c>
      <c r="H1345" s="527"/>
      <c r="I1345" s="609">
        <f>IFERROR(VLOOKUP($B1340,'PY1 TFR ADA'!$F:$AU,MATCH("b-2.4",'PY1 TFR ADA'!$F$5:$AU$5,0),FALSE),0)</f>
        <v>0</v>
      </c>
      <c r="J1345" s="527"/>
      <c r="K1345" s="609">
        <f>IFERROR(VLOOKUP($B1340,'PY1 TFR ADA'!$F:$AU,MATCH("b-3.4",'PY1 TFR ADA'!$F$5:$AU$5,0),FALSE),0)</f>
        <v>0</v>
      </c>
      <c r="L1345" s="527"/>
      <c r="M1345" s="609">
        <f>IFERROR(VLOOKUP($B1340,'PY1 TFR ADA'!$F:$AU,MATCH("b-4.4",'PY1 TFR ADA'!$F$5:$AU$5,0),FALSE),0)</f>
        <v>0</v>
      </c>
      <c r="N1345" s="527"/>
      <c r="O1345" s="609">
        <f>IFERROR(VLOOKUP($B1340,'PY1 TFR ADA'!$F:$AU,MATCH("b-5.4",'PY1 TFR ADA'!$F$5:$AU$5,0),FALSE),0)</f>
        <v>0</v>
      </c>
      <c r="P1345" s="527"/>
      <c r="Q1345" s="609">
        <f>IFERROR(VLOOKUP($B1340,'PY1 TFR ADA'!$F:$AU,MATCH("b-6.4",'PY1 TFR ADA'!$F$5:$AU$5,0),FALSE),0)</f>
        <v>0</v>
      </c>
      <c r="R1345" s="551"/>
      <c r="S1345" s="601">
        <f t="shared" si="2018"/>
        <v>0</v>
      </c>
      <c r="T1345" s="551"/>
      <c r="U1345" s="536">
        <f t="shared" ref="U1345" si="2022">ROUND(IF($G1349="LCFF Rate",(G1345*$C1345),(G1345*$E1345))+IF($I1349="LCFF Rate",(I1345*$C1345),(I1345*$E1345))+IF($K1349="LCFF Rate",(K1345*$C1345),(K1345*$E1345))+IF($M1349="LCFF Rate",(M1345*$C1345),(M1345*$E1345))+IF($O1349="LCFF Rate",(O1345*$C1345),(O1345*$E1345))+IF($Q1349="LCFF Rate",(Q1345*$C1345),(Q1345*$E1345)),0)</f>
        <v>0</v>
      </c>
      <c r="V1345" s="522"/>
      <c r="X1345" s="496"/>
    </row>
    <row r="1346" spans="1:24" s="8" customFormat="1" ht="8.25" customHeight="1">
      <c r="A1346" s="521"/>
      <c r="B1346" s="167"/>
      <c r="C1346" s="165"/>
      <c r="D1346" s="523"/>
      <c r="E1346" s="165"/>
      <c r="F1346" s="523"/>
      <c r="G1346" s="520"/>
      <c r="H1346" s="523"/>
      <c r="I1346" s="520"/>
      <c r="J1346" s="523"/>
      <c r="K1346" s="520"/>
      <c r="L1346" s="523"/>
      <c r="M1346" s="520"/>
      <c r="N1346" s="523"/>
      <c r="O1346" s="520"/>
      <c r="P1346" s="523"/>
      <c r="Q1346" s="520"/>
      <c r="R1346" s="167"/>
      <c r="S1346" s="520"/>
      <c r="T1346" s="167"/>
      <c r="U1346" s="602"/>
      <c r="V1346" s="522"/>
      <c r="X1346" s="4"/>
    </row>
    <row r="1347" spans="1:24" s="8" customFormat="1" ht="14.4">
      <c r="A1347" s="521"/>
      <c r="B1347" s="167"/>
      <c r="C1347" s="165"/>
      <c r="D1347" s="523"/>
      <c r="E1347" s="513" t="s">
        <v>1317</v>
      </c>
      <c r="F1347" s="523"/>
      <c r="G1347" s="601">
        <f t="shared" ref="G1347" si="2023">SUM(G1342:G1345)</f>
        <v>0</v>
      </c>
      <c r="H1347" s="527"/>
      <c r="I1347" s="601">
        <f t="shared" ref="I1347" si="2024">SUM(I1342:I1345)</f>
        <v>0</v>
      </c>
      <c r="J1347" s="527"/>
      <c r="K1347" s="601">
        <f t="shared" ref="K1347" si="2025">SUM(K1342:K1345)</f>
        <v>0</v>
      </c>
      <c r="L1347" s="527"/>
      <c r="M1347" s="601">
        <f t="shared" ref="M1347" si="2026">SUM(M1342:M1345)</f>
        <v>0</v>
      </c>
      <c r="N1347" s="527"/>
      <c r="O1347" s="601">
        <f t="shared" ref="O1347" si="2027">SUM(O1342:O1345)</f>
        <v>0</v>
      </c>
      <c r="P1347" s="527"/>
      <c r="Q1347" s="601">
        <f t="shared" ref="Q1347" si="2028">SUM(Q1342:Q1345)</f>
        <v>0</v>
      </c>
      <c r="R1347" s="527"/>
      <c r="S1347" s="601">
        <f t="shared" ref="S1347" si="2029">SUM(S1342:S1345)</f>
        <v>0</v>
      </c>
      <c r="T1347" s="527"/>
      <c r="U1347" s="536">
        <f t="shared" ref="U1347" si="2030">SUM(U1342:U1345)</f>
        <v>0</v>
      </c>
      <c r="V1347" s="522"/>
      <c r="X1347" s="4"/>
    </row>
    <row r="1348" spans="1:24" s="8" customFormat="1" ht="8.25" customHeight="1">
      <c r="A1348" s="521"/>
      <c r="B1348" s="167"/>
      <c r="C1348" s="165"/>
      <c r="D1348" s="523"/>
      <c r="E1348" s="165"/>
      <c r="F1348" s="523"/>
      <c r="G1348" s="520"/>
      <c r="H1348" s="523"/>
      <c r="I1348" s="520"/>
      <c r="J1348" s="523"/>
      <c r="K1348" s="520"/>
      <c r="L1348" s="523"/>
      <c r="M1348" s="520"/>
      <c r="N1348" s="523"/>
      <c r="O1348" s="520"/>
      <c r="P1348" s="523"/>
      <c r="Q1348" s="520"/>
      <c r="R1348" s="167"/>
      <c r="S1348" s="520"/>
      <c r="T1348" s="167"/>
      <c r="U1348" s="528"/>
      <c r="V1348" s="522"/>
      <c r="X1348" s="4"/>
    </row>
    <row r="1349" spans="1:24" s="8" customFormat="1" ht="16.5" customHeight="1">
      <c r="A1349" s="521"/>
      <c r="B1349" s="167"/>
      <c r="C1349" s="165"/>
      <c r="E1349" s="513" t="s">
        <v>1304</v>
      </c>
      <c r="F1349" s="523"/>
      <c r="G1349" s="977">
        <f>_xlfn.IFNA(IF(VLOOKUP($B1340,'PY1 TFR ADA'!$F:$AU,MATCH("B-1.5",'PY1 TFR ADA'!$F$5:$AU$5,0),FALSE)=TRUE,IF(VLOOKUP($B1340,'PY1 TFR ADA'!$F:$AU,MATCH("C-1",'PY1 TFR ADA'!$F$5:$AU$5,0),FALSE)=TRUE,"Alternative Rate","LCFF Rate"),"LCFF Rate"),0)</f>
        <v>0</v>
      </c>
      <c r="H1349" s="523"/>
      <c r="I1349" s="977">
        <f>_xlfn.IFNA(IF(VLOOKUP($B1340,'PY1 TFR ADA'!$F:$AU,MATCH("B-2.5",'PY1 TFR ADA'!$F$5:$AU$5,0),FALSE)=TRUE,IF(VLOOKUP($B1340,'PY1 TFR ADA'!$F:$AU,MATCH("C-1",'PY1 TFR ADA'!$F$5:$AU$5,0),FALSE)=TRUE,"Alternative Rate","LCFF Rate"),"LCFF Rate"),0)</f>
        <v>0</v>
      </c>
      <c r="J1349" s="523"/>
      <c r="K1349" s="977">
        <f>_xlfn.IFNA(IF(VLOOKUP($B1340,'PY1 TFR ADA'!$F:$AU,MATCH("B-3.5",'PY1 TFR ADA'!$F$5:$AU$5,0),FALSE)=TRUE,IF(VLOOKUP($B1340,'PY1 TFR ADA'!$F:$AU,MATCH("C-1",'PY1 TFR ADA'!$F$5:$AU$5,0),FALSE)=TRUE,"Alternative Rate","LCFF Rate"),"LCFF Rate"),0)</f>
        <v>0</v>
      </c>
      <c r="L1349" s="523"/>
      <c r="M1349" s="977">
        <f>_xlfn.IFNA(IF(VLOOKUP($B1340,'PY1 TFR ADA'!$F:$AU,MATCH("B-4.5",'PY1 TFR ADA'!$F$5:$AU$5,0),FALSE)=TRUE,IF(VLOOKUP($B1340,'PY1 TFR ADA'!$F:$AU,MATCH("C-1",'PY1 TFR ADA'!$F$5:$AU$5,0),FALSE)=TRUE,"Alternative Rate","LCFF Rate"),"LCFF Rate"),0)</f>
        <v>0</v>
      </c>
      <c r="N1349" s="523"/>
      <c r="O1349" s="977">
        <f>_xlfn.IFNA(IF(VLOOKUP($B1340,'PY1 TFR ADA'!$F:$AU,MATCH("B-5.5",'PY1 TFR ADA'!$F$5:$AU$5,0),FALSE)=TRUE,IF(VLOOKUP($B1340,'PY1 TFR ADA'!$F:$AU,MATCH("C-1",'PY1 TFR ADA'!$F$5:$AU$5,0),FALSE)=TRUE,"Alternative Rate","LCFF Rate"),"LCFF Rate"),0)</f>
        <v>0</v>
      </c>
      <c r="P1349" s="523"/>
      <c r="Q1349" s="977">
        <f>_xlfn.IFNA(IF(VLOOKUP($B1340,'PY1 TFR ADA'!$F:$AU,MATCH("B-6.5",'PY1 TFR ADA'!$F$5:$AU$5,0),FALSE)=TRUE,IF(VLOOKUP($B1340,'PY1 TFR ADA'!$F:$AU,MATCH("C-1",'PY1 TFR ADA'!$F$5:$AU$5,0),FALSE)=TRUE,"Alternative Rate","LCFF Rate"),"LCFF Rate"),0)</f>
        <v>0</v>
      </c>
      <c r="R1349" s="167"/>
      <c r="S1349" s="520"/>
      <c r="T1349" s="167"/>
      <c r="U1349" s="528"/>
      <c r="V1349" s="522"/>
      <c r="X1349" s="283"/>
    </row>
    <row r="1350" spans="1:24" s="8" customFormat="1" ht="8.25" customHeight="1">
      <c r="A1350" s="521"/>
      <c r="B1350" s="167"/>
      <c r="C1350" s="165"/>
      <c r="D1350" s="523"/>
      <c r="E1350" s="165"/>
      <c r="F1350" s="523"/>
      <c r="G1350" s="520"/>
      <c r="H1350" s="523"/>
      <c r="I1350" s="520"/>
      <c r="J1350" s="523"/>
      <c r="K1350" s="520"/>
      <c r="L1350" s="523"/>
      <c r="M1350" s="520"/>
      <c r="N1350" s="523"/>
      <c r="O1350" s="520"/>
      <c r="P1350" s="523"/>
      <c r="Q1350" s="520"/>
      <c r="R1350" s="167"/>
      <c r="S1350" s="520"/>
      <c r="T1350" s="167"/>
      <c r="U1350" s="528"/>
      <c r="V1350" s="522"/>
      <c r="X1350" s="4"/>
    </row>
    <row r="1351" spans="1:24" s="8" customFormat="1" ht="16.8">
      <c r="A1351" s="521"/>
      <c r="B1351" s="2"/>
      <c r="F1351" s="523"/>
      <c r="G1351" s="535">
        <f t="shared" ref="G1351" si="2031">IF(G1349="LCFF Rate",(G1342*C1342+G1343*C1343+G1344*C1344+G1345*C1345),(G1347*E1345))</f>
        <v>0</v>
      </c>
      <c r="H1351" s="537"/>
      <c r="I1351" s="535">
        <f t="shared" ref="I1351" si="2032">IF(I1349="LCFF Rate",(I1342*C1342+I1343*C1343+I1344*C1344+I1345*C1345),(I1347*E1345))</f>
        <v>0</v>
      </c>
      <c r="J1351" s="537"/>
      <c r="K1351" s="535">
        <f t="shared" ref="K1351" si="2033">IF(K1349="LCFF Rate",(K1342*C1342+K1343*C1343+K1344*C1344+K1345*C1345),(K1347*E1345))</f>
        <v>0</v>
      </c>
      <c r="L1351" s="537"/>
      <c r="M1351" s="535">
        <f t="shared" ref="M1351" si="2034">IF(M1349="LCFF Rate",(M1342*C1342+M1343*C1343+M1344*C1344+M1345*C1345),(M1347*E1345))</f>
        <v>0</v>
      </c>
      <c r="N1351" s="537"/>
      <c r="O1351" s="535">
        <f t="shared" ref="O1351" si="2035">IF(O1349="LCFF Rate",(O1342*C1342+O1343*C1343+O1344*C1344+O1345*C1345),(O1347*E1345))</f>
        <v>0</v>
      </c>
      <c r="P1351" s="537"/>
      <c r="Q1351" s="535">
        <f t="shared" ref="Q1351" si="2036">IF(Q1349="LCFF Rate",(Q1342*C1342+Q1343*C1343+Q1344*C1344+Q1345*C1345),(Q1347*E1345))</f>
        <v>0</v>
      </c>
      <c r="R1351" s="167"/>
      <c r="S1351" s="538">
        <f t="shared" ref="S1351" si="2037">SUM(G1351:Q1351)</f>
        <v>0</v>
      </c>
      <c r="T1351" s="167"/>
      <c r="U1351" s="528"/>
      <c r="V1351" s="522"/>
      <c r="X1351" s="979"/>
    </row>
    <row r="1352" spans="1:24" s="8" customFormat="1" ht="9" customHeight="1" thickBot="1">
      <c r="A1352" s="529"/>
      <c r="B1352" s="530"/>
      <c r="C1352" s="531"/>
      <c r="D1352" s="532"/>
      <c r="E1352" s="533"/>
      <c r="F1352" s="532"/>
      <c r="G1352" s="530"/>
      <c r="H1352" s="532"/>
      <c r="I1352" s="530"/>
      <c r="J1352" s="532"/>
      <c r="K1352" s="530"/>
      <c r="L1352" s="532"/>
      <c r="M1352" s="530"/>
      <c r="N1352" s="532"/>
      <c r="O1352" s="530"/>
      <c r="P1352" s="532"/>
      <c r="Q1352" s="530"/>
      <c r="R1352" s="532"/>
      <c r="S1352" s="530"/>
      <c r="T1352" s="532"/>
      <c r="U1352" s="532"/>
      <c r="V1352" s="534"/>
      <c r="X1352" s="4"/>
    </row>
    <row r="1353" spans="1:24" s="82" customFormat="1" ht="18" customHeight="1" thickBot="1">
      <c r="A1353" s="890">
        <f>+A1340+1</f>
        <v>104</v>
      </c>
      <c r="B1353" s="891" t="str">
        <f>'Data Entry'!$B$3&amp;"-"&amp;C1353</f>
        <v>-</v>
      </c>
      <c r="C1353" s="891" t="str">
        <f>IFERROR(VLOOKUP('Data Entry'!$B$3&amp;"-"&amp;A1353,'PY1 TFR ADA'!$D:$AT,2,FALSE),"")</f>
        <v/>
      </c>
      <c r="D1353" s="892" t="str">
        <f>IFERROR(VLOOKUP('Data Entry'!$B$3&amp;"-"&amp;A1353,'PY1 TFR ADA'!$D:$AT,4,FALSE),"")</f>
        <v/>
      </c>
      <c r="E1353" s="893"/>
      <c r="F1353" s="893"/>
      <c r="G1353" s="893"/>
      <c r="H1353" s="893"/>
      <c r="I1353" s="893"/>
      <c r="J1353" s="893"/>
      <c r="K1353" s="893"/>
      <c r="L1353" s="893"/>
      <c r="M1353" s="893"/>
      <c r="N1353" s="893"/>
      <c r="O1353" s="893"/>
      <c r="P1353" s="893"/>
      <c r="Q1353" s="893"/>
      <c r="R1353" s="893"/>
      <c r="S1353" s="893"/>
      <c r="T1353" s="893"/>
      <c r="U1353" s="893"/>
      <c r="V1353" s="894"/>
      <c r="X1353" s="83"/>
    </row>
    <row r="1354" spans="1:24" ht="75" customHeight="1">
      <c r="A1354" s="521"/>
      <c r="C1354" s="540" t="s">
        <v>1315</v>
      </c>
      <c r="D1354" s="512"/>
      <c r="E1354" s="540" t="s">
        <v>1316</v>
      </c>
      <c r="F1354" s="512"/>
      <c r="G1354" s="540" t="s">
        <v>1309</v>
      </c>
      <c r="H1354" s="512"/>
      <c r="I1354" s="540" t="s">
        <v>1310</v>
      </c>
      <c r="J1354" s="512"/>
      <c r="K1354" s="540" t="s">
        <v>1311</v>
      </c>
      <c r="L1354" s="512"/>
      <c r="M1354" s="540" t="s">
        <v>1312</v>
      </c>
      <c r="N1354" s="512"/>
      <c r="O1354" s="540" t="s">
        <v>1313</v>
      </c>
      <c r="P1354" s="512"/>
      <c r="Q1354" s="540" t="s">
        <v>1314</v>
      </c>
      <c r="R1354" s="167"/>
      <c r="S1354" s="540" t="s">
        <v>1308</v>
      </c>
      <c r="T1354" s="167"/>
      <c r="U1354" s="512" t="s">
        <v>1307</v>
      </c>
      <c r="V1354" s="524"/>
      <c r="X1354" s="283"/>
    </row>
    <row r="1355" spans="1:24" s="8" customFormat="1" ht="14.4">
      <c r="A1355" s="521"/>
      <c r="B1355" s="510" t="s">
        <v>94</v>
      </c>
      <c r="C1355" s="525">
        <f>IFERROR(VLOOKUP($B1353,'PY1 TFR ADA'!$F:$AU,MATCH("A-1.1",'PY1 TFR ADA'!$F$5:$AU$5,0),FALSE),0)</f>
        <v>0</v>
      </c>
      <c r="D1355" s="167"/>
      <c r="E1355" s="525">
        <f>IFERROR(VALUE(VLOOKUP($B1353,'PY1 TFR ADA'!$F:$AU,MATCH("A-2.1",'PY1 TFR ADA'!$F$5:$AU$5,0),FALSE)),0)</f>
        <v>0</v>
      </c>
      <c r="F1355" s="167"/>
      <c r="G1355" s="609">
        <f>IFERROR(VLOOKUP($B1353,'PY1 TFR ADA'!$F:$AU,MATCH("b-1.1",'PY1 TFR ADA'!$F$5:$AU$5,0),FALSE),0)</f>
        <v>0</v>
      </c>
      <c r="H1355" s="527"/>
      <c r="I1355" s="609">
        <f>IFERROR(VLOOKUP($B1353,'PY1 TFR ADA'!$F:$AU,MATCH("b-2.1",'PY1 TFR ADA'!$F$5:$AU$5,0),FALSE),0)</f>
        <v>0</v>
      </c>
      <c r="J1355" s="527"/>
      <c r="K1355" s="609">
        <f>IFERROR(VLOOKUP($B1353,'PY1 TFR ADA'!$F:$AU,MATCH("b-3.1",'PY1 TFR ADA'!$F$5:$AU$5,0),FALSE),0)</f>
        <v>0</v>
      </c>
      <c r="L1355" s="527"/>
      <c r="M1355" s="609">
        <f>IFERROR(VLOOKUP($B1353,'PY1 TFR ADA'!$F:$AU,MATCH("b-4.1",'PY1 TFR ADA'!$F$5:$AU$5,0),FALSE),0)</f>
        <v>0</v>
      </c>
      <c r="N1355" s="527"/>
      <c r="O1355" s="609">
        <f>IFERROR(VLOOKUP($B1353,'PY1 TFR ADA'!$F:$AU,MATCH("b-5.1",'PY1 TFR ADA'!$F$5:$AU$5,0),FALSE),0)</f>
        <v>0</v>
      </c>
      <c r="P1355" s="527"/>
      <c r="Q1355" s="609">
        <f>IFERROR(VLOOKUP($B1353,'PY1 TFR ADA'!$F:$AU,MATCH("b-6.1",'PY1 TFR ADA'!$F$5:$AU$5,0),FALSE),0)</f>
        <v>0</v>
      </c>
      <c r="R1355" s="551"/>
      <c r="S1355" s="601">
        <f t="shared" ref="S1355:S1358" si="2038">SUM(G1355:Q1355)</f>
        <v>0</v>
      </c>
      <c r="T1355" s="551"/>
      <c r="U1355" s="536">
        <f t="shared" ref="U1355" si="2039">ROUND(IF($G1362="LCFF Rate",(G1355*$C1355),(G1355*$E1355))+IF($I1362="LCFF Rate",(I1355*$C1355),(I1355*$E1355))+IF($K1362="LCFF Rate",(K1355*$C1355),(K1355*$E1355))+IF($M1362="LCFF Rate",(M1355*$C1355),(M1355*$E1355))+IF($O1362="LCFF Rate",(O1355*$C1355),(O1355*$E1355))+IF($Q1362="LCFF Rate",(Q1355*$C1355),(Q1355*$E1355)),0)</f>
        <v>0</v>
      </c>
      <c r="V1355" s="524"/>
      <c r="X1355" s="496"/>
    </row>
    <row r="1356" spans="1:24" s="8" customFormat="1" ht="14.4">
      <c r="A1356" s="521"/>
      <c r="B1356" s="510" t="s">
        <v>2</v>
      </c>
      <c r="C1356" s="525">
        <f>IFERROR(VLOOKUP($B1353,'PY1 TFR ADA'!$F:$AU,MATCH("A-1.2",'PY1 TFR ADA'!$F$5:$AU$5,0),FALSE),0)</f>
        <v>0</v>
      </c>
      <c r="D1356" s="167"/>
      <c r="E1356" s="525">
        <f>IFERROR(VALUE(VLOOKUP($B1353,'PY1 TFR ADA'!$F:$AU,MATCH("A-2.2",'PY1 TFR ADA'!$F$5:$AU$5,0),FALSE)),0)</f>
        <v>0</v>
      </c>
      <c r="F1356" s="167"/>
      <c r="G1356" s="609">
        <f>IFERROR(VLOOKUP($B1353,'PY1 TFR ADA'!$F:$AU,MATCH("b-1.2",'PY1 TFR ADA'!$F$5:$AU$5,0),FALSE),0)</f>
        <v>0</v>
      </c>
      <c r="H1356" s="527"/>
      <c r="I1356" s="609">
        <f>IFERROR(VLOOKUP($B1353,'PY1 TFR ADA'!$F:$AU,MATCH("b-2.2",'PY1 TFR ADA'!$F$5:$AU$5,0),FALSE),0)</f>
        <v>0</v>
      </c>
      <c r="J1356" s="527"/>
      <c r="K1356" s="609">
        <f>IFERROR(VLOOKUP($B1353,'PY1 TFR ADA'!$F:$AU,MATCH("b-3.2",'PY1 TFR ADA'!$F$5:$AU$5,0),FALSE),0)</f>
        <v>0</v>
      </c>
      <c r="L1356" s="527"/>
      <c r="M1356" s="609">
        <f>IFERROR(VLOOKUP($B1353,'PY1 TFR ADA'!$F:$AU,MATCH("b-4.2",'PY1 TFR ADA'!$F$5:$AU$5,0),FALSE),0)</f>
        <v>0</v>
      </c>
      <c r="N1356" s="527"/>
      <c r="O1356" s="609">
        <f>IFERROR(VLOOKUP($B1353,'PY1 TFR ADA'!$F:$AU,MATCH("b-5.2",'PY1 TFR ADA'!$F$5:$AU$5,0),FALSE),0)</f>
        <v>0</v>
      </c>
      <c r="P1356" s="527"/>
      <c r="Q1356" s="609">
        <f>IFERROR(VLOOKUP($B1353,'PY1 TFR ADA'!$F:$AU,MATCH("b-6.2",'PY1 TFR ADA'!$F$5:$AU$5,0),FALSE),0)</f>
        <v>0</v>
      </c>
      <c r="R1356" s="551"/>
      <c r="S1356" s="601">
        <f t="shared" si="2038"/>
        <v>0</v>
      </c>
      <c r="T1356" s="551"/>
      <c r="U1356" s="536">
        <f t="shared" ref="U1356" si="2040">ROUND(IF($G1362="LCFF Rate",(G1356*$C1356),(G1356*$E1356))+IF($I1362="LCFF Rate",(I1356*$C1356),(I1356*$E1356))+IF($K1362="LCFF Rate",(K1356*$C1356),(K1356*$E1356))+IF($M1362="LCFF Rate",(M1356*$C1356),(M1356*$E1356))+IF($O1362="LCFF Rate",(O1356*$C1356),(O1356*$E1356))+IF($Q1362="LCFF Rate",(Q1356*$C1356),(Q1356*$E1356)),0)</f>
        <v>0</v>
      </c>
      <c r="V1356" s="524"/>
      <c r="X1356" s="4"/>
    </row>
    <row r="1357" spans="1:24" s="8" customFormat="1" ht="14.4">
      <c r="A1357" s="521"/>
      <c r="B1357" s="510" t="s">
        <v>3</v>
      </c>
      <c r="C1357" s="525">
        <f>IFERROR(VLOOKUP($B1353,'PY1 TFR ADA'!$F:$AU,MATCH("A-1.3",'PY1 TFR ADA'!$F$5:$AU$5,0),FALSE),0)</f>
        <v>0</v>
      </c>
      <c r="D1357" s="167"/>
      <c r="E1357" s="525">
        <f>IFERROR(VALUE(VLOOKUP($B1353,'PY1 TFR ADA'!$F:$AU,MATCH("A-2.3",'PY1 TFR ADA'!$F$5:$AU$5,0),FALSE)),0)</f>
        <v>0</v>
      </c>
      <c r="F1357" s="167"/>
      <c r="G1357" s="609">
        <f>IFERROR(VLOOKUP($B1353,'PY1 TFR ADA'!$F:$AU,MATCH("b-1.3",'PY1 TFR ADA'!$F$5:$AU$5,0),FALSE),0)</f>
        <v>0</v>
      </c>
      <c r="H1357" s="527"/>
      <c r="I1357" s="609">
        <f>IFERROR(VLOOKUP($B1353,'PY1 TFR ADA'!$F:$AU,MATCH("b-2.3",'PY1 TFR ADA'!$F$5:$AU$5,0),FALSE),0)</f>
        <v>0</v>
      </c>
      <c r="J1357" s="527"/>
      <c r="K1357" s="609">
        <f>IFERROR(VLOOKUP($B1353,'PY1 TFR ADA'!$F:$AU,MATCH("b-3.3",'PY1 TFR ADA'!$F$5:$AU$5,0),FALSE),0)</f>
        <v>0</v>
      </c>
      <c r="L1357" s="527"/>
      <c r="M1357" s="609">
        <f>IFERROR(VLOOKUP($B1353,'PY1 TFR ADA'!$F:$AU,MATCH("b-4.3",'PY1 TFR ADA'!$F$5:$AU$5,0),FALSE),0)</f>
        <v>0</v>
      </c>
      <c r="N1357" s="527"/>
      <c r="O1357" s="609">
        <f>IFERROR(VLOOKUP($B1353,'PY1 TFR ADA'!$F:$AU,MATCH("b-5.3",'PY1 TFR ADA'!$F$5:$AU$5,0),FALSE),0)</f>
        <v>0</v>
      </c>
      <c r="P1357" s="527"/>
      <c r="Q1357" s="609">
        <f>IFERROR(VLOOKUP($B1353,'PY1 TFR ADA'!$F:$AU,MATCH("b-6.3",'PY1 TFR ADA'!$F$5:$AU$5,0),FALSE),0)</f>
        <v>0</v>
      </c>
      <c r="R1357" s="551"/>
      <c r="S1357" s="601">
        <f t="shared" si="2038"/>
        <v>0</v>
      </c>
      <c r="T1357" s="551"/>
      <c r="U1357" s="536">
        <f t="shared" ref="U1357" si="2041">ROUND(IF($G1362="LCFF Rate",(G1357*$C1357),(G1357*$E1357))+IF($I1362="LCFF Rate",(I1357*$C1357),(I1357*$E1357))+IF($K1362="LCFF Rate",(K1357*$C1357),(K1357*$E1357))+IF($M1362="LCFF Rate",(M1357*$C1357),(M1357*$E1357))+IF($O1362="LCFF Rate",(O1357*$C1357),(O1357*$E1357))+IF($Q1362="LCFF Rate",(Q1357*$C1357),(Q1357*$E1357)),0)</f>
        <v>0</v>
      </c>
      <c r="V1357" s="524"/>
      <c r="X1357" s="4"/>
    </row>
    <row r="1358" spans="1:24" s="8" customFormat="1" ht="14.4">
      <c r="A1358" s="526"/>
      <c r="B1358" s="510" t="s">
        <v>4</v>
      </c>
      <c r="C1358" s="525">
        <f>IFERROR(VLOOKUP($B1353,'PY1 TFR ADA'!$F:$AU,MATCH("A-1.4",'PY1 TFR ADA'!$F$5:$AU$5,0),FALSE),0)</f>
        <v>0</v>
      </c>
      <c r="D1358" s="523"/>
      <c r="E1358" s="525">
        <f>IFERROR(VALUE(VLOOKUP($B1353,'PY1 TFR ADA'!$F:$AU,MATCH("A-2.4",'PY1 TFR ADA'!$F$5:$AU$5,0),FALSE)),0)</f>
        <v>0</v>
      </c>
      <c r="F1358" s="523"/>
      <c r="G1358" s="609">
        <f>IFERROR(VLOOKUP($B1353,'PY1 TFR ADA'!$F:$AU,MATCH("b-1.4",'PY1 TFR ADA'!$F$5:$AU$5,0),FALSE),0)</f>
        <v>0</v>
      </c>
      <c r="H1358" s="527"/>
      <c r="I1358" s="609">
        <f>IFERROR(VLOOKUP($B1353,'PY1 TFR ADA'!$F:$AU,MATCH("b-2.4",'PY1 TFR ADA'!$F$5:$AU$5,0),FALSE),0)</f>
        <v>0</v>
      </c>
      <c r="J1358" s="527"/>
      <c r="K1358" s="609">
        <f>IFERROR(VLOOKUP($B1353,'PY1 TFR ADA'!$F:$AU,MATCH("b-3.4",'PY1 TFR ADA'!$F$5:$AU$5,0),FALSE),0)</f>
        <v>0</v>
      </c>
      <c r="L1358" s="527"/>
      <c r="M1358" s="609">
        <f>IFERROR(VLOOKUP($B1353,'PY1 TFR ADA'!$F:$AU,MATCH("b-4.4",'PY1 TFR ADA'!$F$5:$AU$5,0),FALSE),0)</f>
        <v>0</v>
      </c>
      <c r="N1358" s="527"/>
      <c r="O1358" s="609">
        <f>IFERROR(VLOOKUP($B1353,'PY1 TFR ADA'!$F:$AU,MATCH("b-5.4",'PY1 TFR ADA'!$F$5:$AU$5,0),FALSE),0)</f>
        <v>0</v>
      </c>
      <c r="P1358" s="527"/>
      <c r="Q1358" s="609">
        <f>IFERROR(VLOOKUP($B1353,'PY1 TFR ADA'!$F:$AU,MATCH("b-6.4",'PY1 TFR ADA'!$F$5:$AU$5,0),FALSE),0)</f>
        <v>0</v>
      </c>
      <c r="R1358" s="551"/>
      <c r="S1358" s="601">
        <f t="shared" si="2038"/>
        <v>0</v>
      </c>
      <c r="T1358" s="551"/>
      <c r="U1358" s="536">
        <f t="shared" ref="U1358" si="2042">ROUND(IF($G1362="LCFF Rate",(G1358*$C1358),(G1358*$E1358))+IF($I1362="LCFF Rate",(I1358*$C1358),(I1358*$E1358))+IF($K1362="LCFF Rate",(K1358*$C1358),(K1358*$E1358))+IF($M1362="LCFF Rate",(M1358*$C1358),(M1358*$E1358))+IF($O1362="LCFF Rate",(O1358*$C1358),(O1358*$E1358))+IF($Q1362="LCFF Rate",(Q1358*$C1358),(Q1358*$E1358)),0)</f>
        <v>0</v>
      </c>
      <c r="V1358" s="522"/>
      <c r="X1358" s="496"/>
    </row>
    <row r="1359" spans="1:24" s="8" customFormat="1" ht="8.25" customHeight="1">
      <c r="A1359" s="521"/>
      <c r="B1359" s="167"/>
      <c r="C1359" s="165"/>
      <c r="D1359" s="523"/>
      <c r="E1359" s="165"/>
      <c r="F1359" s="523"/>
      <c r="G1359" s="520"/>
      <c r="H1359" s="523"/>
      <c r="I1359" s="520"/>
      <c r="J1359" s="523"/>
      <c r="K1359" s="520"/>
      <c r="L1359" s="523"/>
      <c r="M1359" s="520"/>
      <c r="N1359" s="523"/>
      <c r="O1359" s="520"/>
      <c r="P1359" s="523"/>
      <c r="Q1359" s="520"/>
      <c r="R1359" s="167"/>
      <c r="S1359" s="520"/>
      <c r="T1359" s="167"/>
      <c r="U1359" s="602"/>
      <c r="V1359" s="522"/>
      <c r="X1359" s="4"/>
    </row>
    <row r="1360" spans="1:24" s="8" customFormat="1" ht="14.4">
      <c r="A1360" s="521"/>
      <c r="B1360" s="167"/>
      <c r="C1360" s="165"/>
      <c r="D1360" s="523"/>
      <c r="E1360" s="513" t="s">
        <v>1317</v>
      </c>
      <c r="F1360" s="523"/>
      <c r="G1360" s="601">
        <f t="shared" ref="G1360" si="2043">SUM(G1355:G1358)</f>
        <v>0</v>
      </c>
      <c r="H1360" s="527"/>
      <c r="I1360" s="601">
        <f t="shared" ref="I1360" si="2044">SUM(I1355:I1358)</f>
        <v>0</v>
      </c>
      <c r="J1360" s="527"/>
      <c r="K1360" s="601">
        <f t="shared" ref="K1360" si="2045">SUM(K1355:K1358)</f>
        <v>0</v>
      </c>
      <c r="L1360" s="527"/>
      <c r="M1360" s="601">
        <f t="shared" ref="M1360" si="2046">SUM(M1355:M1358)</f>
        <v>0</v>
      </c>
      <c r="N1360" s="527"/>
      <c r="O1360" s="601">
        <f t="shared" ref="O1360" si="2047">SUM(O1355:O1358)</f>
        <v>0</v>
      </c>
      <c r="P1360" s="527"/>
      <c r="Q1360" s="601">
        <f t="shared" ref="Q1360" si="2048">SUM(Q1355:Q1358)</f>
        <v>0</v>
      </c>
      <c r="R1360" s="527"/>
      <c r="S1360" s="601">
        <f t="shared" ref="S1360" si="2049">SUM(S1355:S1358)</f>
        <v>0</v>
      </c>
      <c r="T1360" s="527"/>
      <c r="U1360" s="536">
        <f t="shared" ref="U1360" si="2050">SUM(U1355:U1358)</f>
        <v>0</v>
      </c>
      <c r="V1360" s="522"/>
      <c r="X1360" s="4"/>
    </row>
    <row r="1361" spans="1:24" s="8" customFormat="1" ht="8.25" customHeight="1">
      <c r="A1361" s="521"/>
      <c r="B1361" s="167"/>
      <c r="C1361" s="165"/>
      <c r="D1361" s="523"/>
      <c r="E1361" s="165"/>
      <c r="F1361" s="523"/>
      <c r="G1361" s="520"/>
      <c r="H1361" s="523"/>
      <c r="I1361" s="520"/>
      <c r="J1361" s="523"/>
      <c r="K1361" s="520"/>
      <c r="L1361" s="523"/>
      <c r="M1361" s="520"/>
      <c r="N1361" s="523"/>
      <c r="O1361" s="520"/>
      <c r="P1361" s="523"/>
      <c r="Q1361" s="520"/>
      <c r="R1361" s="167"/>
      <c r="S1361" s="520"/>
      <c r="T1361" s="167"/>
      <c r="U1361" s="528"/>
      <c r="V1361" s="522"/>
      <c r="X1361" s="4"/>
    </row>
    <row r="1362" spans="1:24" s="8" customFormat="1" ht="16.5" customHeight="1">
      <c r="A1362" s="521"/>
      <c r="B1362" s="167"/>
      <c r="C1362" s="165"/>
      <c r="E1362" s="513" t="s">
        <v>1304</v>
      </c>
      <c r="F1362" s="523"/>
      <c r="G1362" s="977">
        <f>_xlfn.IFNA(IF(VLOOKUP($B1353,'PY1 TFR ADA'!$F:$AU,MATCH("B-1.5",'PY1 TFR ADA'!$F$5:$AU$5,0),FALSE)=TRUE,IF(VLOOKUP($B1353,'PY1 TFR ADA'!$F:$AU,MATCH("C-1",'PY1 TFR ADA'!$F$5:$AU$5,0),FALSE)=TRUE,"Alternative Rate","LCFF Rate"),"LCFF Rate"),0)</f>
        <v>0</v>
      </c>
      <c r="H1362" s="523"/>
      <c r="I1362" s="977">
        <f>_xlfn.IFNA(IF(VLOOKUP($B1353,'PY1 TFR ADA'!$F:$AU,MATCH("B-2.5",'PY1 TFR ADA'!$F$5:$AU$5,0),FALSE)=TRUE,IF(VLOOKUP($B1353,'PY1 TFR ADA'!$F:$AU,MATCH("C-1",'PY1 TFR ADA'!$F$5:$AU$5,0),FALSE)=TRUE,"Alternative Rate","LCFF Rate"),"LCFF Rate"),0)</f>
        <v>0</v>
      </c>
      <c r="J1362" s="523"/>
      <c r="K1362" s="977">
        <f>_xlfn.IFNA(IF(VLOOKUP($B1353,'PY1 TFR ADA'!$F:$AU,MATCH("B-3.5",'PY1 TFR ADA'!$F$5:$AU$5,0),FALSE)=TRUE,IF(VLOOKUP($B1353,'PY1 TFR ADA'!$F:$AU,MATCH("C-1",'PY1 TFR ADA'!$F$5:$AU$5,0),FALSE)=TRUE,"Alternative Rate","LCFF Rate"),"LCFF Rate"),0)</f>
        <v>0</v>
      </c>
      <c r="L1362" s="523"/>
      <c r="M1362" s="977">
        <f>_xlfn.IFNA(IF(VLOOKUP($B1353,'PY1 TFR ADA'!$F:$AU,MATCH("B-4.5",'PY1 TFR ADA'!$F$5:$AU$5,0),FALSE)=TRUE,IF(VLOOKUP($B1353,'PY1 TFR ADA'!$F:$AU,MATCH("C-1",'PY1 TFR ADA'!$F$5:$AU$5,0),FALSE)=TRUE,"Alternative Rate","LCFF Rate"),"LCFF Rate"),0)</f>
        <v>0</v>
      </c>
      <c r="N1362" s="523"/>
      <c r="O1362" s="977">
        <f>_xlfn.IFNA(IF(VLOOKUP($B1353,'PY1 TFR ADA'!$F:$AU,MATCH("B-5.5",'PY1 TFR ADA'!$F$5:$AU$5,0),FALSE)=TRUE,IF(VLOOKUP($B1353,'PY1 TFR ADA'!$F:$AU,MATCH("C-1",'PY1 TFR ADA'!$F$5:$AU$5,0),FALSE)=TRUE,"Alternative Rate","LCFF Rate"),"LCFF Rate"),0)</f>
        <v>0</v>
      </c>
      <c r="P1362" s="523"/>
      <c r="Q1362" s="977">
        <f>_xlfn.IFNA(IF(VLOOKUP($B1353,'PY1 TFR ADA'!$F:$AU,MATCH("B-6.5",'PY1 TFR ADA'!$F$5:$AU$5,0),FALSE)=TRUE,IF(VLOOKUP($B1353,'PY1 TFR ADA'!$F:$AU,MATCH("C-1",'PY1 TFR ADA'!$F$5:$AU$5,0),FALSE)=TRUE,"Alternative Rate","LCFF Rate"),"LCFF Rate"),0)</f>
        <v>0</v>
      </c>
      <c r="R1362" s="167"/>
      <c r="S1362" s="520"/>
      <c r="T1362" s="167"/>
      <c r="U1362" s="528"/>
      <c r="V1362" s="522"/>
      <c r="X1362" s="283"/>
    </row>
    <row r="1363" spans="1:24" s="8" customFormat="1" ht="8.25" customHeight="1">
      <c r="A1363" s="521"/>
      <c r="B1363" s="167"/>
      <c r="C1363" s="165"/>
      <c r="D1363" s="523"/>
      <c r="E1363" s="165"/>
      <c r="F1363" s="523"/>
      <c r="G1363" s="520"/>
      <c r="H1363" s="523"/>
      <c r="I1363" s="520"/>
      <c r="J1363" s="523"/>
      <c r="K1363" s="520"/>
      <c r="L1363" s="523"/>
      <c r="M1363" s="520"/>
      <c r="N1363" s="523"/>
      <c r="O1363" s="520"/>
      <c r="P1363" s="523"/>
      <c r="Q1363" s="520"/>
      <c r="R1363" s="167"/>
      <c r="S1363" s="520"/>
      <c r="T1363" s="167"/>
      <c r="U1363" s="528"/>
      <c r="V1363" s="522"/>
      <c r="X1363" s="4"/>
    </row>
    <row r="1364" spans="1:24" s="8" customFormat="1" ht="16.8">
      <c r="A1364" s="521"/>
      <c r="B1364" s="2"/>
      <c r="F1364" s="523"/>
      <c r="G1364" s="535">
        <f t="shared" ref="G1364" si="2051">IF(G1362="LCFF Rate",(G1355*C1355+G1356*C1356+G1357*C1357+G1358*C1358),(G1360*E1358))</f>
        <v>0</v>
      </c>
      <c r="H1364" s="537"/>
      <c r="I1364" s="535">
        <f t="shared" ref="I1364" si="2052">IF(I1362="LCFF Rate",(I1355*C1355+I1356*C1356+I1357*C1357+I1358*C1358),(I1360*E1358))</f>
        <v>0</v>
      </c>
      <c r="J1364" s="537"/>
      <c r="K1364" s="535">
        <f t="shared" ref="K1364" si="2053">IF(K1362="LCFF Rate",(K1355*C1355+K1356*C1356+K1357*C1357+K1358*C1358),(K1360*E1358))</f>
        <v>0</v>
      </c>
      <c r="L1364" s="537"/>
      <c r="M1364" s="535">
        <f t="shared" ref="M1364" si="2054">IF(M1362="LCFF Rate",(M1355*C1355+M1356*C1356+M1357*C1357+M1358*C1358),(M1360*E1358))</f>
        <v>0</v>
      </c>
      <c r="N1364" s="537"/>
      <c r="O1364" s="535">
        <f t="shared" ref="O1364" si="2055">IF(O1362="LCFF Rate",(O1355*C1355+O1356*C1356+O1357*C1357+O1358*C1358),(O1360*E1358))</f>
        <v>0</v>
      </c>
      <c r="P1364" s="537"/>
      <c r="Q1364" s="535">
        <f t="shared" ref="Q1364" si="2056">IF(Q1362="LCFF Rate",(Q1355*C1355+Q1356*C1356+Q1357*C1357+Q1358*C1358),(Q1360*E1358))</f>
        <v>0</v>
      </c>
      <c r="R1364" s="167"/>
      <c r="S1364" s="538">
        <f t="shared" ref="S1364" si="2057">SUM(G1364:Q1364)</f>
        <v>0</v>
      </c>
      <c r="T1364" s="167"/>
      <c r="U1364" s="528"/>
      <c r="V1364" s="522"/>
      <c r="X1364" s="979"/>
    </row>
    <row r="1365" spans="1:24" s="8" customFormat="1" ht="9" customHeight="1" thickBot="1">
      <c r="A1365" s="529"/>
      <c r="B1365" s="530"/>
      <c r="C1365" s="531"/>
      <c r="D1365" s="532"/>
      <c r="E1365" s="533"/>
      <c r="F1365" s="532"/>
      <c r="G1365" s="530"/>
      <c r="H1365" s="532"/>
      <c r="I1365" s="530"/>
      <c r="J1365" s="532"/>
      <c r="K1365" s="530"/>
      <c r="L1365" s="532"/>
      <c r="M1365" s="530"/>
      <c r="N1365" s="532"/>
      <c r="O1365" s="530"/>
      <c r="P1365" s="532"/>
      <c r="Q1365" s="530"/>
      <c r="R1365" s="532"/>
      <c r="S1365" s="530"/>
      <c r="T1365" s="532"/>
      <c r="U1365" s="532"/>
      <c r="V1365" s="534"/>
      <c r="X1365" s="4"/>
    </row>
    <row r="1366" spans="1:24" s="82" customFormat="1" ht="18" customHeight="1" thickBot="1">
      <c r="A1366" s="890">
        <f>+A1353+1</f>
        <v>105</v>
      </c>
      <c r="B1366" s="891" t="str">
        <f>'Data Entry'!$B$3&amp;"-"&amp;C1366</f>
        <v>-</v>
      </c>
      <c r="C1366" s="891" t="str">
        <f>IFERROR(VLOOKUP('Data Entry'!$B$3&amp;"-"&amp;A1366,'PY1 TFR ADA'!$D:$AT,2,FALSE),"")</f>
        <v/>
      </c>
      <c r="D1366" s="892" t="str">
        <f>IFERROR(VLOOKUP('Data Entry'!$B$3&amp;"-"&amp;A1366,'PY1 TFR ADA'!$D:$AT,4,FALSE),"")</f>
        <v/>
      </c>
      <c r="E1366" s="893"/>
      <c r="F1366" s="893"/>
      <c r="G1366" s="893"/>
      <c r="H1366" s="893"/>
      <c r="I1366" s="893"/>
      <c r="J1366" s="893"/>
      <c r="K1366" s="893"/>
      <c r="L1366" s="893"/>
      <c r="M1366" s="893"/>
      <c r="N1366" s="893"/>
      <c r="O1366" s="893"/>
      <c r="P1366" s="893"/>
      <c r="Q1366" s="893"/>
      <c r="R1366" s="893"/>
      <c r="S1366" s="893"/>
      <c r="T1366" s="893"/>
      <c r="U1366" s="893"/>
      <c r="V1366" s="894"/>
      <c r="X1366" s="83"/>
    </row>
    <row r="1367" spans="1:24" ht="75" customHeight="1">
      <c r="A1367" s="521"/>
      <c r="C1367" s="540" t="s">
        <v>1315</v>
      </c>
      <c r="D1367" s="512"/>
      <c r="E1367" s="540" t="s">
        <v>1316</v>
      </c>
      <c r="F1367" s="512"/>
      <c r="G1367" s="540" t="s">
        <v>1309</v>
      </c>
      <c r="H1367" s="512"/>
      <c r="I1367" s="540" t="s">
        <v>1310</v>
      </c>
      <c r="J1367" s="512"/>
      <c r="K1367" s="540" t="s">
        <v>1311</v>
      </c>
      <c r="L1367" s="512"/>
      <c r="M1367" s="540" t="s">
        <v>1312</v>
      </c>
      <c r="N1367" s="512"/>
      <c r="O1367" s="540" t="s">
        <v>1313</v>
      </c>
      <c r="P1367" s="512"/>
      <c r="Q1367" s="540" t="s">
        <v>1314</v>
      </c>
      <c r="R1367" s="167"/>
      <c r="S1367" s="540" t="s">
        <v>1308</v>
      </c>
      <c r="T1367" s="167"/>
      <c r="U1367" s="512" t="s">
        <v>1307</v>
      </c>
      <c r="V1367" s="524"/>
      <c r="X1367" s="283"/>
    </row>
    <row r="1368" spans="1:24" s="8" customFormat="1" ht="14.4">
      <c r="A1368" s="521"/>
      <c r="B1368" s="510" t="s">
        <v>94</v>
      </c>
      <c r="C1368" s="525">
        <f>IFERROR(VLOOKUP($B1366,'PY1 TFR ADA'!$F:$AU,MATCH("A-1.1",'PY1 TFR ADA'!$F$5:$AU$5,0),FALSE),0)</f>
        <v>0</v>
      </c>
      <c r="D1368" s="167"/>
      <c r="E1368" s="525">
        <f>IFERROR(VALUE(VLOOKUP($B1366,'PY1 TFR ADA'!$F:$AU,MATCH("A-2.1",'PY1 TFR ADA'!$F$5:$AU$5,0),FALSE)),0)</f>
        <v>0</v>
      </c>
      <c r="F1368" s="167"/>
      <c r="G1368" s="609">
        <f>IFERROR(VLOOKUP($B1366,'PY1 TFR ADA'!$F:$AU,MATCH("b-1.1",'PY1 TFR ADA'!$F$5:$AU$5,0),FALSE),0)</f>
        <v>0</v>
      </c>
      <c r="H1368" s="527"/>
      <c r="I1368" s="609">
        <f>IFERROR(VLOOKUP($B1366,'PY1 TFR ADA'!$F:$AU,MATCH("b-2.1",'PY1 TFR ADA'!$F$5:$AU$5,0),FALSE),0)</f>
        <v>0</v>
      </c>
      <c r="J1368" s="527"/>
      <c r="K1368" s="609">
        <f>IFERROR(VLOOKUP($B1366,'PY1 TFR ADA'!$F:$AU,MATCH("b-3.1",'PY1 TFR ADA'!$F$5:$AU$5,0),FALSE),0)</f>
        <v>0</v>
      </c>
      <c r="L1368" s="527"/>
      <c r="M1368" s="609">
        <f>IFERROR(VLOOKUP($B1366,'PY1 TFR ADA'!$F:$AU,MATCH("b-4.1",'PY1 TFR ADA'!$F$5:$AU$5,0),FALSE),0)</f>
        <v>0</v>
      </c>
      <c r="N1368" s="527"/>
      <c r="O1368" s="609">
        <f>IFERROR(VLOOKUP($B1366,'PY1 TFR ADA'!$F:$AU,MATCH("b-5.1",'PY1 TFR ADA'!$F$5:$AU$5,0),FALSE),0)</f>
        <v>0</v>
      </c>
      <c r="P1368" s="527"/>
      <c r="Q1368" s="609">
        <f>IFERROR(VLOOKUP($B1366,'PY1 TFR ADA'!$F:$AU,MATCH("b-6.1",'PY1 TFR ADA'!$F$5:$AU$5,0),FALSE),0)</f>
        <v>0</v>
      </c>
      <c r="R1368" s="551"/>
      <c r="S1368" s="601">
        <f t="shared" ref="S1368:S1371" si="2058">SUM(G1368:Q1368)</f>
        <v>0</v>
      </c>
      <c r="T1368" s="551"/>
      <c r="U1368" s="536">
        <f t="shared" ref="U1368" si="2059">ROUND(IF($G1375="LCFF Rate",(G1368*$C1368),(G1368*$E1368))+IF($I1375="LCFF Rate",(I1368*$C1368),(I1368*$E1368))+IF($K1375="LCFF Rate",(K1368*$C1368),(K1368*$E1368))+IF($M1375="LCFF Rate",(M1368*$C1368),(M1368*$E1368))+IF($O1375="LCFF Rate",(O1368*$C1368),(O1368*$E1368))+IF($Q1375="LCFF Rate",(Q1368*$C1368),(Q1368*$E1368)),0)</f>
        <v>0</v>
      </c>
      <c r="V1368" s="524"/>
      <c r="X1368" s="496"/>
    </row>
    <row r="1369" spans="1:24" s="8" customFormat="1" ht="14.4">
      <c r="A1369" s="521"/>
      <c r="B1369" s="510" t="s">
        <v>2</v>
      </c>
      <c r="C1369" s="525">
        <f>IFERROR(VLOOKUP($B1366,'PY1 TFR ADA'!$F:$AU,MATCH("A-1.2",'PY1 TFR ADA'!$F$5:$AU$5,0),FALSE),0)</f>
        <v>0</v>
      </c>
      <c r="D1369" s="167"/>
      <c r="E1369" s="525">
        <f>IFERROR(VALUE(VLOOKUP($B1366,'PY1 TFR ADA'!$F:$AU,MATCH("A-2.2",'PY1 TFR ADA'!$F$5:$AU$5,0),FALSE)),0)</f>
        <v>0</v>
      </c>
      <c r="F1369" s="167"/>
      <c r="G1369" s="609">
        <f>IFERROR(VLOOKUP($B1366,'PY1 TFR ADA'!$F:$AU,MATCH("b-1.2",'PY1 TFR ADA'!$F$5:$AU$5,0),FALSE),0)</f>
        <v>0</v>
      </c>
      <c r="H1369" s="527"/>
      <c r="I1369" s="609">
        <f>IFERROR(VLOOKUP($B1366,'PY1 TFR ADA'!$F:$AU,MATCH("b-2.2",'PY1 TFR ADA'!$F$5:$AU$5,0),FALSE),0)</f>
        <v>0</v>
      </c>
      <c r="J1369" s="527"/>
      <c r="K1369" s="609">
        <f>IFERROR(VLOOKUP($B1366,'PY1 TFR ADA'!$F:$AU,MATCH("b-3.2",'PY1 TFR ADA'!$F$5:$AU$5,0),FALSE),0)</f>
        <v>0</v>
      </c>
      <c r="L1369" s="527"/>
      <c r="M1369" s="609">
        <f>IFERROR(VLOOKUP($B1366,'PY1 TFR ADA'!$F:$AU,MATCH("b-4.2",'PY1 TFR ADA'!$F$5:$AU$5,0),FALSE),0)</f>
        <v>0</v>
      </c>
      <c r="N1369" s="527"/>
      <c r="O1369" s="609">
        <f>IFERROR(VLOOKUP($B1366,'PY1 TFR ADA'!$F:$AU,MATCH("b-5.2",'PY1 TFR ADA'!$F$5:$AU$5,0),FALSE),0)</f>
        <v>0</v>
      </c>
      <c r="P1369" s="527"/>
      <c r="Q1369" s="609">
        <f>IFERROR(VLOOKUP($B1366,'PY1 TFR ADA'!$F:$AU,MATCH("b-6.2",'PY1 TFR ADA'!$F$5:$AU$5,0),FALSE),0)</f>
        <v>0</v>
      </c>
      <c r="R1369" s="551"/>
      <c r="S1369" s="601">
        <f t="shared" si="2058"/>
        <v>0</v>
      </c>
      <c r="T1369" s="551"/>
      <c r="U1369" s="536">
        <f t="shared" ref="U1369" si="2060">ROUND(IF($G1375="LCFF Rate",(G1369*$C1369),(G1369*$E1369))+IF($I1375="LCFF Rate",(I1369*$C1369),(I1369*$E1369))+IF($K1375="LCFF Rate",(K1369*$C1369),(K1369*$E1369))+IF($M1375="LCFF Rate",(M1369*$C1369),(M1369*$E1369))+IF($O1375="LCFF Rate",(O1369*$C1369),(O1369*$E1369))+IF($Q1375="LCFF Rate",(Q1369*$C1369),(Q1369*$E1369)),0)</f>
        <v>0</v>
      </c>
      <c r="V1369" s="524"/>
      <c r="X1369" s="4"/>
    </row>
    <row r="1370" spans="1:24" s="8" customFormat="1" ht="14.4">
      <c r="A1370" s="521"/>
      <c r="B1370" s="510" t="s">
        <v>3</v>
      </c>
      <c r="C1370" s="525">
        <f>IFERROR(VLOOKUP($B1366,'PY1 TFR ADA'!$F:$AU,MATCH("A-1.3",'PY1 TFR ADA'!$F$5:$AU$5,0),FALSE),0)</f>
        <v>0</v>
      </c>
      <c r="D1370" s="167"/>
      <c r="E1370" s="525">
        <f>IFERROR(VALUE(VLOOKUP($B1366,'PY1 TFR ADA'!$F:$AU,MATCH("A-2.3",'PY1 TFR ADA'!$F$5:$AU$5,0),FALSE)),0)</f>
        <v>0</v>
      </c>
      <c r="F1370" s="167"/>
      <c r="G1370" s="609">
        <f>IFERROR(VLOOKUP($B1366,'PY1 TFR ADA'!$F:$AU,MATCH("b-1.3",'PY1 TFR ADA'!$F$5:$AU$5,0),FALSE),0)</f>
        <v>0</v>
      </c>
      <c r="H1370" s="527"/>
      <c r="I1370" s="609">
        <f>IFERROR(VLOOKUP($B1366,'PY1 TFR ADA'!$F:$AU,MATCH("b-2.3",'PY1 TFR ADA'!$F$5:$AU$5,0),FALSE),0)</f>
        <v>0</v>
      </c>
      <c r="J1370" s="527"/>
      <c r="K1370" s="609">
        <f>IFERROR(VLOOKUP($B1366,'PY1 TFR ADA'!$F:$AU,MATCH("b-3.3",'PY1 TFR ADA'!$F$5:$AU$5,0),FALSE),0)</f>
        <v>0</v>
      </c>
      <c r="L1370" s="527"/>
      <c r="M1370" s="609">
        <f>IFERROR(VLOOKUP($B1366,'PY1 TFR ADA'!$F:$AU,MATCH("b-4.3",'PY1 TFR ADA'!$F$5:$AU$5,0),FALSE),0)</f>
        <v>0</v>
      </c>
      <c r="N1370" s="527"/>
      <c r="O1370" s="609">
        <f>IFERROR(VLOOKUP($B1366,'PY1 TFR ADA'!$F:$AU,MATCH("b-5.3",'PY1 TFR ADA'!$F$5:$AU$5,0),FALSE),0)</f>
        <v>0</v>
      </c>
      <c r="P1370" s="527"/>
      <c r="Q1370" s="609">
        <f>IFERROR(VLOOKUP($B1366,'PY1 TFR ADA'!$F:$AU,MATCH("b-6.3",'PY1 TFR ADA'!$F$5:$AU$5,0),FALSE),0)</f>
        <v>0</v>
      </c>
      <c r="R1370" s="551"/>
      <c r="S1370" s="601">
        <f t="shared" si="2058"/>
        <v>0</v>
      </c>
      <c r="T1370" s="551"/>
      <c r="U1370" s="536">
        <f t="shared" ref="U1370" si="2061">ROUND(IF($G1375="LCFF Rate",(G1370*$C1370),(G1370*$E1370))+IF($I1375="LCFF Rate",(I1370*$C1370),(I1370*$E1370))+IF($K1375="LCFF Rate",(K1370*$C1370),(K1370*$E1370))+IF($M1375="LCFF Rate",(M1370*$C1370),(M1370*$E1370))+IF($O1375="LCFF Rate",(O1370*$C1370),(O1370*$E1370))+IF($Q1375="LCFF Rate",(Q1370*$C1370),(Q1370*$E1370)),0)</f>
        <v>0</v>
      </c>
      <c r="V1370" s="524"/>
      <c r="X1370" s="4"/>
    </row>
    <row r="1371" spans="1:24" s="8" customFormat="1" ht="14.4">
      <c r="A1371" s="526"/>
      <c r="B1371" s="510" t="s">
        <v>4</v>
      </c>
      <c r="C1371" s="525">
        <f>IFERROR(VLOOKUP($B1366,'PY1 TFR ADA'!$F:$AU,MATCH("A-1.4",'PY1 TFR ADA'!$F$5:$AU$5,0),FALSE),0)</f>
        <v>0</v>
      </c>
      <c r="D1371" s="523"/>
      <c r="E1371" s="525">
        <f>IFERROR(VALUE(VLOOKUP($B1366,'PY1 TFR ADA'!$F:$AU,MATCH("A-2.4",'PY1 TFR ADA'!$F$5:$AU$5,0),FALSE)),0)</f>
        <v>0</v>
      </c>
      <c r="F1371" s="523"/>
      <c r="G1371" s="609">
        <f>IFERROR(VLOOKUP($B1366,'PY1 TFR ADA'!$F:$AU,MATCH("b-1.4",'PY1 TFR ADA'!$F$5:$AU$5,0),FALSE),0)</f>
        <v>0</v>
      </c>
      <c r="H1371" s="527"/>
      <c r="I1371" s="609">
        <f>IFERROR(VLOOKUP($B1366,'PY1 TFR ADA'!$F:$AU,MATCH("b-2.4",'PY1 TFR ADA'!$F$5:$AU$5,0),FALSE),0)</f>
        <v>0</v>
      </c>
      <c r="J1371" s="527"/>
      <c r="K1371" s="609">
        <f>IFERROR(VLOOKUP($B1366,'PY1 TFR ADA'!$F:$AU,MATCH("b-3.4",'PY1 TFR ADA'!$F$5:$AU$5,0),FALSE),0)</f>
        <v>0</v>
      </c>
      <c r="L1371" s="527"/>
      <c r="M1371" s="609">
        <f>IFERROR(VLOOKUP($B1366,'PY1 TFR ADA'!$F:$AU,MATCH("b-4.4",'PY1 TFR ADA'!$F$5:$AU$5,0),FALSE),0)</f>
        <v>0</v>
      </c>
      <c r="N1371" s="527"/>
      <c r="O1371" s="609">
        <f>IFERROR(VLOOKUP($B1366,'PY1 TFR ADA'!$F:$AU,MATCH("b-5.4",'PY1 TFR ADA'!$F$5:$AU$5,0),FALSE),0)</f>
        <v>0</v>
      </c>
      <c r="P1371" s="527"/>
      <c r="Q1371" s="609">
        <f>IFERROR(VLOOKUP($B1366,'PY1 TFR ADA'!$F:$AU,MATCH("b-6.4",'PY1 TFR ADA'!$F$5:$AU$5,0),FALSE),0)</f>
        <v>0</v>
      </c>
      <c r="R1371" s="551"/>
      <c r="S1371" s="601">
        <f t="shared" si="2058"/>
        <v>0</v>
      </c>
      <c r="T1371" s="551"/>
      <c r="U1371" s="536">
        <f t="shared" ref="U1371" si="2062">ROUND(IF($G1375="LCFF Rate",(G1371*$C1371),(G1371*$E1371))+IF($I1375="LCFF Rate",(I1371*$C1371),(I1371*$E1371))+IF($K1375="LCFF Rate",(K1371*$C1371),(K1371*$E1371))+IF($M1375="LCFF Rate",(M1371*$C1371),(M1371*$E1371))+IF($O1375="LCFF Rate",(O1371*$C1371),(O1371*$E1371))+IF($Q1375="LCFF Rate",(Q1371*$C1371),(Q1371*$E1371)),0)</f>
        <v>0</v>
      </c>
      <c r="V1371" s="522"/>
      <c r="X1371" s="496"/>
    </row>
    <row r="1372" spans="1:24" s="8" customFormat="1" ht="8.25" customHeight="1">
      <c r="A1372" s="521"/>
      <c r="B1372" s="167"/>
      <c r="C1372" s="165"/>
      <c r="D1372" s="523"/>
      <c r="E1372" s="165"/>
      <c r="F1372" s="523"/>
      <c r="G1372" s="520"/>
      <c r="H1372" s="523"/>
      <c r="I1372" s="520"/>
      <c r="J1372" s="523"/>
      <c r="K1372" s="520"/>
      <c r="L1372" s="523"/>
      <c r="M1372" s="520"/>
      <c r="N1372" s="523"/>
      <c r="O1372" s="520"/>
      <c r="P1372" s="523"/>
      <c r="Q1372" s="520"/>
      <c r="R1372" s="167"/>
      <c r="S1372" s="520"/>
      <c r="T1372" s="167"/>
      <c r="U1372" s="602"/>
      <c r="V1372" s="522"/>
      <c r="X1372" s="4"/>
    </row>
    <row r="1373" spans="1:24" s="8" customFormat="1" ht="14.4">
      <c r="A1373" s="521"/>
      <c r="B1373" s="167"/>
      <c r="C1373" s="165"/>
      <c r="D1373" s="523"/>
      <c r="E1373" s="513" t="s">
        <v>1317</v>
      </c>
      <c r="F1373" s="523"/>
      <c r="G1373" s="601">
        <f t="shared" ref="G1373" si="2063">SUM(G1368:G1371)</f>
        <v>0</v>
      </c>
      <c r="H1373" s="527"/>
      <c r="I1373" s="601">
        <f t="shared" ref="I1373" si="2064">SUM(I1368:I1371)</f>
        <v>0</v>
      </c>
      <c r="J1373" s="527"/>
      <c r="K1373" s="601">
        <f t="shared" ref="K1373" si="2065">SUM(K1368:K1371)</f>
        <v>0</v>
      </c>
      <c r="L1373" s="527"/>
      <c r="M1373" s="601">
        <f t="shared" ref="M1373" si="2066">SUM(M1368:M1371)</f>
        <v>0</v>
      </c>
      <c r="N1373" s="527"/>
      <c r="O1373" s="601">
        <f t="shared" ref="O1373" si="2067">SUM(O1368:O1371)</f>
        <v>0</v>
      </c>
      <c r="P1373" s="527"/>
      <c r="Q1373" s="601">
        <f t="shared" ref="Q1373" si="2068">SUM(Q1368:Q1371)</f>
        <v>0</v>
      </c>
      <c r="R1373" s="527"/>
      <c r="S1373" s="601">
        <f t="shared" ref="S1373" si="2069">SUM(S1368:S1371)</f>
        <v>0</v>
      </c>
      <c r="T1373" s="527"/>
      <c r="U1373" s="536">
        <f t="shared" ref="U1373" si="2070">SUM(U1368:U1371)</f>
        <v>0</v>
      </c>
      <c r="V1373" s="522"/>
      <c r="X1373" s="4"/>
    </row>
    <row r="1374" spans="1:24" s="8" customFormat="1" ht="8.25" customHeight="1">
      <c r="A1374" s="521"/>
      <c r="B1374" s="167"/>
      <c r="C1374" s="165"/>
      <c r="D1374" s="523"/>
      <c r="E1374" s="165"/>
      <c r="F1374" s="523"/>
      <c r="G1374" s="520"/>
      <c r="H1374" s="523"/>
      <c r="I1374" s="520"/>
      <c r="J1374" s="523"/>
      <c r="K1374" s="520"/>
      <c r="L1374" s="523"/>
      <c r="M1374" s="520"/>
      <c r="N1374" s="523"/>
      <c r="O1374" s="520"/>
      <c r="P1374" s="523"/>
      <c r="Q1374" s="520"/>
      <c r="R1374" s="167"/>
      <c r="S1374" s="520"/>
      <c r="T1374" s="167"/>
      <c r="U1374" s="528"/>
      <c r="V1374" s="522"/>
      <c r="X1374" s="4"/>
    </row>
    <row r="1375" spans="1:24" s="8" customFormat="1" ht="16.5" customHeight="1">
      <c r="A1375" s="521"/>
      <c r="B1375" s="167"/>
      <c r="C1375" s="165"/>
      <c r="E1375" s="513" t="s">
        <v>1304</v>
      </c>
      <c r="F1375" s="523"/>
      <c r="G1375" s="977">
        <f>_xlfn.IFNA(IF(VLOOKUP($B1366,'PY1 TFR ADA'!$F:$AU,MATCH("B-1.5",'PY1 TFR ADA'!$F$5:$AU$5,0),FALSE)=TRUE,IF(VLOOKUP($B1366,'PY1 TFR ADA'!$F:$AU,MATCH("C-1",'PY1 TFR ADA'!$F$5:$AU$5,0),FALSE)=TRUE,"Alternative Rate","LCFF Rate"),"LCFF Rate"),0)</f>
        <v>0</v>
      </c>
      <c r="H1375" s="523"/>
      <c r="I1375" s="977">
        <f>_xlfn.IFNA(IF(VLOOKUP($B1366,'PY1 TFR ADA'!$F:$AU,MATCH("B-2.5",'PY1 TFR ADA'!$F$5:$AU$5,0),FALSE)=TRUE,IF(VLOOKUP($B1366,'PY1 TFR ADA'!$F:$AU,MATCH("C-1",'PY1 TFR ADA'!$F$5:$AU$5,0),FALSE)=TRUE,"Alternative Rate","LCFF Rate"),"LCFF Rate"),0)</f>
        <v>0</v>
      </c>
      <c r="J1375" s="523"/>
      <c r="K1375" s="977">
        <f>_xlfn.IFNA(IF(VLOOKUP($B1366,'PY1 TFR ADA'!$F:$AU,MATCH("B-3.5",'PY1 TFR ADA'!$F$5:$AU$5,0),FALSE)=TRUE,IF(VLOOKUP($B1366,'PY1 TFR ADA'!$F:$AU,MATCH("C-1",'PY1 TFR ADA'!$F$5:$AU$5,0),FALSE)=TRUE,"Alternative Rate","LCFF Rate"),"LCFF Rate"),0)</f>
        <v>0</v>
      </c>
      <c r="L1375" s="523"/>
      <c r="M1375" s="977">
        <f>_xlfn.IFNA(IF(VLOOKUP($B1366,'PY1 TFR ADA'!$F:$AU,MATCH("B-4.5",'PY1 TFR ADA'!$F$5:$AU$5,0),FALSE)=TRUE,IF(VLOOKUP($B1366,'PY1 TFR ADA'!$F:$AU,MATCH("C-1",'PY1 TFR ADA'!$F$5:$AU$5,0),FALSE)=TRUE,"Alternative Rate","LCFF Rate"),"LCFF Rate"),0)</f>
        <v>0</v>
      </c>
      <c r="N1375" s="523"/>
      <c r="O1375" s="977">
        <f>_xlfn.IFNA(IF(VLOOKUP($B1366,'PY1 TFR ADA'!$F:$AU,MATCH("B-5.5",'PY1 TFR ADA'!$F$5:$AU$5,0),FALSE)=TRUE,IF(VLOOKUP($B1366,'PY1 TFR ADA'!$F:$AU,MATCH("C-1",'PY1 TFR ADA'!$F$5:$AU$5,0),FALSE)=TRUE,"Alternative Rate","LCFF Rate"),"LCFF Rate"),0)</f>
        <v>0</v>
      </c>
      <c r="P1375" s="523"/>
      <c r="Q1375" s="977">
        <f>_xlfn.IFNA(IF(VLOOKUP($B1366,'PY1 TFR ADA'!$F:$AU,MATCH("B-6.5",'PY1 TFR ADA'!$F$5:$AU$5,0),FALSE)=TRUE,IF(VLOOKUP($B1366,'PY1 TFR ADA'!$F:$AU,MATCH("C-1",'PY1 TFR ADA'!$F$5:$AU$5,0),FALSE)=TRUE,"Alternative Rate","LCFF Rate"),"LCFF Rate"),0)</f>
        <v>0</v>
      </c>
      <c r="R1375" s="167"/>
      <c r="S1375" s="520"/>
      <c r="T1375" s="167"/>
      <c r="U1375" s="528"/>
      <c r="V1375" s="522"/>
      <c r="X1375" s="283"/>
    </row>
    <row r="1376" spans="1:24" s="8" customFormat="1" ht="8.25" customHeight="1">
      <c r="A1376" s="521"/>
      <c r="B1376" s="167"/>
      <c r="C1376" s="165"/>
      <c r="D1376" s="523"/>
      <c r="E1376" s="165"/>
      <c r="F1376" s="523"/>
      <c r="G1376" s="520"/>
      <c r="H1376" s="523"/>
      <c r="I1376" s="520"/>
      <c r="J1376" s="523"/>
      <c r="K1376" s="520"/>
      <c r="L1376" s="523"/>
      <c r="M1376" s="520"/>
      <c r="N1376" s="523"/>
      <c r="O1376" s="520"/>
      <c r="P1376" s="523"/>
      <c r="Q1376" s="520"/>
      <c r="R1376" s="167"/>
      <c r="S1376" s="520"/>
      <c r="T1376" s="167"/>
      <c r="U1376" s="528"/>
      <c r="V1376" s="522"/>
      <c r="X1376" s="4"/>
    </row>
    <row r="1377" spans="1:24" s="8" customFormat="1" ht="16.8">
      <c r="A1377" s="521"/>
      <c r="B1377" s="2"/>
      <c r="F1377" s="523"/>
      <c r="G1377" s="535">
        <f t="shared" ref="G1377" si="2071">IF(G1375="LCFF Rate",(G1368*C1368+G1369*C1369+G1370*C1370+G1371*C1371),(G1373*E1371))</f>
        <v>0</v>
      </c>
      <c r="H1377" s="537"/>
      <c r="I1377" s="535">
        <f t="shared" ref="I1377" si="2072">IF(I1375="LCFF Rate",(I1368*C1368+I1369*C1369+I1370*C1370+I1371*C1371),(I1373*E1371))</f>
        <v>0</v>
      </c>
      <c r="J1377" s="537"/>
      <c r="K1377" s="535">
        <f t="shared" ref="K1377" si="2073">IF(K1375="LCFF Rate",(K1368*C1368+K1369*C1369+K1370*C1370+K1371*C1371),(K1373*E1371))</f>
        <v>0</v>
      </c>
      <c r="L1377" s="537"/>
      <c r="M1377" s="535">
        <f t="shared" ref="M1377" si="2074">IF(M1375="LCFF Rate",(M1368*C1368+M1369*C1369+M1370*C1370+M1371*C1371),(M1373*E1371))</f>
        <v>0</v>
      </c>
      <c r="N1377" s="537"/>
      <c r="O1377" s="535">
        <f t="shared" ref="O1377" si="2075">IF(O1375="LCFF Rate",(O1368*C1368+O1369*C1369+O1370*C1370+O1371*C1371),(O1373*E1371))</f>
        <v>0</v>
      </c>
      <c r="P1377" s="537"/>
      <c r="Q1377" s="535">
        <f t="shared" ref="Q1377" si="2076">IF(Q1375="LCFF Rate",(Q1368*C1368+Q1369*C1369+Q1370*C1370+Q1371*C1371),(Q1373*E1371))</f>
        <v>0</v>
      </c>
      <c r="R1377" s="167"/>
      <c r="S1377" s="538">
        <f t="shared" ref="S1377" si="2077">SUM(G1377:Q1377)</f>
        <v>0</v>
      </c>
      <c r="T1377" s="167"/>
      <c r="U1377" s="528"/>
      <c r="V1377" s="522"/>
      <c r="X1377" s="979"/>
    </row>
    <row r="1378" spans="1:24" s="8" customFormat="1" ht="9" customHeight="1" thickBot="1">
      <c r="A1378" s="529"/>
      <c r="B1378" s="530"/>
      <c r="C1378" s="531"/>
      <c r="D1378" s="532"/>
      <c r="E1378" s="533"/>
      <c r="F1378" s="532"/>
      <c r="G1378" s="530"/>
      <c r="H1378" s="532"/>
      <c r="I1378" s="530"/>
      <c r="J1378" s="532"/>
      <c r="K1378" s="530"/>
      <c r="L1378" s="532"/>
      <c r="M1378" s="530"/>
      <c r="N1378" s="532"/>
      <c r="O1378" s="530"/>
      <c r="P1378" s="532"/>
      <c r="Q1378" s="530"/>
      <c r="R1378" s="532"/>
      <c r="S1378" s="530"/>
      <c r="T1378" s="532"/>
      <c r="U1378" s="532"/>
      <c r="V1378" s="534"/>
      <c r="X1378" s="4"/>
    </row>
    <row r="1379" spans="1:24" ht="18.600000000000001" thickBot="1">
      <c r="A1379" s="890">
        <f>+A1366+1</f>
        <v>106</v>
      </c>
      <c r="B1379" s="891" t="str">
        <f>'Data Entry'!$B$3&amp;"-"&amp;C1379</f>
        <v>-</v>
      </c>
      <c r="C1379" s="891" t="str">
        <f>IFERROR(VLOOKUP('Data Entry'!$B$3&amp;"-"&amp;A1379,'PY1 TFR ADA'!$D:$AT,2,FALSE),"")</f>
        <v/>
      </c>
      <c r="D1379" s="892" t="str">
        <f>IFERROR(VLOOKUP('Data Entry'!$B$3&amp;"-"&amp;A1379,'PY1 TFR ADA'!$D:$AT,4,FALSE),"")</f>
        <v/>
      </c>
      <c r="E1379" s="893"/>
      <c r="F1379" s="893"/>
      <c r="G1379" s="893"/>
      <c r="H1379" s="893"/>
      <c r="I1379" s="893"/>
      <c r="J1379" s="893"/>
      <c r="K1379" s="893"/>
      <c r="L1379" s="893"/>
      <c r="M1379" s="893"/>
      <c r="N1379" s="893"/>
      <c r="O1379" s="893"/>
      <c r="P1379" s="893"/>
      <c r="Q1379" s="893"/>
      <c r="R1379" s="893"/>
      <c r="S1379" s="893"/>
      <c r="T1379" s="893"/>
      <c r="U1379" s="893"/>
      <c r="V1379" s="894"/>
    </row>
    <row r="1380" spans="1:24" ht="69">
      <c r="A1380" s="521"/>
      <c r="C1380" s="540" t="s">
        <v>1315</v>
      </c>
      <c r="D1380" s="512"/>
      <c r="E1380" s="540" t="s">
        <v>1316</v>
      </c>
      <c r="F1380" s="512"/>
      <c r="G1380" s="540" t="s">
        <v>1309</v>
      </c>
      <c r="H1380" s="512"/>
      <c r="I1380" s="540" t="s">
        <v>1310</v>
      </c>
      <c r="J1380" s="512"/>
      <c r="K1380" s="540" t="s">
        <v>1311</v>
      </c>
      <c r="L1380" s="512"/>
      <c r="M1380" s="540" t="s">
        <v>1312</v>
      </c>
      <c r="N1380" s="512"/>
      <c r="O1380" s="540" t="s">
        <v>1313</v>
      </c>
      <c r="P1380" s="512"/>
      <c r="Q1380" s="540" t="s">
        <v>1314</v>
      </c>
      <c r="R1380" s="167"/>
      <c r="S1380" s="540" t="s">
        <v>1308</v>
      </c>
      <c r="T1380" s="167"/>
      <c r="U1380" s="512" t="s">
        <v>1307</v>
      </c>
      <c r="V1380" s="524"/>
    </row>
    <row r="1381" spans="1:24" ht="14.4">
      <c r="A1381" s="521"/>
      <c r="B1381" s="510" t="s">
        <v>94</v>
      </c>
      <c r="C1381" s="525">
        <f>IFERROR(VLOOKUP($B1379,'PY1 TFR ADA'!$F:$AU,MATCH("A-1.1",'PY1 TFR ADA'!$F$5:$AU$5,0),FALSE),0)</f>
        <v>0</v>
      </c>
      <c r="D1381" s="167"/>
      <c r="E1381" s="525">
        <f>IFERROR(VALUE(VLOOKUP($B1379,'PY1 TFR ADA'!$F:$AU,MATCH("A-2.1",'PY1 TFR ADA'!$F$5:$AU$5,0),FALSE)),0)</f>
        <v>0</v>
      </c>
      <c r="F1381" s="167"/>
      <c r="G1381" s="609">
        <f>IFERROR(VLOOKUP($B1379,'PY1 TFR ADA'!$F:$AU,MATCH("b-1.1",'PY1 TFR ADA'!$F$5:$AU$5,0),FALSE),0)</f>
        <v>0</v>
      </c>
      <c r="H1381" s="527"/>
      <c r="I1381" s="609">
        <f>IFERROR(VLOOKUP($B1379,'PY1 TFR ADA'!$F:$AU,MATCH("b-2.1",'PY1 TFR ADA'!$F$5:$AU$5,0),FALSE),0)</f>
        <v>0</v>
      </c>
      <c r="J1381" s="527"/>
      <c r="K1381" s="609">
        <f>IFERROR(VLOOKUP($B1379,'PY1 TFR ADA'!$F:$AU,MATCH("b-3.1",'PY1 TFR ADA'!$F$5:$AU$5,0),FALSE),0)</f>
        <v>0</v>
      </c>
      <c r="L1381" s="527"/>
      <c r="M1381" s="609">
        <f>IFERROR(VLOOKUP($B1379,'PY1 TFR ADA'!$F:$AU,MATCH("b-4.1",'PY1 TFR ADA'!$F$5:$AU$5,0),FALSE),0)</f>
        <v>0</v>
      </c>
      <c r="N1381" s="527"/>
      <c r="O1381" s="609">
        <f>IFERROR(VLOOKUP($B1379,'PY1 TFR ADA'!$F:$AU,MATCH("b-5.1",'PY1 TFR ADA'!$F$5:$AU$5,0),FALSE),0)</f>
        <v>0</v>
      </c>
      <c r="P1381" s="527"/>
      <c r="Q1381" s="609">
        <f>IFERROR(VLOOKUP($B1379,'PY1 TFR ADA'!$F:$AU,MATCH("b-6.1",'PY1 TFR ADA'!$F$5:$AU$5,0),FALSE),0)</f>
        <v>0</v>
      </c>
      <c r="R1381" s="551"/>
      <c r="S1381" s="601">
        <f t="shared" ref="S1381:S1384" si="2078">SUM(G1381:Q1381)</f>
        <v>0</v>
      </c>
      <c r="T1381" s="551"/>
      <c r="U1381" s="536">
        <f t="shared" ref="U1381" si="2079">ROUND(IF($G1388="LCFF Rate",(G1381*$C1381),(G1381*$E1381))+IF($I1388="LCFF Rate",(I1381*$C1381),(I1381*$E1381))+IF($K1388="LCFF Rate",(K1381*$C1381),(K1381*$E1381))+IF($M1388="LCFF Rate",(M1381*$C1381),(M1381*$E1381))+IF($O1388="LCFF Rate",(O1381*$C1381),(O1381*$E1381))+IF($Q1388="LCFF Rate",(Q1381*$C1381),(Q1381*$E1381)),0)</f>
        <v>0</v>
      </c>
      <c r="V1381" s="524"/>
    </row>
    <row r="1382" spans="1:24" ht="14.4">
      <c r="A1382" s="521"/>
      <c r="B1382" s="510" t="s">
        <v>2</v>
      </c>
      <c r="C1382" s="525">
        <f>IFERROR(VLOOKUP($B1379,'PY1 TFR ADA'!$F:$AU,MATCH("A-1.2",'PY1 TFR ADA'!$F$5:$AU$5,0),FALSE),0)</f>
        <v>0</v>
      </c>
      <c r="D1382" s="167"/>
      <c r="E1382" s="525">
        <f>IFERROR(VALUE(VLOOKUP($B1379,'PY1 TFR ADA'!$F:$AU,MATCH("A-2.2",'PY1 TFR ADA'!$F$5:$AU$5,0),FALSE)),0)</f>
        <v>0</v>
      </c>
      <c r="F1382" s="167"/>
      <c r="G1382" s="609">
        <f>IFERROR(VLOOKUP($B1379,'PY1 TFR ADA'!$F:$AU,MATCH("b-1.2",'PY1 TFR ADA'!$F$5:$AU$5,0),FALSE),0)</f>
        <v>0</v>
      </c>
      <c r="H1382" s="527"/>
      <c r="I1382" s="609">
        <f>IFERROR(VLOOKUP($B1379,'PY1 TFR ADA'!$F:$AU,MATCH("b-2.2",'PY1 TFR ADA'!$F$5:$AU$5,0),FALSE),0)</f>
        <v>0</v>
      </c>
      <c r="J1382" s="527"/>
      <c r="K1382" s="609">
        <f>IFERROR(VLOOKUP($B1379,'PY1 TFR ADA'!$F:$AU,MATCH("b-3.2",'PY1 TFR ADA'!$F$5:$AU$5,0),FALSE),0)</f>
        <v>0</v>
      </c>
      <c r="L1382" s="527"/>
      <c r="M1382" s="609">
        <f>IFERROR(VLOOKUP($B1379,'PY1 TFR ADA'!$F:$AU,MATCH("b-4.2",'PY1 TFR ADA'!$F$5:$AU$5,0),FALSE),0)</f>
        <v>0</v>
      </c>
      <c r="N1382" s="527"/>
      <c r="O1382" s="609">
        <f>IFERROR(VLOOKUP($B1379,'PY1 TFR ADA'!$F:$AU,MATCH("b-5.2",'PY1 TFR ADA'!$F$5:$AU$5,0),FALSE),0)</f>
        <v>0</v>
      </c>
      <c r="P1382" s="527"/>
      <c r="Q1382" s="609">
        <f>IFERROR(VLOOKUP($B1379,'PY1 TFR ADA'!$F:$AU,MATCH("b-6.2",'PY1 TFR ADA'!$F$5:$AU$5,0),FALSE),0)</f>
        <v>0</v>
      </c>
      <c r="R1382" s="551"/>
      <c r="S1382" s="601">
        <f t="shared" si="2078"/>
        <v>0</v>
      </c>
      <c r="T1382" s="551"/>
      <c r="U1382" s="536">
        <f t="shared" ref="U1382" si="2080">ROUND(IF($G1388="LCFF Rate",(G1382*$C1382),(G1382*$E1382))+IF($I1388="LCFF Rate",(I1382*$C1382),(I1382*$E1382))+IF($K1388="LCFF Rate",(K1382*$C1382),(K1382*$E1382))+IF($M1388="LCFF Rate",(M1382*$C1382),(M1382*$E1382))+IF($O1388="LCFF Rate",(O1382*$C1382),(O1382*$E1382))+IF($Q1388="LCFF Rate",(Q1382*$C1382),(Q1382*$E1382)),0)</f>
        <v>0</v>
      </c>
      <c r="V1382" s="524"/>
    </row>
    <row r="1383" spans="1:24" ht="14.4">
      <c r="A1383" s="521"/>
      <c r="B1383" s="510" t="s">
        <v>3</v>
      </c>
      <c r="C1383" s="525">
        <f>IFERROR(VLOOKUP($B1379,'PY1 TFR ADA'!$F:$AU,MATCH("A-1.3",'PY1 TFR ADA'!$F$5:$AU$5,0),FALSE),0)</f>
        <v>0</v>
      </c>
      <c r="D1383" s="167"/>
      <c r="E1383" s="525">
        <f>IFERROR(VALUE(VLOOKUP($B1379,'PY1 TFR ADA'!$F:$AU,MATCH("A-2.3",'PY1 TFR ADA'!$F$5:$AU$5,0),FALSE)),0)</f>
        <v>0</v>
      </c>
      <c r="F1383" s="167"/>
      <c r="G1383" s="609">
        <f>IFERROR(VLOOKUP($B1379,'PY1 TFR ADA'!$F:$AU,MATCH("b-1.3",'PY1 TFR ADA'!$F$5:$AU$5,0),FALSE),0)</f>
        <v>0</v>
      </c>
      <c r="H1383" s="527"/>
      <c r="I1383" s="609">
        <f>IFERROR(VLOOKUP($B1379,'PY1 TFR ADA'!$F:$AU,MATCH("b-2.3",'PY1 TFR ADA'!$F$5:$AU$5,0),FALSE),0)</f>
        <v>0</v>
      </c>
      <c r="J1383" s="527"/>
      <c r="K1383" s="609">
        <f>IFERROR(VLOOKUP($B1379,'PY1 TFR ADA'!$F:$AU,MATCH("b-3.3",'PY1 TFR ADA'!$F$5:$AU$5,0),FALSE),0)</f>
        <v>0</v>
      </c>
      <c r="L1383" s="527"/>
      <c r="M1383" s="609">
        <f>IFERROR(VLOOKUP($B1379,'PY1 TFR ADA'!$F:$AU,MATCH("b-4.3",'PY1 TFR ADA'!$F$5:$AU$5,0),FALSE),0)</f>
        <v>0</v>
      </c>
      <c r="N1383" s="527"/>
      <c r="O1383" s="609">
        <f>IFERROR(VLOOKUP($B1379,'PY1 TFR ADA'!$F:$AU,MATCH("b-5.3",'PY1 TFR ADA'!$F$5:$AU$5,0),FALSE),0)</f>
        <v>0</v>
      </c>
      <c r="P1383" s="527"/>
      <c r="Q1383" s="609">
        <f>IFERROR(VLOOKUP($B1379,'PY1 TFR ADA'!$F:$AU,MATCH("b-6.3",'PY1 TFR ADA'!$F$5:$AU$5,0),FALSE),0)</f>
        <v>0</v>
      </c>
      <c r="R1383" s="551"/>
      <c r="S1383" s="601">
        <f t="shared" si="2078"/>
        <v>0</v>
      </c>
      <c r="T1383" s="551"/>
      <c r="U1383" s="536">
        <f t="shared" ref="U1383" si="2081">ROUND(IF($G1388="LCFF Rate",(G1383*$C1383),(G1383*$E1383))+IF($I1388="LCFF Rate",(I1383*$C1383),(I1383*$E1383))+IF($K1388="LCFF Rate",(K1383*$C1383),(K1383*$E1383))+IF($M1388="LCFF Rate",(M1383*$C1383),(M1383*$E1383))+IF($O1388="LCFF Rate",(O1383*$C1383),(O1383*$E1383))+IF($Q1388="LCFF Rate",(Q1383*$C1383),(Q1383*$E1383)),0)</f>
        <v>0</v>
      </c>
      <c r="V1383" s="524"/>
    </row>
    <row r="1384" spans="1:24" ht="14.4">
      <c r="A1384" s="526"/>
      <c r="B1384" s="510" t="s">
        <v>4</v>
      </c>
      <c r="C1384" s="525">
        <f>IFERROR(VLOOKUP($B1379,'PY1 TFR ADA'!$F:$AU,MATCH("A-1.4",'PY1 TFR ADA'!$F$5:$AU$5,0),FALSE),0)</f>
        <v>0</v>
      </c>
      <c r="D1384" s="523"/>
      <c r="E1384" s="525">
        <f>IFERROR(VALUE(VLOOKUP($B1379,'PY1 TFR ADA'!$F:$AU,MATCH("A-2.4",'PY1 TFR ADA'!$F$5:$AU$5,0),FALSE)),0)</f>
        <v>0</v>
      </c>
      <c r="F1384" s="523"/>
      <c r="G1384" s="609">
        <f>IFERROR(VLOOKUP($B1379,'PY1 TFR ADA'!$F:$AU,MATCH("b-1.4",'PY1 TFR ADA'!$F$5:$AU$5,0),FALSE),0)</f>
        <v>0</v>
      </c>
      <c r="H1384" s="527"/>
      <c r="I1384" s="609">
        <f>IFERROR(VLOOKUP($B1379,'PY1 TFR ADA'!$F:$AU,MATCH("b-2.4",'PY1 TFR ADA'!$F$5:$AU$5,0),FALSE),0)</f>
        <v>0</v>
      </c>
      <c r="J1384" s="527"/>
      <c r="K1384" s="609">
        <f>IFERROR(VLOOKUP($B1379,'PY1 TFR ADA'!$F:$AU,MATCH("b-3.4",'PY1 TFR ADA'!$F$5:$AU$5,0),FALSE),0)</f>
        <v>0</v>
      </c>
      <c r="L1384" s="527"/>
      <c r="M1384" s="609">
        <f>IFERROR(VLOOKUP($B1379,'PY1 TFR ADA'!$F:$AU,MATCH("b-4.4",'PY1 TFR ADA'!$F$5:$AU$5,0),FALSE),0)</f>
        <v>0</v>
      </c>
      <c r="N1384" s="527"/>
      <c r="O1384" s="609">
        <f>IFERROR(VLOOKUP($B1379,'PY1 TFR ADA'!$F:$AU,MATCH("b-5.4",'PY1 TFR ADA'!$F$5:$AU$5,0),FALSE),0)</f>
        <v>0</v>
      </c>
      <c r="P1384" s="527"/>
      <c r="Q1384" s="609">
        <f>IFERROR(VLOOKUP($B1379,'PY1 TFR ADA'!$F:$AU,MATCH("b-6.4",'PY1 TFR ADA'!$F$5:$AU$5,0),FALSE),0)</f>
        <v>0</v>
      </c>
      <c r="R1384" s="551"/>
      <c r="S1384" s="601">
        <f t="shared" si="2078"/>
        <v>0</v>
      </c>
      <c r="T1384" s="551"/>
      <c r="U1384" s="536">
        <f t="shared" ref="U1384" si="2082">ROUND(IF($G1388="LCFF Rate",(G1384*$C1384),(G1384*$E1384))+IF($I1388="LCFF Rate",(I1384*$C1384),(I1384*$E1384))+IF($K1388="LCFF Rate",(K1384*$C1384),(K1384*$E1384))+IF($M1388="LCFF Rate",(M1384*$C1384),(M1384*$E1384))+IF($O1388="LCFF Rate",(O1384*$C1384),(O1384*$E1384))+IF($Q1388="LCFF Rate",(Q1384*$C1384),(Q1384*$E1384)),0)</f>
        <v>0</v>
      </c>
      <c r="V1384" s="522"/>
    </row>
    <row r="1385" spans="1:24" ht="14.4">
      <c r="A1385" s="521"/>
      <c r="B1385" s="167"/>
      <c r="C1385" s="165"/>
      <c r="D1385" s="523"/>
      <c r="E1385" s="165"/>
      <c r="F1385" s="523"/>
      <c r="G1385" s="520"/>
      <c r="H1385" s="523"/>
      <c r="I1385" s="520"/>
      <c r="J1385" s="523"/>
      <c r="K1385" s="520"/>
      <c r="L1385" s="523"/>
      <c r="M1385" s="520"/>
      <c r="N1385" s="523"/>
      <c r="O1385" s="520"/>
      <c r="P1385" s="523"/>
      <c r="Q1385" s="520"/>
      <c r="R1385" s="167"/>
      <c r="S1385" s="520"/>
      <c r="T1385" s="167"/>
      <c r="U1385" s="602"/>
      <c r="V1385" s="522"/>
    </row>
    <row r="1386" spans="1:24" ht="14.4">
      <c r="A1386" s="521"/>
      <c r="B1386" s="167"/>
      <c r="C1386" s="165"/>
      <c r="D1386" s="523"/>
      <c r="E1386" s="513" t="s">
        <v>1317</v>
      </c>
      <c r="F1386" s="523"/>
      <c r="G1386" s="601">
        <f t="shared" ref="G1386" si="2083">SUM(G1381:G1384)</f>
        <v>0</v>
      </c>
      <c r="H1386" s="527"/>
      <c r="I1386" s="601">
        <f t="shared" ref="I1386" si="2084">SUM(I1381:I1384)</f>
        <v>0</v>
      </c>
      <c r="J1386" s="527"/>
      <c r="K1386" s="601">
        <f t="shared" ref="K1386" si="2085">SUM(K1381:K1384)</f>
        <v>0</v>
      </c>
      <c r="L1386" s="527"/>
      <c r="M1386" s="601">
        <f t="shared" ref="M1386" si="2086">SUM(M1381:M1384)</f>
        <v>0</v>
      </c>
      <c r="N1386" s="527"/>
      <c r="O1386" s="601">
        <f t="shared" ref="O1386" si="2087">SUM(O1381:O1384)</f>
        <v>0</v>
      </c>
      <c r="P1386" s="527"/>
      <c r="Q1386" s="601">
        <f t="shared" ref="Q1386" si="2088">SUM(Q1381:Q1384)</f>
        <v>0</v>
      </c>
      <c r="R1386" s="527"/>
      <c r="S1386" s="601">
        <f t="shared" ref="S1386" si="2089">SUM(S1381:S1384)</f>
        <v>0</v>
      </c>
      <c r="T1386" s="527"/>
      <c r="U1386" s="536">
        <f t="shared" ref="U1386" si="2090">SUM(U1381:U1384)</f>
        <v>0</v>
      </c>
      <c r="V1386" s="522"/>
    </row>
    <row r="1387" spans="1:24" ht="14.4">
      <c r="A1387" s="521"/>
      <c r="B1387" s="167"/>
      <c r="C1387" s="165"/>
      <c r="D1387" s="523"/>
      <c r="E1387" s="165"/>
      <c r="F1387" s="523"/>
      <c r="G1387" s="520"/>
      <c r="H1387" s="523"/>
      <c r="I1387" s="520"/>
      <c r="J1387" s="523"/>
      <c r="K1387" s="520"/>
      <c r="L1387" s="523"/>
      <c r="M1387" s="520"/>
      <c r="N1387" s="523"/>
      <c r="O1387" s="520"/>
      <c r="P1387" s="523"/>
      <c r="Q1387" s="520"/>
      <c r="R1387" s="167"/>
      <c r="S1387" s="520"/>
      <c r="T1387" s="167"/>
      <c r="U1387" s="528"/>
      <c r="V1387" s="522"/>
    </row>
    <row r="1388" spans="1:24" ht="14.4">
      <c r="A1388" s="521"/>
      <c r="B1388" s="167"/>
      <c r="C1388" s="165"/>
      <c r="D1388" s="8"/>
      <c r="E1388" s="513" t="s">
        <v>1304</v>
      </c>
      <c r="F1388" s="523"/>
      <c r="G1388" s="977">
        <f>_xlfn.IFNA(IF(VLOOKUP($B1379,'PY1 TFR ADA'!$F:$AU,MATCH("B-1.5",'PY1 TFR ADA'!$F$5:$AU$5,0),FALSE)=TRUE,IF(VLOOKUP($B1379,'PY1 TFR ADA'!$F:$AU,MATCH("C-1",'PY1 TFR ADA'!$F$5:$AU$5,0),FALSE)=TRUE,"Alternative Rate","LCFF Rate"),"LCFF Rate"),0)</f>
        <v>0</v>
      </c>
      <c r="H1388" s="523"/>
      <c r="I1388" s="977">
        <f>_xlfn.IFNA(IF(VLOOKUP($B1379,'PY1 TFR ADA'!$F:$AU,MATCH("B-2.5",'PY1 TFR ADA'!$F$5:$AU$5,0),FALSE)=TRUE,IF(VLOOKUP($B1379,'PY1 TFR ADA'!$F:$AU,MATCH("C-1",'PY1 TFR ADA'!$F$5:$AU$5,0),FALSE)=TRUE,"Alternative Rate","LCFF Rate"),"LCFF Rate"),0)</f>
        <v>0</v>
      </c>
      <c r="J1388" s="523"/>
      <c r="K1388" s="977">
        <f>_xlfn.IFNA(IF(VLOOKUP($B1379,'PY1 TFR ADA'!$F:$AU,MATCH("B-3.5",'PY1 TFR ADA'!$F$5:$AU$5,0),FALSE)=TRUE,IF(VLOOKUP($B1379,'PY1 TFR ADA'!$F:$AU,MATCH("C-1",'PY1 TFR ADA'!$F$5:$AU$5,0),FALSE)=TRUE,"Alternative Rate","LCFF Rate"),"LCFF Rate"),0)</f>
        <v>0</v>
      </c>
      <c r="L1388" s="523"/>
      <c r="M1388" s="977">
        <f>_xlfn.IFNA(IF(VLOOKUP($B1379,'PY1 TFR ADA'!$F:$AU,MATCH("B-4.5",'PY1 TFR ADA'!$F$5:$AU$5,0),FALSE)=TRUE,IF(VLOOKUP($B1379,'PY1 TFR ADA'!$F:$AU,MATCH("C-1",'PY1 TFR ADA'!$F$5:$AU$5,0),FALSE)=TRUE,"Alternative Rate","LCFF Rate"),"LCFF Rate"),0)</f>
        <v>0</v>
      </c>
      <c r="N1388" s="523"/>
      <c r="O1388" s="977">
        <f>_xlfn.IFNA(IF(VLOOKUP($B1379,'PY1 TFR ADA'!$F:$AU,MATCH("B-5.5",'PY1 TFR ADA'!$F$5:$AU$5,0),FALSE)=TRUE,IF(VLOOKUP($B1379,'PY1 TFR ADA'!$F:$AU,MATCH("C-1",'PY1 TFR ADA'!$F$5:$AU$5,0),FALSE)=TRUE,"Alternative Rate","LCFF Rate"),"LCFF Rate"),0)</f>
        <v>0</v>
      </c>
      <c r="P1388" s="523"/>
      <c r="Q1388" s="977">
        <f>_xlfn.IFNA(IF(VLOOKUP($B1379,'PY1 TFR ADA'!$F:$AU,MATCH("B-6.5",'PY1 TFR ADA'!$F$5:$AU$5,0),FALSE)=TRUE,IF(VLOOKUP($B1379,'PY1 TFR ADA'!$F:$AU,MATCH("C-1",'PY1 TFR ADA'!$F$5:$AU$5,0),FALSE)=TRUE,"Alternative Rate","LCFF Rate"),"LCFF Rate"),0)</f>
        <v>0</v>
      </c>
      <c r="R1388" s="167"/>
      <c r="S1388" s="520"/>
      <c r="T1388" s="167"/>
      <c r="U1388" s="528"/>
      <c r="V1388" s="522"/>
    </row>
    <row r="1389" spans="1:24" ht="14.4">
      <c r="A1389" s="521"/>
      <c r="B1389" s="167"/>
      <c r="C1389" s="165"/>
      <c r="D1389" s="523"/>
      <c r="E1389" s="165"/>
      <c r="F1389" s="523"/>
      <c r="G1389" s="520"/>
      <c r="H1389" s="523"/>
      <c r="I1389" s="520"/>
      <c r="J1389" s="523"/>
      <c r="K1389" s="520"/>
      <c r="L1389" s="523"/>
      <c r="M1389" s="520"/>
      <c r="N1389" s="523"/>
      <c r="O1389" s="520"/>
      <c r="P1389" s="523"/>
      <c r="Q1389" s="520"/>
      <c r="R1389" s="167"/>
      <c r="S1389" s="520"/>
      <c r="T1389" s="167"/>
      <c r="U1389" s="528"/>
      <c r="V1389" s="522"/>
    </row>
    <row r="1390" spans="1:24" ht="14.4">
      <c r="A1390" s="521"/>
      <c r="B1390" s="2"/>
      <c r="C1390" s="8"/>
      <c r="D1390" s="8"/>
      <c r="E1390" s="8"/>
      <c r="F1390" s="523"/>
      <c r="G1390" s="535">
        <f t="shared" ref="G1390" si="2091">IF(G1388="LCFF Rate",(G1381*C1381+G1382*C1382+G1383*C1383+G1384*C1384),(G1386*E1384))</f>
        <v>0</v>
      </c>
      <c r="H1390" s="537"/>
      <c r="I1390" s="535">
        <f t="shared" ref="I1390" si="2092">IF(I1388="LCFF Rate",(I1381*C1381+I1382*C1382+I1383*C1383+I1384*C1384),(I1386*E1384))</f>
        <v>0</v>
      </c>
      <c r="J1390" s="537"/>
      <c r="K1390" s="535">
        <f t="shared" ref="K1390" si="2093">IF(K1388="LCFF Rate",(K1381*C1381+K1382*C1382+K1383*C1383+K1384*C1384),(K1386*E1384))</f>
        <v>0</v>
      </c>
      <c r="L1390" s="537"/>
      <c r="M1390" s="535">
        <f t="shared" ref="M1390" si="2094">IF(M1388="LCFF Rate",(M1381*C1381+M1382*C1382+M1383*C1383+M1384*C1384),(M1386*E1384))</f>
        <v>0</v>
      </c>
      <c r="N1390" s="537"/>
      <c r="O1390" s="535">
        <f t="shared" ref="O1390" si="2095">IF(O1388="LCFF Rate",(O1381*C1381+O1382*C1382+O1383*C1383+O1384*C1384),(O1386*E1384))</f>
        <v>0</v>
      </c>
      <c r="P1390" s="537"/>
      <c r="Q1390" s="535">
        <f t="shared" ref="Q1390" si="2096">IF(Q1388="LCFF Rate",(Q1381*C1381+Q1382*C1382+Q1383*C1383+Q1384*C1384),(Q1386*E1384))</f>
        <v>0</v>
      </c>
      <c r="R1390" s="167"/>
      <c r="S1390" s="538">
        <f t="shared" ref="S1390" si="2097">SUM(G1390:Q1390)</f>
        <v>0</v>
      </c>
      <c r="T1390" s="167"/>
      <c r="U1390" s="528"/>
      <c r="V1390" s="522"/>
    </row>
    <row r="1391" spans="1:24" ht="15" thickBot="1">
      <c r="A1391" s="529"/>
      <c r="B1391" s="530"/>
      <c r="C1391" s="531"/>
      <c r="D1391" s="532"/>
      <c r="E1391" s="533"/>
      <c r="F1391" s="532"/>
      <c r="G1391" s="530"/>
      <c r="H1391" s="532"/>
      <c r="I1391" s="530"/>
      <c r="J1391" s="532"/>
      <c r="K1391" s="530"/>
      <c r="L1391" s="532"/>
      <c r="M1391" s="530"/>
      <c r="N1391" s="532"/>
      <c r="O1391" s="530"/>
      <c r="P1391" s="532"/>
      <c r="Q1391" s="530"/>
      <c r="R1391" s="532"/>
      <c r="S1391" s="530"/>
      <c r="T1391" s="532"/>
      <c r="U1391" s="532"/>
      <c r="V1391" s="534"/>
    </row>
    <row r="1392" spans="1:24" ht="18.600000000000001" thickBot="1">
      <c r="A1392" s="890">
        <f>+A1379+1</f>
        <v>107</v>
      </c>
      <c r="B1392" s="891" t="str">
        <f>'Data Entry'!$B$3&amp;"-"&amp;C1392</f>
        <v>-</v>
      </c>
      <c r="C1392" s="891" t="str">
        <f>IFERROR(VLOOKUP('Data Entry'!$B$3&amp;"-"&amp;A1392,'PY1 TFR ADA'!$D:$AT,2,FALSE),"")</f>
        <v/>
      </c>
      <c r="D1392" s="892" t="str">
        <f>IFERROR(VLOOKUP('Data Entry'!$B$3&amp;"-"&amp;A1392,'PY1 TFR ADA'!$D:$AT,4,FALSE),"")</f>
        <v/>
      </c>
      <c r="E1392" s="893"/>
      <c r="F1392" s="893"/>
      <c r="G1392" s="893"/>
      <c r="H1392" s="893"/>
      <c r="I1392" s="893"/>
      <c r="J1392" s="893"/>
      <c r="K1392" s="893"/>
      <c r="L1392" s="893"/>
      <c r="M1392" s="893"/>
      <c r="N1392" s="893"/>
      <c r="O1392" s="893"/>
      <c r="P1392" s="893"/>
      <c r="Q1392" s="893"/>
      <c r="R1392" s="893"/>
      <c r="S1392" s="893"/>
      <c r="T1392" s="893"/>
      <c r="U1392" s="893"/>
      <c r="V1392" s="894"/>
    </row>
    <row r="1393" spans="1:22" ht="69">
      <c r="A1393" s="521"/>
      <c r="C1393" s="540" t="s">
        <v>1315</v>
      </c>
      <c r="D1393" s="512"/>
      <c r="E1393" s="540" t="s">
        <v>1316</v>
      </c>
      <c r="F1393" s="512"/>
      <c r="G1393" s="540" t="s">
        <v>1309</v>
      </c>
      <c r="H1393" s="512"/>
      <c r="I1393" s="540" t="s">
        <v>1310</v>
      </c>
      <c r="J1393" s="512"/>
      <c r="K1393" s="540" t="s">
        <v>1311</v>
      </c>
      <c r="L1393" s="512"/>
      <c r="M1393" s="540" t="s">
        <v>1312</v>
      </c>
      <c r="N1393" s="512"/>
      <c r="O1393" s="540" t="s">
        <v>1313</v>
      </c>
      <c r="P1393" s="512"/>
      <c r="Q1393" s="540" t="s">
        <v>1314</v>
      </c>
      <c r="R1393" s="167"/>
      <c r="S1393" s="540" t="s">
        <v>1308</v>
      </c>
      <c r="T1393" s="167"/>
      <c r="U1393" s="512" t="s">
        <v>1307</v>
      </c>
      <c r="V1393" s="524"/>
    </row>
    <row r="1394" spans="1:22" ht="14.4">
      <c r="A1394" s="521"/>
      <c r="B1394" s="510" t="s">
        <v>94</v>
      </c>
      <c r="C1394" s="525">
        <f>IFERROR(VLOOKUP($B1392,'PY1 TFR ADA'!$F:$AU,MATCH("A-1.1",'PY1 TFR ADA'!$F$5:$AU$5,0),FALSE),0)</f>
        <v>0</v>
      </c>
      <c r="D1394" s="167"/>
      <c r="E1394" s="525">
        <f>IFERROR(VALUE(VLOOKUP($B1392,'PY1 TFR ADA'!$F:$AU,MATCH("A-2.1",'PY1 TFR ADA'!$F$5:$AU$5,0),FALSE)),0)</f>
        <v>0</v>
      </c>
      <c r="F1394" s="167"/>
      <c r="G1394" s="609">
        <f>IFERROR(VLOOKUP($B1392,'PY1 TFR ADA'!$F:$AU,MATCH("b-1.1",'PY1 TFR ADA'!$F$5:$AU$5,0),FALSE),0)</f>
        <v>0</v>
      </c>
      <c r="H1394" s="527"/>
      <c r="I1394" s="609">
        <f>IFERROR(VLOOKUP($B1392,'PY1 TFR ADA'!$F:$AU,MATCH("b-2.1",'PY1 TFR ADA'!$F$5:$AU$5,0),FALSE),0)</f>
        <v>0</v>
      </c>
      <c r="J1394" s="527"/>
      <c r="K1394" s="609">
        <f>IFERROR(VLOOKUP($B1392,'PY1 TFR ADA'!$F:$AU,MATCH("b-3.1",'PY1 TFR ADA'!$F$5:$AU$5,0),FALSE),0)</f>
        <v>0</v>
      </c>
      <c r="L1394" s="527"/>
      <c r="M1394" s="609">
        <f>IFERROR(VLOOKUP($B1392,'PY1 TFR ADA'!$F:$AU,MATCH("b-4.1",'PY1 TFR ADA'!$F$5:$AU$5,0),FALSE),0)</f>
        <v>0</v>
      </c>
      <c r="N1394" s="527"/>
      <c r="O1394" s="609">
        <f>IFERROR(VLOOKUP($B1392,'PY1 TFR ADA'!$F:$AU,MATCH("b-5.1",'PY1 TFR ADA'!$F$5:$AU$5,0),FALSE),0)</f>
        <v>0</v>
      </c>
      <c r="P1394" s="527"/>
      <c r="Q1394" s="609">
        <f>IFERROR(VLOOKUP($B1392,'PY1 TFR ADA'!$F:$AU,MATCH("b-6.1",'PY1 TFR ADA'!$F$5:$AU$5,0),FALSE),0)</f>
        <v>0</v>
      </c>
      <c r="R1394" s="551"/>
      <c r="S1394" s="601">
        <f t="shared" ref="S1394:S1397" si="2098">SUM(G1394:Q1394)</f>
        <v>0</v>
      </c>
      <c r="T1394" s="551"/>
      <c r="U1394" s="536">
        <f t="shared" ref="U1394" si="2099">ROUND(IF($G1401="LCFF Rate",(G1394*$C1394),(G1394*$E1394))+IF($I1401="LCFF Rate",(I1394*$C1394),(I1394*$E1394))+IF($K1401="LCFF Rate",(K1394*$C1394),(K1394*$E1394))+IF($M1401="LCFF Rate",(M1394*$C1394),(M1394*$E1394))+IF($O1401="LCFF Rate",(O1394*$C1394),(O1394*$E1394))+IF($Q1401="LCFF Rate",(Q1394*$C1394),(Q1394*$E1394)),0)</f>
        <v>0</v>
      </c>
      <c r="V1394" s="524"/>
    </row>
    <row r="1395" spans="1:22" ht="14.4">
      <c r="A1395" s="521"/>
      <c r="B1395" s="510" t="s">
        <v>2</v>
      </c>
      <c r="C1395" s="525">
        <f>IFERROR(VLOOKUP($B1392,'PY1 TFR ADA'!$F:$AU,MATCH("A-1.2",'PY1 TFR ADA'!$F$5:$AU$5,0),FALSE),0)</f>
        <v>0</v>
      </c>
      <c r="D1395" s="167"/>
      <c r="E1395" s="525">
        <f>IFERROR(VALUE(VLOOKUP($B1392,'PY1 TFR ADA'!$F:$AU,MATCH("A-2.2",'PY1 TFR ADA'!$F$5:$AU$5,0),FALSE)),0)</f>
        <v>0</v>
      </c>
      <c r="F1395" s="167"/>
      <c r="G1395" s="609">
        <f>IFERROR(VLOOKUP($B1392,'PY1 TFR ADA'!$F:$AU,MATCH("b-1.2",'PY1 TFR ADA'!$F$5:$AU$5,0),FALSE),0)</f>
        <v>0</v>
      </c>
      <c r="H1395" s="527"/>
      <c r="I1395" s="609">
        <f>IFERROR(VLOOKUP($B1392,'PY1 TFR ADA'!$F:$AU,MATCH("b-2.2",'PY1 TFR ADA'!$F$5:$AU$5,0),FALSE),0)</f>
        <v>0</v>
      </c>
      <c r="J1395" s="527"/>
      <c r="K1395" s="609">
        <f>IFERROR(VLOOKUP($B1392,'PY1 TFR ADA'!$F:$AU,MATCH("b-3.2",'PY1 TFR ADA'!$F$5:$AU$5,0),FALSE),0)</f>
        <v>0</v>
      </c>
      <c r="L1395" s="527"/>
      <c r="M1395" s="609">
        <f>IFERROR(VLOOKUP($B1392,'PY1 TFR ADA'!$F:$AU,MATCH("b-4.2",'PY1 TFR ADA'!$F$5:$AU$5,0),FALSE),0)</f>
        <v>0</v>
      </c>
      <c r="N1395" s="527"/>
      <c r="O1395" s="609">
        <f>IFERROR(VLOOKUP($B1392,'PY1 TFR ADA'!$F:$AU,MATCH("b-5.2",'PY1 TFR ADA'!$F$5:$AU$5,0),FALSE),0)</f>
        <v>0</v>
      </c>
      <c r="P1395" s="527"/>
      <c r="Q1395" s="609">
        <f>IFERROR(VLOOKUP($B1392,'PY1 TFR ADA'!$F:$AU,MATCH("b-6.2",'PY1 TFR ADA'!$F$5:$AU$5,0),FALSE),0)</f>
        <v>0</v>
      </c>
      <c r="R1395" s="551"/>
      <c r="S1395" s="601">
        <f t="shared" si="2098"/>
        <v>0</v>
      </c>
      <c r="T1395" s="551"/>
      <c r="U1395" s="536">
        <f t="shared" ref="U1395" si="2100">ROUND(IF($G1401="LCFF Rate",(G1395*$C1395),(G1395*$E1395))+IF($I1401="LCFF Rate",(I1395*$C1395),(I1395*$E1395))+IF($K1401="LCFF Rate",(K1395*$C1395),(K1395*$E1395))+IF($M1401="LCFF Rate",(M1395*$C1395),(M1395*$E1395))+IF($O1401="LCFF Rate",(O1395*$C1395),(O1395*$E1395))+IF($Q1401="LCFF Rate",(Q1395*$C1395),(Q1395*$E1395)),0)</f>
        <v>0</v>
      </c>
      <c r="V1395" s="524"/>
    </row>
    <row r="1396" spans="1:22" ht="14.4">
      <c r="A1396" s="521"/>
      <c r="B1396" s="510" t="s">
        <v>3</v>
      </c>
      <c r="C1396" s="525">
        <f>IFERROR(VLOOKUP($B1392,'PY1 TFR ADA'!$F:$AU,MATCH("A-1.3",'PY1 TFR ADA'!$F$5:$AU$5,0),FALSE),0)</f>
        <v>0</v>
      </c>
      <c r="D1396" s="167"/>
      <c r="E1396" s="525">
        <f>IFERROR(VALUE(VLOOKUP($B1392,'PY1 TFR ADA'!$F:$AU,MATCH("A-2.3",'PY1 TFR ADA'!$F$5:$AU$5,0),FALSE)),0)</f>
        <v>0</v>
      </c>
      <c r="F1396" s="167"/>
      <c r="G1396" s="609">
        <f>IFERROR(VLOOKUP($B1392,'PY1 TFR ADA'!$F:$AU,MATCH("b-1.3",'PY1 TFR ADA'!$F$5:$AU$5,0),FALSE),0)</f>
        <v>0</v>
      </c>
      <c r="H1396" s="527"/>
      <c r="I1396" s="609">
        <f>IFERROR(VLOOKUP($B1392,'PY1 TFR ADA'!$F:$AU,MATCH("b-2.3",'PY1 TFR ADA'!$F$5:$AU$5,0),FALSE),0)</f>
        <v>0</v>
      </c>
      <c r="J1396" s="527"/>
      <c r="K1396" s="609">
        <f>IFERROR(VLOOKUP($B1392,'PY1 TFR ADA'!$F:$AU,MATCH("b-3.3",'PY1 TFR ADA'!$F$5:$AU$5,0),FALSE),0)</f>
        <v>0</v>
      </c>
      <c r="L1396" s="527"/>
      <c r="M1396" s="609">
        <f>IFERROR(VLOOKUP($B1392,'PY1 TFR ADA'!$F:$AU,MATCH("b-4.3",'PY1 TFR ADA'!$F$5:$AU$5,0),FALSE),0)</f>
        <v>0</v>
      </c>
      <c r="N1396" s="527"/>
      <c r="O1396" s="609">
        <f>IFERROR(VLOOKUP($B1392,'PY1 TFR ADA'!$F:$AU,MATCH("b-5.3",'PY1 TFR ADA'!$F$5:$AU$5,0),FALSE),0)</f>
        <v>0</v>
      </c>
      <c r="P1396" s="527"/>
      <c r="Q1396" s="609">
        <f>IFERROR(VLOOKUP($B1392,'PY1 TFR ADA'!$F:$AU,MATCH("b-6.3",'PY1 TFR ADA'!$F$5:$AU$5,0),FALSE),0)</f>
        <v>0</v>
      </c>
      <c r="R1396" s="551"/>
      <c r="S1396" s="601">
        <f t="shared" si="2098"/>
        <v>0</v>
      </c>
      <c r="T1396" s="551"/>
      <c r="U1396" s="536">
        <f t="shared" ref="U1396" si="2101">ROUND(IF($G1401="LCFF Rate",(G1396*$C1396),(G1396*$E1396))+IF($I1401="LCFF Rate",(I1396*$C1396),(I1396*$E1396))+IF($K1401="LCFF Rate",(K1396*$C1396),(K1396*$E1396))+IF($M1401="LCFF Rate",(M1396*$C1396),(M1396*$E1396))+IF($O1401="LCFF Rate",(O1396*$C1396),(O1396*$E1396))+IF($Q1401="LCFF Rate",(Q1396*$C1396),(Q1396*$E1396)),0)</f>
        <v>0</v>
      </c>
      <c r="V1396" s="524"/>
    </row>
    <row r="1397" spans="1:22" ht="14.4">
      <c r="A1397" s="526"/>
      <c r="B1397" s="510" t="s">
        <v>4</v>
      </c>
      <c r="C1397" s="525">
        <f>IFERROR(VLOOKUP($B1392,'PY1 TFR ADA'!$F:$AU,MATCH("A-1.4",'PY1 TFR ADA'!$F$5:$AU$5,0),FALSE),0)</f>
        <v>0</v>
      </c>
      <c r="D1397" s="523"/>
      <c r="E1397" s="525">
        <f>IFERROR(VALUE(VLOOKUP($B1392,'PY1 TFR ADA'!$F:$AU,MATCH("A-2.4",'PY1 TFR ADA'!$F$5:$AU$5,0),FALSE)),0)</f>
        <v>0</v>
      </c>
      <c r="F1397" s="523"/>
      <c r="G1397" s="609">
        <f>IFERROR(VLOOKUP($B1392,'PY1 TFR ADA'!$F:$AU,MATCH("b-1.4",'PY1 TFR ADA'!$F$5:$AU$5,0),FALSE),0)</f>
        <v>0</v>
      </c>
      <c r="H1397" s="527"/>
      <c r="I1397" s="609">
        <f>IFERROR(VLOOKUP($B1392,'PY1 TFR ADA'!$F:$AU,MATCH("b-2.4",'PY1 TFR ADA'!$F$5:$AU$5,0),FALSE),0)</f>
        <v>0</v>
      </c>
      <c r="J1397" s="527"/>
      <c r="K1397" s="609">
        <f>IFERROR(VLOOKUP($B1392,'PY1 TFR ADA'!$F:$AU,MATCH("b-3.4",'PY1 TFR ADA'!$F$5:$AU$5,0),FALSE),0)</f>
        <v>0</v>
      </c>
      <c r="L1397" s="527"/>
      <c r="M1397" s="609">
        <f>IFERROR(VLOOKUP($B1392,'PY1 TFR ADA'!$F:$AU,MATCH("b-4.4",'PY1 TFR ADA'!$F$5:$AU$5,0),FALSE),0)</f>
        <v>0</v>
      </c>
      <c r="N1397" s="527"/>
      <c r="O1397" s="609">
        <f>IFERROR(VLOOKUP($B1392,'PY1 TFR ADA'!$F:$AU,MATCH("b-5.4",'PY1 TFR ADA'!$F$5:$AU$5,0),FALSE),0)</f>
        <v>0</v>
      </c>
      <c r="P1397" s="527"/>
      <c r="Q1397" s="609">
        <f>IFERROR(VLOOKUP($B1392,'PY1 TFR ADA'!$F:$AU,MATCH("b-6.4",'PY1 TFR ADA'!$F$5:$AU$5,0),FALSE),0)</f>
        <v>0</v>
      </c>
      <c r="R1397" s="551"/>
      <c r="S1397" s="601">
        <f t="shared" si="2098"/>
        <v>0</v>
      </c>
      <c r="T1397" s="551"/>
      <c r="U1397" s="536">
        <f t="shared" ref="U1397" si="2102">ROUND(IF($G1401="LCFF Rate",(G1397*$C1397),(G1397*$E1397))+IF($I1401="LCFF Rate",(I1397*$C1397),(I1397*$E1397))+IF($K1401="LCFF Rate",(K1397*$C1397),(K1397*$E1397))+IF($M1401="LCFF Rate",(M1397*$C1397),(M1397*$E1397))+IF($O1401="LCFF Rate",(O1397*$C1397),(O1397*$E1397))+IF($Q1401="LCFF Rate",(Q1397*$C1397),(Q1397*$E1397)),0)</f>
        <v>0</v>
      </c>
      <c r="V1397" s="522"/>
    </row>
    <row r="1398" spans="1:22" ht="14.4">
      <c r="A1398" s="521"/>
      <c r="B1398" s="167"/>
      <c r="C1398" s="165"/>
      <c r="D1398" s="523"/>
      <c r="E1398" s="165"/>
      <c r="F1398" s="523"/>
      <c r="G1398" s="520"/>
      <c r="H1398" s="523"/>
      <c r="I1398" s="520"/>
      <c r="J1398" s="523"/>
      <c r="K1398" s="520"/>
      <c r="L1398" s="523"/>
      <c r="M1398" s="520"/>
      <c r="N1398" s="523"/>
      <c r="O1398" s="520"/>
      <c r="P1398" s="523"/>
      <c r="Q1398" s="520"/>
      <c r="R1398" s="167"/>
      <c r="S1398" s="520"/>
      <c r="T1398" s="167"/>
      <c r="U1398" s="602"/>
      <c r="V1398" s="522"/>
    </row>
    <row r="1399" spans="1:22" ht="14.4">
      <c r="A1399" s="521"/>
      <c r="B1399" s="167"/>
      <c r="C1399" s="165"/>
      <c r="D1399" s="523"/>
      <c r="E1399" s="513" t="s">
        <v>1317</v>
      </c>
      <c r="F1399" s="523"/>
      <c r="G1399" s="601">
        <f t="shared" ref="G1399" si="2103">SUM(G1394:G1397)</f>
        <v>0</v>
      </c>
      <c r="H1399" s="527"/>
      <c r="I1399" s="601">
        <f t="shared" ref="I1399" si="2104">SUM(I1394:I1397)</f>
        <v>0</v>
      </c>
      <c r="J1399" s="527"/>
      <c r="K1399" s="601">
        <f t="shared" ref="K1399" si="2105">SUM(K1394:K1397)</f>
        <v>0</v>
      </c>
      <c r="L1399" s="527"/>
      <c r="M1399" s="601">
        <f t="shared" ref="M1399" si="2106">SUM(M1394:M1397)</f>
        <v>0</v>
      </c>
      <c r="N1399" s="527"/>
      <c r="O1399" s="601">
        <f t="shared" ref="O1399" si="2107">SUM(O1394:O1397)</f>
        <v>0</v>
      </c>
      <c r="P1399" s="527"/>
      <c r="Q1399" s="601">
        <f t="shared" ref="Q1399" si="2108">SUM(Q1394:Q1397)</f>
        <v>0</v>
      </c>
      <c r="R1399" s="527"/>
      <c r="S1399" s="601">
        <f t="shared" ref="S1399" si="2109">SUM(S1394:S1397)</f>
        <v>0</v>
      </c>
      <c r="T1399" s="527"/>
      <c r="U1399" s="536">
        <f t="shared" ref="U1399" si="2110">SUM(U1394:U1397)</f>
        <v>0</v>
      </c>
      <c r="V1399" s="522"/>
    </row>
    <row r="1400" spans="1:22" ht="14.4">
      <c r="A1400" s="521"/>
      <c r="B1400" s="167"/>
      <c r="C1400" s="165"/>
      <c r="D1400" s="523"/>
      <c r="E1400" s="165"/>
      <c r="F1400" s="523"/>
      <c r="G1400" s="520"/>
      <c r="H1400" s="523"/>
      <c r="I1400" s="520"/>
      <c r="J1400" s="523"/>
      <c r="K1400" s="520"/>
      <c r="L1400" s="523"/>
      <c r="M1400" s="520"/>
      <c r="N1400" s="523"/>
      <c r="O1400" s="520"/>
      <c r="P1400" s="523"/>
      <c r="Q1400" s="520"/>
      <c r="R1400" s="167"/>
      <c r="S1400" s="520"/>
      <c r="T1400" s="167"/>
      <c r="U1400" s="528"/>
      <c r="V1400" s="522"/>
    </row>
    <row r="1401" spans="1:22" ht="14.4">
      <c r="A1401" s="521"/>
      <c r="B1401" s="167"/>
      <c r="C1401" s="165"/>
      <c r="D1401" s="8"/>
      <c r="E1401" s="513" t="s">
        <v>1304</v>
      </c>
      <c r="F1401" s="523"/>
      <c r="G1401" s="977">
        <f>_xlfn.IFNA(IF(VLOOKUP($B1392,'PY1 TFR ADA'!$F:$AU,MATCH("B-1.5",'PY1 TFR ADA'!$F$5:$AU$5,0),FALSE)=TRUE,IF(VLOOKUP($B1392,'PY1 TFR ADA'!$F:$AU,MATCH("C-1",'PY1 TFR ADA'!$F$5:$AU$5,0),FALSE)=TRUE,"Alternative Rate","LCFF Rate"),"LCFF Rate"),0)</f>
        <v>0</v>
      </c>
      <c r="H1401" s="523"/>
      <c r="I1401" s="977">
        <f>_xlfn.IFNA(IF(VLOOKUP($B1392,'PY1 TFR ADA'!$F:$AU,MATCH("B-2.5",'PY1 TFR ADA'!$F$5:$AU$5,0),FALSE)=TRUE,IF(VLOOKUP($B1392,'PY1 TFR ADA'!$F:$AU,MATCH("C-1",'PY1 TFR ADA'!$F$5:$AU$5,0),FALSE)=TRUE,"Alternative Rate","LCFF Rate"),"LCFF Rate"),0)</f>
        <v>0</v>
      </c>
      <c r="J1401" s="523"/>
      <c r="K1401" s="977">
        <f>_xlfn.IFNA(IF(VLOOKUP($B1392,'PY1 TFR ADA'!$F:$AU,MATCH("B-3.5",'PY1 TFR ADA'!$F$5:$AU$5,0),FALSE)=TRUE,IF(VLOOKUP($B1392,'PY1 TFR ADA'!$F:$AU,MATCH("C-1",'PY1 TFR ADA'!$F$5:$AU$5,0),FALSE)=TRUE,"Alternative Rate","LCFF Rate"),"LCFF Rate"),0)</f>
        <v>0</v>
      </c>
      <c r="L1401" s="523"/>
      <c r="M1401" s="977">
        <f>_xlfn.IFNA(IF(VLOOKUP($B1392,'PY1 TFR ADA'!$F:$AU,MATCH("B-4.5",'PY1 TFR ADA'!$F$5:$AU$5,0),FALSE)=TRUE,IF(VLOOKUP($B1392,'PY1 TFR ADA'!$F:$AU,MATCH("C-1",'PY1 TFR ADA'!$F$5:$AU$5,0),FALSE)=TRUE,"Alternative Rate","LCFF Rate"),"LCFF Rate"),0)</f>
        <v>0</v>
      </c>
      <c r="N1401" s="523"/>
      <c r="O1401" s="977">
        <f>_xlfn.IFNA(IF(VLOOKUP($B1392,'PY1 TFR ADA'!$F:$AU,MATCH("B-5.5",'PY1 TFR ADA'!$F$5:$AU$5,0),FALSE)=TRUE,IF(VLOOKUP($B1392,'PY1 TFR ADA'!$F:$AU,MATCH("C-1",'PY1 TFR ADA'!$F$5:$AU$5,0),FALSE)=TRUE,"Alternative Rate","LCFF Rate"),"LCFF Rate"),0)</f>
        <v>0</v>
      </c>
      <c r="P1401" s="523"/>
      <c r="Q1401" s="977">
        <f>_xlfn.IFNA(IF(VLOOKUP($B1392,'PY1 TFR ADA'!$F:$AU,MATCH("B-6.5",'PY1 TFR ADA'!$F$5:$AU$5,0),FALSE)=TRUE,IF(VLOOKUP($B1392,'PY1 TFR ADA'!$F:$AU,MATCH("C-1",'PY1 TFR ADA'!$F$5:$AU$5,0),FALSE)=TRUE,"Alternative Rate","LCFF Rate"),"LCFF Rate"),0)</f>
        <v>0</v>
      </c>
      <c r="R1401" s="167"/>
      <c r="S1401" s="520"/>
      <c r="T1401" s="167"/>
      <c r="U1401" s="528"/>
      <c r="V1401" s="522"/>
    </row>
    <row r="1402" spans="1:22" ht="14.4">
      <c r="A1402" s="521"/>
      <c r="B1402" s="167"/>
      <c r="C1402" s="165"/>
      <c r="D1402" s="523"/>
      <c r="E1402" s="165"/>
      <c r="F1402" s="523"/>
      <c r="G1402" s="520"/>
      <c r="H1402" s="523"/>
      <c r="I1402" s="520"/>
      <c r="J1402" s="523"/>
      <c r="K1402" s="520"/>
      <c r="L1402" s="523"/>
      <c r="M1402" s="520"/>
      <c r="N1402" s="523"/>
      <c r="O1402" s="520"/>
      <c r="P1402" s="523"/>
      <c r="Q1402" s="520"/>
      <c r="R1402" s="167"/>
      <c r="S1402" s="520"/>
      <c r="T1402" s="167"/>
      <c r="U1402" s="528"/>
      <c r="V1402" s="522"/>
    </row>
    <row r="1403" spans="1:22" ht="14.4">
      <c r="A1403" s="521"/>
      <c r="B1403" s="2"/>
      <c r="C1403" s="8"/>
      <c r="D1403" s="8"/>
      <c r="E1403" s="8"/>
      <c r="F1403" s="523"/>
      <c r="G1403" s="535">
        <f t="shared" ref="G1403" si="2111">IF(G1401="LCFF Rate",(G1394*C1394+G1395*C1395+G1396*C1396+G1397*C1397),(G1399*E1397))</f>
        <v>0</v>
      </c>
      <c r="H1403" s="537"/>
      <c r="I1403" s="535">
        <f t="shared" ref="I1403" si="2112">IF(I1401="LCFF Rate",(I1394*C1394+I1395*C1395+I1396*C1396+I1397*C1397),(I1399*E1397))</f>
        <v>0</v>
      </c>
      <c r="J1403" s="537"/>
      <c r="K1403" s="535">
        <f t="shared" ref="K1403" si="2113">IF(K1401="LCFF Rate",(K1394*C1394+K1395*C1395+K1396*C1396+K1397*C1397),(K1399*E1397))</f>
        <v>0</v>
      </c>
      <c r="L1403" s="537"/>
      <c r="M1403" s="535">
        <f t="shared" ref="M1403" si="2114">IF(M1401="LCFF Rate",(M1394*C1394+M1395*C1395+M1396*C1396+M1397*C1397),(M1399*E1397))</f>
        <v>0</v>
      </c>
      <c r="N1403" s="537"/>
      <c r="O1403" s="535">
        <f t="shared" ref="O1403" si="2115">IF(O1401="LCFF Rate",(O1394*C1394+O1395*C1395+O1396*C1396+O1397*C1397),(O1399*E1397))</f>
        <v>0</v>
      </c>
      <c r="P1403" s="537"/>
      <c r="Q1403" s="535">
        <f t="shared" ref="Q1403" si="2116">IF(Q1401="LCFF Rate",(Q1394*C1394+Q1395*C1395+Q1396*C1396+Q1397*C1397),(Q1399*E1397))</f>
        <v>0</v>
      </c>
      <c r="R1403" s="167"/>
      <c r="S1403" s="538">
        <f t="shared" ref="S1403" si="2117">SUM(G1403:Q1403)</f>
        <v>0</v>
      </c>
      <c r="T1403" s="167"/>
      <c r="U1403" s="528"/>
      <c r="V1403" s="522"/>
    </row>
    <row r="1404" spans="1:22" ht="15" thickBot="1">
      <c r="A1404" s="529"/>
      <c r="B1404" s="530"/>
      <c r="C1404" s="531"/>
      <c r="D1404" s="532"/>
      <c r="E1404" s="533"/>
      <c r="F1404" s="532"/>
      <c r="G1404" s="530"/>
      <c r="H1404" s="532"/>
      <c r="I1404" s="530"/>
      <c r="J1404" s="532"/>
      <c r="K1404" s="530"/>
      <c r="L1404" s="532"/>
      <c r="M1404" s="530"/>
      <c r="N1404" s="532"/>
      <c r="O1404" s="530"/>
      <c r="P1404" s="532"/>
      <c r="Q1404" s="530"/>
      <c r="R1404" s="532"/>
      <c r="S1404" s="530"/>
      <c r="T1404" s="532"/>
      <c r="U1404" s="532"/>
      <c r="V1404" s="534"/>
    </row>
    <row r="1405" spans="1:22" ht="18.600000000000001" thickBot="1">
      <c r="A1405" s="890">
        <f>+A1392+1</f>
        <v>108</v>
      </c>
      <c r="B1405" s="891" t="str">
        <f>'Data Entry'!$B$3&amp;"-"&amp;C1405</f>
        <v>-</v>
      </c>
      <c r="C1405" s="891" t="str">
        <f>IFERROR(VLOOKUP('Data Entry'!$B$3&amp;"-"&amp;A1405,'PY1 TFR ADA'!$D:$AT,2,FALSE),"")</f>
        <v/>
      </c>
      <c r="D1405" s="892" t="str">
        <f>IFERROR(VLOOKUP('Data Entry'!$B$3&amp;"-"&amp;A1405,'PY1 TFR ADA'!$D:$AT,4,FALSE),"")</f>
        <v/>
      </c>
      <c r="E1405" s="893"/>
      <c r="F1405" s="893"/>
      <c r="G1405" s="893"/>
      <c r="H1405" s="893"/>
      <c r="I1405" s="893"/>
      <c r="J1405" s="893"/>
      <c r="K1405" s="893"/>
      <c r="L1405" s="893"/>
      <c r="M1405" s="893"/>
      <c r="N1405" s="893"/>
      <c r="O1405" s="893"/>
      <c r="P1405" s="893"/>
      <c r="Q1405" s="893"/>
      <c r="R1405" s="893"/>
      <c r="S1405" s="893"/>
      <c r="T1405" s="893"/>
      <c r="U1405" s="893"/>
      <c r="V1405" s="894"/>
    </row>
    <row r="1406" spans="1:22" ht="69">
      <c r="A1406" s="521"/>
      <c r="C1406" s="540" t="s">
        <v>1315</v>
      </c>
      <c r="D1406" s="512"/>
      <c r="E1406" s="540" t="s">
        <v>1316</v>
      </c>
      <c r="F1406" s="512"/>
      <c r="G1406" s="540" t="s">
        <v>1309</v>
      </c>
      <c r="H1406" s="512"/>
      <c r="I1406" s="540" t="s">
        <v>1310</v>
      </c>
      <c r="J1406" s="512"/>
      <c r="K1406" s="540" t="s">
        <v>1311</v>
      </c>
      <c r="L1406" s="512"/>
      <c r="M1406" s="540" t="s">
        <v>1312</v>
      </c>
      <c r="N1406" s="512"/>
      <c r="O1406" s="540" t="s">
        <v>1313</v>
      </c>
      <c r="P1406" s="512"/>
      <c r="Q1406" s="540" t="s">
        <v>1314</v>
      </c>
      <c r="R1406" s="167"/>
      <c r="S1406" s="540" t="s">
        <v>1308</v>
      </c>
      <c r="T1406" s="167"/>
      <c r="U1406" s="512" t="s">
        <v>1307</v>
      </c>
      <c r="V1406" s="524"/>
    </row>
    <row r="1407" spans="1:22" ht="14.4">
      <c r="A1407" s="521"/>
      <c r="B1407" s="510" t="s">
        <v>94</v>
      </c>
      <c r="C1407" s="525">
        <f>IFERROR(VLOOKUP($B1405,'PY1 TFR ADA'!$F:$AU,MATCH("A-1.1",'PY1 TFR ADA'!$F$5:$AU$5,0),FALSE),0)</f>
        <v>0</v>
      </c>
      <c r="D1407" s="167"/>
      <c r="E1407" s="525">
        <f>IFERROR(VALUE(VLOOKUP($B1405,'PY1 TFR ADA'!$F:$AU,MATCH("A-2.1",'PY1 TFR ADA'!$F$5:$AU$5,0),FALSE)),0)</f>
        <v>0</v>
      </c>
      <c r="F1407" s="167"/>
      <c r="G1407" s="609">
        <f>IFERROR(VLOOKUP($B1405,'PY1 TFR ADA'!$F:$AU,MATCH("b-1.1",'PY1 TFR ADA'!$F$5:$AU$5,0),FALSE),0)</f>
        <v>0</v>
      </c>
      <c r="H1407" s="527"/>
      <c r="I1407" s="609">
        <f>IFERROR(VLOOKUP($B1405,'PY1 TFR ADA'!$F:$AU,MATCH("b-2.1",'PY1 TFR ADA'!$F$5:$AU$5,0),FALSE),0)</f>
        <v>0</v>
      </c>
      <c r="J1407" s="527"/>
      <c r="K1407" s="609">
        <f>IFERROR(VLOOKUP($B1405,'PY1 TFR ADA'!$F:$AU,MATCH("b-3.1",'PY1 TFR ADA'!$F$5:$AU$5,0),FALSE),0)</f>
        <v>0</v>
      </c>
      <c r="L1407" s="527"/>
      <c r="M1407" s="609">
        <f>IFERROR(VLOOKUP($B1405,'PY1 TFR ADA'!$F:$AU,MATCH("b-4.1",'PY1 TFR ADA'!$F$5:$AU$5,0),FALSE),0)</f>
        <v>0</v>
      </c>
      <c r="N1407" s="527"/>
      <c r="O1407" s="609">
        <f>IFERROR(VLOOKUP($B1405,'PY1 TFR ADA'!$F:$AU,MATCH("b-5.1",'PY1 TFR ADA'!$F$5:$AU$5,0),FALSE),0)</f>
        <v>0</v>
      </c>
      <c r="P1407" s="527"/>
      <c r="Q1407" s="609">
        <f>IFERROR(VLOOKUP($B1405,'PY1 TFR ADA'!$F:$AU,MATCH("b-6.1",'PY1 TFR ADA'!$F$5:$AU$5,0),FALSE),0)</f>
        <v>0</v>
      </c>
      <c r="R1407" s="551"/>
      <c r="S1407" s="601">
        <f t="shared" ref="S1407:S1410" si="2118">SUM(G1407:Q1407)</f>
        <v>0</v>
      </c>
      <c r="T1407" s="551"/>
      <c r="U1407" s="536">
        <f t="shared" ref="U1407" si="2119">ROUND(IF($G1414="LCFF Rate",(G1407*$C1407),(G1407*$E1407))+IF($I1414="LCFF Rate",(I1407*$C1407),(I1407*$E1407))+IF($K1414="LCFF Rate",(K1407*$C1407),(K1407*$E1407))+IF($M1414="LCFF Rate",(M1407*$C1407),(M1407*$E1407))+IF($O1414="LCFF Rate",(O1407*$C1407),(O1407*$E1407))+IF($Q1414="LCFF Rate",(Q1407*$C1407),(Q1407*$E1407)),0)</f>
        <v>0</v>
      </c>
      <c r="V1407" s="524"/>
    </row>
    <row r="1408" spans="1:22" ht="14.4">
      <c r="A1408" s="521"/>
      <c r="B1408" s="510" t="s">
        <v>2</v>
      </c>
      <c r="C1408" s="525">
        <f>IFERROR(VLOOKUP($B1405,'PY1 TFR ADA'!$F:$AU,MATCH("A-1.2",'PY1 TFR ADA'!$F$5:$AU$5,0),FALSE),0)</f>
        <v>0</v>
      </c>
      <c r="D1408" s="167"/>
      <c r="E1408" s="525">
        <f>IFERROR(VALUE(VLOOKUP($B1405,'PY1 TFR ADA'!$F:$AU,MATCH("A-2.2",'PY1 TFR ADA'!$F$5:$AU$5,0),FALSE)),0)</f>
        <v>0</v>
      </c>
      <c r="F1408" s="167"/>
      <c r="G1408" s="609">
        <f>IFERROR(VLOOKUP($B1405,'PY1 TFR ADA'!$F:$AU,MATCH("b-1.2",'PY1 TFR ADA'!$F$5:$AU$5,0),FALSE),0)</f>
        <v>0</v>
      </c>
      <c r="H1408" s="527"/>
      <c r="I1408" s="609">
        <f>IFERROR(VLOOKUP($B1405,'PY1 TFR ADA'!$F:$AU,MATCH("b-2.2",'PY1 TFR ADA'!$F$5:$AU$5,0),FALSE),0)</f>
        <v>0</v>
      </c>
      <c r="J1408" s="527"/>
      <c r="K1408" s="609">
        <f>IFERROR(VLOOKUP($B1405,'PY1 TFR ADA'!$F:$AU,MATCH("b-3.2",'PY1 TFR ADA'!$F$5:$AU$5,0),FALSE),0)</f>
        <v>0</v>
      </c>
      <c r="L1408" s="527"/>
      <c r="M1408" s="609">
        <f>IFERROR(VLOOKUP($B1405,'PY1 TFR ADA'!$F:$AU,MATCH("b-4.2",'PY1 TFR ADA'!$F$5:$AU$5,0),FALSE),0)</f>
        <v>0</v>
      </c>
      <c r="N1408" s="527"/>
      <c r="O1408" s="609">
        <f>IFERROR(VLOOKUP($B1405,'PY1 TFR ADA'!$F:$AU,MATCH("b-5.2",'PY1 TFR ADA'!$F$5:$AU$5,0),FALSE),0)</f>
        <v>0</v>
      </c>
      <c r="P1408" s="527"/>
      <c r="Q1408" s="609">
        <f>IFERROR(VLOOKUP($B1405,'PY1 TFR ADA'!$F:$AU,MATCH("b-6.2",'PY1 TFR ADA'!$F$5:$AU$5,0),FALSE),0)</f>
        <v>0</v>
      </c>
      <c r="R1408" s="551"/>
      <c r="S1408" s="601">
        <f t="shared" si="2118"/>
        <v>0</v>
      </c>
      <c r="T1408" s="551"/>
      <c r="U1408" s="536">
        <f t="shared" ref="U1408" si="2120">ROUND(IF($G1414="LCFF Rate",(G1408*$C1408),(G1408*$E1408))+IF($I1414="LCFF Rate",(I1408*$C1408),(I1408*$E1408))+IF($K1414="LCFF Rate",(K1408*$C1408),(K1408*$E1408))+IF($M1414="LCFF Rate",(M1408*$C1408),(M1408*$E1408))+IF($O1414="LCFF Rate",(O1408*$C1408),(O1408*$E1408))+IF($Q1414="LCFF Rate",(Q1408*$C1408),(Q1408*$E1408)),0)</f>
        <v>0</v>
      </c>
      <c r="V1408" s="524"/>
    </row>
    <row r="1409" spans="1:22" ht="14.4">
      <c r="A1409" s="521"/>
      <c r="B1409" s="510" t="s">
        <v>3</v>
      </c>
      <c r="C1409" s="525">
        <f>IFERROR(VLOOKUP($B1405,'PY1 TFR ADA'!$F:$AU,MATCH("A-1.3",'PY1 TFR ADA'!$F$5:$AU$5,0),FALSE),0)</f>
        <v>0</v>
      </c>
      <c r="D1409" s="167"/>
      <c r="E1409" s="525">
        <f>IFERROR(VALUE(VLOOKUP($B1405,'PY1 TFR ADA'!$F:$AU,MATCH("A-2.3",'PY1 TFR ADA'!$F$5:$AU$5,0),FALSE)),0)</f>
        <v>0</v>
      </c>
      <c r="F1409" s="167"/>
      <c r="G1409" s="609">
        <f>IFERROR(VLOOKUP($B1405,'PY1 TFR ADA'!$F:$AU,MATCH("b-1.3",'PY1 TFR ADA'!$F$5:$AU$5,0),FALSE),0)</f>
        <v>0</v>
      </c>
      <c r="H1409" s="527"/>
      <c r="I1409" s="609">
        <f>IFERROR(VLOOKUP($B1405,'PY1 TFR ADA'!$F:$AU,MATCH("b-2.3",'PY1 TFR ADA'!$F$5:$AU$5,0),FALSE),0)</f>
        <v>0</v>
      </c>
      <c r="J1409" s="527"/>
      <c r="K1409" s="609">
        <f>IFERROR(VLOOKUP($B1405,'PY1 TFR ADA'!$F:$AU,MATCH("b-3.3",'PY1 TFR ADA'!$F$5:$AU$5,0),FALSE),0)</f>
        <v>0</v>
      </c>
      <c r="L1409" s="527"/>
      <c r="M1409" s="609">
        <f>IFERROR(VLOOKUP($B1405,'PY1 TFR ADA'!$F:$AU,MATCH("b-4.3",'PY1 TFR ADA'!$F$5:$AU$5,0),FALSE),0)</f>
        <v>0</v>
      </c>
      <c r="N1409" s="527"/>
      <c r="O1409" s="609">
        <f>IFERROR(VLOOKUP($B1405,'PY1 TFR ADA'!$F:$AU,MATCH("b-5.3",'PY1 TFR ADA'!$F$5:$AU$5,0),FALSE),0)</f>
        <v>0</v>
      </c>
      <c r="P1409" s="527"/>
      <c r="Q1409" s="609">
        <f>IFERROR(VLOOKUP($B1405,'PY1 TFR ADA'!$F:$AU,MATCH("b-6.3",'PY1 TFR ADA'!$F$5:$AU$5,0),FALSE),0)</f>
        <v>0</v>
      </c>
      <c r="R1409" s="551"/>
      <c r="S1409" s="601">
        <f t="shared" si="2118"/>
        <v>0</v>
      </c>
      <c r="T1409" s="551"/>
      <c r="U1409" s="536">
        <f t="shared" ref="U1409" si="2121">ROUND(IF($G1414="LCFF Rate",(G1409*$C1409),(G1409*$E1409))+IF($I1414="LCFF Rate",(I1409*$C1409),(I1409*$E1409))+IF($K1414="LCFF Rate",(K1409*$C1409),(K1409*$E1409))+IF($M1414="LCFF Rate",(M1409*$C1409),(M1409*$E1409))+IF($O1414="LCFF Rate",(O1409*$C1409),(O1409*$E1409))+IF($Q1414="LCFF Rate",(Q1409*$C1409),(Q1409*$E1409)),0)</f>
        <v>0</v>
      </c>
      <c r="V1409" s="524"/>
    </row>
    <row r="1410" spans="1:22" ht="14.4">
      <c r="A1410" s="526"/>
      <c r="B1410" s="510" t="s">
        <v>4</v>
      </c>
      <c r="C1410" s="525">
        <f>IFERROR(VLOOKUP($B1405,'PY1 TFR ADA'!$F:$AU,MATCH("A-1.4",'PY1 TFR ADA'!$F$5:$AU$5,0),FALSE),0)</f>
        <v>0</v>
      </c>
      <c r="D1410" s="523"/>
      <c r="E1410" s="525">
        <f>IFERROR(VALUE(VLOOKUP($B1405,'PY1 TFR ADA'!$F:$AU,MATCH("A-2.4",'PY1 TFR ADA'!$F$5:$AU$5,0),FALSE)),0)</f>
        <v>0</v>
      </c>
      <c r="F1410" s="523"/>
      <c r="G1410" s="609">
        <f>IFERROR(VLOOKUP($B1405,'PY1 TFR ADA'!$F:$AU,MATCH("b-1.4",'PY1 TFR ADA'!$F$5:$AU$5,0),FALSE),0)</f>
        <v>0</v>
      </c>
      <c r="H1410" s="527"/>
      <c r="I1410" s="609">
        <f>IFERROR(VLOOKUP($B1405,'PY1 TFR ADA'!$F:$AU,MATCH("b-2.4",'PY1 TFR ADA'!$F$5:$AU$5,0),FALSE),0)</f>
        <v>0</v>
      </c>
      <c r="J1410" s="527"/>
      <c r="K1410" s="609">
        <f>IFERROR(VLOOKUP($B1405,'PY1 TFR ADA'!$F:$AU,MATCH("b-3.4",'PY1 TFR ADA'!$F$5:$AU$5,0),FALSE),0)</f>
        <v>0</v>
      </c>
      <c r="L1410" s="527"/>
      <c r="M1410" s="609">
        <f>IFERROR(VLOOKUP($B1405,'PY1 TFR ADA'!$F:$AU,MATCH("b-4.4",'PY1 TFR ADA'!$F$5:$AU$5,0),FALSE),0)</f>
        <v>0</v>
      </c>
      <c r="N1410" s="527"/>
      <c r="O1410" s="609">
        <f>IFERROR(VLOOKUP($B1405,'PY1 TFR ADA'!$F:$AU,MATCH("b-5.4",'PY1 TFR ADA'!$F$5:$AU$5,0),FALSE),0)</f>
        <v>0</v>
      </c>
      <c r="P1410" s="527"/>
      <c r="Q1410" s="609">
        <f>IFERROR(VLOOKUP($B1405,'PY1 TFR ADA'!$F:$AU,MATCH("b-6.4",'PY1 TFR ADA'!$F$5:$AU$5,0),FALSE),0)</f>
        <v>0</v>
      </c>
      <c r="R1410" s="551"/>
      <c r="S1410" s="601">
        <f t="shared" si="2118"/>
        <v>0</v>
      </c>
      <c r="T1410" s="551"/>
      <c r="U1410" s="536">
        <f t="shared" ref="U1410" si="2122">ROUND(IF($G1414="LCFF Rate",(G1410*$C1410),(G1410*$E1410))+IF($I1414="LCFF Rate",(I1410*$C1410),(I1410*$E1410))+IF($K1414="LCFF Rate",(K1410*$C1410),(K1410*$E1410))+IF($M1414="LCFF Rate",(M1410*$C1410),(M1410*$E1410))+IF($O1414="LCFF Rate",(O1410*$C1410),(O1410*$E1410))+IF($Q1414="LCFF Rate",(Q1410*$C1410),(Q1410*$E1410)),0)</f>
        <v>0</v>
      </c>
      <c r="V1410" s="522"/>
    </row>
    <row r="1411" spans="1:22" ht="14.4">
      <c r="A1411" s="521"/>
      <c r="B1411" s="167"/>
      <c r="C1411" s="165"/>
      <c r="D1411" s="523"/>
      <c r="E1411" s="165"/>
      <c r="F1411" s="523"/>
      <c r="G1411" s="520"/>
      <c r="H1411" s="523"/>
      <c r="I1411" s="520"/>
      <c r="J1411" s="523"/>
      <c r="K1411" s="520"/>
      <c r="L1411" s="523"/>
      <c r="M1411" s="520"/>
      <c r="N1411" s="523"/>
      <c r="O1411" s="520"/>
      <c r="P1411" s="523"/>
      <c r="Q1411" s="520"/>
      <c r="R1411" s="167"/>
      <c r="S1411" s="520"/>
      <c r="T1411" s="167"/>
      <c r="U1411" s="602"/>
      <c r="V1411" s="522"/>
    </row>
    <row r="1412" spans="1:22" ht="14.4">
      <c r="A1412" s="521"/>
      <c r="B1412" s="167"/>
      <c r="C1412" s="165"/>
      <c r="D1412" s="523"/>
      <c r="E1412" s="513" t="s">
        <v>1317</v>
      </c>
      <c r="F1412" s="523"/>
      <c r="G1412" s="601">
        <f t="shared" ref="G1412" si="2123">SUM(G1407:G1410)</f>
        <v>0</v>
      </c>
      <c r="H1412" s="527"/>
      <c r="I1412" s="601">
        <f t="shared" ref="I1412" si="2124">SUM(I1407:I1410)</f>
        <v>0</v>
      </c>
      <c r="J1412" s="527"/>
      <c r="K1412" s="601">
        <f t="shared" ref="K1412" si="2125">SUM(K1407:K1410)</f>
        <v>0</v>
      </c>
      <c r="L1412" s="527"/>
      <c r="M1412" s="601">
        <f t="shared" ref="M1412" si="2126">SUM(M1407:M1410)</f>
        <v>0</v>
      </c>
      <c r="N1412" s="527"/>
      <c r="O1412" s="601">
        <f t="shared" ref="O1412" si="2127">SUM(O1407:O1410)</f>
        <v>0</v>
      </c>
      <c r="P1412" s="527"/>
      <c r="Q1412" s="601">
        <f t="shared" ref="Q1412" si="2128">SUM(Q1407:Q1410)</f>
        <v>0</v>
      </c>
      <c r="R1412" s="527"/>
      <c r="S1412" s="601">
        <f t="shared" ref="S1412" si="2129">SUM(S1407:S1410)</f>
        <v>0</v>
      </c>
      <c r="T1412" s="527"/>
      <c r="U1412" s="536">
        <f t="shared" ref="U1412" si="2130">SUM(U1407:U1410)</f>
        <v>0</v>
      </c>
      <c r="V1412" s="522"/>
    </row>
    <row r="1413" spans="1:22" ht="14.4">
      <c r="A1413" s="521"/>
      <c r="B1413" s="167"/>
      <c r="C1413" s="165"/>
      <c r="D1413" s="523"/>
      <c r="E1413" s="165"/>
      <c r="F1413" s="523"/>
      <c r="G1413" s="520"/>
      <c r="H1413" s="523"/>
      <c r="I1413" s="520"/>
      <c r="J1413" s="523"/>
      <c r="K1413" s="520"/>
      <c r="L1413" s="523"/>
      <c r="M1413" s="520"/>
      <c r="N1413" s="523"/>
      <c r="O1413" s="520"/>
      <c r="P1413" s="523"/>
      <c r="Q1413" s="520"/>
      <c r="R1413" s="167"/>
      <c r="S1413" s="520"/>
      <c r="T1413" s="167"/>
      <c r="U1413" s="528"/>
      <c r="V1413" s="522"/>
    </row>
    <row r="1414" spans="1:22" ht="14.4">
      <c r="A1414" s="521"/>
      <c r="B1414" s="167"/>
      <c r="C1414" s="165"/>
      <c r="D1414" s="8"/>
      <c r="E1414" s="513" t="s">
        <v>1304</v>
      </c>
      <c r="F1414" s="523"/>
      <c r="G1414" s="977">
        <f>_xlfn.IFNA(IF(VLOOKUP($B1405,'PY1 TFR ADA'!$F:$AU,MATCH("B-1.5",'PY1 TFR ADA'!$F$5:$AU$5,0),FALSE)=TRUE,IF(VLOOKUP($B1405,'PY1 TFR ADA'!$F:$AU,MATCH("C-1",'PY1 TFR ADA'!$F$5:$AU$5,0),FALSE)=TRUE,"Alternative Rate","LCFF Rate"),"LCFF Rate"),0)</f>
        <v>0</v>
      </c>
      <c r="H1414" s="523"/>
      <c r="I1414" s="977">
        <f>_xlfn.IFNA(IF(VLOOKUP($B1405,'PY1 TFR ADA'!$F:$AU,MATCH("B-2.5",'PY1 TFR ADA'!$F$5:$AU$5,0),FALSE)=TRUE,IF(VLOOKUP($B1405,'PY1 TFR ADA'!$F:$AU,MATCH("C-1",'PY1 TFR ADA'!$F$5:$AU$5,0),FALSE)=TRUE,"Alternative Rate","LCFF Rate"),"LCFF Rate"),0)</f>
        <v>0</v>
      </c>
      <c r="J1414" s="523"/>
      <c r="K1414" s="977">
        <f>_xlfn.IFNA(IF(VLOOKUP($B1405,'PY1 TFR ADA'!$F:$AU,MATCH("B-3.5",'PY1 TFR ADA'!$F$5:$AU$5,0),FALSE)=TRUE,IF(VLOOKUP($B1405,'PY1 TFR ADA'!$F:$AU,MATCH("C-1",'PY1 TFR ADA'!$F$5:$AU$5,0),FALSE)=TRUE,"Alternative Rate","LCFF Rate"),"LCFF Rate"),0)</f>
        <v>0</v>
      </c>
      <c r="L1414" s="523"/>
      <c r="M1414" s="977">
        <f>_xlfn.IFNA(IF(VLOOKUP($B1405,'PY1 TFR ADA'!$F:$AU,MATCH("B-4.5",'PY1 TFR ADA'!$F$5:$AU$5,0),FALSE)=TRUE,IF(VLOOKUP($B1405,'PY1 TFR ADA'!$F:$AU,MATCH("C-1",'PY1 TFR ADA'!$F$5:$AU$5,0),FALSE)=TRUE,"Alternative Rate","LCFF Rate"),"LCFF Rate"),0)</f>
        <v>0</v>
      </c>
      <c r="N1414" s="523"/>
      <c r="O1414" s="977">
        <f>_xlfn.IFNA(IF(VLOOKUP($B1405,'PY1 TFR ADA'!$F:$AU,MATCH("B-5.5",'PY1 TFR ADA'!$F$5:$AU$5,0),FALSE)=TRUE,IF(VLOOKUP($B1405,'PY1 TFR ADA'!$F:$AU,MATCH("C-1",'PY1 TFR ADA'!$F$5:$AU$5,0),FALSE)=TRUE,"Alternative Rate","LCFF Rate"),"LCFF Rate"),0)</f>
        <v>0</v>
      </c>
      <c r="P1414" s="523"/>
      <c r="Q1414" s="977">
        <f>_xlfn.IFNA(IF(VLOOKUP($B1405,'PY1 TFR ADA'!$F:$AU,MATCH("B-6.5",'PY1 TFR ADA'!$F$5:$AU$5,0),FALSE)=TRUE,IF(VLOOKUP($B1405,'PY1 TFR ADA'!$F:$AU,MATCH("C-1",'PY1 TFR ADA'!$F$5:$AU$5,0),FALSE)=TRUE,"Alternative Rate","LCFF Rate"),"LCFF Rate"),0)</f>
        <v>0</v>
      </c>
      <c r="R1414" s="167"/>
      <c r="S1414" s="520"/>
      <c r="T1414" s="167"/>
      <c r="U1414" s="528"/>
      <c r="V1414" s="522"/>
    </row>
    <row r="1415" spans="1:22" ht="14.4">
      <c r="A1415" s="521"/>
      <c r="B1415" s="167"/>
      <c r="C1415" s="165"/>
      <c r="D1415" s="523"/>
      <c r="E1415" s="165"/>
      <c r="F1415" s="523"/>
      <c r="G1415" s="520"/>
      <c r="H1415" s="523"/>
      <c r="I1415" s="520"/>
      <c r="J1415" s="523"/>
      <c r="K1415" s="520"/>
      <c r="L1415" s="523"/>
      <c r="M1415" s="520"/>
      <c r="N1415" s="523"/>
      <c r="O1415" s="520"/>
      <c r="P1415" s="523"/>
      <c r="Q1415" s="520"/>
      <c r="R1415" s="167"/>
      <c r="S1415" s="520"/>
      <c r="T1415" s="167"/>
      <c r="U1415" s="528"/>
      <c r="V1415" s="522"/>
    </row>
    <row r="1416" spans="1:22" ht="14.4">
      <c r="A1416" s="521"/>
      <c r="B1416" s="2"/>
      <c r="C1416" s="8"/>
      <c r="D1416" s="8"/>
      <c r="E1416" s="8"/>
      <c r="F1416" s="523"/>
      <c r="G1416" s="535">
        <f t="shared" ref="G1416" si="2131">IF(G1414="LCFF Rate",(G1407*C1407+G1408*C1408+G1409*C1409+G1410*C1410),(G1412*E1410))</f>
        <v>0</v>
      </c>
      <c r="H1416" s="537"/>
      <c r="I1416" s="535">
        <f t="shared" ref="I1416" si="2132">IF(I1414="LCFF Rate",(I1407*C1407+I1408*C1408+I1409*C1409+I1410*C1410),(I1412*E1410))</f>
        <v>0</v>
      </c>
      <c r="J1416" s="537"/>
      <c r="K1416" s="535">
        <f t="shared" ref="K1416" si="2133">IF(K1414="LCFF Rate",(K1407*C1407+K1408*C1408+K1409*C1409+K1410*C1410),(K1412*E1410))</f>
        <v>0</v>
      </c>
      <c r="L1416" s="537"/>
      <c r="M1416" s="535">
        <f t="shared" ref="M1416" si="2134">IF(M1414="LCFF Rate",(M1407*C1407+M1408*C1408+M1409*C1409+M1410*C1410),(M1412*E1410))</f>
        <v>0</v>
      </c>
      <c r="N1416" s="537"/>
      <c r="O1416" s="535">
        <f t="shared" ref="O1416" si="2135">IF(O1414="LCFF Rate",(O1407*C1407+O1408*C1408+O1409*C1409+O1410*C1410),(O1412*E1410))</f>
        <v>0</v>
      </c>
      <c r="P1416" s="537"/>
      <c r="Q1416" s="535">
        <f t="shared" ref="Q1416" si="2136">IF(Q1414="LCFF Rate",(Q1407*C1407+Q1408*C1408+Q1409*C1409+Q1410*C1410),(Q1412*E1410))</f>
        <v>0</v>
      </c>
      <c r="R1416" s="167"/>
      <c r="S1416" s="538">
        <f t="shared" ref="S1416" si="2137">SUM(G1416:Q1416)</f>
        <v>0</v>
      </c>
      <c r="T1416" s="167"/>
      <c r="U1416" s="528"/>
      <c r="V1416" s="522"/>
    </row>
    <row r="1417" spans="1:22" ht="15" thickBot="1">
      <c r="A1417" s="529"/>
      <c r="B1417" s="530"/>
      <c r="C1417" s="531"/>
      <c r="D1417" s="532"/>
      <c r="E1417" s="533"/>
      <c r="F1417" s="532"/>
      <c r="G1417" s="530"/>
      <c r="H1417" s="532"/>
      <c r="I1417" s="530"/>
      <c r="J1417" s="532"/>
      <c r="K1417" s="530"/>
      <c r="L1417" s="532"/>
      <c r="M1417" s="530"/>
      <c r="N1417" s="532"/>
      <c r="O1417" s="530"/>
      <c r="P1417" s="532"/>
      <c r="Q1417" s="530"/>
      <c r="R1417" s="532"/>
      <c r="S1417" s="530"/>
      <c r="T1417" s="532"/>
      <c r="U1417" s="532"/>
      <c r="V1417" s="534"/>
    </row>
    <row r="1418" spans="1:22" ht="18.600000000000001" thickBot="1">
      <c r="A1418" s="890">
        <f>+A1405+1</f>
        <v>109</v>
      </c>
      <c r="B1418" s="891" t="str">
        <f>'Data Entry'!$B$3&amp;"-"&amp;C1418</f>
        <v>-</v>
      </c>
      <c r="C1418" s="891" t="str">
        <f>IFERROR(VLOOKUP('Data Entry'!$B$3&amp;"-"&amp;A1418,'PY1 TFR ADA'!$D:$AT,2,FALSE),"")</f>
        <v/>
      </c>
      <c r="D1418" s="892" t="str">
        <f>IFERROR(VLOOKUP('Data Entry'!$B$3&amp;"-"&amp;A1418,'PY1 TFR ADA'!$D:$AT,4,FALSE),"")</f>
        <v/>
      </c>
      <c r="E1418" s="893"/>
      <c r="F1418" s="893"/>
      <c r="G1418" s="893"/>
      <c r="H1418" s="893"/>
      <c r="I1418" s="893"/>
      <c r="J1418" s="893"/>
      <c r="K1418" s="893"/>
      <c r="L1418" s="893"/>
      <c r="M1418" s="893"/>
      <c r="N1418" s="893"/>
      <c r="O1418" s="893"/>
      <c r="P1418" s="893"/>
      <c r="Q1418" s="893"/>
      <c r="R1418" s="893"/>
      <c r="S1418" s="893"/>
      <c r="T1418" s="893"/>
      <c r="U1418" s="893"/>
      <c r="V1418" s="894"/>
    </row>
    <row r="1419" spans="1:22" ht="69">
      <c r="A1419" s="521"/>
      <c r="C1419" s="540" t="s">
        <v>1315</v>
      </c>
      <c r="D1419" s="512"/>
      <c r="E1419" s="540" t="s">
        <v>1316</v>
      </c>
      <c r="F1419" s="512"/>
      <c r="G1419" s="540" t="s">
        <v>1309</v>
      </c>
      <c r="H1419" s="512"/>
      <c r="I1419" s="540" t="s">
        <v>1310</v>
      </c>
      <c r="J1419" s="512"/>
      <c r="K1419" s="540" t="s">
        <v>1311</v>
      </c>
      <c r="L1419" s="512"/>
      <c r="M1419" s="540" t="s">
        <v>1312</v>
      </c>
      <c r="N1419" s="512"/>
      <c r="O1419" s="540" t="s">
        <v>1313</v>
      </c>
      <c r="P1419" s="512"/>
      <c r="Q1419" s="540" t="s">
        <v>1314</v>
      </c>
      <c r="R1419" s="167"/>
      <c r="S1419" s="540" t="s">
        <v>1308</v>
      </c>
      <c r="T1419" s="167"/>
      <c r="U1419" s="512" t="s">
        <v>1307</v>
      </c>
      <c r="V1419" s="524"/>
    </row>
    <row r="1420" spans="1:22" ht="14.4">
      <c r="A1420" s="521"/>
      <c r="B1420" s="510" t="s">
        <v>94</v>
      </c>
      <c r="C1420" s="525">
        <f>IFERROR(VLOOKUP($B1418,'PY1 TFR ADA'!$F:$AU,MATCH("A-1.1",'PY1 TFR ADA'!$F$5:$AU$5,0),FALSE),0)</f>
        <v>0</v>
      </c>
      <c r="D1420" s="167"/>
      <c r="E1420" s="525">
        <f>IFERROR(VALUE(VLOOKUP($B1418,'PY1 TFR ADA'!$F:$AU,MATCH("A-2.1",'PY1 TFR ADA'!$F$5:$AU$5,0),FALSE)),0)</f>
        <v>0</v>
      </c>
      <c r="F1420" s="167"/>
      <c r="G1420" s="609">
        <f>IFERROR(VLOOKUP($B1418,'PY1 TFR ADA'!$F:$AU,MATCH("b-1.1",'PY1 TFR ADA'!$F$5:$AU$5,0),FALSE),0)</f>
        <v>0</v>
      </c>
      <c r="H1420" s="527"/>
      <c r="I1420" s="609">
        <f>IFERROR(VLOOKUP($B1418,'PY1 TFR ADA'!$F:$AU,MATCH("b-2.1",'PY1 TFR ADA'!$F$5:$AU$5,0),FALSE),0)</f>
        <v>0</v>
      </c>
      <c r="J1420" s="527"/>
      <c r="K1420" s="609">
        <f>IFERROR(VLOOKUP($B1418,'PY1 TFR ADA'!$F:$AU,MATCH("b-3.1",'PY1 TFR ADA'!$F$5:$AU$5,0),FALSE),0)</f>
        <v>0</v>
      </c>
      <c r="L1420" s="527"/>
      <c r="M1420" s="609">
        <f>IFERROR(VLOOKUP($B1418,'PY1 TFR ADA'!$F:$AU,MATCH("b-4.1",'PY1 TFR ADA'!$F$5:$AU$5,0),FALSE),0)</f>
        <v>0</v>
      </c>
      <c r="N1420" s="527"/>
      <c r="O1420" s="609">
        <f>IFERROR(VLOOKUP($B1418,'PY1 TFR ADA'!$F:$AU,MATCH("b-5.1",'PY1 TFR ADA'!$F$5:$AU$5,0),FALSE),0)</f>
        <v>0</v>
      </c>
      <c r="P1420" s="527"/>
      <c r="Q1420" s="609">
        <f>IFERROR(VLOOKUP($B1418,'PY1 TFR ADA'!$F:$AU,MATCH("b-6.1",'PY1 TFR ADA'!$F$5:$AU$5,0),FALSE),0)</f>
        <v>0</v>
      </c>
      <c r="R1420" s="551"/>
      <c r="S1420" s="601">
        <f t="shared" ref="S1420:S1423" si="2138">SUM(G1420:Q1420)</f>
        <v>0</v>
      </c>
      <c r="T1420" s="551"/>
      <c r="U1420" s="536">
        <f t="shared" ref="U1420" si="2139">ROUND(IF($G1427="LCFF Rate",(G1420*$C1420),(G1420*$E1420))+IF($I1427="LCFF Rate",(I1420*$C1420),(I1420*$E1420))+IF($K1427="LCFF Rate",(K1420*$C1420),(K1420*$E1420))+IF($M1427="LCFF Rate",(M1420*$C1420),(M1420*$E1420))+IF($O1427="LCFF Rate",(O1420*$C1420),(O1420*$E1420))+IF($Q1427="LCFF Rate",(Q1420*$C1420),(Q1420*$E1420)),0)</f>
        <v>0</v>
      </c>
      <c r="V1420" s="524"/>
    </row>
    <row r="1421" spans="1:22" ht="14.4">
      <c r="A1421" s="521"/>
      <c r="B1421" s="510" t="s">
        <v>2</v>
      </c>
      <c r="C1421" s="525">
        <f>IFERROR(VLOOKUP($B1418,'PY1 TFR ADA'!$F:$AU,MATCH("A-1.2",'PY1 TFR ADA'!$F$5:$AU$5,0),FALSE),0)</f>
        <v>0</v>
      </c>
      <c r="D1421" s="167"/>
      <c r="E1421" s="525">
        <f>IFERROR(VALUE(VLOOKUP($B1418,'PY1 TFR ADA'!$F:$AU,MATCH("A-2.2",'PY1 TFR ADA'!$F$5:$AU$5,0),FALSE)),0)</f>
        <v>0</v>
      </c>
      <c r="F1421" s="167"/>
      <c r="G1421" s="609">
        <f>IFERROR(VLOOKUP($B1418,'PY1 TFR ADA'!$F:$AU,MATCH("b-1.2",'PY1 TFR ADA'!$F$5:$AU$5,0),FALSE),0)</f>
        <v>0</v>
      </c>
      <c r="H1421" s="527"/>
      <c r="I1421" s="609">
        <f>IFERROR(VLOOKUP($B1418,'PY1 TFR ADA'!$F:$AU,MATCH("b-2.2",'PY1 TFR ADA'!$F$5:$AU$5,0),FALSE),0)</f>
        <v>0</v>
      </c>
      <c r="J1421" s="527"/>
      <c r="K1421" s="609">
        <f>IFERROR(VLOOKUP($B1418,'PY1 TFR ADA'!$F:$AU,MATCH("b-3.2",'PY1 TFR ADA'!$F$5:$AU$5,0),FALSE),0)</f>
        <v>0</v>
      </c>
      <c r="L1421" s="527"/>
      <c r="M1421" s="609">
        <f>IFERROR(VLOOKUP($B1418,'PY1 TFR ADA'!$F:$AU,MATCH("b-4.2",'PY1 TFR ADA'!$F$5:$AU$5,0),FALSE),0)</f>
        <v>0</v>
      </c>
      <c r="N1421" s="527"/>
      <c r="O1421" s="609">
        <f>IFERROR(VLOOKUP($B1418,'PY1 TFR ADA'!$F:$AU,MATCH("b-5.2",'PY1 TFR ADA'!$F$5:$AU$5,0),FALSE),0)</f>
        <v>0</v>
      </c>
      <c r="P1421" s="527"/>
      <c r="Q1421" s="609">
        <f>IFERROR(VLOOKUP($B1418,'PY1 TFR ADA'!$F:$AU,MATCH("b-6.2",'PY1 TFR ADA'!$F$5:$AU$5,0),FALSE),0)</f>
        <v>0</v>
      </c>
      <c r="R1421" s="551"/>
      <c r="S1421" s="601">
        <f t="shared" si="2138"/>
        <v>0</v>
      </c>
      <c r="T1421" s="551"/>
      <c r="U1421" s="536">
        <f t="shared" ref="U1421" si="2140">ROUND(IF($G1427="LCFF Rate",(G1421*$C1421),(G1421*$E1421))+IF($I1427="LCFF Rate",(I1421*$C1421),(I1421*$E1421))+IF($K1427="LCFF Rate",(K1421*$C1421),(K1421*$E1421))+IF($M1427="LCFF Rate",(M1421*$C1421),(M1421*$E1421))+IF($O1427="LCFF Rate",(O1421*$C1421),(O1421*$E1421))+IF($Q1427="LCFF Rate",(Q1421*$C1421),(Q1421*$E1421)),0)</f>
        <v>0</v>
      </c>
      <c r="V1421" s="524"/>
    </row>
    <row r="1422" spans="1:22" ht="14.4">
      <c r="A1422" s="521"/>
      <c r="B1422" s="510" t="s">
        <v>3</v>
      </c>
      <c r="C1422" s="525">
        <f>IFERROR(VLOOKUP($B1418,'PY1 TFR ADA'!$F:$AU,MATCH("A-1.3",'PY1 TFR ADA'!$F$5:$AU$5,0),FALSE),0)</f>
        <v>0</v>
      </c>
      <c r="D1422" s="167"/>
      <c r="E1422" s="525">
        <f>IFERROR(VALUE(VLOOKUP($B1418,'PY1 TFR ADA'!$F:$AU,MATCH("A-2.3",'PY1 TFR ADA'!$F$5:$AU$5,0),FALSE)),0)</f>
        <v>0</v>
      </c>
      <c r="F1422" s="167"/>
      <c r="G1422" s="609">
        <f>IFERROR(VLOOKUP($B1418,'PY1 TFR ADA'!$F:$AU,MATCH("b-1.3",'PY1 TFR ADA'!$F$5:$AU$5,0),FALSE),0)</f>
        <v>0</v>
      </c>
      <c r="H1422" s="527"/>
      <c r="I1422" s="609">
        <f>IFERROR(VLOOKUP($B1418,'PY1 TFR ADA'!$F:$AU,MATCH("b-2.3",'PY1 TFR ADA'!$F$5:$AU$5,0),FALSE),0)</f>
        <v>0</v>
      </c>
      <c r="J1422" s="527"/>
      <c r="K1422" s="609">
        <f>IFERROR(VLOOKUP($B1418,'PY1 TFR ADA'!$F:$AU,MATCH("b-3.3",'PY1 TFR ADA'!$F$5:$AU$5,0),FALSE),0)</f>
        <v>0</v>
      </c>
      <c r="L1422" s="527"/>
      <c r="M1422" s="609">
        <f>IFERROR(VLOOKUP($B1418,'PY1 TFR ADA'!$F:$AU,MATCH("b-4.3",'PY1 TFR ADA'!$F$5:$AU$5,0),FALSE),0)</f>
        <v>0</v>
      </c>
      <c r="N1422" s="527"/>
      <c r="O1422" s="609">
        <f>IFERROR(VLOOKUP($B1418,'PY1 TFR ADA'!$F:$AU,MATCH("b-5.3",'PY1 TFR ADA'!$F$5:$AU$5,0),FALSE),0)</f>
        <v>0</v>
      </c>
      <c r="P1422" s="527"/>
      <c r="Q1422" s="609">
        <f>IFERROR(VLOOKUP($B1418,'PY1 TFR ADA'!$F:$AU,MATCH("b-6.3",'PY1 TFR ADA'!$F$5:$AU$5,0),FALSE),0)</f>
        <v>0</v>
      </c>
      <c r="R1422" s="551"/>
      <c r="S1422" s="601">
        <f t="shared" si="2138"/>
        <v>0</v>
      </c>
      <c r="T1422" s="551"/>
      <c r="U1422" s="536">
        <f t="shared" ref="U1422" si="2141">ROUND(IF($G1427="LCFF Rate",(G1422*$C1422),(G1422*$E1422))+IF($I1427="LCFF Rate",(I1422*$C1422),(I1422*$E1422))+IF($K1427="LCFF Rate",(K1422*$C1422),(K1422*$E1422))+IF($M1427="LCFF Rate",(M1422*$C1422),(M1422*$E1422))+IF($O1427="LCFF Rate",(O1422*$C1422),(O1422*$E1422))+IF($Q1427="LCFF Rate",(Q1422*$C1422),(Q1422*$E1422)),0)</f>
        <v>0</v>
      </c>
      <c r="V1422" s="524"/>
    </row>
    <row r="1423" spans="1:22" ht="14.4">
      <c r="A1423" s="526"/>
      <c r="B1423" s="510" t="s">
        <v>4</v>
      </c>
      <c r="C1423" s="525">
        <f>IFERROR(VLOOKUP($B1418,'PY1 TFR ADA'!$F:$AU,MATCH("A-1.4",'PY1 TFR ADA'!$F$5:$AU$5,0),FALSE),0)</f>
        <v>0</v>
      </c>
      <c r="D1423" s="523"/>
      <c r="E1423" s="525">
        <f>IFERROR(VALUE(VLOOKUP($B1418,'PY1 TFR ADA'!$F:$AU,MATCH("A-2.4",'PY1 TFR ADA'!$F$5:$AU$5,0),FALSE)),0)</f>
        <v>0</v>
      </c>
      <c r="F1423" s="523"/>
      <c r="G1423" s="609">
        <f>IFERROR(VLOOKUP($B1418,'PY1 TFR ADA'!$F:$AU,MATCH("b-1.4",'PY1 TFR ADA'!$F$5:$AU$5,0),FALSE),0)</f>
        <v>0</v>
      </c>
      <c r="H1423" s="527"/>
      <c r="I1423" s="609">
        <f>IFERROR(VLOOKUP($B1418,'PY1 TFR ADA'!$F:$AU,MATCH("b-2.4",'PY1 TFR ADA'!$F$5:$AU$5,0),FALSE),0)</f>
        <v>0</v>
      </c>
      <c r="J1423" s="527"/>
      <c r="K1423" s="609">
        <f>IFERROR(VLOOKUP($B1418,'PY1 TFR ADA'!$F:$AU,MATCH("b-3.4",'PY1 TFR ADA'!$F$5:$AU$5,0),FALSE),0)</f>
        <v>0</v>
      </c>
      <c r="L1423" s="527"/>
      <c r="M1423" s="609">
        <f>IFERROR(VLOOKUP($B1418,'PY1 TFR ADA'!$F:$AU,MATCH("b-4.4",'PY1 TFR ADA'!$F$5:$AU$5,0),FALSE),0)</f>
        <v>0</v>
      </c>
      <c r="N1423" s="527"/>
      <c r="O1423" s="609">
        <f>IFERROR(VLOOKUP($B1418,'PY1 TFR ADA'!$F:$AU,MATCH("b-5.4",'PY1 TFR ADA'!$F$5:$AU$5,0),FALSE),0)</f>
        <v>0</v>
      </c>
      <c r="P1423" s="527"/>
      <c r="Q1423" s="609">
        <f>IFERROR(VLOOKUP($B1418,'PY1 TFR ADA'!$F:$AU,MATCH("b-6.4",'PY1 TFR ADA'!$F$5:$AU$5,0),FALSE),0)</f>
        <v>0</v>
      </c>
      <c r="R1423" s="551"/>
      <c r="S1423" s="601">
        <f t="shared" si="2138"/>
        <v>0</v>
      </c>
      <c r="T1423" s="551"/>
      <c r="U1423" s="536">
        <f t="shared" ref="U1423" si="2142">ROUND(IF($G1427="LCFF Rate",(G1423*$C1423),(G1423*$E1423))+IF($I1427="LCFF Rate",(I1423*$C1423),(I1423*$E1423))+IF($K1427="LCFF Rate",(K1423*$C1423),(K1423*$E1423))+IF($M1427="LCFF Rate",(M1423*$C1423),(M1423*$E1423))+IF($O1427="LCFF Rate",(O1423*$C1423),(O1423*$E1423))+IF($Q1427="LCFF Rate",(Q1423*$C1423),(Q1423*$E1423)),0)</f>
        <v>0</v>
      </c>
      <c r="V1423" s="522"/>
    </row>
    <row r="1424" spans="1:22" ht="14.4">
      <c r="A1424" s="521"/>
      <c r="B1424" s="167"/>
      <c r="C1424" s="165"/>
      <c r="D1424" s="523"/>
      <c r="E1424" s="165"/>
      <c r="F1424" s="523"/>
      <c r="G1424" s="520"/>
      <c r="H1424" s="523"/>
      <c r="I1424" s="520"/>
      <c r="J1424" s="523"/>
      <c r="K1424" s="520"/>
      <c r="L1424" s="523"/>
      <c r="M1424" s="520"/>
      <c r="N1424" s="523"/>
      <c r="O1424" s="520"/>
      <c r="P1424" s="523"/>
      <c r="Q1424" s="520"/>
      <c r="R1424" s="167"/>
      <c r="S1424" s="520"/>
      <c r="T1424" s="167"/>
      <c r="U1424" s="602"/>
      <c r="V1424" s="522"/>
    </row>
    <row r="1425" spans="1:22" ht="14.4">
      <c r="A1425" s="521"/>
      <c r="B1425" s="167"/>
      <c r="C1425" s="165"/>
      <c r="D1425" s="523"/>
      <c r="E1425" s="513" t="s">
        <v>1317</v>
      </c>
      <c r="F1425" s="523"/>
      <c r="G1425" s="601">
        <f t="shared" ref="G1425" si="2143">SUM(G1420:G1423)</f>
        <v>0</v>
      </c>
      <c r="H1425" s="527"/>
      <c r="I1425" s="601">
        <f t="shared" ref="I1425" si="2144">SUM(I1420:I1423)</f>
        <v>0</v>
      </c>
      <c r="J1425" s="527"/>
      <c r="K1425" s="601">
        <f t="shared" ref="K1425" si="2145">SUM(K1420:K1423)</f>
        <v>0</v>
      </c>
      <c r="L1425" s="527"/>
      <c r="M1425" s="601">
        <f t="shared" ref="M1425" si="2146">SUM(M1420:M1423)</f>
        <v>0</v>
      </c>
      <c r="N1425" s="527"/>
      <c r="O1425" s="601">
        <f t="shared" ref="O1425" si="2147">SUM(O1420:O1423)</f>
        <v>0</v>
      </c>
      <c r="P1425" s="527"/>
      <c r="Q1425" s="601">
        <f t="shared" ref="Q1425" si="2148">SUM(Q1420:Q1423)</f>
        <v>0</v>
      </c>
      <c r="R1425" s="527"/>
      <c r="S1425" s="601">
        <f t="shared" ref="S1425" si="2149">SUM(S1420:S1423)</f>
        <v>0</v>
      </c>
      <c r="T1425" s="527"/>
      <c r="U1425" s="536">
        <f t="shared" ref="U1425" si="2150">SUM(U1420:U1423)</f>
        <v>0</v>
      </c>
      <c r="V1425" s="522"/>
    </row>
    <row r="1426" spans="1:22" ht="14.4">
      <c r="A1426" s="521"/>
      <c r="B1426" s="167"/>
      <c r="C1426" s="165"/>
      <c r="D1426" s="523"/>
      <c r="E1426" s="165"/>
      <c r="F1426" s="523"/>
      <c r="G1426" s="520"/>
      <c r="H1426" s="523"/>
      <c r="I1426" s="520"/>
      <c r="J1426" s="523"/>
      <c r="K1426" s="520"/>
      <c r="L1426" s="523"/>
      <c r="M1426" s="520"/>
      <c r="N1426" s="523"/>
      <c r="O1426" s="520"/>
      <c r="P1426" s="523"/>
      <c r="Q1426" s="520"/>
      <c r="R1426" s="167"/>
      <c r="S1426" s="520"/>
      <c r="T1426" s="167"/>
      <c r="U1426" s="528"/>
      <c r="V1426" s="522"/>
    </row>
    <row r="1427" spans="1:22" ht="14.4">
      <c r="A1427" s="521"/>
      <c r="B1427" s="167"/>
      <c r="C1427" s="165"/>
      <c r="D1427" s="8"/>
      <c r="E1427" s="513" t="s">
        <v>1304</v>
      </c>
      <c r="F1427" s="523"/>
      <c r="G1427" s="977">
        <f>_xlfn.IFNA(IF(VLOOKUP($B1418,'PY1 TFR ADA'!$F:$AU,MATCH("B-1.5",'PY1 TFR ADA'!$F$5:$AU$5,0),FALSE)=TRUE,IF(VLOOKUP($B1418,'PY1 TFR ADA'!$F:$AU,MATCH("C-1",'PY1 TFR ADA'!$F$5:$AU$5,0),FALSE)=TRUE,"Alternative Rate","LCFF Rate"),"LCFF Rate"),0)</f>
        <v>0</v>
      </c>
      <c r="H1427" s="523"/>
      <c r="I1427" s="977">
        <f>_xlfn.IFNA(IF(VLOOKUP($B1418,'PY1 TFR ADA'!$F:$AU,MATCH("B-2.5",'PY1 TFR ADA'!$F$5:$AU$5,0),FALSE)=TRUE,IF(VLOOKUP($B1418,'PY1 TFR ADA'!$F:$AU,MATCH("C-1",'PY1 TFR ADA'!$F$5:$AU$5,0),FALSE)=TRUE,"Alternative Rate","LCFF Rate"),"LCFF Rate"),0)</f>
        <v>0</v>
      </c>
      <c r="J1427" s="523"/>
      <c r="K1427" s="977">
        <f>_xlfn.IFNA(IF(VLOOKUP($B1418,'PY1 TFR ADA'!$F:$AU,MATCH("B-3.5",'PY1 TFR ADA'!$F$5:$AU$5,0),FALSE)=TRUE,IF(VLOOKUP($B1418,'PY1 TFR ADA'!$F:$AU,MATCH("C-1",'PY1 TFR ADA'!$F$5:$AU$5,0),FALSE)=TRUE,"Alternative Rate","LCFF Rate"),"LCFF Rate"),0)</f>
        <v>0</v>
      </c>
      <c r="L1427" s="523"/>
      <c r="M1427" s="977">
        <f>_xlfn.IFNA(IF(VLOOKUP($B1418,'PY1 TFR ADA'!$F:$AU,MATCH("B-4.5",'PY1 TFR ADA'!$F$5:$AU$5,0),FALSE)=TRUE,IF(VLOOKUP($B1418,'PY1 TFR ADA'!$F:$AU,MATCH("C-1",'PY1 TFR ADA'!$F$5:$AU$5,0),FALSE)=TRUE,"Alternative Rate","LCFF Rate"),"LCFF Rate"),0)</f>
        <v>0</v>
      </c>
      <c r="N1427" s="523"/>
      <c r="O1427" s="977">
        <f>_xlfn.IFNA(IF(VLOOKUP($B1418,'PY1 TFR ADA'!$F:$AU,MATCH("B-5.5",'PY1 TFR ADA'!$F$5:$AU$5,0),FALSE)=TRUE,IF(VLOOKUP($B1418,'PY1 TFR ADA'!$F:$AU,MATCH("C-1",'PY1 TFR ADA'!$F$5:$AU$5,0),FALSE)=TRUE,"Alternative Rate","LCFF Rate"),"LCFF Rate"),0)</f>
        <v>0</v>
      </c>
      <c r="P1427" s="523"/>
      <c r="Q1427" s="977">
        <f>_xlfn.IFNA(IF(VLOOKUP($B1418,'PY1 TFR ADA'!$F:$AU,MATCH("B-6.5",'PY1 TFR ADA'!$F$5:$AU$5,0),FALSE)=TRUE,IF(VLOOKUP($B1418,'PY1 TFR ADA'!$F:$AU,MATCH("C-1",'PY1 TFR ADA'!$F$5:$AU$5,0),FALSE)=TRUE,"Alternative Rate","LCFF Rate"),"LCFF Rate"),0)</f>
        <v>0</v>
      </c>
      <c r="R1427" s="167"/>
      <c r="S1427" s="520"/>
      <c r="T1427" s="167"/>
      <c r="U1427" s="528"/>
      <c r="V1427" s="522"/>
    </row>
    <row r="1428" spans="1:22" ht="14.4">
      <c r="A1428" s="521"/>
      <c r="B1428" s="167"/>
      <c r="C1428" s="165"/>
      <c r="D1428" s="523"/>
      <c r="E1428" s="165"/>
      <c r="F1428" s="523"/>
      <c r="G1428" s="520"/>
      <c r="H1428" s="523"/>
      <c r="I1428" s="520"/>
      <c r="J1428" s="523"/>
      <c r="K1428" s="520"/>
      <c r="L1428" s="523"/>
      <c r="M1428" s="520"/>
      <c r="N1428" s="523"/>
      <c r="O1428" s="520"/>
      <c r="P1428" s="523"/>
      <c r="Q1428" s="520"/>
      <c r="R1428" s="167"/>
      <c r="S1428" s="520"/>
      <c r="T1428" s="167"/>
      <c r="U1428" s="528"/>
      <c r="V1428" s="522"/>
    </row>
    <row r="1429" spans="1:22" ht="14.4">
      <c r="A1429" s="521"/>
      <c r="B1429" s="2"/>
      <c r="C1429" s="8"/>
      <c r="D1429" s="8"/>
      <c r="E1429" s="8"/>
      <c r="F1429" s="523"/>
      <c r="G1429" s="535">
        <f t="shared" ref="G1429" si="2151">IF(G1427="LCFF Rate",(G1420*C1420+G1421*C1421+G1422*C1422+G1423*C1423),(G1425*E1423))</f>
        <v>0</v>
      </c>
      <c r="H1429" s="537"/>
      <c r="I1429" s="535">
        <f t="shared" ref="I1429" si="2152">IF(I1427="LCFF Rate",(I1420*C1420+I1421*C1421+I1422*C1422+I1423*C1423),(I1425*E1423))</f>
        <v>0</v>
      </c>
      <c r="J1429" s="537"/>
      <c r="K1429" s="535">
        <f t="shared" ref="K1429" si="2153">IF(K1427="LCFF Rate",(K1420*C1420+K1421*C1421+K1422*C1422+K1423*C1423),(K1425*E1423))</f>
        <v>0</v>
      </c>
      <c r="L1429" s="537"/>
      <c r="M1429" s="535">
        <f t="shared" ref="M1429" si="2154">IF(M1427="LCFF Rate",(M1420*C1420+M1421*C1421+M1422*C1422+M1423*C1423),(M1425*E1423))</f>
        <v>0</v>
      </c>
      <c r="N1429" s="537"/>
      <c r="O1429" s="535">
        <f t="shared" ref="O1429" si="2155">IF(O1427="LCFF Rate",(O1420*C1420+O1421*C1421+O1422*C1422+O1423*C1423),(O1425*E1423))</f>
        <v>0</v>
      </c>
      <c r="P1429" s="537"/>
      <c r="Q1429" s="535">
        <f t="shared" ref="Q1429" si="2156">IF(Q1427="LCFF Rate",(Q1420*C1420+Q1421*C1421+Q1422*C1422+Q1423*C1423),(Q1425*E1423))</f>
        <v>0</v>
      </c>
      <c r="R1429" s="167"/>
      <c r="S1429" s="538">
        <f t="shared" ref="S1429" si="2157">SUM(G1429:Q1429)</f>
        <v>0</v>
      </c>
      <c r="T1429" s="167"/>
      <c r="U1429" s="528"/>
      <c r="V1429" s="522"/>
    </row>
    <row r="1430" spans="1:22" ht="15" thickBot="1">
      <c r="A1430" s="529"/>
      <c r="B1430" s="530"/>
      <c r="C1430" s="531"/>
      <c r="D1430" s="532"/>
      <c r="E1430" s="533"/>
      <c r="F1430" s="532"/>
      <c r="G1430" s="530"/>
      <c r="H1430" s="532"/>
      <c r="I1430" s="530"/>
      <c r="J1430" s="532"/>
      <c r="K1430" s="530"/>
      <c r="L1430" s="532"/>
      <c r="M1430" s="530"/>
      <c r="N1430" s="532"/>
      <c r="O1430" s="530"/>
      <c r="P1430" s="532"/>
      <c r="Q1430" s="530"/>
      <c r="R1430" s="532"/>
      <c r="S1430" s="530"/>
      <c r="T1430" s="532"/>
      <c r="U1430" s="532"/>
      <c r="V1430" s="534"/>
    </row>
    <row r="1431" spans="1:22" ht="18.600000000000001" thickBot="1">
      <c r="A1431" s="890">
        <f>+A1418+1</f>
        <v>110</v>
      </c>
      <c r="B1431" s="891" t="str">
        <f>'Data Entry'!$B$3&amp;"-"&amp;C1431</f>
        <v>-</v>
      </c>
      <c r="C1431" s="891" t="str">
        <f>IFERROR(VLOOKUP('Data Entry'!$B$3&amp;"-"&amp;A1431,'PY1 TFR ADA'!$D:$AT,2,FALSE),"")</f>
        <v/>
      </c>
      <c r="D1431" s="892" t="str">
        <f>IFERROR(VLOOKUP('Data Entry'!$B$3&amp;"-"&amp;A1431,'PY1 TFR ADA'!$D:$AT,4,FALSE),"")</f>
        <v/>
      </c>
      <c r="E1431" s="893"/>
      <c r="F1431" s="893"/>
      <c r="G1431" s="893"/>
      <c r="H1431" s="893"/>
      <c r="I1431" s="893"/>
      <c r="J1431" s="893"/>
      <c r="K1431" s="893"/>
      <c r="L1431" s="893"/>
      <c r="M1431" s="893"/>
      <c r="N1431" s="893"/>
      <c r="O1431" s="893"/>
      <c r="P1431" s="893"/>
      <c r="Q1431" s="893"/>
      <c r="R1431" s="893"/>
      <c r="S1431" s="893"/>
      <c r="T1431" s="893"/>
      <c r="U1431" s="893"/>
      <c r="V1431" s="894"/>
    </row>
    <row r="1432" spans="1:22" ht="69">
      <c r="A1432" s="521"/>
      <c r="C1432" s="540" t="s">
        <v>1315</v>
      </c>
      <c r="D1432" s="512"/>
      <c r="E1432" s="540" t="s">
        <v>1316</v>
      </c>
      <c r="F1432" s="512"/>
      <c r="G1432" s="540" t="s">
        <v>1309</v>
      </c>
      <c r="H1432" s="512"/>
      <c r="I1432" s="540" t="s">
        <v>1310</v>
      </c>
      <c r="J1432" s="512"/>
      <c r="K1432" s="540" t="s">
        <v>1311</v>
      </c>
      <c r="L1432" s="512"/>
      <c r="M1432" s="540" t="s">
        <v>1312</v>
      </c>
      <c r="N1432" s="512"/>
      <c r="O1432" s="540" t="s">
        <v>1313</v>
      </c>
      <c r="P1432" s="512"/>
      <c r="Q1432" s="540" t="s">
        <v>1314</v>
      </c>
      <c r="R1432" s="167"/>
      <c r="S1432" s="540" t="s">
        <v>1308</v>
      </c>
      <c r="T1432" s="167"/>
      <c r="U1432" s="512" t="s">
        <v>1307</v>
      </c>
      <c r="V1432" s="524"/>
    </row>
    <row r="1433" spans="1:22" ht="14.4">
      <c r="A1433" s="521"/>
      <c r="B1433" s="510" t="s">
        <v>94</v>
      </c>
      <c r="C1433" s="525">
        <f>IFERROR(VLOOKUP($B1431,'PY1 TFR ADA'!$F:$AU,MATCH("A-1.1",'PY1 TFR ADA'!$F$5:$AU$5,0),FALSE),0)</f>
        <v>0</v>
      </c>
      <c r="D1433" s="167"/>
      <c r="E1433" s="525">
        <f>IFERROR(VALUE(VLOOKUP($B1431,'PY1 TFR ADA'!$F:$AU,MATCH("A-2.1",'PY1 TFR ADA'!$F$5:$AU$5,0),FALSE)),0)</f>
        <v>0</v>
      </c>
      <c r="F1433" s="167"/>
      <c r="G1433" s="609">
        <f>IFERROR(VLOOKUP($B1431,'PY1 TFR ADA'!$F:$AU,MATCH("b-1.1",'PY1 TFR ADA'!$F$5:$AU$5,0),FALSE),0)</f>
        <v>0</v>
      </c>
      <c r="H1433" s="527"/>
      <c r="I1433" s="609">
        <f>IFERROR(VLOOKUP($B1431,'PY1 TFR ADA'!$F:$AU,MATCH("b-2.1",'PY1 TFR ADA'!$F$5:$AU$5,0),FALSE),0)</f>
        <v>0</v>
      </c>
      <c r="J1433" s="527"/>
      <c r="K1433" s="609">
        <f>IFERROR(VLOOKUP($B1431,'PY1 TFR ADA'!$F:$AU,MATCH("b-3.1",'PY1 TFR ADA'!$F$5:$AU$5,0),FALSE),0)</f>
        <v>0</v>
      </c>
      <c r="L1433" s="527"/>
      <c r="M1433" s="609">
        <f>IFERROR(VLOOKUP($B1431,'PY1 TFR ADA'!$F:$AU,MATCH("b-4.1",'PY1 TFR ADA'!$F$5:$AU$5,0),FALSE),0)</f>
        <v>0</v>
      </c>
      <c r="N1433" s="527"/>
      <c r="O1433" s="609">
        <f>IFERROR(VLOOKUP($B1431,'PY1 TFR ADA'!$F:$AU,MATCH("b-5.1",'PY1 TFR ADA'!$F$5:$AU$5,0),FALSE),0)</f>
        <v>0</v>
      </c>
      <c r="P1433" s="527"/>
      <c r="Q1433" s="609">
        <f>IFERROR(VLOOKUP($B1431,'PY1 TFR ADA'!$F:$AU,MATCH("b-6.1",'PY1 TFR ADA'!$F$5:$AU$5,0),FALSE),0)</f>
        <v>0</v>
      </c>
      <c r="R1433" s="551"/>
      <c r="S1433" s="601">
        <f t="shared" ref="S1433:S1436" si="2158">SUM(G1433:Q1433)</f>
        <v>0</v>
      </c>
      <c r="T1433" s="551"/>
      <c r="U1433" s="536">
        <f t="shared" ref="U1433" si="2159">ROUND(IF($G1440="LCFF Rate",(G1433*$C1433),(G1433*$E1433))+IF($I1440="LCFF Rate",(I1433*$C1433),(I1433*$E1433))+IF($K1440="LCFF Rate",(K1433*$C1433),(K1433*$E1433))+IF($M1440="LCFF Rate",(M1433*$C1433),(M1433*$E1433))+IF($O1440="LCFF Rate",(O1433*$C1433),(O1433*$E1433))+IF($Q1440="LCFF Rate",(Q1433*$C1433),(Q1433*$E1433)),0)</f>
        <v>0</v>
      </c>
      <c r="V1433" s="524"/>
    </row>
    <row r="1434" spans="1:22" ht="14.4">
      <c r="A1434" s="521"/>
      <c r="B1434" s="510" t="s">
        <v>2</v>
      </c>
      <c r="C1434" s="525">
        <f>IFERROR(VLOOKUP($B1431,'PY1 TFR ADA'!$F:$AU,MATCH("A-1.2",'PY1 TFR ADA'!$F$5:$AU$5,0),FALSE),0)</f>
        <v>0</v>
      </c>
      <c r="D1434" s="167"/>
      <c r="E1434" s="525">
        <f>IFERROR(VALUE(VLOOKUP($B1431,'PY1 TFR ADA'!$F:$AU,MATCH("A-2.2",'PY1 TFR ADA'!$F$5:$AU$5,0),FALSE)),0)</f>
        <v>0</v>
      </c>
      <c r="F1434" s="167"/>
      <c r="G1434" s="609">
        <f>IFERROR(VLOOKUP($B1431,'PY1 TFR ADA'!$F:$AU,MATCH("b-1.2",'PY1 TFR ADA'!$F$5:$AU$5,0),FALSE),0)</f>
        <v>0</v>
      </c>
      <c r="H1434" s="527"/>
      <c r="I1434" s="609">
        <f>IFERROR(VLOOKUP($B1431,'PY1 TFR ADA'!$F:$AU,MATCH("b-2.2",'PY1 TFR ADA'!$F$5:$AU$5,0),FALSE),0)</f>
        <v>0</v>
      </c>
      <c r="J1434" s="527"/>
      <c r="K1434" s="609">
        <f>IFERROR(VLOOKUP($B1431,'PY1 TFR ADA'!$F:$AU,MATCH("b-3.2",'PY1 TFR ADA'!$F$5:$AU$5,0),FALSE),0)</f>
        <v>0</v>
      </c>
      <c r="L1434" s="527"/>
      <c r="M1434" s="609">
        <f>IFERROR(VLOOKUP($B1431,'PY1 TFR ADA'!$F:$AU,MATCH("b-4.2",'PY1 TFR ADA'!$F$5:$AU$5,0),FALSE),0)</f>
        <v>0</v>
      </c>
      <c r="N1434" s="527"/>
      <c r="O1434" s="609">
        <f>IFERROR(VLOOKUP($B1431,'PY1 TFR ADA'!$F:$AU,MATCH("b-5.2",'PY1 TFR ADA'!$F$5:$AU$5,0),FALSE),0)</f>
        <v>0</v>
      </c>
      <c r="P1434" s="527"/>
      <c r="Q1434" s="609">
        <f>IFERROR(VLOOKUP($B1431,'PY1 TFR ADA'!$F:$AU,MATCH("b-6.2",'PY1 TFR ADA'!$F$5:$AU$5,0),FALSE),0)</f>
        <v>0</v>
      </c>
      <c r="R1434" s="551"/>
      <c r="S1434" s="601">
        <f t="shared" si="2158"/>
        <v>0</v>
      </c>
      <c r="T1434" s="551"/>
      <c r="U1434" s="536">
        <f t="shared" ref="U1434" si="2160">ROUND(IF($G1440="LCFF Rate",(G1434*$C1434),(G1434*$E1434))+IF($I1440="LCFF Rate",(I1434*$C1434),(I1434*$E1434))+IF($K1440="LCFF Rate",(K1434*$C1434),(K1434*$E1434))+IF($M1440="LCFF Rate",(M1434*$C1434),(M1434*$E1434))+IF($O1440="LCFF Rate",(O1434*$C1434),(O1434*$E1434))+IF($Q1440="LCFF Rate",(Q1434*$C1434),(Q1434*$E1434)),0)</f>
        <v>0</v>
      </c>
      <c r="V1434" s="524"/>
    </row>
    <row r="1435" spans="1:22" ht="14.4">
      <c r="A1435" s="521"/>
      <c r="B1435" s="510" t="s">
        <v>3</v>
      </c>
      <c r="C1435" s="525">
        <f>IFERROR(VLOOKUP($B1431,'PY1 TFR ADA'!$F:$AU,MATCH("A-1.3",'PY1 TFR ADA'!$F$5:$AU$5,0),FALSE),0)</f>
        <v>0</v>
      </c>
      <c r="D1435" s="167"/>
      <c r="E1435" s="525">
        <f>IFERROR(VALUE(VLOOKUP($B1431,'PY1 TFR ADA'!$F:$AU,MATCH("A-2.3",'PY1 TFR ADA'!$F$5:$AU$5,0),FALSE)),0)</f>
        <v>0</v>
      </c>
      <c r="F1435" s="167"/>
      <c r="G1435" s="609">
        <f>IFERROR(VLOOKUP($B1431,'PY1 TFR ADA'!$F:$AU,MATCH("b-1.3",'PY1 TFR ADA'!$F$5:$AU$5,0),FALSE),0)</f>
        <v>0</v>
      </c>
      <c r="H1435" s="527"/>
      <c r="I1435" s="609">
        <f>IFERROR(VLOOKUP($B1431,'PY1 TFR ADA'!$F:$AU,MATCH("b-2.3",'PY1 TFR ADA'!$F$5:$AU$5,0),FALSE),0)</f>
        <v>0</v>
      </c>
      <c r="J1435" s="527"/>
      <c r="K1435" s="609">
        <f>IFERROR(VLOOKUP($B1431,'PY1 TFR ADA'!$F:$AU,MATCH("b-3.3",'PY1 TFR ADA'!$F$5:$AU$5,0),FALSE),0)</f>
        <v>0</v>
      </c>
      <c r="L1435" s="527"/>
      <c r="M1435" s="609">
        <f>IFERROR(VLOOKUP($B1431,'PY1 TFR ADA'!$F:$AU,MATCH("b-4.3",'PY1 TFR ADA'!$F$5:$AU$5,0),FALSE),0)</f>
        <v>0</v>
      </c>
      <c r="N1435" s="527"/>
      <c r="O1435" s="609">
        <f>IFERROR(VLOOKUP($B1431,'PY1 TFR ADA'!$F:$AU,MATCH("b-5.3",'PY1 TFR ADA'!$F$5:$AU$5,0),FALSE),0)</f>
        <v>0</v>
      </c>
      <c r="P1435" s="527"/>
      <c r="Q1435" s="609">
        <f>IFERROR(VLOOKUP($B1431,'PY1 TFR ADA'!$F:$AU,MATCH("b-6.3",'PY1 TFR ADA'!$F$5:$AU$5,0),FALSE),0)</f>
        <v>0</v>
      </c>
      <c r="R1435" s="551"/>
      <c r="S1435" s="601">
        <f t="shared" si="2158"/>
        <v>0</v>
      </c>
      <c r="T1435" s="551"/>
      <c r="U1435" s="536">
        <f t="shared" ref="U1435" si="2161">ROUND(IF($G1440="LCFF Rate",(G1435*$C1435),(G1435*$E1435))+IF($I1440="LCFF Rate",(I1435*$C1435),(I1435*$E1435))+IF($K1440="LCFF Rate",(K1435*$C1435),(K1435*$E1435))+IF($M1440="LCFF Rate",(M1435*$C1435),(M1435*$E1435))+IF($O1440="LCFF Rate",(O1435*$C1435),(O1435*$E1435))+IF($Q1440="LCFF Rate",(Q1435*$C1435),(Q1435*$E1435)),0)</f>
        <v>0</v>
      </c>
      <c r="V1435" s="524"/>
    </row>
    <row r="1436" spans="1:22" ht="14.4">
      <c r="A1436" s="526"/>
      <c r="B1436" s="510" t="s">
        <v>4</v>
      </c>
      <c r="C1436" s="525">
        <f>IFERROR(VLOOKUP($B1431,'PY1 TFR ADA'!$F:$AU,MATCH("A-1.4",'PY1 TFR ADA'!$F$5:$AU$5,0),FALSE),0)</f>
        <v>0</v>
      </c>
      <c r="D1436" s="523"/>
      <c r="E1436" s="525">
        <f>IFERROR(VALUE(VLOOKUP($B1431,'PY1 TFR ADA'!$F:$AU,MATCH("A-2.4",'PY1 TFR ADA'!$F$5:$AU$5,0),FALSE)),0)</f>
        <v>0</v>
      </c>
      <c r="F1436" s="523"/>
      <c r="G1436" s="609">
        <f>IFERROR(VLOOKUP($B1431,'PY1 TFR ADA'!$F:$AU,MATCH("b-1.4",'PY1 TFR ADA'!$F$5:$AU$5,0),FALSE),0)</f>
        <v>0</v>
      </c>
      <c r="H1436" s="527"/>
      <c r="I1436" s="609">
        <f>IFERROR(VLOOKUP($B1431,'PY1 TFR ADA'!$F:$AU,MATCH("b-2.4",'PY1 TFR ADA'!$F$5:$AU$5,0),FALSE),0)</f>
        <v>0</v>
      </c>
      <c r="J1436" s="527"/>
      <c r="K1436" s="609">
        <f>IFERROR(VLOOKUP($B1431,'PY1 TFR ADA'!$F:$AU,MATCH("b-3.4",'PY1 TFR ADA'!$F$5:$AU$5,0),FALSE),0)</f>
        <v>0</v>
      </c>
      <c r="L1436" s="527"/>
      <c r="M1436" s="609">
        <f>IFERROR(VLOOKUP($B1431,'PY1 TFR ADA'!$F:$AU,MATCH("b-4.4",'PY1 TFR ADA'!$F$5:$AU$5,0),FALSE),0)</f>
        <v>0</v>
      </c>
      <c r="N1436" s="527"/>
      <c r="O1436" s="609">
        <f>IFERROR(VLOOKUP($B1431,'PY1 TFR ADA'!$F:$AU,MATCH("b-5.4",'PY1 TFR ADA'!$F$5:$AU$5,0),FALSE),0)</f>
        <v>0</v>
      </c>
      <c r="P1436" s="527"/>
      <c r="Q1436" s="609">
        <f>IFERROR(VLOOKUP($B1431,'PY1 TFR ADA'!$F:$AU,MATCH("b-6.4",'PY1 TFR ADA'!$F$5:$AU$5,0),FALSE),0)</f>
        <v>0</v>
      </c>
      <c r="R1436" s="551"/>
      <c r="S1436" s="601">
        <f t="shared" si="2158"/>
        <v>0</v>
      </c>
      <c r="T1436" s="551"/>
      <c r="U1436" s="536">
        <f t="shared" ref="U1436" si="2162">ROUND(IF($G1440="LCFF Rate",(G1436*$C1436),(G1436*$E1436))+IF($I1440="LCFF Rate",(I1436*$C1436),(I1436*$E1436))+IF($K1440="LCFF Rate",(K1436*$C1436),(K1436*$E1436))+IF($M1440="LCFF Rate",(M1436*$C1436),(M1436*$E1436))+IF($O1440="LCFF Rate",(O1436*$C1436),(O1436*$E1436))+IF($Q1440="LCFF Rate",(Q1436*$C1436),(Q1436*$E1436)),0)</f>
        <v>0</v>
      </c>
      <c r="V1436" s="522"/>
    </row>
    <row r="1437" spans="1:22" ht="14.4">
      <c r="A1437" s="521"/>
      <c r="B1437" s="167"/>
      <c r="C1437" s="165"/>
      <c r="D1437" s="523"/>
      <c r="E1437" s="165"/>
      <c r="F1437" s="523"/>
      <c r="G1437" s="520"/>
      <c r="H1437" s="523"/>
      <c r="I1437" s="520"/>
      <c r="J1437" s="523"/>
      <c r="K1437" s="520"/>
      <c r="L1437" s="523"/>
      <c r="M1437" s="520"/>
      <c r="N1437" s="523"/>
      <c r="O1437" s="520"/>
      <c r="P1437" s="523"/>
      <c r="Q1437" s="520"/>
      <c r="R1437" s="167"/>
      <c r="S1437" s="520"/>
      <c r="T1437" s="167"/>
      <c r="U1437" s="602"/>
      <c r="V1437" s="522"/>
    </row>
    <row r="1438" spans="1:22" ht="14.4">
      <c r="A1438" s="521"/>
      <c r="B1438" s="167"/>
      <c r="C1438" s="165"/>
      <c r="D1438" s="523"/>
      <c r="E1438" s="513" t="s">
        <v>1317</v>
      </c>
      <c r="F1438" s="523"/>
      <c r="G1438" s="601">
        <f t="shared" ref="G1438" si="2163">SUM(G1433:G1436)</f>
        <v>0</v>
      </c>
      <c r="H1438" s="527"/>
      <c r="I1438" s="601">
        <f t="shared" ref="I1438" si="2164">SUM(I1433:I1436)</f>
        <v>0</v>
      </c>
      <c r="J1438" s="527"/>
      <c r="K1438" s="601">
        <f t="shared" ref="K1438" si="2165">SUM(K1433:K1436)</f>
        <v>0</v>
      </c>
      <c r="L1438" s="527"/>
      <c r="M1438" s="601">
        <f t="shared" ref="M1438" si="2166">SUM(M1433:M1436)</f>
        <v>0</v>
      </c>
      <c r="N1438" s="527"/>
      <c r="O1438" s="601">
        <f t="shared" ref="O1438" si="2167">SUM(O1433:O1436)</f>
        <v>0</v>
      </c>
      <c r="P1438" s="527"/>
      <c r="Q1438" s="601">
        <f t="shared" ref="Q1438" si="2168">SUM(Q1433:Q1436)</f>
        <v>0</v>
      </c>
      <c r="R1438" s="527"/>
      <c r="S1438" s="601">
        <f t="shared" ref="S1438" si="2169">SUM(S1433:S1436)</f>
        <v>0</v>
      </c>
      <c r="T1438" s="527"/>
      <c r="U1438" s="536">
        <f t="shared" ref="U1438" si="2170">SUM(U1433:U1436)</f>
        <v>0</v>
      </c>
      <c r="V1438" s="522"/>
    </row>
    <row r="1439" spans="1:22" ht="14.4">
      <c r="A1439" s="521"/>
      <c r="B1439" s="167"/>
      <c r="C1439" s="165"/>
      <c r="D1439" s="523"/>
      <c r="E1439" s="165"/>
      <c r="F1439" s="523"/>
      <c r="G1439" s="520"/>
      <c r="H1439" s="523"/>
      <c r="I1439" s="520"/>
      <c r="J1439" s="523"/>
      <c r="K1439" s="520"/>
      <c r="L1439" s="523"/>
      <c r="M1439" s="520"/>
      <c r="N1439" s="523"/>
      <c r="O1439" s="520"/>
      <c r="P1439" s="523"/>
      <c r="Q1439" s="520"/>
      <c r="R1439" s="167"/>
      <c r="S1439" s="520"/>
      <c r="T1439" s="167"/>
      <c r="U1439" s="528"/>
      <c r="V1439" s="522"/>
    </row>
    <row r="1440" spans="1:22" ht="14.4">
      <c r="A1440" s="521"/>
      <c r="B1440" s="167"/>
      <c r="C1440" s="165"/>
      <c r="D1440" s="8"/>
      <c r="E1440" s="513" t="s">
        <v>1304</v>
      </c>
      <c r="F1440" s="523"/>
      <c r="G1440" s="977">
        <f>_xlfn.IFNA(IF(VLOOKUP($B1431,'PY1 TFR ADA'!$F:$AU,MATCH("B-1.5",'PY1 TFR ADA'!$F$5:$AU$5,0),FALSE)=TRUE,IF(VLOOKUP($B1431,'PY1 TFR ADA'!$F:$AU,MATCH("C-1",'PY1 TFR ADA'!$F$5:$AU$5,0),FALSE)=TRUE,"Alternative Rate","LCFF Rate"),"LCFF Rate"),0)</f>
        <v>0</v>
      </c>
      <c r="H1440" s="523"/>
      <c r="I1440" s="977">
        <f>_xlfn.IFNA(IF(VLOOKUP($B1431,'PY1 TFR ADA'!$F:$AU,MATCH("B-2.5",'PY1 TFR ADA'!$F$5:$AU$5,0),FALSE)=TRUE,IF(VLOOKUP($B1431,'PY1 TFR ADA'!$F:$AU,MATCH("C-1",'PY1 TFR ADA'!$F$5:$AU$5,0),FALSE)=TRUE,"Alternative Rate","LCFF Rate"),"LCFF Rate"),0)</f>
        <v>0</v>
      </c>
      <c r="J1440" s="523"/>
      <c r="K1440" s="977">
        <f>_xlfn.IFNA(IF(VLOOKUP($B1431,'PY1 TFR ADA'!$F:$AU,MATCH("B-3.5",'PY1 TFR ADA'!$F$5:$AU$5,0),FALSE)=TRUE,IF(VLOOKUP($B1431,'PY1 TFR ADA'!$F:$AU,MATCH("C-1",'PY1 TFR ADA'!$F$5:$AU$5,0),FALSE)=TRUE,"Alternative Rate","LCFF Rate"),"LCFF Rate"),0)</f>
        <v>0</v>
      </c>
      <c r="L1440" s="523"/>
      <c r="M1440" s="977">
        <f>_xlfn.IFNA(IF(VLOOKUP($B1431,'PY1 TFR ADA'!$F:$AU,MATCH("B-4.5",'PY1 TFR ADA'!$F$5:$AU$5,0),FALSE)=TRUE,IF(VLOOKUP($B1431,'PY1 TFR ADA'!$F:$AU,MATCH("C-1",'PY1 TFR ADA'!$F$5:$AU$5,0),FALSE)=TRUE,"Alternative Rate","LCFF Rate"),"LCFF Rate"),0)</f>
        <v>0</v>
      </c>
      <c r="N1440" s="523"/>
      <c r="O1440" s="977">
        <f>_xlfn.IFNA(IF(VLOOKUP($B1431,'PY1 TFR ADA'!$F:$AU,MATCH("B-5.5",'PY1 TFR ADA'!$F$5:$AU$5,0),FALSE)=TRUE,IF(VLOOKUP($B1431,'PY1 TFR ADA'!$F:$AU,MATCH("C-1",'PY1 TFR ADA'!$F$5:$AU$5,0),FALSE)=TRUE,"Alternative Rate","LCFF Rate"),"LCFF Rate"),0)</f>
        <v>0</v>
      </c>
      <c r="P1440" s="523"/>
      <c r="Q1440" s="977">
        <f>_xlfn.IFNA(IF(VLOOKUP($B1431,'PY1 TFR ADA'!$F:$AU,MATCH("B-6.5",'PY1 TFR ADA'!$F$5:$AU$5,0),FALSE)=TRUE,IF(VLOOKUP($B1431,'PY1 TFR ADA'!$F:$AU,MATCH("C-1",'PY1 TFR ADA'!$F$5:$AU$5,0),FALSE)=TRUE,"Alternative Rate","LCFF Rate"),"LCFF Rate"),0)</f>
        <v>0</v>
      </c>
      <c r="R1440" s="167"/>
      <c r="S1440" s="520"/>
      <c r="T1440" s="167"/>
      <c r="U1440" s="528"/>
      <c r="V1440" s="522"/>
    </row>
    <row r="1441" spans="1:22" ht="14.4">
      <c r="A1441" s="521"/>
      <c r="B1441" s="167"/>
      <c r="C1441" s="165"/>
      <c r="D1441" s="523"/>
      <c r="E1441" s="165"/>
      <c r="F1441" s="523"/>
      <c r="G1441" s="520"/>
      <c r="H1441" s="523"/>
      <c r="I1441" s="520"/>
      <c r="J1441" s="523"/>
      <c r="K1441" s="520"/>
      <c r="L1441" s="523"/>
      <c r="M1441" s="520"/>
      <c r="N1441" s="523"/>
      <c r="O1441" s="520"/>
      <c r="P1441" s="523"/>
      <c r="Q1441" s="520"/>
      <c r="R1441" s="167"/>
      <c r="S1441" s="520"/>
      <c r="T1441" s="167"/>
      <c r="U1441" s="528"/>
      <c r="V1441" s="522"/>
    </row>
    <row r="1442" spans="1:22" ht="14.4">
      <c r="A1442" s="521"/>
      <c r="B1442" s="2"/>
      <c r="C1442" s="8"/>
      <c r="D1442" s="8"/>
      <c r="E1442" s="8"/>
      <c r="F1442" s="523"/>
      <c r="G1442" s="535">
        <f t="shared" ref="G1442" si="2171">IF(G1440="LCFF Rate",(G1433*C1433+G1434*C1434+G1435*C1435+G1436*C1436),(G1438*E1436))</f>
        <v>0</v>
      </c>
      <c r="H1442" s="537"/>
      <c r="I1442" s="535">
        <f t="shared" ref="I1442" si="2172">IF(I1440="LCFF Rate",(I1433*C1433+I1434*C1434+I1435*C1435+I1436*C1436),(I1438*E1436))</f>
        <v>0</v>
      </c>
      <c r="J1442" s="537"/>
      <c r="K1442" s="535">
        <f t="shared" ref="K1442" si="2173">IF(K1440="LCFF Rate",(K1433*C1433+K1434*C1434+K1435*C1435+K1436*C1436),(K1438*E1436))</f>
        <v>0</v>
      </c>
      <c r="L1442" s="537"/>
      <c r="M1442" s="535">
        <f t="shared" ref="M1442" si="2174">IF(M1440="LCFF Rate",(M1433*C1433+M1434*C1434+M1435*C1435+M1436*C1436),(M1438*E1436))</f>
        <v>0</v>
      </c>
      <c r="N1442" s="537"/>
      <c r="O1442" s="535">
        <f t="shared" ref="O1442" si="2175">IF(O1440="LCFF Rate",(O1433*C1433+O1434*C1434+O1435*C1435+O1436*C1436),(O1438*E1436))</f>
        <v>0</v>
      </c>
      <c r="P1442" s="537"/>
      <c r="Q1442" s="535">
        <f t="shared" ref="Q1442" si="2176">IF(Q1440="LCFF Rate",(Q1433*C1433+Q1434*C1434+Q1435*C1435+Q1436*C1436),(Q1438*E1436))</f>
        <v>0</v>
      </c>
      <c r="R1442" s="167"/>
      <c r="S1442" s="538">
        <f t="shared" ref="S1442" si="2177">SUM(G1442:Q1442)</f>
        <v>0</v>
      </c>
      <c r="T1442" s="167"/>
      <c r="U1442" s="528"/>
      <c r="V1442" s="522"/>
    </row>
    <row r="1443" spans="1:22" ht="15" thickBot="1">
      <c r="A1443" s="529"/>
      <c r="B1443" s="530"/>
      <c r="C1443" s="531"/>
      <c r="D1443" s="532"/>
      <c r="E1443" s="533"/>
      <c r="F1443" s="532"/>
      <c r="G1443" s="530"/>
      <c r="H1443" s="532"/>
      <c r="I1443" s="530"/>
      <c r="J1443" s="532"/>
      <c r="K1443" s="530"/>
      <c r="L1443" s="532"/>
      <c r="M1443" s="530"/>
      <c r="N1443" s="532"/>
      <c r="O1443" s="530"/>
      <c r="P1443" s="532"/>
      <c r="Q1443" s="530"/>
      <c r="R1443" s="532"/>
      <c r="S1443" s="530"/>
      <c r="T1443" s="532"/>
      <c r="U1443" s="532"/>
      <c r="V1443" s="534"/>
    </row>
    <row r="1444" spans="1:22" ht="18.600000000000001" thickBot="1">
      <c r="A1444" s="890">
        <f>+A1431+1</f>
        <v>111</v>
      </c>
      <c r="B1444" s="891" t="str">
        <f>'Data Entry'!$B$3&amp;"-"&amp;C1444</f>
        <v>-</v>
      </c>
      <c r="C1444" s="891" t="str">
        <f>IFERROR(VLOOKUP('Data Entry'!$B$3&amp;"-"&amp;A1444,'PY1 TFR ADA'!$D:$AT,2,FALSE),"")</f>
        <v/>
      </c>
      <c r="D1444" s="892" t="str">
        <f>IFERROR(VLOOKUP('Data Entry'!$B$3&amp;"-"&amp;A1444,'PY1 TFR ADA'!$D:$AT,4,FALSE),"")</f>
        <v/>
      </c>
      <c r="E1444" s="893"/>
      <c r="F1444" s="893"/>
      <c r="G1444" s="893"/>
      <c r="H1444" s="893"/>
      <c r="I1444" s="893"/>
      <c r="J1444" s="893"/>
      <c r="K1444" s="893"/>
      <c r="L1444" s="893"/>
      <c r="M1444" s="893"/>
      <c r="N1444" s="893"/>
      <c r="O1444" s="893"/>
      <c r="P1444" s="893"/>
      <c r="Q1444" s="893"/>
      <c r="R1444" s="893"/>
      <c r="S1444" s="893"/>
      <c r="T1444" s="893"/>
      <c r="U1444" s="893"/>
      <c r="V1444" s="894"/>
    </row>
    <row r="1445" spans="1:22" ht="69">
      <c r="A1445" s="521"/>
      <c r="C1445" s="540" t="s">
        <v>1315</v>
      </c>
      <c r="D1445" s="512"/>
      <c r="E1445" s="540" t="s">
        <v>1316</v>
      </c>
      <c r="F1445" s="512"/>
      <c r="G1445" s="540" t="s">
        <v>1309</v>
      </c>
      <c r="H1445" s="512"/>
      <c r="I1445" s="540" t="s">
        <v>1310</v>
      </c>
      <c r="J1445" s="512"/>
      <c r="K1445" s="540" t="s">
        <v>1311</v>
      </c>
      <c r="L1445" s="512"/>
      <c r="M1445" s="540" t="s">
        <v>1312</v>
      </c>
      <c r="N1445" s="512"/>
      <c r="O1445" s="540" t="s">
        <v>1313</v>
      </c>
      <c r="P1445" s="512"/>
      <c r="Q1445" s="540" t="s">
        <v>1314</v>
      </c>
      <c r="R1445" s="167"/>
      <c r="S1445" s="540" t="s">
        <v>1308</v>
      </c>
      <c r="T1445" s="167"/>
      <c r="U1445" s="512" t="s">
        <v>1307</v>
      </c>
      <c r="V1445" s="524"/>
    </row>
    <row r="1446" spans="1:22" ht="14.4">
      <c r="A1446" s="521"/>
      <c r="B1446" s="510" t="s">
        <v>94</v>
      </c>
      <c r="C1446" s="525">
        <f>IFERROR(VLOOKUP($B1444,'PY1 TFR ADA'!$F:$AU,MATCH("A-1.1",'PY1 TFR ADA'!$F$5:$AU$5,0),FALSE),0)</f>
        <v>0</v>
      </c>
      <c r="D1446" s="167"/>
      <c r="E1446" s="525">
        <f>IFERROR(VALUE(VLOOKUP($B1444,'PY1 TFR ADA'!$F:$AU,MATCH("A-2.1",'PY1 TFR ADA'!$F$5:$AU$5,0),FALSE)),0)</f>
        <v>0</v>
      </c>
      <c r="F1446" s="167"/>
      <c r="G1446" s="609">
        <f>IFERROR(VLOOKUP($B1444,'PY1 TFR ADA'!$F:$AU,MATCH("b-1.1",'PY1 TFR ADA'!$F$5:$AU$5,0),FALSE),0)</f>
        <v>0</v>
      </c>
      <c r="H1446" s="527"/>
      <c r="I1446" s="609">
        <f>IFERROR(VLOOKUP($B1444,'PY1 TFR ADA'!$F:$AU,MATCH("b-2.1",'PY1 TFR ADA'!$F$5:$AU$5,0),FALSE),0)</f>
        <v>0</v>
      </c>
      <c r="J1446" s="527"/>
      <c r="K1446" s="609">
        <f>IFERROR(VLOOKUP($B1444,'PY1 TFR ADA'!$F:$AU,MATCH("b-3.1",'PY1 TFR ADA'!$F$5:$AU$5,0),FALSE),0)</f>
        <v>0</v>
      </c>
      <c r="L1446" s="527"/>
      <c r="M1446" s="609">
        <f>IFERROR(VLOOKUP($B1444,'PY1 TFR ADA'!$F:$AU,MATCH("b-4.1",'PY1 TFR ADA'!$F$5:$AU$5,0),FALSE),0)</f>
        <v>0</v>
      </c>
      <c r="N1446" s="527"/>
      <c r="O1446" s="609">
        <f>IFERROR(VLOOKUP($B1444,'PY1 TFR ADA'!$F:$AU,MATCH("b-5.1",'PY1 TFR ADA'!$F$5:$AU$5,0),FALSE),0)</f>
        <v>0</v>
      </c>
      <c r="P1446" s="527"/>
      <c r="Q1446" s="609">
        <f>IFERROR(VLOOKUP($B1444,'PY1 TFR ADA'!$F:$AU,MATCH("b-6.1",'PY1 TFR ADA'!$F$5:$AU$5,0),FALSE),0)</f>
        <v>0</v>
      </c>
      <c r="R1446" s="551"/>
      <c r="S1446" s="601">
        <f t="shared" ref="S1446:S1449" si="2178">SUM(G1446:Q1446)</f>
        <v>0</v>
      </c>
      <c r="T1446" s="551"/>
      <c r="U1446" s="536">
        <f t="shared" ref="U1446" si="2179">ROUND(IF($G1453="LCFF Rate",(G1446*$C1446),(G1446*$E1446))+IF($I1453="LCFF Rate",(I1446*$C1446),(I1446*$E1446))+IF($K1453="LCFF Rate",(K1446*$C1446),(K1446*$E1446))+IF($M1453="LCFF Rate",(M1446*$C1446),(M1446*$E1446))+IF($O1453="LCFF Rate",(O1446*$C1446),(O1446*$E1446))+IF($Q1453="LCFF Rate",(Q1446*$C1446),(Q1446*$E1446)),0)</f>
        <v>0</v>
      </c>
      <c r="V1446" s="524"/>
    </row>
    <row r="1447" spans="1:22" ht="14.4">
      <c r="A1447" s="521"/>
      <c r="B1447" s="510" t="s">
        <v>2</v>
      </c>
      <c r="C1447" s="525">
        <f>IFERROR(VLOOKUP($B1444,'PY1 TFR ADA'!$F:$AU,MATCH("A-1.2",'PY1 TFR ADA'!$F$5:$AU$5,0),FALSE),0)</f>
        <v>0</v>
      </c>
      <c r="D1447" s="167"/>
      <c r="E1447" s="525">
        <f>IFERROR(VALUE(VLOOKUP($B1444,'PY1 TFR ADA'!$F:$AU,MATCH("A-2.2",'PY1 TFR ADA'!$F$5:$AU$5,0),FALSE)),0)</f>
        <v>0</v>
      </c>
      <c r="F1447" s="167"/>
      <c r="G1447" s="609">
        <f>IFERROR(VLOOKUP($B1444,'PY1 TFR ADA'!$F:$AU,MATCH("b-1.2",'PY1 TFR ADA'!$F$5:$AU$5,0),FALSE),0)</f>
        <v>0</v>
      </c>
      <c r="H1447" s="527"/>
      <c r="I1447" s="609">
        <f>IFERROR(VLOOKUP($B1444,'PY1 TFR ADA'!$F:$AU,MATCH("b-2.2",'PY1 TFR ADA'!$F$5:$AU$5,0),FALSE),0)</f>
        <v>0</v>
      </c>
      <c r="J1447" s="527"/>
      <c r="K1447" s="609">
        <f>IFERROR(VLOOKUP($B1444,'PY1 TFR ADA'!$F:$AU,MATCH("b-3.2",'PY1 TFR ADA'!$F$5:$AU$5,0),FALSE),0)</f>
        <v>0</v>
      </c>
      <c r="L1447" s="527"/>
      <c r="M1447" s="609">
        <f>IFERROR(VLOOKUP($B1444,'PY1 TFR ADA'!$F:$AU,MATCH("b-4.2",'PY1 TFR ADA'!$F$5:$AU$5,0),FALSE),0)</f>
        <v>0</v>
      </c>
      <c r="N1447" s="527"/>
      <c r="O1447" s="609">
        <f>IFERROR(VLOOKUP($B1444,'PY1 TFR ADA'!$F:$AU,MATCH("b-5.2",'PY1 TFR ADA'!$F$5:$AU$5,0),FALSE),0)</f>
        <v>0</v>
      </c>
      <c r="P1447" s="527"/>
      <c r="Q1447" s="609">
        <f>IFERROR(VLOOKUP($B1444,'PY1 TFR ADA'!$F:$AU,MATCH("b-6.2",'PY1 TFR ADA'!$F$5:$AU$5,0),FALSE),0)</f>
        <v>0</v>
      </c>
      <c r="R1447" s="551"/>
      <c r="S1447" s="601">
        <f t="shared" si="2178"/>
        <v>0</v>
      </c>
      <c r="T1447" s="551"/>
      <c r="U1447" s="536">
        <f t="shared" ref="U1447" si="2180">ROUND(IF($G1453="LCFF Rate",(G1447*$C1447),(G1447*$E1447))+IF($I1453="LCFF Rate",(I1447*$C1447),(I1447*$E1447))+IF($K1453="LCFF Rate",(K1447*$C1447),(K1447*$E1447))+IF($M1453="LCFF Rate",(M1447*$C1447),(M1447*$E1447))+IF($O1453="LCFF Rate",(O1447*$C1447),(O1447*$E1447))+IF($Q1453="LCFF Rate",(Q1447*$C1447),(Q1447*$E1447)),0)</f>
        <v>0</v>
      </c>
      <c r="V1447" s="524"/>
    </row>
    <row r="1448" spans="1:22" ht="14.4">
      <c r="A1448" s="521"/>
      <c r="B1448" s="510" t="s">
        <v>3</v>
      </c>
      <c r="C1448" s="525">
        <f>IFERROR(VLOOKUP($B1444,'PY1 TFR ADA'!$F:$AU,MATCH("A-1.3",'PY1 TFR ADA'!$F$5:$AU$5,0),FALSE),0)</f>
        <v>0</v>
      </c>
      <c r="D1448" s="167"/>
      <c r="E1448" s="525">
        <f>IFERROR(VALUE(VLOOKUP($B1444,'PY1 TFR ADA'!$F:$AU,MATCH("A-2.3",'PY1 TFR ADA'!$F$5:$AU$5,0),FALSE)),0)</f>
        <v>0</v>
      </c>
      <c r="F1448" s="167"/>
      <c r="G1448" s="609">
        <f>IFERROR(VLOOKUP($B1444,'PY1 TFR ADA'!$F:$AU,MATCH("b-1.3",'PY1 TFR ADA'!$F$5:$AU$5,0),FALSE),0)</f>
        <v>0</v>
      </c>
      <c r="H1448" s="527"/>
      <c r="I1448" s="609">
        <f>IFERROR(VLOOKUP($B1444,'PY1 TFR ADA'!$F:$AU,MATCH("b-2.3",'PY1 TFR ADA'!$F$5:$AU$5,0),FALSE),0)</f>
        <v>0</v>
      </c>
      <c r="J1448" s="527"/>
      <c r="K1448" s="609">
        <f>IFERROR(VLOOKUP($B1444,'PY1 TFR ADA'!$F:$AU,MATCH("b-3.3",'PY1 TFR ADA'!$F$5:$AU$5,0),FALSE),0)</f>
        <v>0</v>
      </c>
      <c r="L1448" s="527"/>
      <c r="M1448" s="609">
        <f>IFERROR(VLOOKUP($B1444,'PY1 TFR ADA'!$F:$AU,MATCH("b-4.3",'PY1 TFR ADA'!$F$5:$AU$5,0),FALSE),0)</f>
        <v>0</v>
      </c>
      <c r="N1448" s="527"/>
      <c r="O1448" s="609">
        <f>IFERROR(VLOOKUP($B1444,'PY1 TFR ADA'!$F:$AU,MATCH("b-5.3",'PY1 TFR ADA'!$F$5:$AU$5,0),FALSE),0)</f>
        <v>0</v>
      </c>
      <c r="P1448" s="527"/>
      <c r="Q1448" s="609">
        <f>IFERROR(VLOOKUP($B1444,'PY1 TFR ADA'!$F:$AU,MATCH("b-6.3",'PY1 TFR ADA'!$F$5:$AU$5,0),FALSE),0)</f>
        <v>0</v>
      </c>
      <c r="R1448" s="551"/>
      <c r="S1448" s="601">
        <f t="shared" si="2178"/>
        <v>0</v>
      </c>
      <c r="T1448" s="551"/>
      <c r="U1448" s="536">
        <f t="shared" ref="U1448" si="2181">ROUND(IF($G1453="LCFF Rate",(G1448*$C1448),(G1448*$E1448))+IF($I1453="LCFF Rate",(I1448*$C1448),(I1448*$E1448))+IF($K1453="LCFF Rate",(K1448*$C1448),(K1448*$E1448))+IF($M1453="LCFF Rate",(M1448*$C1448),(M1448*$E1448))+IF($O1453="LCFF Rate",(O1448*$C1448),(O1448*$E1448))+IF($Q1453="LCFF Rate",(Q1448*$C1448),(Q1448*$E1448)),0)</f>
        <v>0</v>
      </c>
      <c r="V1448" s="524"/>
    </row>
    <row r="1449" spans="1:22" ht="14.4">
      <c r="A1449" s="526"/>
      <c r="B1449" s="510" t="s">
        <v>4</v>
      </c>
      <c r="C1449" s="525">
        <f>IFERROR(VLOOKUP($B1444,'PY1 TFR ADA'!$F:$AU,MATCH("A-1.4",'PY1 TFR ADA'!$F$5:$AU$5,0),FALSE),0)</f>
        <v>0</v>
      </c>
      <c r="D1449" s="523"/>
      <c r="E1449" s="525">
        <f>IFERROR(VALUE(VLOOKUP($B1444,'PY1 TFR ADA'!$F:$AU,MATCH("A-2.4",'PY1 TFR ADA'!$F$5:$AU$5,0),FALSE)),0)</f>
        <v>0</v>
      </c>
      <c r="F1449" s="523"/>
      <c r="G1449" s="609">
        <f>IFERROR(VLOOKUP($B1444,'PY1 TFR ADA'!$F:$AU,MATCH("b-1.4",'PY1 TFR ADA'!$F$5:$AU$5,0),FALSE),0)</f>
        <v>0</v>
      </c>
      <c r="H1449" s="527"/>
      <c r="I1449" s="609">
        <f>IFERROR(VLOOKUP($B1444,'PY1 TFR ADA'!$F:$AU,MATCH("b-2.4",'PY1 TFR ADA'!$F$5:$AU$5,0),FALSE),0)</f>
        <v>0</v>
      </c>
      <c r="J1449" s="527"/>
      <c r="K1449" s="609">
        <f>IFERROR(VLOOKUP($B1444,'PY1 TFR ADA'!$F:$AU,MATCH("b-3.4",'PY1 TFR ADA'!$F$5:$AU$5,0),FALSE),0)</f>
        <v>0</v>
      </c>
      <c r="L1449" s="527"/>
      <c r="M1449" s="609">
        <f>IFERROR(VLOOKUP($B1444,'PY1 TFR ADA'!$F:$AU,MATCH("b-4.4",'PY1 TFR ADA'!$F$5:$AU$5,0),FALSE),0)</f>
        <v>0</v>
      </c>
      <c r="N1449" s="527"/>
      <c r="O1449" s="609">
        <f>IFERROR(VLOOKUP($B1444,'PY1 TFR ADA'!$F:$AU,MATCH("b-5.4",'PY1 TFR ADA'!$F$5:$AU$5,0),FALSE),0)</f>
        <v>0</v>
      </c>
      <c r="P1449" s="527"/>
      <c r="Q1449" s="609">
        <f>IFERROR(VLOOKUP($B1444,'PY1 TFR ADA'!$F:$AU,MATCH("b-6.4",'PY1 TFR ADA'!$F$5:$AU$5,0),FALSE),0)</f>
        <v>0</v>
      </c>
      <c r="R1449" s="551"/>
      <c r="S1449" s="601">
        <f t="shared" si="2178"/>
        <v>0</v>
      </c>
      <c r="T1449" s="551"/>
      <c r="U1449" s="536">
        <f t="shared" ref="U1449" si="2182">ROUND(IF($G1453="LCFF Rate",(G1449*$C1449),(G1449*$E1449))+IF($I1453="LCFF Rate",(I1449*$C1449),(I1449*$E1449))+IF($K1453="LCFF Rate",(K1449*$C1449),(K1449*$E1449))+IF($M1453="LCFF Rate",(M1449*$C1449),(M1449*$E1449))+IF($O1453="LCFF Rate",(O1449*$C1449),(O1449*$E1449))+IF($Q1453="LCFF Rate",(Q1449*$C1449),(Q1449*$E1449)),0)</f>
        <v>0</v>
      </c>
      <c r="V1449" s="522"/>
    </row>
    <row r="1450" spans="1:22" ht="14.4">
      <c r="A1450" s="521"/>
      <c r="B1450" s="167"/>
      <c r="C1450" s="165"/>
      <c r="D1450" s="523"/>
      <c r="E1450" s="165"/>
      <c r="F1450" s="523"/>
      <c r="G1450" s="520"/>
      <c r="H1450" s="523"/>
      <c r="I1450" s="520"/>
      <c r="J1450" s="523"/>
      <c r="K1450" s="520"/>
      <c r="L1450" s="523"/>
      <c r="M1450" s="520"/>
      <c r="N1450" s="523"/>
      <c r="O1450" s="520"/>
      <c r="P1450" s="523"/>
      <c r="Q1450" s="520"/>
      <c r="R1450" s="167"/>
      <c r="S1450" s="520"/>
      <c r="T1450" s="167"/>
      <c r="U1450" s="602"/>
      <c r="V1450" s="522"/>
    </row>
    <row r="1451" spans="1:22" ht="14.4">
      <c r="A1451" s="521"/>
      <c r="B1451" s="167"/>
      <c r="C1451" s="165"/>
      <c r="D1451" s="523"/>
      <c r="E1451" s="513" t="s">
        <v>1317</v>
      </c>
      <c r="F1451" s="523"/>
      <c r="G1451" s="601">
        <f t="shared" ref="G1451" si="2183">SUM(G1446:G1449)</f>
        <v>0</v>
      </c>
      <c r="H1451" s="527"/>
      <c r="I1451" s="601">
        <f t="shared" ref="I1451" si="2184">SUM(I1446:I1449)</f>
        <v>0</v>
      </c>
      <c r="J1451" s="527"/>
      <c r="K1451" s="601">
        <f t="shared" ref="K1451" si="2185">SUM(K1446:K1449)</f>
        <v>0</v>
      </c>
      <c r="L1451" s="527"/>
      <c r="M1451" s="601">
        <f t="shared" ref="M1451" si="2186">SUM(M1446:M1449)</f>
        <v>0</v>
      </c>
      <c r="N1451" s="527"/>
      <c r="O1451" s="601">
        <f t="shared" ref="O1451" si="2187">SUM(O1446:O1449)</f>
        <v>0</v>
      </c>
      <c r="P1451" s="527"/>
      <c r="Q1451" s="601">
        <f t="shared" ref="Q1451" si="2188">SUM(Q1446:Q1449)</f>
        <v>0</v>
      </c>
      <c r="R1451" s="527"/>
      <c r="S1451" s="601">
        <f t="shared" ref="S1451" si="2189">SUM(S1446:S1449)</f>
        <v>0</v>
      </c>
      <c r="T1451" s="527"/>
      <c r="U1451" s="536">
        <f t="shared" ref="U1451" si="2190">SUM(U1446:U1449)</f>
        <v>0</v>
      </c>
      <c r="V1451" s="522"/>
    </row>
    <row r="1452" spans="1:22" ht="14.4">
      <c r="A1452" s="521"/>
      <c r="B1452" s="167"/>
      <c r="C1452" s="165"/>
      <c r="D1452" s="523"/>
      <c r="E1452" s="165"/>
      <c r="F1452" s="523"/>
      <c r="G1452" s="520"/>
      <c r="H1452" s="523"/>
      <c r="I1452" s="520"/>
      <c r="J1452" s="523"/>
      <c r="K1452" s="520"/>
      <c r="L1452" s="523"/>
      <c r="M1452" s="520"/>
      <c r="N1452" s="523"/>
      <c r="O1452" s="520"/>
      <c r="P1452" s="523"/>
      <c r="Q1452" s="520"/>
      <c r="R1452" s="167"/>
      <c r="S1452" s="520"/>
      <c r="T1452" s="167"/>
      <c r="U1452" s="528"/>
      <c r="V1452" s="522"/>
    </row>
    <row r="1453" spans="1:22" ht="14.4">
      <c r="A1453" s="521"/>
      <c r="B1453" s="167"/>
      <c r="C1453" s="165"/>
      <c r="D1453" s="8"/>
      <c r="E1453" s="513" t="s">
        <v>1304</v>
      </c>
      <c r="F1453" s="523"/>
      <c r="G1453" s="977">
        <f>_xlfn.IFNA(IF(VLOOKUP($B1444,'PY1 TFR ADA'!$F:$AU,MATCH("B-1.5",'PY1 TFR ADA'!$F$5:$AU$5,0),FALSE)=TRUE,IF(VLOOKUP($B1444,'PY1 TFR ADA'!$F:$AU,MATCH("C-1",'PY1 TFR ADA'!$F$5:$AU$5,0),FALSE)=TRUE,"Alternative Rate","LCFF Rate"),"LCFF Rate"),0)</f>
        <v>0</v>
      </c>
      <c r="H1453" s="523"/>
      <c r="I1453" s="977">
        <f>_xlfn.IFNA(IF(VLOOKUP($B1444,'PY1 TFR ADA'!$F:$AU,MATCH("B-2.5",'PY1 TFR ADA'!$F$5:$AU$5,0),FALSE)=TRUE,IF(VLOOKUP($B1444,'PY1 TFR ADA'!$F:$AU,MATCH("C-1",'PY1 TFR ADA'!$F$5:$AU$5,0),FALSE)=TRUE,"Alternative Rate","LCFF Rate"),"LCFF Rate"),0)</f>
        <v>0</v>
      </c>
      <c r="J1453" s="523"/>
      <c r="K1453" s="977">
        <f>_xlfn.IFNA(IF(VLOOKUP($B1444,'PY1 TFR ADA'!$F:$AU,MATCH("B-3.5",'PY1 TFR ADA'!$F$5:$AU$5,0),FALSE)=TRUE,IF(VLOOKUP($B1444,'PY1 TFR ADA'!$F:$AU,MATCH("C-1",'PY1 TFR ADA'!$F$5:$AU$5,0),FALSE)=TRUE,"Alternative Rate","LCFF Rate"),"LCFF Rate"),0)</f>
        <v>0</v>
      </c>
      <c r="L1453" s="523"/>
      <c r="M1453" s="977">
        <f>_xlfn.IFNA(IF(VLOOKUP($B1444,'PY1 TFR ADA'!$F:$AU,MATCH("B-4.5",'PY1 TFR ADA'!$F$5:$AU$5,0),FALSE)=TRUE,IF(VLOOKUP($B1444,'PY1 TFR ADA'!$F:$AU,MATCH("C-1",'PY1 TFR ADA'!$F$5:$AU$5,0),FALSE)=TRUE,"Alternative Rate","LCFF Rate"),"LCFF Rate"),0)</f>
        <v>0</v>
      </c>
      <c r="N1453" s="523"/>
      <c r="O1453" s="977">
        <f>_xlfn.IFNA(IF(VLOOKUP($B1444,'PY1 TFR ADA'!$F:$AU,MATCH("B-5.5",'PY1 TFR ADA'!$F$5:$AU$5,0),FALSE)=TRUE,IF(VLOOKUP($B1444,'PY1 TFR ADA'!$F:$AU,MATCH("C-1",'PY1 TFR ADA'!$F$5:$AU$5,0),FALSE)=TRUE,"Alternative Rate","LCFF Rate"),"LCFF Rate"),0)</f>
        <v>0</v>
      </c>
      <c r="P1453" s="523"/>
      <c r="Q1453" s="977">
        <f>_xlfn.IFNA(IF(VLOOKUP($B1444,'PY1 TFR ADA'!$F:$AU,MATCH("B-6.5",'PY1 TFR ADA'!$F$5:$AU$5,0),FALSE)=TRUE,IF(VLOOKUP($B1444,'PY1 TFR ADA'!$F:$AU,MATCH("C-1",'PY1 TFR ADA'!$F$5:$AU$5,0),FALSE)=TRUE,"Alternative Rate","LCFF Rate"),"LCFF Rate"),0)</f>
        <v>0</v>
      </c>
      <c r="R1453" s="167"/>
      <c r="S1453" s="520"/>
      <c r="T1453" s="167"/>
      <c r="U1453" s="528"/>
      <c r="V1453" s="522"/>
    </row>
    <row r="1454" spans="1:22" ht="14.4">
      <c r="A1454" s="521"/>
      <c r="B1454" s="167"/>
      <c r="C1454" s="165"/>
      <c r="D1454" s="523"/>
      <c r="E1454" s="165"/>
      <c r="F1454" s="523"/>
      <c r="G1454" s="520"/>
      <c r="H1454" s="523"/>
      <c r="I1454" s="520"/>
      <c r="J1454" s="523"/>
      <c r="K1454" s="520"/>
      <c r="L1454" s="523"/>
      <c r="M1454" s="520"/>
      <c r="N1454" s="523"/>
      <c r="O1454" s="520"/>
      <c r="P1454" s="523"/>
      <c r="Q1454" s="520"/>
      <c r="R1454" s="167"/>
      <c r="S1454" s="520"/>
      <c r="T1454" s="167"/>
      <c r="U1454" s="528"/>
      <c r="V1454" s="522"/>
    </row>
    <row r="1455" spans="1:22" ht="14.4">
      <c r="A1455" s="521"/>
      <c r="B1455" s="2"/>
      <c r="C1455" s="8"/>
      <c r="D1455" s="8"/>
      <c r="E1455" s="8"/>
      <c r="F1455" s="523"/>
      <c r="G1455" s="535">
        <f t="shared" ref="G1455" si="2191">IF(G1453="LCFF Rate",(G1446*C1446+G1447*C1447+G1448*C1448+G1449*C1449),(G1451*E1449))</f>
        <v>0</v>
      </c>
      <c r="H1455" s="537"/>
      <c r="I1455" s="535">
        <f t="shared" ref="I1455" si="2192">IF(I1453="LCFF Rate",(I1446*C1446+I1447*C1447+I1448*C1448+I1449*C1449),(I1451*E1449))</f>
        <v>0</v>
      </c>
      <c r="J1455" s="537"/>
      <c r="K1455" s="535">
        <f t="shared" ref="K1455" si="2193">IF(K1453="LCFF Rate",(K1446*C1446+K1447*C1447+K1448*C1448+K1449*C1449),(K1451*E1449))</f>
        <v>0</v>
      </c>
      <c r="L1455" s="537"/>
      <c r="M1455" s="535">
        <f t="shared" ref="M1455" si="2194">IF(M1453="LCFF Rate",(M1446*C1446+M1447*C1447+M1448*C1448+M1449*C1449),(M1451*E1449))</f>
        <v>0</v>
      </c>
      <c r="N1455" s="537"/>
      <c r="O1455" s="535">
        <f t="shared" ref="O1455" si="2195">IF(O1453="LCFF Rate",(O1446*C1446+O1447*C1447+O1448*C1448+O1449*C1449),(O1451*E1449))</f>
        <v>0</v>
      </c>
      <c r="P1455" s="537"/>
      <c r="Q1455" s="535">
        <f t="shared" ref="Q1455" si="2196">IF(Q1453="LCFF Rate",(Q1446*C1446+Q1447*C1447+Q1448*C1448+Q1449*C1449),(Q1451*E1449))</f>
        <v>0</v>
      </c>
      <c r="R1455" s="167"/>
      <c r="S1455" s="538">
        <f t="shared" ref="S1455" si="2197">SUM(G1455:Q1455)</f>
        <v>0</v>
      </c>
      <c r="T1455" s="167"/>
      <c r="U1455" s="528"/>
      <c r="V1455" s="522"/>
    </row>
    <row r="1456" spans="1:22" ht="15" thickBot="1">
      <c r="A1456" s="529"/>
      <c r="B1456" s="530"/>
      <c r="C1456" s="531"/>
      <c r="D1456" s="532"/>
      <c r="E1456" s="533"/>
      <c r="F1456" s="532"/>
      <c r="G1456" s="530"/>
      <c r="H1456" s="532"/>
      <c r="I1456" s="530"/>
      <c r="J1456" s="532"/>
      <c r="K1456" s="530"/>
      <c r="L1456" s="532"/>
      <c r="M1456" s="530"/>
      <c r="N1456" s="532"/>
      <c r="O1456" s="530"/>
      <c r="P1456" s="532"/>
      <c r="Q1456" s="530"/>
      <c r="R1456" s="532"/>
      <c r="S1456" s="530"/>
      <c r="T1456" s="532"/>
      <c r="U1456" s="532"/>
      <c r="V1456" s="534"/>
    </row>
    <row r="1457" spans="1:22" ht="18.600000000000001" thickBot="1">
      <c r="A1457" s="890">
        <f>+A1444+1</f>
        <v>112</v>
      </c>
      <c r="B1457" s="891" t="str">
        <f>'Data Entry'!$B$3&amp;"-"&amp;C1457</f>
        <v>-</v>
      </c>
      <c r="C1457" s="891" t="str">
        <f>IFERROR(VLOOKUP('Data Entry'!$B$3&amp;"-"&amp;A1457,'PY1 TFR ADA'!$D:$AT,2,FALSE),"")</f>
        <v/>
      </c>
      <c r="D1457" s="892" t="str">
        <f>IFERROR(VLOOKUP('Data Entry'!$B$3&amp;"-"&amp;A1457,'PY1 TFR ADA'!$D:$AT,4,FALSE),"")</f>
        <v/>
      </c>
      <c r="E1457" s="893"/>
      <c r="F1457" s="893"/>
      <c r="G1457" s="893"/>
      <c r="H1457" s="893"/>
      <c r="I1457" s="893"/>
      <c r="J1457" s="893"/>
      <c r="K1457" s="893"/>
      <c r="L1457" s="893"/>
      <c r="M1457" s="893"/>
      <c r="N1457" s="893"/>
      <c r="O1457" s="893"/>
      <c r="P1457" s="893"/>
      <c r="Q1457" s="893"/>
      <c r="R1457" s="893"/>
      <c r="S1457" s="893"/>
      <c r="T1457" s="893"/>
      <c r="U1457" s="893"/>
      <c r="V1457" s="894"/>
    </row>
    <row r="1458" spans="1:22" ht="69">
      <c r="A1458" s="521"/>
      <c r="C1458" s="540" t="s">
        <v>1315</v>
      </c>
      <c r="D1458" s="512"/>
      <c r="E1458" s="540" t="s">
        <v>1316</v>
      </c>
      <c r="F1458" s="512"/>
      <c r="G1458" s="540" t="s">
        <v>1309</v>
      </c>
      <c r="H1458" s="512"/>
      <c r="I1458" s="540" t="s">
        <v>1310</v>
      </c>
      <c r="J1458" s="512"/>
      <c r="K1458" s="540" t="s">
        <v>1311</v>
      </c>
      <c r="L1458" s="512"/>
      <c r="M1458" s="540" t="s">
        <v>1312</v>
      </c>
      <c r="N1458" s="512"/>
      <c r="O1458" s="540" t="s">
        <v>1313</v>
      </c>
      <c r="P1458" s="512"/>
      <c r="Q1458" s="540" t="s">
        <v>1314</v>
      </c>
      <c r="R1458" s="167"/>
      <c r="S1458" s="540" t="s">
        <v>1308</v>
      </c>
      <c r="T1458" s="167"/>
      <c r="U1458" s="512" t="s">
        <v>1307</v>
      </c>
      <c r="V1458" s="524"/>
    </row>
    <row r="1459" spans="1:22" ht="14.4">
      <c r="A1459" s="521"/>
      <c r="B1459" s="510" t="s">
        <v>94</v>
      </c>
      <c r="C1459" s="525">
        <f>IFERROR(VLOOKUP($B1457,'PY1 TFR ADA'!$F:$AU,MATCH("A-1.1",'PY1 TFR ADA'!$F$5:$AU$5,0),FALSE),0)</f>
        <v>0</v>
      </c>
      <c r="D1459" s="167"/>
      <c r="E1459" s="525">
        <f>IFERROR(VALUE(VLOOKUP($B1457,'PY1 TFR ADA'!$F:$AU,MATCH("A-2.1",'PY1 TFR ADA'!$F$5:$AU$5,0),FALSE)),0)</f>
        <v>0</v>
      </c>
      <c r="F1459" s="167"/>
      <c r="G1459" s="609">
        <f>IFERROR(VLOOKUP($B1457,'PY1 TFR ADA'!$F:$AU,MATCH("b-1.1",'PY1 TFR ADA'!$F$5:$AU$5,0),FALSE),0)</f>
        <v>0</v>
      </c>
      <c r="H1459" s="527"/>
      <c r="I1459" s="609">
        <f>IFERROR(VLOOKUP($B1457,'PY1 TFR ADA'!$F:$AU,MATCH("b-2.1",'PY1 TFR ADA'!$F$5:$AU$5,0),FALSE),0)</f>
        <v>0</v>
      </c>
      <c r="J1459" s="527"/>
      <c r="K1459" s="609">
        <f>IFERROR(VLOOKUP($B1457,'PY1 TFR ADA'!$F:$AU,MATCH("b-3.1",'PY1 TFR ADA'!$F$5:$AU$5,0),FALSE),0)</f>
        <v>0</v>
      </c>
      <c r="L1459" s="527"/>
      <c r="M1459" s="609">
        <f>IFERROR(VLOOKUP($B1457,'PY1 TFR ADA'!$F:$AU,MATCH("b-4.1",'PY1 TFR ADA'!$F$5:$AU$5,0),FALSE),0)</f>
        <v>0</v>
      </c>
      <c r="N1459" s="527"/>
      <c r="O1459" s="609">
        <f>IFERROR(VLOOKUP($B1457,'PY1 TFR ADA'!$F:$AU,MATCH("b-5.1",'PY1 TFR ADA'!$F$5:$AU$5,0),FALSE),0)</f>
        <v>0</v>
      </c>
      <c r="P1459" s="527"/>
      <c r="Q1459" s="609">
        <f>IFERROR(VLOOKUP($B1457,'PY1 TFR ADA'!$F:$AU,MATCH("b-6.1",'PY1 TFR ADA'!$F$5:$AU$5,0),FALSE),0)</f>
        <v>0</v>
      </c>
      <c r="R1459" s="551"/>
      <c r="S1459" s="601">
        <f t="shared" ref="S1459:S1462" si="2198">SUM(G1459:Q1459)</f>
        <v>0</v>
      </c>
      <c r="T1459" s="551"/>
      <c r="U1459" s="536">
        <f t="shared" ref="U1459" si="2199">ROUND(IF($G1466="LCFF Rate",(G1459*$C1459),(G1459*$E1459))+IF($I1466="LCFF Rate",(I1459*$C1459),(I1459*$E1459))+IF($K1466="LCFF Rate",(K1459*$C1459),(K1459*$E1459))+IF($M1466="LCFF Rate",(M1459*$C1459),(M1459*$E1459))+IF($O1466="LCFF Rate",(O1459*$C1459),(O1459*$E1459))+IF($Q1466="LCFF Rate",(Q1459*$C1459),(Q1459*$E1459)),0)</f>
        <v>0</v>
      </c>
      <c r="V1459" s="524"/>
    </row>
    <row r="1460" spans="1:22" ht="14.4">
      <c r="A1460" s="521"/>
      <c r="B1460" s="510" t="s">
        <v>2</v>
      </c>
      <c r="C1460" s="525">
        <f>IFERROR(VLOOKUP($B1457,'PY1 TFR ADA'!$F:$AU,MATCH("A-1.2",'PY1 TFR ADA'!$F$5:$AU$5,0),FALSE),0)</f>
        <v>0</v>
      </c>
      <c r="D1460" s="167"/>
      <c r="E1460" s="525">
        <f>IFERROR(VALUE(VLOOKUP($B1457,'PY1 TFR ADA'!$F:$AU,MATCH("A-2.2",'PY1 TFR ADA'!$F$5:$AU$5,0),FALSE)),0)</f>
        <v>0</v>
      </c>
      <c r="F1460" s="167"/>
      <c r="G1460" s="609">
        <f>IFERROR(VLOOKUP($B1457,'PY1 TFR ADA'!$F:$AU,MATCH("b-1.2",'PY1 TFR ADA'!$F$5:$AU$5,0),FALSE),0)</f>
        <v>0</v>
      </c>
      <c r="H1460" s="527"/>
      <c r="I1460" s="609">
        <f>IFERROR(VLOOKUP($B1457,'PY1 TFR ADA'!$F:$AU,MATCH("b-2.2",'PY1 TFR ADA'!$F$5:$AU$5,0),FALSE),0)</f>
        <v>0</v>
      </c>
      <c r="J1460" s="527"/>
      <c r="K1460" s="609">
        <f>IFERROR(VLOOKUP($B1457,'PY1 TFR ADA'!$F:$AU,MATCH("b-3.2",'PY1 TFR ADA'!$F$5:$AU$5,0),FALSE),0)</f>
        <v>0</v>
      </c>
      <c r="L1460" s="527"/>
      <c r="M1460" s="609">
        <f>IFERROR(VLOOKUP($B1457,'PY1 TFR ADA'!$F:$AU,MATCH("b-4.2",'PY1 TFR ADA'!$F$5:$AU$5,0),FALSE),0)</f>
        <v>0</v>
      </c>
      <c r="N1460" s="527"/>
      <c r="O1460" s="609">
        <f>IFERROR(VLOOKUP($B1457,'PY1 TFR ADA'!$F:$AU,MATCH("b-5.2",'PY1 TFR ADA'!$F$5:$AU$5,0),FALSE),0)</f>
        <v>0</v>
      </c>
      <c r="P1460" s="527"/>
      <c r="Q1460" s="609">
        <f>IFERROR(VLOOKUP($B1457,'PY1 TFR ADA'!$F:$AU,MATCH("b-6.2",'PY1 TFR ADA'!$F$5:$AU$5,0),FALSE),0)</f>
        <v>0</v>
      </c>
      <c r="R1460" s="551"/>
      <c r="S1460" s="601">
        <f t="shared" si="2198"/>
        <v>0</v>
      </c>
      <c r="T1460" s="551"/>
      <c r="U1460" s="536">
        <f t="shared" ref="U1460" si="2200">ROUND(IF($G1466="LCFF Rate",(G1460*$C1460),(G1460*$E1460))+IF($I1466="LCFF Rate",(I1460*$C1460),(I1460*$E1460))+IF($K1466="LCFF Rate",(K1460*$C1460),(K1460*$E1460))+IF($M1466="LCFF Rate",(M1460*$C1460),(M1460*$E1460))+IF($O1466="LCFF Rate",(O1460*$C1460),(O1460*$E1460))+IF($Q1466="LCFF Rate",(Q1460*$C1460),(Q1460*$E1460)),0)</f>
        <v>0</v>
      </c>
      <c r="V1460" s="524"/>
    </row>
    <row r="1461" spans="1:22" ht="14.4">
      <c r="A1461" s="521"/>
      <c r="B1461" s="510" t="s">
        <v>3</v>
      </c>
      <c r="C1461" s="525">
        <f>IFERROR(VLOOKUP($B1457,'PY1 TFR ADA'!$F:$AU,MATCH("A-1.3",'PY1 TFR ADA'!$F$5:$AU$5,0),FALSE),0)</f>
        <v>0</v>
      </c>
      <c r="D1461" s="167"/>
      <c r="E1461" s="525">
        <f>IFERROR(VALUE(VLOOKUP($B1457,'PY1 TFR ADA'!$F:$AU,MATCH("A-2.3",'PY1 TFR ADA'!$F$5:$AU$5,0),FALSE)),0)</f>
        <v>0</v>
      </c>
      <c r="F1461" s="167"/>
      <c r="G1461" s="609">
        <f>IFERROR(VLOOKUP($B1457,'PY1 TFR ADA'!$F:$AU,MATCH("b-1.3",'PY1 TFR ADA'!$F$5:$AU$5,0),FALSE),0)</f>
        <v>0</v>
      </c>
      <c r="H1461" s="527"/>
      <c r="I1461" s="609">
        <f>IFERROR(VLOOKUP($B1457,'PY1 TFR ADA'!$F:$AU,MATCH("b-2.3",'PY1 TFR ADA'!$F$5:$AU$5,0),FALSE),0)</f>
        <v>0</v>
      </c>
      <c r="J1461" s="527"/>
      <c r="K1461" s="609">
        <f>IFERROR(VLOOKUP($B1457,'PY1 TFR ADA'!$F:$AU,MATCH("b-3.3",'PY1 TFR ADA'!$F$5:$AU$5,0),FALSE),0)</f>
        <v>0</v>
      </c>
      <c r="L1461" s="527"/>
      <c r="M1461" s="609">
        <f>IFERROR(VLOOKUP($B1457,'PY1 TFR ADA'!$F:$AU,MATCH("b-4.3",'PY1 TFR ADA'!$F$5:$AU$5,0),FALSE),0)</f>
        <v>0</v>
      </c>
      <c r="N1461" s="527"/>
      <c r="O1461" s="609">
        <f>IFERROR(VLOOKUP($B1457,'PY1 TFR ADA'!$F:$AU,MATCH("b-5.3",'PY1 TFR ADA'!$F$5:$AU$5,0),FALSE),0)</f>
        <v>0</v>
      </c>
      <c r="P1461" s="527"/>
      <c r="Q1461" s="609">
        <f>IFERROR(VLOOKUP($B1457,'PY1 TFR ADA'!$F:$AU,MATCH("b-6.3",'PY1 TFR ADA'!$F$5:$AU$5,0),FALSE),0)</f>
        <v>0</v>
      </c>
      <c r="R1461" s="551"/>
      <c r="S1461" s="601">
        <f t="shared" si="2198"/>
        <v>0</v>
      </c>
      <c r="T1461" s="551"/>
      <c r="U1461" s="536">
        <f t="shared" ref="U1461" si="2201">ROUND(IF($G1466="LCFF Rate",(G1461*$C1461),(G1461*$E1461))+IF($I1466="LCFF Rate",(I1461*$C1461),(I1461*$E1461))+IF($K1466="LCFF Rate",(K1461*$C1461),(K1461*$E1461))+IF($M1466="LCFF Rate",(M1461*$C1461),(M1461*$E1461))+IF($O1466="LCFF Rate",(O1461*$C1461),(O1461*$E1461))+IF($Q1466="LCFF Rate",(Q1461*$C1461),(Q1461*$E1461)),0)</f>
        <v>0</v>
      </c>
      <c r="V1461" s="524"/>
    </row>
    <row r="1462" spans="1:22" ht="14.4">
      <c r="A1462" s="526"/>
      <c r="B1462" s="510" t="s">
        <v>4</v>
      </c>
      <c r="C1462" s="525">
        <f>IFERROR(VLOOKUP($B1457,'PY1 TFR ADA'!$F:$AU,MATCH("A-1.4",'PY1 TFR ADA'!$F$5:$AU$5,0),FALSE),0)</f>
        <v>0</v>
      </c>
      <c r="D1462" s="523"/>
      <c r="E1462" s="525">
        <f>IFERROR(VALUE(VLOOKUP($B1457,'PY1 TFR ADA'!$F:$AU,MATCH("A-2.4",'PY1 TFR ADA'!$F$5:$AU$5,0),FALSE)),0)</f>
        <v>0</v>
      </c>
      <c r="F1462" s="523"/>
      <c r="G1462" s="609">
        <f>IFERROR(VLOOKUP($B1457,'PY1 TFR ADA'!$F:$AU,MATCH("b-1.4",'PY1 TFR ADA'!$F$5:$AU$5,0),FALSE),0)</f>
        <v>0</v>
      </c>
      <c r="H1462" s="527"/>
      <c r="I1462" s="609">
        <f>IFERROR(VLOOKUP($B1457,'PY1 TFR ADA'!$F:$AU,MATCH("b-2.4",'PY1 TFR ADA'!$F$5:$AU$5,0),FALSE),0)</f>
        <v>0</v>
      </c>
      <c r="J1462" s="527"/>
      <c r="K1462" s="609">
        <f>IFERROR(VLOOKUP($B1457,'PY1 TFR ADA'!$F:$AU,MATCH("b-3.4",'PY1 TFR ADA'!$F$5:$AU$5,0),FALSE),0)</f>
        <v>0</v>
      </c>
      <c r="L1462" s="527"/>
      <c r="M1462" s="609">
        <f>IFERROR(VLOOKUP($B1457,'PY1 TFR ADA'!$F:$AU,MATCH("b-4.4",'PY1 TFR ADA'!$F$5:$AU$5,0),FALSE),0)</f>
        <v>0</v>
      </c>
      <c r="N1462" s="527"/>
      <c r="O1462" s="609">
        <f>IFERROR(VLOOKUP($B1457,'PY1 TFR ADA'!$F:$AU,MATCH("b-5.4",'PY1 TFR ADA'!$F$5:$AU$5,0),FALSE),0)</f>
        <v>0</v>
      </c>
      <c r="P1462" s="527"/>
      <c r="Q1462" s="609">
        <f>IFERROR(VLOOKUP($B1457,'PY1 TFR ADA'!$F:$AU,MATCH("b-6.4",'PY1 TFR ADA'!$F$5:$AU$5,0),FALSE),0)</f>
        <v>0</v>
      </c>
      <c r="R1462" s="551"/>
      <c r="S1462" s="601">
        <f t="shared" si="2198"/>
        <v>0</v>
      </c>
      <c r="T1462" s="551"/>
      <c r="U1462" s="536">
        <f t="shared" ref="U1462" si="2202">ROUND(IF($G1466="LCFF Rate",(G1462*$C1462),(G1462*$E1462))+IF($I1466="LCFF Rate",(I1462*$C1462),(I1462*$E1462))+IF($K1466="LCFF Rate",(K1462*$C1462),(K1462*$E1462))+IF($M1466="LCFF Rate",(M1462*$C1462),(M1462*$E1462))+IF($O1466="LCFF Rate",(O1462*$C1462),(O1462*$E1462))+IF($Q1466="LCFF Rate",(Q1462*$C1462),(Q1462*$E1462)),0)</f>
        <v>0</v>
      </c>
      <c r="V1462" s="522"/>
    </row>
    <row r="1463" spans="1:22" ht="14.4">
      <c r="A1463" s="521"/>
      <c r="B1463" s="167"/>
      <c r="C1463" s="165"/>
      <c r="D1463" s="523"/>
      <c r="E1463" s="165"/>
      <c r="F1463" s="523"/>
      <c r="G1463" s="520"/>
      <c r="H1463" s="523"/>
      <c r="I1463" s="520"/>
      <c r="J1463" s="523"/>
      <c r="K1463" s="520"/>
      <c r="L1463" s="523"/>
      <c r="M1463" s="520"/>
      <c r="N1463" s="523"/>
      <c r="O1463" s="520"/>
      <c r="P1463" s="523"/>
      <c r="Q1463" s="520"/>
      <c r="R1463" s="167"/>
      <c r="S1463" s="520"/>
      <c r="T1463" s="167"/>
      <c r="U1463" s="602"/>
      <c r="V1463" s="522"/>
    </row>
    <row r="1464" spans="1:22" ht="14.4">
      <c r="A1464" s="521"/>
      <c r="B1464" s="167"/>
      <c r="C1464" s="165"/>
      <c r="D1464" s="523"/>
      <c r="E1464" s="513" t="s">
        <v>1317</v>
      </c>
      <c r="F1464" s="523"/>
      <c r="G1464" s="601">
        <f t="shared" ref="G1464" si="2203">SUM(G1459:G1462)</f>
        <v>0</v>
      </c>
      <c r="H1464" s="527"/>
      <c r="I1464" s="601">
        <f t="shared" ref="I1464" si="2204">SUM(I1459:I1462)</f>
        <v>0</v>
      </c>
      <c r="J1464" s="527"/>
      <c r="K1464" s="601">
        <f t="shared" ref="K1464" si="2205">SUM(K1459:K1462)</f>
        <v>0</v>
      </c>
      <c r="L1464" s="527"/>
      <c r="M1464" s="601">
        <f t="shared" ref="M1464" si="2206">SUM(M1459:M1462)</f>
        <v>0</v>
      </c>
      <c r="N1464" s="527"/>
      <c r="O1464" s="601">
        <f t="shared" ref="O1464" si="2207">SUM(O1459:O1462)</f>
        <v>0</v>
      </c>
      <c r="P1464" s="527"/>
      <c r="Q1464" s="601">
        <f t="shared" ref="Q1464" si="2208">SUM(Q1459:Q1462)</f>
        <v>0</v>
      </c>
      <c r="R1464" s="527"/>
      <c r="S1464" s="601">
        <f t="shared" ref="S1464" si="2209">SUM(S1459:S1462)</f>
        <v>0</v>
      </c>
      <c r="T1464" s="527"/>
      <c r="U1464" s="536">
        <f t="shared" ref="U1464" si="2210">SUM(U1459:U1462)</f>
        <v>0</v>
      </c>
      <c r="V1464" s="522"/>
    </row>
    <row r="1465" spans="1:22" ht="14.4">
      <c r="A1465" s="521"/>
      <c r="B1465" s="167"/>
      <c r="C1465" s="165"/>
      <c r="D1465" s="523"/>
      <c r="E1465" s="165"/>
      <c r="F1465" s="523"/>
      <c r="G1465" s="520"/>
      <c r="H1465" s="523"/>
      <c r="I1465" s="520"/>
      <c r="J1465" s="523"/>
      <c r="K1465" s="520"/>
      <c r="L1465" s="523"/>
      <c r="M1465" s="520"/>
      <c r="N1465" s="523"/>
      <c r="O1465" s="520"/>
      <c r="P1465" s="523"/>
      <c r="Q1465" s="520"/>
      <c r="R1465" s="167"/>
      <c r="S1465" s="520"/>
      <c r="T1465" s="167"/>
      <c r="U1465" s="528"/>
      <c r="V1465" s="522"/>
    </row>
    <row r="1466" spans="1:22" ht="14.4">
      <c r="A1466" s="521"/>
      <c r="B1466" s="167"/>
      <c r="C1466" s="165"/>
      <c r="D1466" s="8"/>
      <c r="E1466" s="513" t="s">
        <v>1304</v>
      </c>
      <c r="F1466" s="523"/>
      <c r="G1466" s="977">
        <f>_xlfn.IFNA(IF(VLOOKUP($B1457,'PY1 TFR ADA'!$F:$AU,MATCH("B-1.5",'PY1 TFR ADA'!$F$5:$AU$5,0),FALSE)=TRUE,IF(VLOOKUP($B1457,'PY1 TFR ADA'!$F:$AU,MATCH("C-1",'PY1 TFR ADA'!$F$5:$AU$5,0),FALSE)=TRUE,"Alternative Rate","LCFF Rate"),"LCFF Rate"),0)</f>
        <v>0</v>
      </c>
      <c r="H1466" s="523"/>
      <c r="I1466" s="977">
        <f>_xlfn.IFNA(IF(VLOOKUP($B1457,'PY1 TFR ADA'!$F:$AU,MATCH("B-2.5",'PY1 TFR ADA'!$F$5:$AU$5,0),FALSE)=TRUE,IF(VLOOKUP($B1457,'PY1 TFR ADA'!$F:$AU,MATCH("C-1",'PY1 TFR ADA'!$F$5:$AU$5,0),FALSE)=TRUE,"Alternative Rate","LCFF Rate"),"LCFF Rate"),0)</f>
        <v>0</v>
      </c>
      <c r="J1466" s="523"/>
      <c r="K1466" s="977">
        <f>_xlfn.IFNA(IF(VLOOKUP($B1457,'PY1 TFR ADA'!$F:$AU,MATCH("B-3.5",'PY1 TFR ADA'!$F$5:$AU$5,0),FALSE)=TRUE,IF(VLOOKUP($B1457,'PY1 TFR ADA'!$F:$AU,MATCH("C-1",'PY1 TFR ADA'!$F$5:$AU$5,0),FALSE)=TRUE,"Alternative Rate","LCFF Rate"),"LCFF Rate"),0)</f>
        <v>0</v>
      </c>
      <c r="L1466" s="523"/>
      <c r="M1466" s="977">
        <f>_xlfn.IFNA(IF(VLOOKUP($B1457,'PY1 TFR ADA'!$F:$AU,MATCH("B-4.5",'PY1 TFR ADA'!$F$5:$AU$5,0),FALSE)=TRUE,IF(VLOOKUP($B1457,'PY1 TFR ADA'!$F:$AU,MATCH("C-1",'PY1 TFR ADA'!$F$5:$AU$5,0),FALSE)=TRUE,"Alternative Rate","LCFF Rate"),"LCFF Rate"),0)</f>
        <v>0</v>
      </c>
      <c r="N1466" s="523"/>
      <c r="O1466" s="977">
        <f>_xlfn.IFNA(IF(VLOOKUP($B1457,'PY1 TFR ADA'!$F:$AU,MATCH("B-5.5",'PY1 TFR ADA'!$F$5:$AU$5,0),FALSE)=TRUE,IF(VLOOKUP($B1457,'PY1 TFR ADA'!$F:$AU,MATCH("C-1",'PY1 TFR ADA'!$F$5:$AU$5,0),FALSE)=TRUE,"Alternative Rate","LCFF Rate"),"LCFF Rate"),0)</f>
        <v>0</v>
      </c>
      <c r="P1466" s="523"/>
      <c r="Q1466" s="977">
        <f>_xlfn.IFNA(IF(VLOOKUP($B1457,'PY1 TFR ADA'!$F:$AU,MATCH("B-6.5",'PY1 TFR ADA'!$F$5:$AU$5,0),FALSE)=TRUE,IF(VLOOKUP($B1457,'PY1 TFR ADA'!$F:$AU,MATCH("C-1",'PY1 TFR ADA'!$F$5:$AU$5,0),FALSE)=TRUE,"Alternative Rate","LCFF Rate"),"LCFF Rate"),0)</f>
        <v>0</v>
      </c>
      <c r="R1466" s="167"/>
      <c r="S1466" s="520"/>
      <c r="T1466" s="167"/>
      <c r="U1466" s="528"/>
      <c r="V1466" s="522"/>
    </row>
    <row r="1467" spans="1:22" ht="14.4">
      <c r="A1467" s="521"/>
      <c r="B1467" s="167"/>
      <c r="C1467" s="165"/>
      <c r="D1467" s="523"/>
      <c r="E1467" s="165"/>
      <c r="F1467" s="523"/>
      <c r="G1467" s="520"/>
      <c r="H1467" s="523"/>
      <c r="I1467" s="520"/>
      <c r="J1467" s="523"/>
      <c r="K1467" s="520"/>
      <c r="L1467" s="523"/>
      <c r="M1467" s="520"/>
      <c r="N1467" s="523"/>
      <c r="O1467" s="520"/>
      <c r="P1467" s="523"/>
      <c r="Q1467" s="520"/>
      <c r="R1467" s="167"/>
      <c r="S1467" s="520"/>
      <c r="T1467" s="167"/>
      <c r="U1467" s="528"/>
      <c r="V1467" s="522"/>
    </row>
    <row r="1468" spans="1:22" ht="14.4">
      <c r="A1468" s="521"/>
      <c r="B1468" s="2"/>
      <c r="C1468" s="8"/>
      <c r="D1468" s="8"/>
      <c r="E1468" s="8"/>
      <c r="F1468" s="523"/>
      <c r="G1468" s="535">
        <f t="shared" ref="G1468" si="2211">IF(G1466="LCFF Rate",(G1459*C1459+G1460*C1460+G1461*C1461+G1462*C1462),(G1464*E1462))</f>
        <v>0</v>
      </c>
      <c r="H1468" s="537"/>
      <c r="I1468" s="535">
        <f t="shared" ref="I1468" si="2212">IF(I1466="LCFF Rate",(I1459*C1459+I1460*C1460+I1461*C1461+I1462*C1462),(I1464*E1462))</f>
        <v>0</v>
      </c>
      <c r="J1468" s="537"/>
      <c r="K1468" s="535">
        <f t="shared" ref="K1468" si="2213">IF(K1466="LCFF Rate",(K1459*C1459+K1460*C1460+K1461*C1461+K1462*C1462),(K1464*E1462))</f>
        <v>0</v>
      </c>
      <c r="L1468" s="537"/>
      <c r="M1468" s="535">
        <f t="shared" ref="M1468" si="2214">IF(M1466="LCFF Rate",(M1459*C1459+M1460*C1460+M1461*C1461+M1462*C1462),(M1464*E1462))</f>
        <v>0</v>
      </c>
      <c r="N1468" s="537"/>
      <c r="O1468" s="535">
        <f t="shared" ref="O1468" si="2215">IF(O1466="LCFF Rate",(O1459*C1459+O1460*C1460+O1461*C1461+O1462*C1462),(O1464*E1462))</f>
        <v>0</v>
      </c>
      <c r="P1468" s="537"/>
      <c r="Q1468" s="535">
        <f t="shared" ref="Q1468" si="2216">IF(Q1466="LCFF Rate",(Q1459*C1459+Q1460*C1460+Q1461*C1461+Q1462*C1462),(Q1464*E1462))</f>
        <v>0</v>
      </c>
      <c r="R1468" s="167"/>
      <c r="S1468" s="538">
        <f t="shared" ref="S1468" si="2217">SUM(G1468:Q1468)</f>
        <v>0</v>
      </c>
      <c r="T1468" s="167"/>
      <c r="U1468" s="528"/>
      <c r="V1468" s="522"/>
    </row>
    <row r="1469" spans="1:22" ht="15" thickBot="1">
      <c r="A1469" s="529"/>
      <c r="B1469" s="530"/>
      <c r="C1469" s="531"/>
      <c r="D1469" s="532"/>
      <c r="E1469" s="533"/>
      <c r="F1469" s="532"/>
      <c r="G1469" s="530"/>
      <c r="H1469" s="532"/>
      <c r="I1469" s="530"/>
      <c r="J1469" s="532"/>
      <c r="K1469" s="530"/>
      <c r="L1469" s="532"/>
      <c r="M1469" s="530"/>
      <c r="N1469" s="532"/>
      <c r="O1469" s="530"/>
      <c r="P1469" s="532"/>
      <c r="Q1469" s="530"/>
      <c r="R1469" s="532"/>
      <c r="S1469" s="530"/>
      <c r="T1469" s="532"/>
      <c r="U1469" s="532"/>
      <c r="V1469" s="534"/>
    </row>
    <row r="1470" spans="1:22" ht="18.600000000000001" thickBot="1">
      <c r="A1470" s="890">
        <f>+A1457+1</f>
        <v>113</v>
      </c>
      <c r="B1470" s="891" t="str">
        <f>'Data Entry'!$B$3&amp;"-"&amp;C1470</f>
        <v>-</v>
      </c>
      <c r="C1470" s="891" t="str">
        <f>IFERROR(VLOOKUP('Data Entry'!$B$3&amp;"-"&amp;A1470,'PY1 TFR ADA'!$D:$AT,2,FALSE),"")</f>
        <v/>
      </c>
      <c r="D1470" s="892" t="str">
        <f>IFERROR(VLOOKUP('Data Entry'!$B$3&amp;"-"&amp;A1470,'PY1 TFR ADA'!$D:$AT,4,FALSE),"")</f>
        <v/>
      </c>
      <c r="E1470" s="893"/>
      <c r="F1470" s="893"/>
      <c r="G1470" s="893"/>
      <c r="H1470" s="893"/>
      <c r="I1470" s="893"/>
      <c r="J1470" s="893"/>
      <c r="K1470" s="893"/>
      <c r="L1470" s="893"/>
      <c r="M1470" s="893"/>
      <c r="N1470" s="893"/>
      <c r="O1470" s="893"/>
      <c r="P1470" s="893"/>
      <c r="Q1470" s="893"/>
      <c r="R1470" s="893"/>
      <c r="S1470" s="893"/>
      <c r="T1470" s="893"/>
      <c r="U1470" s="893"/>
      <c r="V1470" s="894"/>
    </row>
    <row r="1471" spans="1:22" ht="69">
      <c r="A1471" s="521"/>
      <c r="C1471" s="540" t="s">
        <v>1315</v>
      </c>
      <c r="D1471" s="512"/>
      <c r="E1471" s="540" t="s">
        <v>1316</v>
      </c>
      <c r="F1471" s="512"/>
      <c r="G1471" s="540" t="s">
        <v>1309</v>
      </c>
      <c r="H1471" s="512"/>
      <c r="I1471" s="540" t="s">
        <v>1310</v>
      </c>
      <c r="J1471" s="512"/>
      <c r="K1471" s="540" t="s">
        <v>1311</v>
      </c>
      <c r="L1471" s="512"/>
      <c r="M1471" s="540" t="s">
        <v>1312</v>
      </c>
      <c r="N1471" s="512"/>
      <c r="O1471" s="540" t="s">
        <v>1313</v>
      </c>
      <c r="P1471" s="512"/>
      <c r="Q1471" s="540" t="s">
        <v>1314</v>
      </c>
      <c r="R1471" s="167"/>
      <c r="S1471" s="540" t="s">
        <v>1308</v>
      </c>
      <c r="T1471" s="167"/>
      <c r="U1471" s="512" t="s">
        <v>1307</v>
      </c>
      <c r="V1471" s="524"/>
    </row>
    <row r="1472" spans="1:22" ht="14.4">
      <c r="A1472" s="521"/>
      <c r="B1472" s="510" t="s">
        <v>94</v>
      </c>
      <c r="C1472" s="525">
        <f>IFERROR(VLOOKUP($B1470,'PY1 TFR ADA'!$F:$AU,MATCH("A-1.1",'PY1 TFR ADA'!$F$5:$AU$5,0),FALSE),0)</f>
        <v>0</v>
      </c>
      <c r="D1472" s="167"/>
      <c r="E1472" s="525">
        <f>IFERROR(VALUE(VLOOKUP($B1470,'PY1 TFR ADA'!$F:$AU,MATCH("A-2.1",'PY1 TFR ADA'!$F$5:$AU$5,0),FALSE)),0)</f>
        <v>0</v>
      </c>
      <c r="F1472" s="167"/>
      <c r="G1472" s="609">
        <f>IFERROR(VLOOKUP($B1470,'PY1 TFR ADA'!$F:$AU,MATCH("b-1.1",'PY1 TFR ADA'!$F$5:$AU$5,0),FALSE),0)</f>
        <v>0</v>
      </c>
      <c r="H1472" s="527"/>
      <c r="I1472" s="609">
        <f>IFERROR(VLOOKUP($B1470,'PY1 TFR ADA'!$F:$AU,MATCH("b-2.1",'PY1 TFR ADA'!$F$5:$AU$5,0),FALSE),0)</f>
        <v>0</v>
      </c>
      <c r="J1472" s="527"/>
      <c r="K1472" s="609">
        <f>IFERROR(VLOOKUP($B1470,'PY1 TFR ADA'!$F:$AU,MATCH("b-3.1",'PY1 TFR ADA'!$F$5:$AU$5,0),FALSE),0)</f>
        <v>0</v>
      </c>
      <c r="L1472" s="527"/>
      <c r="M1472" s="609">
        <f>IFERROR(VLOOKUP($B1470,'PY1 TFR ADA'!$F:$AU,MATCH("b-4.1",'PY1 TFR ADA'!$F$5:$AU$5,0),FALSE),0)</f>
        <v>0</v>
      </c>
      <c r="N1472" s="527"/>
      <c r="O1472" s="609">
        <f>IFERROR(VLOOKUP($B1470,'PY1 TFR ADA'!$F:$AU,MATCH("b-5.1",'PY1 TFR ADA'!$F$5:$AU$5,0),FALSE),0)</f>
        <v>0</v>
      </c>
      <c r="P1472" s="527"/>
      <c r="Q1472" s="609">
        <f>IFERROR(VLOOKUP($B1470,'PY1 TFR ADA'!$F:$AU,MATCH("b-6.1",'PY1 TFR ADA'!$F$5:$AU$5,0),FALSE),0)</f>
        <v>0</v>
      </c>
      <c r="R1472" s="551"/>
      <c r="S1472" s="601">
        <f t="shared" ref="S1472:S1475" si="2218">SUM(G1472:Q1472)</f>
        <v>0</v>
      </c>
      <c r="T1472" s="551"/>
      <c r="U1472" s="536">
        <f t="shared" ref="U1472" si="2219">ROUND(IF($G1479="LCFF Rate",(G1472*$C1472),(G1472*$E1472))+IF($I1479="LCFF Rate",(I1472*$C1472),(I1472*$E1472))+IF($K1479="LCFF Rate",(K1472*$C1472),(K1472*$E1472))+IF($M1479="LCFF Rate",(M1472*$C1472),(M1472*$E1472))+IF($O1479="LCFF Rate",(O1472*$C1472),(O1472*$E1472))+IF($Q1479="LCFF Rate",(Q1472*$C1472),(Q1472*$E1472)),0)</f>
        <v>0</v>
      </c>
      <c r="V1472" s="524"/>
    </row>
    <row r="1473" spans="1:22" ht="14.4">
      <c r="A1473" s="521"/>
      <c r="B1473" s="510" t="s">
        <v>2</v>
      </c>
      <c r="C1473" s="525">
        <f>IFERROR(VLOOKUP($B1470,'PY1 TFR ADA'!$F:$AU,MATCH("A-1.2",'PY1 TFR ADA'!$F$5:$AU$5,0),FALSE),0)</f>
        <v>0</v>
      </c>
      <c r="D1473" s="167"/>
      <c r="E1473" s="525">
        <f>IFERROR(VALUE(VLOOKUP($B1470,'PY1 TFR ADA'!$F:$AU,MATCH("A-2.2",'PY1 TFR ADA'!$F$5:$AU$5,0),FALSE)),0)</f>
        <v>0</v>
      </c>
      <c r="F1473" s="167"/>
      <c r="G1473" s="609">
        <f>IFERROR(VLOOKUP($B1470,'PY1 TFR ADA'!$F:$AU,MATCH("b-1.2",'PY1 TFR ADA'!$F$5:$AU$5,0),FALSE),0)</f>
        <v>0</v>
      </c>
      <c r="H1473" s="527"/>
      <c r="I1473" s="609">
        <f>IFERROR(VLOOKUP($B1470,'PY1 TFR ADA'!$F:$AU,MATCH("b-2.2",'PY1 TFR ADA'!$F$5:$AU$5,0),FALSE),0)</f>
        <v>0</v>
      </c>
      <c r="J1473" s="527"/>
      <c r="K1473" s="609">
        <f>IFERROR(VLOOKUP($B1470,'PY1 TFR ADA'!$F:$AU,MATCH("b-3.2",'PY1 TFR ADA'!$F$5:$AU$5,0),FALSE),0)</f>
        <v>0</v>
      </c>
      <c r="L1473" s="527"/>
      <c r="M1473" s="609">
        <f>IFERROR(VLOOKUP($B1470,'PY1 TFR ADA'!$F:$AU,MATCH("b-4.2",'PY1 TFR ADA'!$F$5:$AU$5,0),FALSE),0)</f>
        <v>0</v>
      </c>
      <c r="N1473" s="527"/>
      <c r="O1473" s="609">
        <f>IFERROR(VLOOKUP($B1470,'PY1 TFR ADA'!$F:$AU,MATCH("b-5.2",'PY1 TFR ADA'!$F$5:$AU$5,0),FALSE),0)</f>
        <v>0</v>
      </c>
      <c r="P1473" s="527"/>
      <c r="Q1473" s="609">
        <f>IFERROR(VLOOKUP($B1470,'PY1 TFR ADA'!$F:$AU,MATCH("b-6.2",'PY1 TFR ADA'!$F$5:$AU$5,0),FALSE),0)</f>
        <v>0</v>
      </c>
      <c r="R1473" s="551"/>
      <c r="S1473" s="601">
        <f t="shared" si="2218"/>
        <v>0</v>
      </c>
      <c r="T1473" s="551"/>
      <c r="U1473" s="536">
        <f t="shared" ref="U1473" si="2220">ROUND(IF($G1479="LCFF Rate",(G1473*$C1473),(G1473*$E1473))+IF($I1479="LCFF Rate",(I1473*$C1473),(I1473*$E1473))+IF($K1479="LCFF Rate",(K1473*$C1473),(K1473*$E1473))+IF($M1479="LCFF Rate",(M1473*$C1473),(M1473*$E1473))+IF($O1479="LCFF Rate",(O1473*$C1473),(O1473*$E1473))+IF($Q1479="LCFF Rate",(Q1473*$C1473),(Q1473*$E1473)),0)</f>
        <v>0</v>
      </c>
      <c r="V1473" s="524"/>
    </row>
    <row r="1474" spans="1:22" ht="14.4">
      <c r="A1474" s="521"/>
      <c r="B1474" s="510" t="s">
        <v>3</v>
      </c>
      <c r="C1474" s="525">
        <f>IFERROR(VLOOKUP($B1470,'PY1 TFR ADA'!$F:$AU,MATCH("A-1.3",'PY1 TFR ADA'!$F$5:$AU$5,0),FALSE),0)</f>
        <v>0</v>
      </c>
      <c r="D1474" s="167"/>
      <c r="E1474" s="525">
        <f>IFERROR(VALUE(VLOOKUP($B1470,'PY1 TFR ADA'!$F:$AU,MATCH("A-2.3",'PY1 TFR ADA'!$F$5:$AU$5,0),FALSE)),0)</f>
        <v>0</v>
      </c>
      <c r="F1474" s="167"/>
      <c r="G1474" s="609">
        <f>IFERROR(VLOOKUP($B1470,'PY1 TFR ADA'!$F:$AU,MATCH("b-1.3",'PY1 TFR ADA'!$F$5:$AU$5,0),FALSE),0)</f>
        <v>0</v>
      </c>
      <c r="H1474" s="527"/>
      <c r="I1474" s="609">
        <f>IFERROR(VLOOKUP($B1470,'PY1 TFR ADA'!$F:$AU,MATCH("b-2.3",'PY1 TFR ADA'!$F$5:$AU$5,0),FALSE),0)</f>
        <v>0</v>
      </c>
      <c r="J1474" s="527"/>
      <c r="K1474" s="609">
        <f>IFERROR(VLOOKUP($B1470,'PY1 TFR ADA'!$F:$AU,MATCH("b-3.3",'PY1 TFR ADA'!$F$5:$AU$5,0),FALSE),0)</f>
        <v>0</v>
      </c>
      <c r="L1474" s="527"/>
      <c r="M1474" s="609">
        <f>IFERROR(VLOOKUP($B1470,'PY1 TFR ADA'!$F:$AU,MATCH("b-4.3",'PY1 TFR ADA'!$F$5:$AU$5,0),FALSE),0)</f>
        <v>0</v>
      </c>
      <c r="N1474" s="527"/>
      <c r="O1474" s="609">
        <f>IFERROR(VLOOKUP($B1470,'PY1 TFR ADA'!$F:$AU,MATCH("b-5.3",'PY1 TFR ADA'!$F$5:$AU$5,0),FALSE),0)</f>
        <v>0</v>
      </c>
      <c r="P1474" s="527"/>
      <c r="Q1474" s="609">
        <f>IFERROR(VLOOKUP($B1470,'PY1 TFR ADA'!$F:$AU,MATCH("b-6.3",'PY1 TFR ADA'!$F$5:$AU$5,0),FALSE),0)</f>
        <v>0</v>
      </c>
      <c r="R1474" s="551"/>
      <c r="S1474" s="601">
        <f t="shared" si="2218"/>
        <v>0</v>
      </c>
      <c r="T1474" s="551"/>
      <c r="U1474" s="536">
        <f t="shared" ref="U1474" si="2221">ROUND(IF($G1479="LCFF Rate",(G1474*$C1474),(G1474*$E1474))+IF($I1479="LCFF Rate",(I1474*$C1474),(I1474*$E1474))+IF($K1479="LCFF Rate",(K1474*$C1474),(K1474*$E1474))+IF($M1479="LCFF Rate",(M1474*$C1474),(M1474*$E1474))+IF($O1479="LCFF Rate",(O1474*$C1474),(O1474*$E1474))+IF($Q1479="LCFF Rate",(Q1474*$C1474),(Q1474*$E1474)),0)</f>
        <v>0</v>
      </c>
      <c r="V1474" s="524"/>
    </row>
    <row r="1475" spans="1:22" ht="14.4">
      <c r="A1475" s="526"/>
      <c r="B1475" s="510" t="s">
        <v>4</v>
      </c>
      <c r="C1475" s="525">
        <f>IFERROR(VLOOKUP($B1470,'PY1 TFR ADA'!$F:$AU,MATCH("A-1.4",'PY1 TFR ADA'!$F$5:$AU$5,0),FALSE),0)</f>
        <v>0</v>
      </c>
      <c r="D1475" s="523"/>
      <c r="E1475" s="525">
        <f>IFERROR(VALUE(VLOOKUP($B1470,'PY1 TFR ADA'!$F:$AU,MATCH("A-2.4",'PY1 TFR ADA'!$F$5:$AU$5,0),FALSE)),0)</f>
        <v>0</v>
      </c>
      <c r="F1475" s="523"/>
      <c r="G1475" s="609">
        <f>IFERROR(VLOOKUP($B1470,'PY1 TFR ADA'!$F:$AU,MATCH("b-1.4",'PY1 TFR ADA'!$F$5:$AU$5,0),FALSE),0)</f>
        <v>0</v>
      </c>
      <c r="H1475" s="527"/>
      <c r="I1475" s="609">
        <f>IFERROR(VLOOKUP($B1470,'PY1 TFR ADA'!$F:$AU,MATCH("b-2.4",'PY1 TFR ADA'!$F$5:$AU$5,0),FALSE),0)</f>
        <v>0</v>
      </c>
      <c r="J1475" s="527"/>
      <c r="K1475" s="609">
        <f>IFERROR(VLOOKUP($B1470,'PY1 TFR ADA'!$F:$AU,MATCH("b-3.4",'PY1 TFR ADA'!$F$5:$AU$5,0),FALSE),0)</f>
        <v>0</v>
      </c>
      <c r="L1475" s="527"/>
      <c r="M1475" s="609">
        <f>IFERROR(VLOOKUP($B1470,'PY1 TFR ADA'!$F:$AU,MATCH("b-4.4",'PY1 TFR ADA'!$F$5:$AU$5,0),FALSE),0)</f>
        <v>0</v>
      </c>
      <c r="N1475" s="527"/>
      <c r="O1475" s="609">
        <f>IFERROR(VLOOKUP($B1470,'PY1 TFR ADA'!$F:$AU,MATCH("b-5.4",'PY1 TFR ADA'!$F$5:$AU$5,0),FALSE),0)</f>
        <v>0</v>
      </c>
      <c r="P1475" s="527"/>
      <c r="Q1475" s="609">
        <f>IFERROR(VLOOKUP($B1470,'PY1 TFR ADA'!$F:$AU,MATCH("b-6.4",'PY1 TFR ADA'!$F$5:$AU$5,0),FALSE),0)</f>
        <v>0</v>
      </c>
      <c r="R1475" s="551"/>
      <c r="S1475" s="601">
        <f t="shared" si="2218"/>
        <v>0</v>
      </c>
      <c r="T1475" s="551"/>
      <c r="U1475" s="536">
        <f t="shared" ref="U1475" si="2222">ROUND(IF($G1479="LCFF Rate",(G1475*$C1475),(G1475*$E1475))+IF($I1479="LCFF Rate",(I1475*$C1475),(I1475*$E1475))+IF($K1479="LCFF Rate",(K1475*$C1475),(K1475*$E1475))+IF($M1479="LCFF Rate",(M1475*$C1475),(M1475*$E1475))+IF($O1479="LCFF Rate",(O1475*$C1475),(O1475*$E1475))+IF($Q1479="LCFF Rate",(Q1475*$C1475),(Q1475*$E1475)),0)</f>
        <v>0</v>
      </c>
      <c r="V1475" s="522"/>
    </row>
    <row r="1476" spans="1:22" ht="14.4">
      <c r="A1476" s="521"/>
      <c r="B1476" s="167"/>
      <c r="C1476" s="165"/>
      <c r="D1476" s="523"/>
      <c r="E1476" s="165"/>
      <c r="F1476" s="523"/>
      <c r="G1476" s="520"/>
      <c r="H1476" s="523"/>
      <c r="I1476" s="520"/>
      <c r="J1476" s="523"/>
      <c r="K1476" s="520"/>
      <c r="L1476" s="523"/>
      <c r="M1476" s="520"/>
      <c r="N1476" s="523"/>
      <c r="O1476" s="520"/>
      <c r="P1476" s="523"/>
      <c r="Q1476" s="520"/>
      <c r="R1476" s="167"/>
      <c r="S1476" s="520"/>
      <c r="T1476" s="167"/>
      <c r="U1476" s="602"/>
      <c r="V1476" s="522"/>
    </row>
    <row r="1477" spans="1:22" ht="14.4">
      <c r="A1477" s="521"/>
      <c r="B1477" s="167"/>
      <c r="C1477" s="165"/>
      <c r="D1477" s="523"/>
      <c r="E1477" s="513" t="s">
        <v>1317</v>
      </c>
      <c r="F1477" s="523"/>
      <c r="G1477" s="601">
        <f t="shared" ref="G1477" si="2223">SUM(G1472:G1475)</f>
        <v>0</v>
      </c>
      <c r="H1477" s="527"/>
      <c r="I1477" s="601">
        <f t="shared" ref="I1477" si="2224">SUM(I1472:I1475)</f>
        <v>0</v>
      </c>
      <c r="J1477" s="527"/>
      <c r="K1477" s="601">
        <f t="shared" ref="K1477" si="2225">SUM(K1472:K1475)</f>
        <v>0</v>
      </c>
      <c r="L1477" s="527"/>
      <c r="M1477" s="601">
        <f t="shared" ref="M1477" si="2226">SUM(M1472:M1475)</f>
        <v>0</v>
      </c>
      <c r="N1477" s="527"/>
      <c r="O1477" s="601">
        <f t="shared" ref="O1477" si="2227">SUM(O1472:O1475)</f>
        <v>0</v>
      </c>
      <c r="P1477" s="527"/>
      <c r="Q1477" s="601">
        <f t="shared" ref="Q1477" si="2228">SUM(Q1472:Q1475)</f>
        <v>0</v>
      </c>
      <c r="R1477" s="527"/>
      <c r="S1477" s="601">
        <f t="shared" ref="S1477" si="2229">SUM(S1472:S1475)</f>
        <v>0</v>
      </c>
      <c r="T1477" s="527"/>
      <c r="U1477" s="536">
        <f t="shared" ref="U1477" si="2230">SUM(U1472:U1475)</f>
        <v>0</v>
      </c>
      <c r="V1477" s="522"/>
    </row>
    <row r="1478" spans="1:22" ht="14.4">
      <c r="A1478" s="521"/>
      <c r="B1478" s="167"/>
      <c r="C1478" s="165"/>
      <c r="D1478" s="523"/>
      <c r="E1478" s="165"/>
      <c r="F1478" s="523"/>
      <c r="G1478" s="520"/>
      <c r="H1478" s="523"/>
      <c r="I1478" s="520"/>
      <c r="J1478" s="523"/>
      <c r="K1478" s="520"/>
      <c r="L1478" s="523"/>
      <c r="M1478" s="520"/>
      <c r="N1478" s="523"/>
      <c r="O1478" s="520"/>
      <c r="P1478" s="523"/>
      <c r="Q1478" s="520"/>
      <c r="R1478" s="167"/>
      <c r="S1478" s="520"/>
      <c r="T1478" s="167"/>
      <c r="U1478" s="528"/>
      <c r="V1478" s="522"/>
    </row>
    <row r="1479" spans="1:22" ht="14.4">
      <c r="A1479" s="521"/>
      <c r="B1479" s="167"/>
      <c r="C1479" s="165"/>
      <c r="D1479" s="8"/>
      <c r="E1479" s="513" t="s">
        <v>1304</v>
      </c>
      <c r="F1479" s="523"/>
      <c r="G1479" s="977">
        <f>_xlfn.IFNA(IF(VLOOKUP($B1470,'PY1 TFR ADA'!$F:$AU,MATCH("B-1.5",'PY1 TFR ADA'!$F$5:$AU$5,0),FALSE)=TRUE,IF(VLOOKUP($B1470,'PY1 TFR ADA'!$F:$AU,MATCH("C-1",'PY1 TFR ADA'!$F$5:$AU$5,0),FALSE)=TRUE,"Alternative Rate","LCFF Rate"),"LCFF Rate"),0)</f>
        <v>0</v>
      </c>
      <c r="H1479" s="523"/>
      <c r="I1479" s="977">
        <f>_xlfn.IFNA(IF(VLOOKUP($B1470,'PY1 TFR ADA'!$F:$AU,MATCH("B-2.5",'PY1 TFR ADA'!$F$5:$AU$5,0),FALSE)=TRUE,IF(VLOOKUP($B1470,'PY1 TFR ADA'!$F:$AU,MATCH("C-1",'PY1 TFR ADA'!$F$5:$AU$5,0),FALSE)=TRUE,"Alternative Rate","LCFF Rate"),"LCFF Rate"),0)</f>
        <v>0</v>
      </c>
      <c r="J1479" s="523"/>
      <c r="K1479" s="977">
        <f>_xlfn.IFNA(IF(VLOOKUP($B1470,'PY1 TFR ADA'!$F:$AU,MATCH("B-3.5",'PY1 TFR ADA'!$F$5:$AU$5,0),FALSE)=TRUE,IF(VLOOKUP($B1470,'PY1 TFR ADA'!$F:$AU,MATCH("C-1",'PY1 TFR ADA'!$F$5:$AU$5,0),FALSE)=TRUE,"Alternative Rate","LCFF Rate"),"LCFF Rate"),0)</f>
        <v>0</v>
      </c>
      <c r="L1479" s="523"/>
      <c r="M1479" s="977">
        <f>_xlfn.IFNA(IF(VLOOKUP($B1470,'PY1 TFR ADA'!$F:$AU,MATCH("B-4.5",'PY1 TFR ADA'!$F$5:$AU$5,0),FALSE)=TRUE,IF(VLOOKUP($B1470,'PY1 TFR ADA'!$F:$AU,MATCH("C-1",'PY1 TFR ADA'!$F$5:$AU$5,0),FALSE)=TRUE,"Alternative Rate","LCFF Rate"),"LCFF Rate"),0)</f>
        <v>0</v>
      </c>
      <c r="N1479" s="523"/>
      <c r="O1479" s="977">
        <f>_xlfn.IFNA(IF(VLOOKUP($B1470,'PY1 TFR ADA'!$F:$AU,MATCH("B-5.5",'PY1 TFR ADA'!$F$5:$AU$5,0),FALSE)=TRUE,IF(VLOOKUP($B1470,'PY1 TFR ADA'!$F:$AU,MATCH("C-1",'PY1 TFR ADA'!$F$5:$AU$5,0),FALSE)=TRUE,"Alternative Rate","LCFF Rate"),"LCFF Rate"),0)</f>
        <v>0</v>
      </c>
      <c r="P1479" s="523"/>
      <c r="Q1479" s="977">
        <f>_xlfn.IFNA(IF(VLOOKUP($B1470,'PY1 TFR ADA'!$F:$AU,MATCH("B-6.5",'PY1 TFR ADA'!$F$5:$AU$5,0),FALSE)=TRUE,IF(VLOOKUP($B1470,'PY1 TFR ADA'!$F:$AU,MATCH("C-1",'PY1 TFR ADA'!$F$5:$AU$5,0),FALSE)=TRUE,"Alternative Rate","LCFF Rate"),"LCFF Rate"),0)</f>
        <v>0</v>
      </c>
      <c r="R1479" s="167"/>
      <c r="S1479" s="520"/>
      <c r="T1479" s="167"/>
      <c r="U1479" s="528"/>
      <c r="V1479" s="522"/>
    </row>
    <row r="1480" spans="1:22" ht="14.4">
      <c r="A1480" s="521"/>
      <c r="B1480" s="167"/>
      <c r="C1480" s="165"/>
      <c r="D1480" s="523"/>
      <c r="E1480" s="165"/>
      <c r="F1480" s="523"/>
      <c r="G1480" s="520"/>
      <c r="H1480" s="523"/>
      <c r="I1480" s="520"/>
      <c r="J1480" s="523"/>
      <c r="K1480" s="520"/>
      <c r="L1480" s="523"/>
      <c r="M1480" s="520"/>
      <c r="N1480" s="523"/>
      <c r="O1480" s="520"/>
      <c r="P1480" s="523"/>
      <c r="Q1480" s="520"/>
      <c r="R1480" s="167"/>
      <c r="S1480" s="520"/>
      <c r="T1480" s="167"/>
      <c r="U1480" s="528"/>
      <c r="V1480" s="522"/>
    </row>
    <row r="1481" spans="1:22" ht="14.4">
      <c r="A1481" s="521"/>
      <c r="B1481" s="2"/>
      <c r="C1481" s="8"/>
      <c r="D1481" s="8"/>
      <c r="E1481" s="8"/>
      <c r="F1481" s="523"/>
      <c r="G1481" s="535">
        <f t="shared" ref="G1481" si="2231">IF(G1479="LCFF Rate",(G1472*C1472+G1473*C1473+G1474*C1474+G1475*C1475),(G1477*E1475))</f>
        <v>0</v>
      </c>
      <c r="H1481" s="537"/>
      <c r="I1481" s="535">
        <f t="shared" ref="I1481" si="2232">IF(I1479="LCFF Rate",(I1472*C1472+I1473*C1473+I1474*C1474+I1475*C1475),(I1477*E1475))</f>
        <v>0</v>
      </c>
      <c r="J1481" s="537"/>
      <c r="K1481" s="535">
        <f t="shared" ref="K1481" si="2233">IF(K1479="LCFF Rate",(K1472*C1472+K1473*C1473+K1474*C1474+K1475*C1475),(K1477*E1475))</f>
        <v>0</v>
      </c>
      <c r="L1481" s="537"/>
      <c r="M1481" s="535">
        <f t="shared" ref="M1481" si="2234">IF(M1479="LCFF Rate",(M1472*C1472+M1473*C1473+M1474*C1474+M1475*C1475),(M1477*E1475))</f>
        <v>0</v>
      </c>
      <c r="N1481" s="537"/>
      <c r="O1481" s="535">
        <f t="shared" ref="O1481" si="2235">IF(O1479="LCFF Rate",(O1472*C1472+O1473*C1473+O1474*C1474+O1475*C1475),(O1477*E1475))</f>
        <v>0</v>
      </c>
      <c r="P1481" s="537"/>
      <c r="Q1481" s="535">
        <f t="shared" ref="Q1481" si="2236">IF(Q1479="LCFF Rate",(Q1472*C1472+Q1473*C1473+Q1474*C1474+Q1475*C1475),(Q1477*E1475))</f>
        <v>0</v>
      </c>
      <c r="R1481" s="167"/>
      <c r="S1481" s="538">
        <f t="shared" ref="S1481" si="2237">SUM(G1481:Q1481)</f>
        <v>0</v>
      </c>
      <c r="T1481" s="167"/>
      <c r="U1481" s="528"/>
      <c r="V1481" s="522"/>
    </row>
    <row r="1482" spans="1:22" ht="15" thickBot="1">
      <c r="A1482" s="529"/>
      <c r="B1482" s="530"/>
      <c r="C1482" s="531"/>
      <c r="D1482" s="532"/>
      <c r="E1482" s="533"/>
      <c r="F1482" s="532"/>
      <c r="G1482" s="530"/>
      <c r="H1482" s="532"/>
      <c r="I1482" s="530"/>
      <c r="J1482" s="532"/>
      <c r="K1482" s="530"/>
      <c r="L1482" s="532"/>
      <c r="M1482" s="530"/>
      <c r="N1482" s="532"/>
      <c r="O1482" s="530"/>
      <c r="P1482" s="532"/>
      <c r="Q1482" s="530"/>
      <c r="R1482" s="532"/>
      <c r="S1482" s="530"/>
      <c r="T1482" s="532"/>
      <c r="U1482" s="532"/>
      <c r="V1482" s="534"/>
    </row>
    <row r="1483" spans="1:22" ht="18.600000000000001" thickBot="1">
      <c r="A1483" s="890">
        <f>+A1470+1</f>
        <v>114</v>
      </c>
      <c r="B1483" s="891" t="str">
        <f>'Data Entry'!$B$3&amp;"-"&amp;C1483</f>
        <v>-</v>
      </c>
      <c r="C1483" s="891" t="str">
        <f>IFERROR(VLOOKUP('Data Entry'!$B$3&amp;"-"&amp;A1483,'PY1 TFR ADA'!$D:$AT,2,FALSE),"")</f>
        <v/>
      </c>
      <c r="D1483" s="892" t="str">
        <f>IFERROR(VLOOKUP('Data Entry'!$B$3&amp;"-"&amp;A1483,'PY1 TFR ADA'!$D:$AT,4,FALSE),"")</f>
        <v/>
      </c>
      <c r="E1483" s="893"/>
      <c r="F1483" s="893"/>
      <c r="G1483" s="893"/>
      <c r="H1483" s="893"/>
      <c r="I1483" s="893"/>
      <c r="J1483" s="893"/>
      <c r="K1483" s="893"/>
      <c r="L1483" s="893"/>
      <c r="M1483" s="893"/>
      <c r="N1483" s="893"/>
      <c r="O1483" s="893"/>
      <c r="P1483" s="893"/>
      <c r="Q1483" s="893"/>
      <c r="R1483" s="893"/>
      <c r="S1483" s="893"/>
      <c r="T1483" s="893"/>
      <c r="U1483" s="893"/>
      <c r="V1483" s="894"/>
    </row>
    <row r="1484" spans="1:22" ht="69">
      <c r="A1484" s="521"/>
      <c r="C1484" s="540" t="s">
        <v>1315</v>
      </c>
      <c r="D1484" s="512"/>
      <c r="E1484" s="540" t="s">
        <v>1316</v>
      </c>
      <c r="F1484" s="512"/>
      <c r="G1484" s="540" t="s">
        <v>1309</v>
      </c>
      <c r="H1484" s="512"/>
      <c r="I1484" s="540" t="s">
        <v>1310</v>
      </c>
      <c r="J1484" s="512"/>
      <c r="K1484" s="540" t="s">
        <v>1311</v>
      </c>
      <c r="L1484" s="512"/>
      <c r="M1484" s="540" t="s">
        <v>1312</v>
      </c>
      <c r="N1484" s="512"/>
      <c r="O1484" s="540" t="s">
        <v>1313</v>
      </c>
      <c r="P1484" s="512"/>
      <c r="Q1484" s="540" t="s">
        <v>1314</v>
      </c>
      <c r="R1484" s="167"/>
      <c r="S1484" s="540" t="s">
        <v>1308</v>
      </c>
      <c r="T1484" s="167"/>
      <c r="U1484" s="512" t="s">
        <v>1307</v>
      </c>
      <c r="V1484" s="524"/>
    </row>
    <row r="1485" spans="1:22" ht="14.4">
      <c r="A1485" s="521"/>
      <c r="B1485" s="510" t="s">
        <v>94</v>
      </c>
      <c r="C1485" s="525">
        <f>IFERROR(VLOOKUP($B1483,'PY1 TFR ADA'!$F:$AU,MATCH("A-1.1",'PY1 TFR ADA'!$F$5:$AU$5,0),FALSE),0)</f>
        <v>0</v>
      </c>
      <c r="D1485" s="167"/>
      <c r="E1485" s="525">
        <f>IFERROR(VALUE(VLOOKUP($B1483,'PY1 TFR ADA'!$F:$AU,MATCH("A-2.1",'PY1 TFR ADA'!$F$5:$AU$5,0),FALSE)),0)</f>
        <v>0</v>
      </c>
      <c r="F1485" s="167"/>
      <c r="G1485" s="609">
        <f>IFERROR(VLOOKUP($B1483,'PY1 TFR ADA'!$F:$AU,MATCH("b-1.1",'PY1 TFR ADA'!$F$5:$AU$5,0),FALSE),0)</f>
        <v>0</v>
      </c>
      <c r="H1485" s="527"/>
      <c r="I1485" s="609">
        <f>IFERROR(VLOOKUP($B1483,'PY1 TFR ADA'!$F:$AU,MATCH("b-2.1",'PY1 TFR ADA'!$F$5:$AU$5,0),FALSE),0)</f>
        <v>0</v>
      </c>
      <c r="J1485" s="527"/>
      <c r="K1485" s="609">
        <f>IFERROR(VLOOKUP($B1483,'PY1 TFR ADA'!$F:$AU,MATCH("b-3.1",'PY1 TFR ADA'!$F$5:$AU$5,0),FALSE),0)</f>
        <v>0</v>
      </c>
      <c r="L1485" s="527"/>
      <c r="M1485" s="609">
        <f>IFERROR(VLOOKUP($B1483,'PY1 TFR ADA'!$F:$AU,MATCH("b-4.1",'PY1 TFR ADA'!$F$5:$AU$5,0),FALSE),0)</f>
        <v>0</v>
      </c>
      <c r="N1485" s="527"/>
      <c r="O1485" s="609">
        <f>IFERROR(VLOOKUP($B1483,'PY1 TFR ADA'!$F:$AU,MATCH("b-5.1",'PY1 TFR ADA'!$F$5:$AU$5,0),FALSE),0)</f>
        <v>0</v>
      </c>
      <c r="P1485" s="527"/>
      <c r="Q1485" s="609">
        <f>IFERROR(VLOOKUP($B1483,'PY1 TFR ADA'!$F:$AU,MATCH("b-6.1",'PY1 TFR ADA'!$F$5:$AU$5,0),FALSE),0)</f>
        <v>0</v>
      </c>
      <c r="R1485" s="551"/>
      <c r="S1485" s="601">
        <f t="shared" ref="S1485:S1488" si="2238">SUM(G1485:Q1485)</f>
        <v>0</v>
      </c>
      <c r="T1485" s="551"/>
      <c r="U1485" s="536">
        <f t="shared" ref="U1485" si="2239">ROUND(IF($G1492="LCFF Rate",(G1485*$C1485),(G1485*$E1485))+IF($I1492="LCFF Rate",(I1485*$C1485),(I1485*$E1485))+IF($K1492="LCFF Rate",(K1485*$C1485),(K1485*$E1485))+IF($M1492="LCFF Rate",(M1485*$C1485),(M1485*$E1485))+IF($O1492="LCFF Rate",(O1485*$C1485),(O1485*$E1485))+IF($Q1492="LCFF Rate",(Q1485*$C1485),(Q1485*$E1485)),0)</f>
        <v>0</v>
      </c>
      <c r="V1485" s="524"/>
    </row>
    <row r="1486" spans="1:22" ht="14.4">
      <c r="A1486" s="521"/>
      <c r="B1486" s="510" t="s">
        <v>2</v>
      </c>
      <c r="C1486" s="525">
        <f>IFERROR(VLOOKUP($B1483,'PY1 TFR ADA'!$F:$AU,MATCH("A-1.2",'PY1 TFR ADA'!$F$5:$AU$5,0),FALSE),0)</f>
        <v>0</v>
      </c>
      <c r="D1486" s="167"/>
      <c r="E1486" s="525">
        <f>IFERROR(VALUE(VLOOKUP($B1483,'PY1 TFR ADA'!$F:$AU,MATCH("A-2.2",'PY1 TFR ADA'!$F$5:$AU$5,0),FALSE)),0)</f>
        <v>0</v>
      </c>
      <c r="F1486" s="167"/>
      <c r="G1486" s="609">
        <f>IFERROR(VLOOKUP($B1483,'PY1 TFR ADA'!$F:$AU,MATCH("b-1.2",'PY1 TFR ADA'!$F$5:$AU$5,0),FALSE),0)</f>
        <v>0</v>
      </c>
      <c r="H1486" s="527"/>
      <c r="I1486" s="609">
        <f>IFERROR(VLOOKUP($B1483,'PY1 TFR ADA'!$F:$AU,MATCH("b-2.2",'PY1 TFR ADA'!$F$5:$AU$5,0),FALSE),0)</f>
        <v>0</v>
      </c>
      <c r="J1486" s="527"/>
      <c r="K1486" s="609">
        <f>IFERROR(VLOOKUP($B1483,'PY1 TFR ADA'!$F:$AU,MATCH("b-3.2",'PY1 TFR ADA'!$F$5:$AU$5,0),FALSE),0)</f>
        <v>0</v>
      </c>
      <c r="L1486" s="527"/>
      <c r="M1486" s="609">
        <f>IFERROR(VLOOKUP($B1483,'PY1 TFR ADA'!$F:$AU,MATCH("b-4.2",'PY1 TFR ADA'!$F$5:$AU$5,0),FALSE),0)</f>
        <v>0</v>
      </c>
      <c r="N1486" s="527"/>
      <c r="O1486" s="609">
        <f>IFERROR(VLOOKUP($B1483,'PY1 TFR ADA'!$F:$AU,MATCH("b-5.2",'PY1 TFR ADA'!$F$5:$AU$5,0),FALSE),0)</f>
        <v>0</v>
      </c>
      <c r="P1486" s="527"/>
      <c r="Q1486" s="609">
        <f>IFERROR(VLOOKUP($B1483,'PY1 TFR ADA'!$F:$AU,MATCH("b-6.2",'PY1 TFR ADA'!$F$5:$AU$5,0),FALSE),0)</f>
        <v>0</v>
      </c>
      <c r="R1486" s="551"/>
      <c r="S1486" s="601">
        <f t="shared" si="2238"/>
        <v>0</v>
      </c>
      <c r="T1486" s="551"/>
      <c r="U1486" s="536">
        <f t="shared" ref="U1486" si="2240">ROUND(IF($G1492="LCFF Rate",(G1486*$C1486),(G1486*$E1486))+IF($I1492="LCFF Rate",(I1486*$C1486),(I1486*$E1486))+IF($K1492="LCFF Rate",(K1486*$C1486),(K1486*$E1486))+IF($M1492="LCFF Rate",(M1486*$C1486),(M1486*$E1486))+IF($O1492="LCFF Rate",(O1486*$C1486),(O1486*$E1486))+IF($Q1492="LCFF Rate",(Q1486*$C1486),(Q1486*$E1486)),0)</f>
        <v>0</v>
      </c>
      <c r="V1486" s="524"/>
    </row>
    <row r="1487" spans="1:22" ht="14.4">
      <c r="A1487" s="521"/>
      <c r="B1487" s="510" t="s">
        <v>3</v>
      </c>
      <c r="C1487" s="525">
        <f>IFERROR(VLOOKUP($B1483,'PY1 TFR ADA'!$F:$AU,MATCH("A-1.3",'PY1 TFR ADA'!$F$5:$AU$5,0),FALSE),0)</f>
        <v>0</v>
      </c>
      <c r="D1487" s="167"/>
      <c r="E1487" s="525">
        <f>IFERROR(VALUE(VLOOKUP($B1483,'PY1 TFR ADA'!$F:$AU,MATCH("A-2.3",'PY1 TFR ADA'!$F$5:$AU$5,0),FALSE)),0)</f>
        <v>0</v>
      </c>
      <c r="F1487" s="167"/>
      <c r="G1487" s="609">
        <f>IFERROR(VLOOKUP($B1483,'PY1 TFR ADA'!$F:$AU,MATCH("b-1.3",'PY1 TFR ADA'!$F$5:$AU$5,0),FALSE),0)</f>
        <v>0</v>
      </c>
      <c r="H1487" s="527"/>
      <c r="I1487" s="609">
        <f>IFERROR(VLOOKUP($B1483,'PY1 TFR ADA'!$F:$AU,MATCH("b-2.3",'PY1 TFR ADA'!$F$5:$AU$5,0),FALSE),0)</f>
        <v>0</v>
      </c>
      <c r="J1487" s="527"/>
      <c r="K1487" s="609">
        <f>IFERROR(VLOOKUP($B1483,'PY1 TFR ADA'!$F:$AU,MATCH("b-3.3",'PY1 TFR ADA'!$F$5:$AU$5,0),FALSE),0)</f>
        <v>0</v>
      </c>
      <c r="L1487" s="527"/>
      <c r="M1487" s="609">
        <f>IFERROR(VLOOKUP($B1483,'PY1 TFR ADA'!$F:$AU,MATCH("b-4.3",'PY1 TFR ADA'!$F$5:$AU$5,0),FALSE),0)</f>
        <v>0</v>
      </c>
      <c r="N1487" s="527"/>
      <c r="O1487" s="609">
        <f>IFERROR(VLOOKUP($B1483,'PY1 TFR ADA'!$F:$AU,MATCH("b-5.3",'PY1 TFR ADA'!$F$5:$AU$5,0),FALSE),0)</f>
        <v>0</v>
      </c>
      <c r="P1487" s="527"/>
      <c r="Q1487" s="609">
        <f>IFERROR(VLOOKUP($B1483,'PY1 TFR ADA'!$F:$AU,MATCH("b-6.3",'PY1 TFR ADA'!$F$5:$AU$5,0),FALSE),0)</f>
        <v>0</v>
      </c>
      <c r="R1487" s="551"/>
      <c r="S1487" s="601">
        <f t="shared" si="2238"/>
        <v>0</v>
      </c>
      <c r="T1487" s="551"/>
      <c r="U1487" s="536">
        <f t="shared" ref="U1487" si="2241">ROUND(IF($G1492="LCFF Rate",(G1487*$C1487),(G1487*$E1487))+IF($I1492="LCFF Rate",(I1487*$C1487),(I1487*$E1487))+IF($K1492="LCFF Rate",(K1487*$C1487),(K1487*$E1487))+IF($M1492="LCFF Rate",(M1487*$C1487),(M1487*$E1487))+IF($O1492="LCFF Rate",(O1487*$C1487),(O1487*$E1487))+IF($Q1492="LCFF Rate",(Q1487*$C1487),(Q1487*$E1487)),0)</f>
        <v>0</v>
      </c>
      <c r="V1487" s="524"/>
    </row>
    <row r="1488" spans="1:22" ht="14.4">
      <c r="A1488" s="526"/>
      <c r="B1488" s="510" t="s">
        <v>4</v>
      </c>
      <c r="C1488" s="525">
        <f>IFERROR(VLOOKUP($B1483,'PY1 TFR ADA'!$F:$AU,MATCH("A-1.4",'PY1 TFR ADA'!$F$5:$AU$5,0),FALSE),0)</f>
        <v>0</v>
      </c>
      <c r="D1488" s="523"/>
      <c r="E1488" s="525">
        <f>IFERROR(VALUE(VLOOKUP($B1483,'PY1 TFR ADA'!$F:$AU,MATCH("A-2.4",'PY1 TFR ADA'!$F$5:$AU$5,0),FALSE)),0)</f>
        <v>0</v>
      </c>
      <c r="F1488" s="523"/>
      <c r="G1488" s="609">
        <f>IFERROR(VLOOKUP($B1483,'PY1 TFR ADA'!$F:$AU,MATCH("b-1.4",'PY1 TFR ADA'!$F$5:$AU$5,0),FALSE),0)</f>
        <v>0</v>
      </c>
      <c r="H1488" s="527"/>
      <c r="I1488" s="609">
        <f>IFERROR(VLOOKUP($B1483,'PY1 TFR ADA'!$F:$AU,MATCH("b-2.4",'PY1 TFR ADA'!$F$5:$AU$5,0),FALSE),0)</f>
        <v>0</v>
      </c>
      <c r="J1488" s="527"/>
      <c r="K1488" s="609">
        <f>IFERROR(VLOOKUP($B1483,'PY1 TFR ADA'!$F:$AU,MATCH("b-3.4",'PY1 TFR ADA'!$F$5:$AU$5,0),FALSE),0)</f>
        <v>0</v>
      </c>
      <c r="L1488" s="527"/>
      <c r="M1488" s="609">
        <f>IFERROR(VLOOKUP($B1483,'PY1 TFR ADA'!$F:$AU,MATCH("b-4.4",'PY1 TFR ADA'!$F$5:$AU$5,0),FALSE),0)</f>
        <v>0</v>
      </c>
      <c r="N1488" s="527"/>
      <c r="O1488" s="609">
        <f>IFERROR(VLOOKUP($B1483,'PY1 TFR ADA'!$F:$AU,MATCH("b-5.4",'PY1 TFR ADA'!$F$5:$AU$5,0),FALSE),0)</f>
        <v>0</v>
      </c>
      <c r="P1488" s="527"/>
      <c r="Q1488" s="609">
        <f>IFERROR(VLOOKUP($B1483,'PY1 TFR ADA'!$F:$AU,MATCH("b-6.4",'PY1 TFR ADA'!$F$5:$AU$5,0),FALSE),0)</f>
        <v>0</v>
      </c>
      <c r="R1488" s="551"/>
      <c r="S1488" s="601">
        <f t="shared" si="2238"/>
        <v>0</v>
      </c>
      <c r="T1488" s="551"/>
      <c r="U1488" s="536">
        <f t="shared" ref="U1488" si="2242">ROUND(IF($G1492="LCFF Rate",(G1488*$C1488),(G1488*$E1488))+IF($I1492="LCFF Rate",(I1488*$C1488),(I1488*$E1488))+IF($K1492="LCFF Rate",(K1488*$C1488),(K1488*$E1488))+IF($M1492="LCFF Rate",(M1488*$C1488),(M1488*$E1488))+IF($O1492="LCFF Rate",(O1488*$C1488),(O1488*$E1488))+IF($Q1492="LCFF Rate",(Q1488*$C1488),(Q1488*$E1488)),0)</f>
        <v>0</v>
      </c>
      <c r="V1488" s="522"/>
    </row>
    <row r="1489" spans="1:22" ht="14.4">
      <c r="A1489" s="521"/>
      <c r="B1489" s="167"/>
      <c r="C1489" s="165"/>
      <c r="D1489" s="523"/>
      <c r="E1489" s="165"/>
      <c r="F1489" s="523"/>
      <c r="G1489" s="520"/>
      <c r="H1489" s="523"/>
      <c r="I1489" s="520"/>
      <c r="J1489" s="523"/>
      <c r="K1489" s="520"/>
      <c r="L1489" s="523"/>
      <c r="M1489" s="520"/>
      <c r="N1489" s="523"/>
      <c r="O1489" s="520"/>
      <c r="P1489" s="523"/>
      <c r="Q1489" s="520"/>
      <c r="R1489" s="167"/>
      <c r="S1489" s="520"/>
      <c r="T1489" s="167"/>
      <c r="U1489" s="602"/>
      <c r="V1489" s="522"/>
    </row>
    <row r="1490" spans="1:22" ht="14.4">
      <c r="A1490" s="521"/>
      <c r="B1490" s="167"/>
      <c r="C1490" s="165"/>
      <c r="D1490" s="523"/>
      <c r="E1490" s="513" t="s">
        <v>1317</v>
      </c>
      <c r="F1490" s="523"/>
      <c r="G1490" s="601">
        <f t="shared" ref="G1490" si="2243">SUM(G1485:G1488)</f>
        <v>0</v>
      </c>
      <c r="H1490" s="527"/>
      <c r="I1490" s="601">
        <f t="shared" ref="I1490" si="2244">SUM(I1485:I1488)</f>
        <v>0</v>
      </c>
      <c r="J1490" s="527"/>
      <c r="K1490" s="601">
        <f t="shared" ref="K1490" si="2245">SUM(K1485:K1488)</f>
        <v>0</v>
      </c>
      <c r="L1490" s="527"/>
      <c r="M1490" s="601">
        <f t="shared" ref="M1490" si="2246">SUM(M1485:M1488)</f>
        <v>0</v>
      </c>
      <c r="N1490" s="527"/>
      <c r="O1490" s="601">
        <f t="shared" ref="O1490" si="2247">SUM(O1485:O1488)</f>
        <v>0</v>
      </c>
      <c r="P1490" s="527"/>
      <c r="Q1490" s="601">
        <f t="shared" ref="Q1490" si="2248">SUM(Q1485:Q1488)</f>
        <v>0</v>
      </c>
      <c r="R1490" s="527"/>
      <c r="S1490" s="601">
        <f t="shared" ref="S1490" si="2249">SUM(S1485:S1488)</f>
        <v>0</v>
      </c>
      <c r="T1490" s="527"/>
      <c r="U1490" s="536">
        <f t="shared" ref="U1490" si="2250">SUM(U1485:U1488)</f>
        <v>0</v>
      </c>
      <c r="V1490" s="522"/>
    </row>
    <row r="1491" spans="1:22" ht="14.4">
      <c r="A1491" s="521"/>
      <c r="B1491" s="167"/>
      <c r="C1491" s="165"/>
      <c r="D1491" s="523"/>
      <c r="E1491" s="165"/>
      <c r="F1491" s="523"/>
      <c r="G1491" s="520"/>
      <c r="H1491" s="523"/>
      <c r="I1491" s="520"/>
      <c r="J1491" s="523"/>
      <c r="K1491" s="520"/>
      <c r="L1491" s="523"/>
      <c r="M1491" s="520"/>
      <c r="N1491" s="523"/>
      <c r="O1491" s="520"/>
      <c r="P1491" s="523"/>
      <c r="Q1491" s="520"/>
      <c r="R1491" s="167"/>
      <c r="S1491" s="520"/>
      <c r="T1491" s="167"/>
      <c r="U1491" s="528"/>
      <c r="V1491" s="522"/>
    </row>
    <row r="1492" spans="1:22" ht="14.4">
      <c r="A1492" s="521"/>
      <c r="B1492" s="167"/>
      <c r="C1492" s="165"/>
      <c r="D1492" s="8"/>
      <c r="E1492" s="513" t="s">
        <v>1304</v>
      </c>
      <c r="F1492" s="523"/>
      <c r="G1492" s="977">
        <f>_xlfn.IFNA(IF(VLOOKUP($B1483,'PY1 TFR ADA'!$F:$AU,MATCH("B-1.5",'PY1 TFR ADA'!$F$5:$AU$5,0),FALSE)=TRUE,IF(VLOOKUP($B1483,'PY1 TFR ADA'!$F:$AU,MATCH("C-1",'PY1 TFR ADA'!$F$5:$AU$5,0),FALSE)=TRUE,"Alternative Rate","LCFF Rate"),"LCFF Rate"),0)</f>
        <v>0</v>
      </c>
      <c r="H1492" s="523"/>
      <c r="I1492" s="977">
        <f>_xlfn.IFNA(IF(VLOOKUP($B1483,'PY1 TFR ADA'!$F:$AU,MATCH("B-2.5",'PY1 TFR ADA'!$F$5:$AU$5,0),FALSE)=TRUE,IF(VLOOKUP($B1483,'PY1 TFR ADA'!$F:$AU,MATCH("C-1",'PY1 TFR ADA'!$F$5:$AU$5,0),FALSE)=TRUE,"Alternative Rate","LCFF Rate"),"LCFF Rate"),0)</f>
        <v>0</v>
      </c>
      <c r="J1492" s="523"/>
      <c r="K1492" s="977">
        <f>_xlfn.IFNA(IF(VLOOKUP($B1483,'PY1 TFR ADA'!$F:$AU,MATCH("B-3.5",'PY1 TFR ADA'!$F$5:$AU$5,0),FALSE)=TRUE,IF(VLOOKUP($B1483,'PY1 TFR ADA'!$F:$AU,MATCH("C-1",'PY1 TFR ADA'!$F$5:$AU$5,0),FALSE)=TRUE,"Alternative Rate","LCFF Rate"),"LCFF Rate"),0)</f>
        <v>0</v>
      </c>
      <c r="L1492" s="523"/>
      <c r="M1492" s="977">
        <f>_xlfn.IFNA(IF(VLOOKUP($B1483,'PY1 TFR ADA'!$F:$AU,MATCH("B-4.5",'PY1 TFR ADA'!$F$5:$AU$5,0),FALSE)=TRUE,IF(VLOOKUP($B1483,'PY1 TFR ADA'!$F:$AU,MATCH("C-1",'PY1 TFR ADA'!$F$5:$AU$5,0),FALSE)=TRUE,"Alternative Rate","LCFF Rate"),"LCFF Rate"),0)</f>
        <v>0</v>
      </c>
      <c r="N1492" s="523"/>
      <c r="O1492" s="977">
        <f>_xlfn.IFNA(IF(VLOOKUP($B1483,'PY1 TFR ADA'!$F:$AU,MATCH("B-5.5",'PY1 TFR ADA'!$F$5:$AU$5,0),FALSE)=TRUE,IF(VLOOKUP($B1483,'PY1 TFR ADA'!$F:$AU,MATCH("C-1",'PY1 TFR ADA'!$F$5:$AU$5,0),FALSE)=TRUE,"Alternative Rate","LCFF Rate"),"LCFF Rate"),0)</f>
        <v>0</v>
      </c>
      <c r="P1492" s="523"/>
      <c r="Q1492" s="977">
        <f>_xlfn.IFNA(IF(VLOOKUP($B1483,'PY1 TFR ADA'!$F:$AU,MATCH("B-6.5",'PY1 TFR ADA'!$F$5:$AU$5,0),FALSE)=TRUE,IF(VLOOKUP($B1483,'PY1 TFR ADA'!$F:$AU,MATCH("C-1",'PY1 TFR ADA'!$F$5:$AU$5,0),FALSE)=TRUE,"Alternative Rate","LCFF Rate"),"LCFF Rate"),0)</f>
        <v>0</v>
      </c>
      <c r="R1492" s="167"/>
      <c r="S1492" s="520"/>
      <c r="T1492" s="167"/>
      <c r="U1492" s="528"/>
      <c r="V1492" s="522"/>
    </row>
    <row r="1493" spans="1:22" ht="14.4">
      <c r="A1493" s="521"/>
      <c r="B1493" s="167"/>
      <c r="C1493" s="165"/>
      <c r="D1493" s="523"/>
      <c r="E1493" s="165"/>
      <c r="F1493" s="523"/>
      <c r="G1493" s="520"/>
      <c r="H1493" s="523"/>
      <c r="I1493" s="520"/>
      <c r="J1493" s="523"/>
      <c r="K1493" s="520"/>
      <c r="L1493" s="523"/>
      <c r="M1493" s="520"/>
      <c r="N1493" s="523"/>
      <c r="O1493" s="520"/>
      <c r="P1493" s="523"/>
      <c r="Q1493" s="520"/>
      <c r="R1493" s="167"/>
      <c r="S1493" s="520"/>
      <c r="T1493" s="167"/>
      <c r="U1493" s="528"/>
      <c r="V1493" s="522"/>
    </row>
    <row r="1494" spans="1:22" ht="14.4">
      <c r="A1494" s="521"/>
      <c r="B1494" s="2"/>
      <c r="C1494" s="8"/>
      <c r="D1494" s="8"/>
      <c r="E1494" s="8"/>
      <c r="F1494" s="523"/>
      <c r="G1494" s="535">
        <f t="shared" ref="G1494" si="2251">IF(G1492="LCFF Rate",(G1485*C1485+G1486*C1486+G1487*C1487+G1488*C1488),(G1490*E1488))</f>
        <v>0</v>
      </c>
      <c r="H1494" s="537"/>
      <c r="I1494" s="535">
        <f t="shared" ref="I1494" si="2252">IF(I1492="LCFF Rate",(I1485*C1485+I1486*C1486+I1487*C1487+I1488*C1488),(I1490*E1488))</f>
        <v>0</v>
      </c>
      <c r="J1494" s="537"/>
      <c r="K1494" s="535">
        <f t="shared" ref="K1494" si="2253">IF(K1492="LCFF Rate",(K1485*C1485+K1486*C1486+K1487*C1487+K1488*C1488),(K1490*E1488))</f>
        <v>0</v>
      </c>
      <c r="L1494" s="537"/>
      <c r="M1494" s="535">
        <f t="shared" ref="M1494" si="2254">IF(M1492="LCFF Rate",(M1485*C1485+M1486*C1486+M1487*C1487+M1488*C1488),(M1490*E1488))</f>
        <v>0</v>
      </c>
      <c r="N1494" s="537"/>
      <c r="O1494" s="535">
        <f t="shared" ref="O1494" si="2255">IF(O1492="LCFF Rate",(O1485*C1485+O1486*C1486+O1487*C1487+O1488*C1488),(O1490*E1488))</f>
        <v>0</v>
      </c>
      <c r="P1494" s="537"/>
      <c r="Q1494" s="535">
        <f t="shared" ref="Q1494" si="2256">IF(Q1492="LCFF Rate",(Q1485*C1485+Q1486*C1486+Q1487*C1487+Q1488*C1488),(Q1490*E1488))</f>
        <v>0</v>
      </c>
      <c r="R1494" s="167"/>
      <c r="S1494" s="538">
        <f t="shared" ref="S1494" si="2257">SUM(G1494:Q1494)</f>
        <v>0</v>
      </c>
      <c r="T1494" s="167"/>
      <c r="U1494" s="528"/>
      <c r="V1494" s="522"/>
    </row>
    <row r="1495" spans="1:22" ht="15" thickBot="1">
      <c r="A1495" s="529"/>
      <c r="B1495" s="530"/>
      <c r="C1495" s="531"/>
      <c r="D1495" s="532"/>
      <c r="E1495" s="533"/>
      <c r="F1495" s="532"/>
      <c r="G1495" s="530"/>
      <c r="H1495" s="532"/>
      <c r="I1495" s="530"/>
      <c r="J1495" s="532"/>
      <c r="K1495" s="530"/>
      <c r="L1495" s="532"/>
      <c r="M1495" s="530"/>
      <c r="N1495" s="532"/>
      <c r="O1495" s="530"/>
      <c r="P1495" s="532"/>
      <c r="Q1495" s="530"/>
      <c r="R1495" s="532"/>
      <c r="S1495" s="530"/>
      <c r="T1495" s="532"/>
      <c r="U1495" s="532"/>
      <c r="V1495" s="534"/>
    </row>
    <row r="1496" spans="1:22" ht="18.600000000000001" thickBot="1">
      <c r="A1496" s="890">
        <f>+A1483+1</f>
        <v>115</v>
      </c>
      <c r="B1496" s="891" t="str">
        <f>'Data Entry'!$B$3&amp;"-"&amp;C1496</f>
        <v>-</v>
      </c>
      <c r="C1496" s="891" t="str">
        <f>IFERROR(VLOOKUP('Data Entry'!$B$3&amp;"-"&amp;A1496,'PY1 TFR ADA'!$D:$AT,2,FALSE),"")</f>
        <v/>
      </c>
      <c r="D1496" s="892" t="str">
        <f>IFERROR(VLOOKUP('Data Entry'!$B$3&amp;"-"&amp;A1496,'PY1 TFR ADA'!$D:$AT,4,FALSE),"")</f>
        <v/>
      </c>
      <c r="E1496" s="893"/>
      <c r="F1496" s="893"/>
      <c r="G1496" s="893"/>
      <c r="H1496" s="893"/>
      <c r="I1496" s="893"/>
      <c r="J1496" s="893"/>
      <c r="K1496" s="893"/>
      <c r="L1496" s="893"/>
      <c r="M1496" s="893"/>
      <c r="N1496" s="893"/>
      <c r="O1496" s="893"/>
      <c r="P1496" s="893"/>
      <c r="Q1496" s="893"/>
      <c r="R1496" s="893"/>
      <c r="S1496" s="893"/>
      <c r="T1496" s="893"/>
      <c r="U1496" s="893"/>
      <c r="V1496" s="894"/>
    </row>
    <row r="1497" spans="1:22" ht="69">
      <c r="A1497" s="521"/>
      <c r="C1497" s="540" t="s">
        <v>1315</v>
      </c>
      <c r="D1497" s="512"/>
      <c r="E1497" s="540" t="s">
        <v>1316</v>
      </c>
      <c r="F1497" s="512"/>
      <c r="G1497" s="540" t="s">
        <v>1309</v>
      </c>
      <c r="H1497" s="512"/>
      <c r="I1497" s="540" t="s">
        <v>1310</v>
      </c>
      <c r="J1497" s="512"/>
      <c r="K1497" s="540" t="s">
        <v>1311</v>
      </c>
      <c r="L1497" s="512"/>
      <c r="M1497" s="540" t="s">
        <v>1312</v>
      </c>
      <c r="N1497" s="512"/>
      <c r="O1497" s="540" t="s">
        <v>1313</v>
      </c>
      <c r="P1497" s="512"/>
      <c r="Q1497" s="540" t="s">
        <v>1314</v>
      </c>
      <c r="R1497" s="167"/>
      <c r="S1497" s="540" t="s">
        <v>1308</v>
      </c>
      <c r="T1497" s="167"/>
      <c r="U1497" s="512" t="s">
        <v>1307</v>
      </c>
      <c r="V1497" s="524"/>
    </row>
    <row r="1498" spans="1:22" ht="14.4">
      <c r="A1498" s="521"/>
      <c r="B1498" s="510" t="s">
        <v>94</v>
      </c>
      <c r="C1498" s="525">
        <f>IFERROR(VLOOKUP($B1496,'PY1 TFR ADA'!$F:$AU,MATCH("A-1.1",'PY1 TFR ADA'!$F$5:$AU$5,0),FALSE),0)</f>
        <v>0</v>
      </c>
      <c r="D1498" s="167"/>
      <c r="E1498" s="525">
        <f>IFERROR(VALUE(VLOOKUP($B1496,'PY1 TFR ADA'!$F:$AU,MATCH("A-2.1",'PY1 TFR ADA'!$F$5:$AU$5,0),FALSE)),0)</f>
        <v>0</v>
      </c>
      <c r="F1498" s="167"/>
      <c r="G1498" s="609">
        <f>IFERROR(VLOOKUP($B1496,'PY1 TFR ADA'!$F:$AU,MATCH("b-1.1",'PY1 TFR ADA'!$F$5:$AU$5,0),FALSE),0)</f>
        <v>0</v>
      </c>
      <c r="H1498" s="527"/>
      <c r="I1498" s="609">
        <f>IFERROR(VLOOKUP($B1496,'PY1 TFR ADA'!$F:$AU,MATCH("b-2.1",'PY1 TFR ADA'!$F$5:$AU$5,0),FALSE),0)</f>
        <v>0</v>
      </c>
      <c r="J1498" s="527"/>
      <c r="K1498" s="609">
        <f>IFERROR(VLOOKUP($B1496,'PY1 TFR ADA'!$F:$AU,MATCH("b-3.1",'PY1 TFR ADA'!$F$5:$AU$5,0),FALSE),0)</f>
        <v>0</v>
      </c>
      <c r="L1498" s="527"/>
      <c r="M1498" s="609">
        <f>IFERROR(VLOOKUP($B1496,'PY1 TFR ADA'!$F:$AU,MATCH("b-4.1",'PY1 TFR ADA'!$F$5:$AU$5,0),FALSE),0)</f>
        <v>0</v>
      </c>
      <c r="N1498" s="527"/>
      <c r="O1498" s="609">
        <f>IFERROR(VLOOKUP($B1496,'PY1 TFR ADA'!$F:$AU,MATCH("b-5.1",'PY1 TFR ADA'!$F$5:$AU$5,0),FALSE),0)</f>
        <v>0</v>
      </c>
      <c r="P1498" s="527"/>
      <c r="Q1498" s="609">
        <f>IFERROR(VLOOKUP($B1496,'PY1 TFR ADA'!$F:$AU,MATCH("b-6.1",'PY1 TFR ADA'!$F$5:$AU$5,0),FALSE),0)</f>
        <v>0</v>
      </c>
      <c r="R1498" s="551"/>
      <c r="S1498" s="601">
        <f t="shared" ref="S1498:S1501" si="2258">SUM(G1498:Q1498)</f>
        <v>0</v>
      </c>
      <c r="T1498" s="551"/>
      <c r="U1498" s="536">
        <f t="shared" ref="U1498" si="2259">ROUND(IF($G1505="LCFF Rate",(G1498*$C1498),(G1498*$E1498))+IF($I1505="LCFF Rate",(I1498*$C1498),(I1498*$E1498))+IF($K1505="LCFF Rate",(K1498*$C1498),(K1498*$E1498))+IF($M1505="LCFF Rate",(M1498*$C1498),(M1498*$E1498))+IF($O1505="LCFF Rate",(O1498*$C1498),(O1498*$E1498))+IF($Q1505="LCFF Rate",(Q1498*$C1498),(Q1498*$E1498)),0)</f>
        <v>0</v>
      </c>
      <c r="V1498" s="524"/>
    </row>
    <row r="1499" spans="1:22" ht="14.4">
      <c r="A1499" s="521"/>
      <c r="B1499" s="510" t="s">
        <v>2</v>
      </c>
      <c r="C1499" s="525">
        <f>IFERROR(VLOOKUP($B1496,'PY1 TFR ADA'!$F:$AU,MATCH("A-1.2",'PY1 TFR ADA'!$F$5:$AU$5,0),FALSE),0)</f>
        <v>0</v>
      </c>
      <c r="D1499" s="167"/>
      <c r="E1499" s="525">
        <f>IFERROR(VALUE(VLOOKUP($B1496,'PY1 TFR ADA'!$F:$AU,MATCH("A-2.2",'PY1 TFR ADA'!$F$5:$AU$5,0),FALSE)),0)</f>
        <v>0</v>
      </c>
      <c r="F1499" s="167"/>
      <c r="G1499" s="609">
        <f>IFERROR(VLOOKUP($B1496,'PY1 TFR ADA'!$F:$AU,MATCH("b-1.2",'PY1 TFR ADA'!$F$5:$AU$5,0),FALSE),0)</f>
        <v>0</v>
      </c>
      <c r="H1499" s="527"/>
      <c r="I1499" s="609">
        <f>IFERROR(VLOOKUP($B1496,'PY1 TFR ADA'!$F:$AU,MATCH("b-2.2",'PY1 TFR ADA'!$F$5:$AU$5,0),FALSE),0)</f>
        <v>0</v>
      </c>
      <c r="J1499" s="527"/>
      <c r="K1499" s="609">
        <f>IFERROR(VLOOKUP($B1496,'PY1 TFR ADA'!$F:$AU,MATCH("b-3.2",'PY1 TFR ADA'!$F$5:$AU$5,0),FALSE),0)</f>
        <v>0</v>
      </c>
      <c r="L1499" s="527"/>
      <c r="M1499" s="609">
        <f>IFERROR(VLOOKUP($B1496,'PY1 TFR ADA'!$F:$AU,MATCH("b-4.2",'PY1 TFR ADA'!$F$5:$AU$5,0),FALSE),0)</f>
        <v>0</v>
      </c>
      <c r="N1499" s="527"/>
      <c r="O1499" s="609">
        <f>IFERROR(VLOOKUP($B1496,'PY1 TFR ADA'!$F:$AU,MATCH("b-5.2",'PY1 TFR ADA'!$F$5:$AU$5,0),FALSE),0)</f>
        <v>0</v>
      </c>
      <c r="P1499" s="527"/>
      <c r="Q1499" s="609">
        <f>IFERROR(VLOOKUP($B1496,'PY1 TFR ADA'!$F:$AU,MATCH("b-6.2",'PY1 TFR ADA'!$F$5:$AU$5,0),FALSE),0)</f>
        <v>0</v>
      </c>
      <c r="R1499" s="551"/>
      <c r="S1499" s="601">
        <f t="shared" si="2258"/>
        <v>0</v>
      </c>
      <c r="T1499" s="551"/>
      <c r="U1499" s="536">
        <f t="shared" ref="U1499" si="2260">ROUND(IF($G1505="LCFF Rate",(G1499*$C1499),(G1499*$E1499))+IF($I1505="LCFF Rate",(I1499*$C1499),(I1499*$E1499))+IF($K1505="LCFF Rate",(K1499*$C1499),(K1499*$E1499))+IF($M1505="LCFF Rate",(M1499*$C1499),(M1499*$E1499))+IF($O1505="LCFF Rate",(O1499*$C1499),(O1499*$E1499))+IF($Q1505="LCFF Rate",(Q1499*$C1499),(Q1499*$E1499)),0)</f>
        <v>0</v>
      </c>
      <c r="V1499" s="524"/>
    </row>
    <row r="1500" spans="1:22" ht="14.4">
      <c r="A1500" s="521"/>
      <c r="B1500" s="510" t="s">
        <v>3</v>
      </c>
      <c r="C1500" s="525">
        <f>IFERROR(VLOOKUP($B1496,'PY1 TFR ADA'!$F:$AU,MATCH("A-1.3",'PY1 TFR ADA'!$F$5:$AU$5,0),FALSE),0)</f>
        <v>0</v>
      </c>
      <c r="D1500" s="167"/>
      <c r="E1500" s="525">
        <f>IFERROR(VALUE(VLOOKUP($B1496,'PY1 TFR ADA'!$F:$AU,MATCH("A-2.3",'PY1 TFR ADA'!$F$5:$AU$5,0),FALSE)),0)</f>
        <v>0</v>
      </c>
      <c r="F1500" s="167"/>
      <c r="G1500" s="609">
        <f>IFERROR(VLOOKUP($B1496,'PY1 TFR ADA'!$F:$AU,MATCH("b-1.3",'PY1 TFR ADA'!$F$5:$AU$5,0),FALSE),0)</f>
        <v>0</v>
      </c>
      <c r="H1500" s="527"/>
      <c r="I1500" s="609">
        <f>IFERROR(VLOOKUP($B1496,'PY1 TFR ADA'!$F:$AU,MATCH("b-2.3",'PY1 TFR ADA'!$F$5:$AU$5,0),FALSE),0)</f>
        <v>0</v>
      </c>
      <c r="J1500" s="527"/>
      <c r="K1500" s="609">
        <f>IFERROR(VLOOKUP($B1496,'PY1 TFR ADA'!$F:$AU,MATCH("b-3.3",'PY1 TFR ADA'!$F$5:$AU$5,0),FALSE),0)</f>
        <v>0</v>
      </c>
      <c r="L1500" s="527"/>
      <c r="M1500" s="609">
        <f>IFERROR(VLOOKUP($B1496,'PY1 TFR ADA'!$F:$AU,MATCH("b-4.3",'PY1 TFR ADA'!$F$5:$AU$5,0),FALSE),0)</f>
        <v>0</v>
      </c>
      <c r="N1500" s="527"/>
      <c r="O1500" s="609">
        <f>IFERROR(VLOOKUP($B1496,'PY1 TFR ADA'!$F:$AU,MATCH("b-5.3",'PY1 TFR ADA'!$F$5:$AU$5,0),FALSE),0)</f>
        <v>0</v>
      </c>
      <c r="P1500" s="527"/>
      <c r="Q1500" s="609">
        <f>IFERROR(VLOOKUP($B1496,'PY1 TFR ADA'!$F:$AU,MATCH("b-6.3",'PY1 TFR ADA'!$F$5:$AU$5,0),FALSE),0)</f>
        <v>0</v>
      </c>
      <c r="R1500" s="551"/>
      <c r="S1500" s="601">
        <f t="shared" si="2258"/>
        <v>0</v>
      </c>
      <c r="T1500" s="551"/>
      <c r="U1500" s="536">
        <f t="shared" ref="U1500" si="2261">ROUND(IF($G1505="LCFF Rate",(G1500*$C1500),(G1500*$E1500))+IF($I1505="LCFF Rate",(I1500*$C1500),(I1500*$E1500))+IF($K1505="LCFF Rate",(K1500*$C1500),(K1500*$E1500))+IF($M1505="LCFF Rate",(M1500*$C1500),(M1500*$E1500))+IF($O1505="LCFF Rate",(O1500*$C1500),(O1500*$E1500))+IF($Q1505="LCFF Rate",(Q1500*$C1500),(Q1500*$E1500)),0)</f>
        <v>0</v>
      </c>
      <c r="V1500" s="524"/>
    </row>
    <row r="1501" spans="1:22" ht="14.4">
      <c r="A1501" s="526"/>
      <c r="B1501" s="510" t="s">
        <v>4</v>
      </c>
      <c r="C1501" s="525">
        <f>IFERROR(VLOOKUP($B1496,'PY1 TFR ADA'!$F:$AU,MATCH("A-1.4",'PY1 TFR ADA'!$F$5:$AU$5,0),FALSE),0)</f>
        <v>0</v>
      </c>
      <c r="D1501" s="523"/>
      <c r="E1501" s="525">
        <f>IFERROR(VALUE(VLOOKUP($B1496,'PY1 TFR ADA'!$F:$AU,MATCH("A-2.4",'PY1 TFR ADA'!$F$5:$AU$5,0),FALSE)),0)</f>
        <v>0</v>
      </c>
      <c r="F1501" s="523"/>
      <c r="G1501" s="609">
        <f>IFERROR(VLOOKUP($B1496,'PY1 TFR ADA'!$F:$AU,MATCH("b-1.4",'PY1 TFR ADA'!$F$5:$AU$5,0),FALSE),0)</f>
        <v>0</v>
      </c>
      <c r="H1501" s="527"/>
      <c r="I1501" s="609">
        <f>IFERROR(VLOOKUP($B1496,'PY1 TFR ADA'!$F:$AU,MATCH("b-2.4",'PY1 TFR ADA'!$F$5:$AU$5,0),FALSE),0)</f>
        <v>0</v>
      </c>
      <c r="J1501" s="527"/>
      <c r="K1501" s="609">
        <f>IFERROR(VLOOKUP($B1496,'PY1 TFR ADA'!$F:$AU,MATCH("b-3.4",'PY1 TFR ADA'!$F$5:$AU$5,0),FALSE),0)</f>
        <v>0</v>
      </c>
      <c r="L1501" s="527"/>
      <c r="M1501" s="609">
        <f>IFERROR(VLOOKUP($B1496,'PY1 TFR ADA'!$F:$AU,MATCH("b-4.4",'PY1 TFR ADA'!$F$5:$AU$5,0),FALSE),0)</f>
        <v>0</v>
      </c>
      <c r="N1501" s="527"/>
      <c r="O1501" s="609">
        <f>IFERROR(VLOOKUP($B1496,'PY1 TFR ADA'!$F:$AU,MATCH("b-5.4",'PY1 TFR ADA'!$F$5:$AU$5,0),FALSE),0)</f>
        <v>0</v>
      </c>
      <c r="P1501" s="527"/>
      <c r="Q1501" s="609">
        <f>IFERROR(VLOOKUP($B1496,'PY1 TFR ADA'!$F:$AU,MATCH("b-6.4",'PY1 TFR ADA'!$F$5:$AU$5,0),FALSE),0)</f>
        <v>0</v>
      </c>
      <c r="R1501" s="551"/>
      <c r="S1501" s="601">
        <f t="shared" si="2258"/>
        <v>0</v>
      </c>
      <c r="T1501" s="551"/>
      <c r="U1501" s="536">
        <f t="shared" ref="U1501" si="2262">ROUND(IF($G1505="LCFF Rate",(G1501*$C1501),(G1501*$E1501))+IF($I1505="LCFF Rate",(I1501*$C1501),(I1501*$E1501))+IF($K1505="LCFF Rate",(K1501*$C1501),(K1501*$E1501))+IF($M1505="LCFF Rate",(M1501*$C1501),(M1501*$E1501))+IF($O1505="LCFF Rate",(O1501*$C1501),(O1501*$E1501))+IF($Q1505="LCFF Rate",(Q1501*$C1501),(Q1501*$E1501)),0)</f>
        <v>0</v>
      </c>
      <c r="V1501" s="522"/>
    </row>
    <row r="1502" spans="1:22" ht="14.4">
      <c r="A1502" s="521"/>
      <c r="B1502" s="167"/>
      <c r="C1502" s="165"/>
      <c r="D1502" s="523"/>
      <c r="E1502" s="165"/>
      <c r="F1502" s="523"/>
      <c r="G1502" s="520"/>
      <c r="H1502" s="523"/>
      <c r="I1502" s="520"/>
      <c r="J1502" s="523"/>
      <c r="K1502" s="520"/>
      <c r="L1502" s="523"/>
      <c r="M1502" s="520"/>
      <c r="N1502" s="523"/>
      <c r="O1502" s="520"/>
      <c r="P1502" s="523"/>
      <c r="Q1502" s="520"/>
      <c r="R1502" s="167"/>
      <c r="S1502" s="520"/>
      <c r="T1502" s="167"/>
      <c r="U1502" s="602"/>
      <c r="V1502" s="522"/>
    </row>
    <row r="1503" spans="1:22" ht="14.4">
      <c r="A1503" s="521"/>
      <c r="B1503" s="167"/>
      <c r="C1503" s="165"/>
      <c r="D1503" s="523"/>
      <c r="E1503" s="513" t="s">
        <v>1317</v>
      </c>
      <c r="F1503" s="523"/>
      <c r="G1503" s="601">
        <f t="shared" ref="G1503" si="2263">SUM(G1498:G1501)</f>
        <v>0</v>
      </c>
      <c r="H1503" s="527"/>
      <c r="I1503" s="601">
        <f t="shared" ref="I1503" si="2264">SUM(I1498:I1501)</f>
        <v>0</v>
      </c>
      <c r="J1503" s="527"/>
      <c r="K1503" s="601">
        <f t="shared" ref="K1503" si="2265">SUM(K1498:K1501)</f>
        <v>0</v>
      </c>
      <c r="L1503" s="527"/>
      <c r="M1503" s="601">
        <f t="shared" ref="M1503" si="2266">SUM(M1498:M1501)</f>
        <v>0</v>
      </c>
      <c r="N1503" s="527"/>
      <c r="O1503" s="601">
        <f t="shared" ref="O1503" si="2267">SUM(O1498:O1501)</f>
        <v>0</v>
      </c>
      <c r="P1503" s="527"/>
      <c r="Q1503" s="601">
        <f t="shared" ref="Q1503" si="2268">SUM(Q1498:Q1501)</f>
        <v>0</v>
      </c>
      <c r="R1503" s="527"/>
      <c r="S1503" s="601">
        <f t="shared" ref="S1503" si="2269">SUM(S1498:S1501)</f>
        <v>0</v>
      </c>
      <c r="T1503" s="527"/>
      <c r="U1503" s="536">
        <f t="shared" ref="U1503" si="2270">SUM(U1498:U1501)</f>
        <v>0</v>
      </c>
      <c r="V1503" s="522"/>
    </row>
    <row r="1504" spans="1:22" ht="14.4">
      <c r="A1504" s="521"/>
      <c r="B1504" s="167"/>
      <c r="C1504" s="165"/>
      <c r="D1504" s="523"/>
      <c r="E1504" s="165"/>
      <c r="F1504" s="523"/>
      <c r="G1504" s="520"/>
      <c r="H1504" s="523"/>
      <c r="I1504" s="520"/>
      <c r="J1504" s="523"/>
      <c r="K1504" s="520"/>
      <c r="L1504" s="523"/>
      <c r="M1504" s="520"/>
      <c r="N1504" s="523"/>
      <c r="O1504" s="520"/>
      <c r="P1504" s="523"/>
      <c r="Q1504" s="520"/>
      <c r="R1504" s="167"/>
      <c r="S1504" s="520"/>
      <c r="T1504" s="167"/>
      <c r="U1504" s="528"/>
      <c r="V1504" s="522"/>
    </row>
    <row r="1505" spans="1:22" ht="14.4">
      <c r="A1505" s="521"/>
      <c r="B1505" s="167"/>
      <c r="C1505" s="165"/>
      <c r="D1505" s="8"/>
      <c r="E1505" s="513" t="s">
        <v>1304</v>
      </c>
      <c r="F1505" s="523"/>
      <c r="G1505" s="977">
        <f>_xlfn.IFNA(IF(VLOOKUP($B1496,'PY1 TFR ADA'!$F:$AU,MATCH("B-1.5",'PY1 TFR ADA'!$F$5:$AU$5,0),FALSE)=TRUE,IF(VLOOKUP($B1496,'PY1 TFR ADA'!$F:$AU,MATCH("C-1",'PY1 TFR ADA'!$F$5:$AU$5,0),FALSE)=TRUE,"Alternative Rate","LCFF Rate"),"LCFF Rate"),0)</f>
        <v>0</v>
      </c>
      <c r="H1505" s="523"/>
      <c r="I1505" s="977">
        <f>_xlfn.IFNA(IF(VLOOKUP($B1496,'PY1 TFR ADA'!$F:$AU,MATCH("B-2.5",'PY1 TFR ADA'!$F$5:$AU$5,0),FALSE)=TRUE,IF(VLOOKUP($B1496,'PY1 TFR ADA'!$F:$AU,MATCH("C-1",'PY1 TFR ADA'!$F$5:$AU$5,0),FALSE)=TRUE,"Alternative Rate","LCFF Rate"),"LCFF Rate"),0)</f>
        <v>0</v>
      </c>
      <c r="J1505" s="523"/>
      <c r="K1505" s="977">
        <f>_xlfn.IFNA(IF(VLOOKUP($B1496,'PY1 TFR ADA'!$F:$AU,MATCH("B-3.5",'PY1 TFR ADA'!$F$5:$AU$5,0),FALSE)=TRUE,IF(VLOOKUP($B1496,'PY1 TFR ADA'!$F:$AU,MATCH("C-1",'PY1 TFR ADA'!$F$5:$AU$5,0),FALSE)=TRUE,"Alternative Rate","LCFF Rate"),"LCFF Rate"),0)</f>
        <v>0</v>
      </c>
      <c r="L1505" s="523"/>
      <c r="M1505" s="977">
        <f>_xlfn.IFNA(IF(VLOOKUP($B1496,'PY1 TFR ADA'!$F:$AU,MATCH("B-4.5",'PY1 TFR ADA'!$F$5:$AU$5,0),FALSE)=TRUE,IF(VLOOKUP($B1496,'PY1 TFR ADA'!$F:$AU,MATCH("C-1",'PY1 TFR ADA'!$F$5:$AU$5,0),FALSE)=TRUE,"Alternative Rate","LCFF Rate"),"LCFF Rate"),0)</f>
        <v>0</v>
      </c>
      <c r="N1505" s="523"/>
      <c r="O1505" s="977">
        <f>_xlfn.IFNA(IF(VLOOKUP($B1496,'PY1 TFR ADA'!$F:$AU,MATCH("B-5.5",'PY1 TFR ADA'!$F$5:$AU$5,0),FALSE)=TRUE,IF(VLOOKUP($B1496,'PY1 TFR ADA'!$F:$AU,MATCH("C-1",'PY1 TFR ADA'!$F$5:$AU$5,0),FALSE)=TRUE,"Alternative Rate","LCFF Rate"),"LCFF Rate"),0)</f>
        <v>0</v>
      </c>
      <c r="P1505" s="523"/>
      <c r="Q1505" s="977">
        <f>_xlfn.IFNA(IF(VLOOKUP($B1496,'PY1 TFR ADA'!$F:$AU,MATCH("B-6.5",'PY1 TFR ADA'!$F$5:$AU$5,0),FALSE)=TRUE,IF(VLOOKUP($B1496,'PY1 TFR ADA'!$F:$AU,MATCH("C-1",'PY1 TFR ADA'!$F$5:$AU$5,0),FALSE)=TRUE,"Alternative Rate","LCFF Rate"),"LCFF Rate"),0)</f>
        <v>0</v>
      </c>
      <c r="R1505" s="167"/>
      <c r="S1505" s="520"/>
      <c r="T1505" s="167"/>
      <c r="U1505" s="528"/>
      <c r="V1505" s="522"/>
    </row>
    <row r="1506" spans="1:22" ht="14.4">
      <c r="A1506" s="521"/>
      <c r="B1506" s="167"/>
      <c r="C1506" s="165"/>
      <c r="D1506" s="523"/>
      <c r="E1506" s="165"/>
      <c r="F1506" s="523"/>
      <c r="G1506" s="520"/>
      <c r="H1506" s="523"/>
      <c r="I1506" s="520"/>
      <c r="J1506" s="523"/>
      <c r="K1506" s="520"/>
      <c r="L1506" s="523"/>
      <c r="M1506" s="520"/>
      <c r="N1506" s="523"/>
      <c r="O1506" s="520"/>
      <c r="P1506" s="523"/>
      <c r="Q1506" s="520"/>
      <c r="R1506" s="167"/>
      <c r="S1506" s="520"/>
      <c r="T1506" s="167"/>
      <c r="U1506" s="528"/>
      <c r="V1506" s="522"/>
    </row>
    <row r="1507" spans="1:22" ht="14.4">
      <c r="A1507" s="521"/>
      <c r="B1507" s="2"/>
      <c r="C1507" s="8"/>
      <c r="D1507" s="8"/>
      <c r="E1507" s="8"/>
      <c r="F1507" s="523"/>
      <c r="G1507" s="535">
        <f t="shared" ref="G1507" si="2271">IF(G1505="LCFF Rate",(G1498*C1498+G1499*C1499+G1500*C1500+G1501*C1501),(G1503*E1501))</f>
        <v>0</v>
      </c>
      <c r="H1507" s="537"/>
      <c r="I1507" s="535">
        <f t="shared" ref="I1507" si="2272">IF(I1505="LCFF Rate",(I1498*C1498+I1499*C1499+I1500*C1500+I1501*C1501),(I1503*E1501))</f>
        <v>0</v>
      </c>
      <c r="J1507" s="537"/>
      <c r="K1507" s="535">
        <f t="shared" ref="K1507" si="2273">IF(K1505="LCFF Rate",(K1498*C1498+K1499*C1499+K1500*C1500+K1501*C1501),(K1503*E1501))</f>
        <v>0</v>
      </c>
      <c r="L1507" s="537"/>
      <c r="M1507" s="535">
        <f t="shared" ref="M1507" si="2274">IF(M1505="LCFF Rate",(M1498*C1498+M1499*C1499+M1500*C1500+M1501*C1501),(M1503*E1501))</f>
        <v>0</v>
      </c>
      <c r="N1507" s="537"/>
      <c r="O1507" s="535">
        <f t="shared" ref="O1507" si="2275">IF(O1505="LCFF Rate",(O1498*C1498+O1499*C1499+O1500*C1500+O1501*C1501),(O1503*E1501))</f>
        <v>0</v>
      </c>
      <c r="P1507" s="537"/>
      <c r="Q1507" s="535">
        <f t="shared" ref="Q1507" si="2276">IF(Q1505="LCFF Rate",(Q1498*C1498+Q1499*C1499+Q1500*C1500+Q1501*C1501),(Q1503*E1501))</f>
        <v>0</v>
      </c>
      <c r="R1507" s="167"/>
      <c r="S1507" s="538">
        <f t="shared" ref="S1507" si="2277">SUM(G1507:Q1507)</f>
        <v>0</v>
      </c>
      <c r="T1507" s="167"/>
      <c r="U1507" s="528"/>
      <c r="V1507" s="522"/>
    </row>
    <row r="1508" spans="1:22" ht="15" thickBot="1">
      <c r="A1508" s="529"/>
      <c r="B1508" s="530"/>
      <c r="C1508" s="531"/>
      <c r="D1508" s="532"/>
      <c r="E1508" s="533"/>
      <c r="F1508" s="532"/>
      <c r="G1508" s="530"/>
      <c r="H1508" s="532"/>
      <c r="I1508" s="530"/>
      <c r="J1508" s="532"/>
      <c r="K1508" s="530"/>
      <c r="L1508" s="532"/>
      <c r="M1508" s="530"/>
      <c r="N1508" s="532"/>
      <c r="O1508" s="530"/>
      <c r="P1508" s="532"/>
      <c r="Q1508" s="530"/>
      <c r="R1508" s="532"/>
      <c r="S1508" s="530"/>
      <c r="T1508" s="532"/>
      <c r="U1508" s="532"/>
      <c r="V1508" s="534"/>
    </row>
    <row r="1509" spans="1:22" ht="18.600000000000001" thickBot="1">
      <c r="A1509" s="890">
        <f>+A1496+1</f>
        <v>116</v>
      </c>
      <c r="B1509" s="891" t="str">
        <f>'Data Entry'!$B$3&amp;"-"&amp;C1509</f>
        <v>-</v>
      </c>
      <c r="C1509" s="891" t="str">
        <f>IFERROR(VLOOKUP('Data Entry'!$B$3&amp;"-"&amp;A1509,'PY1 TFR ADA'!$D:$AT,2,FALSE),"")</f>
        <v/>
      </c>
      <c r="D1509" s="892" t="str">
        <f>IFERROR(VLOOKUP('Data Entry'!$B$3&amp;"-"&amp;A1509,'PY1 TFR ADA'!$D:$AT,4,FALSE),"")</f>
        <v/>
      </c>
      <c r="E1509" s="893"/>
      <c r="F1509" s="893"/>
      <c r="G1509" s="893"/>
      <c r="H1509" s="893"/>
      <c r="I1509" s="893"/>
      <c r="J1509" s="893"/>
      <c r="K1509" s="893"/>
      <c r="L1509" s="893"/>
      <c r="M1509" s="893"/>
      <c r="N1509" s="893"/>
      <c r="O1509" s="893"/>
      <c r="P1509" s="893"/>
      <c r="Q1509" s="893"/>
      <c r="R1509" s="893"/>
      <c r="S1509" s="893"/>
      <c r="T1509" s="893"/>
      <c r="U1509" s="893"/>
      <c r="V1509" s="894"/>
    </row>
    <row r="1510" spans="1:22" ht="69">
      <c r="A1510" s="521"/>
      <c r="C1510" s="540" t="s">
        <v>1315</v>
      </c>
      <c r="D1510" s="512"/>
      <c r="E1510" s="540" t="s">
        <v>1316</v>
      </c>
      <c r="F1510" s="512"/>
      <c r="G1510" s="540" t="s">
        <v>1309</v>
      </c>
      <c r="H1510" s="512"/>
      <c r="I1510" s="540" t="s">
        <v>1310</v>
      </c>
      <c r="J1510" s="512"/>
      <c r="K1510" s="540" t="s">
        <v>1311</v>
      </c>
      <c r="L1510" s="512"/>
      <c r="M1510" s="540" t="s">
        <v>1312</v>
      </c>
      <c r="N1510" s="512"/>
      <c r="O1510" s="540" t="s">
        <v>1313</v>
      </c>
      <c r="P1510" s="512"/>
      <c r="Q1510" s="540" t="s">
        <v>1314</v>
      </c>
      <c r="R1510" s="167"/>
      <c r="S1510" s="540" t="s">
        <v>1308</v>
      </c>
      <c r="T1510" s="167"/>
      <c r="U1510" s="512" t="s">
        <v>1307</v>
      </c>
      <c r="V1510" s="524"/>
    </row>
    <row r="1511" spans="1:22" ht="14.4">
      <c r="A1511" s="521"/>
      <c r="B1511" s="510" t="s">
        <v>94</v>
      </c>
      <c r="C1511" s="525">
        <f>IFERROR(VLOOKUP($B1509,'PY1 TFR ADA'!$F:$AU,MATCH("A-1.1",'PY1 TFR ADA'!$F$5:$AU$5,0),FALSE),0)</f>
        <v>0</v>
      </c>
      <c r="D1511" s="167"/>
      <c r="E1511" s="525">
        <f>IFERROR(VALUE(VLOOKUP($B1509,'PY1 TFR ADA'!$F:$AU,MATCH("A-2.1",'PY1 TFR ADA'!$F$5:$AU$5,0),FALSE)),0)</f>
        <v>0</v>
      </c>
      <c r="F1511" s="167"/>
      <c r="G1511" s="609">
        <f>IFERROR(VLOOKUP($B1509,'PY1 TFR ADA'!$F:$AU,MATCH("b-1.1",'PY1 TFR ADA'!$F$5:$AU$5,0),FALSE),0)</f>
        <v>0</v>
      </c>
      <c r="H1511" s="527"/>
      <c r="I1511" s="609">
        <f>IFERROR(VLOOKUP($B1509,'PY1 TFR ADA'!$F:$AU,MATCH("b-2.1",'PY1 TFR ADA'!$F$5:$AU$5,0),FALSE),0)</f>
        <v>0</v>
      </c>
      <c r="J1511" s="527"/>
      <c r="K1511" s="609">
        <f>IFERROR(VLOOKUP($B1509,'PY1 TFR ADA'!$F:$AU,MATCH("b-3.1",'PY1 TFR ADA'!$F$5:$AU$5,0),FALSE),0)</f>
        <v>0</v>
      </c>
      <c r="L1511" s="527"/>
      <c r="M1511" s="609">
        <f>IFERROR(VLOOKUP($B1509,'PY1 TFR ADA'!$F:$AU,MATCH("b-4.1",'PY1 TFR ADA'!$F$5:$AU$5,0),FALSE),0)</f>
        <v>0</v>
      </c>
      <c r="N1511" s="527"/>
      <c r="O1511" s="609">
        <f>IFERROR(VLOOKUP($B1509,'PY1 TFR ADA'!$F:$AU,MATCH("b-5.1",'PY1 TFR ADA'!$F$5:$AU$5,0),FALSE),0)</f>
        <v>0</v>
      </c>
      <c r="P1511" s="527"/>
      <c r="Q1511" s="609">
        <f>IFERROR(VLOOKUP($B1509,'PY1 TFR ADA'!$F:$AU,MATCH("b-6.1",'PY1 TFR ADA'!$F$5:$AU$5,0),FALSE),0)</f>
        <v>0</v>
      </c>
      <c r="R1511" s="551"/>
      <c r="S1511" s="601">
        <f t="shared" ref="S1511:S1514" si="2278">SUM(G1511:Q1511)</f>
        <v>0</v>
      </c>
      <c r="T1511" s="551"/>
      <c r="U1511" s="536">
        <f t="shared" ref="U1511" si="2279">ROUND(IF($G1518="LCFF Rate",(G1511*$C1511),(G1511*$E1511))+IF($I1518="LCFF Rate",(I1511*$C1511),(I1511*$E1511))+IF($K1518="LCFF Rate",(K1511*$C1511),(K1511*$E1511))+IF($M1518="LCFF Rate",(M1511*$C1511),(M1511*$E1511))+IF($O1518="LCFF Rate",(O1511*$C1511),(O1511*$E1511))+IF($Q1518="LCFF Rate",(Q1511*$C1511),(Q1511*$E1511)),0)</f>
        <v>0</v>
      </c>
      <c r="V1511" s="524"/>
    </row>
    <row r="1512" spans="1:22" ht="14.4">
      <c r="A1512" s="521"/>
      <c r="B1512" s="510" t="s">
        <v>2</v>
      </c>
      <c r="C1512" s="525">
        <f>IFERROR(VLOOKUP($B1509,'PY1 TFR ADA'!$F:$AU,MATCH("A-1.2",'PY1 TFR ADA'!$F$5:$AU$5,0),FALSE),0)</f>
        <v>0</v>
      </c>
      <c r="D1512" s="167"/>
      <c r="E1512" s="525">
        <f>IFERROR(VALUE(VLOOKUP($B1509,'PY1 TFR ADA'!$F:$AU,MATCH("A-2.2",'PY1 TFR ADA'!$F$5:$AU$5,0),FALSE)),0)</f>
        <v>0</v>
      </c>
      <c r="F1512" s="167"/>
      <c r="G1512" s="609">
        <f>IFERROR(VLOOKUP($B1509,'PY1 TFR ADA'!$F:$AU,MATCH("b-1.2",'PY1 TFR ADA'!$F$5:$AU$5,0),FALSE),0)</f>
        <v>0</v>
      </c>
      <c r="H1512" s="527"/>
      <c r="I1512" s="609">
        <f>IFERROR(VLOOKUP($B1509,'PY1 TFR ADA'!$F:$AU,MATCH("b-2.2",'PY1 TFR ADA'!$F$5:$AU$5,0),FALSE),0)</f>
        <v>0</v>
      </c>
      <c r="J1512" s="527"/>
      <c r="K1512" s="609">
        <f>IFERROR(VLOOKUP($B1509,'PY1 TFR ADA'!$F:$AU,MATCH("b-3.2",'PY1 TFR ADA'!$F$5:$AU$5,0),FALSE),0)</f>
        <v>0</v>
      </c>
      <c r="L1512" s="527"/>
      <c r="M1512" s="609">
        <f>IFERROR(VLOOKUP($B1509,'PY1 TFR ADA'!$F:$AU,MATCH("b-4.2",'PY1 TFR ADA'!$F$5:$AU$5,0),FALSE),0)</f>
        <v>0</v>
      </c>
      <c r="N1512" s="527"/>
      <c r="O1512" s="609">
        <f>IFERROR(VLOOKUP($B1509,'PY1 TFR ADA'!$F:$AU,MATCH("b-5.2",'PY1 TFR ADA'!$F$5:$AU$5,0),FALSE),0)</f>
        <v>0</v>
      </c>
      <c r="P1512" s="527"/>
      <c r="Q1512" s="609">
        <f>IFERROR(VLOOKUP($B1509,'PY1 TFR ADA'!$F:$AU,MATCH("b-6.2",'PY1 TFR ADA'!$F$5:$AU$5,0),FALSE),0)</f>
        <v>0</v>
      </c>
      <c r="R1512" s="551"/>
      <c r="S1512" s="601">
        <f t="shared" si="2278"/>
        <v>0</v>
      </c>
      <c r="T1512" s="551"/>
      <c r="U1512" s="536">
        <f t="shared" ref="U1512" si="2280">ROUND(IF($G1518="LCFF Rate",(G1512*$C1512),(G1512*$E1512))+IF($I1518="LCFF Rate",(I1512*$C1512),(I1512*$E1512))+IF($K1518="LCFF Rate",(K1512*$C1512),(K1512*$E1512))+IF($M1518="LCFF Rate",(M1512*$C1512),(M1512*$E1512))+IF($O1518="LCFF Rate",(O1512*$C1512),(O1512*$E1512))+IF($Q1518="LCFF Rate",(Q1512*$C1512),(Q1512*$E1512)),0)</f>
        <v>0</v>
      </c>
      <c r="V1512" s="524"/>
    </row>
    <row r="1513" spans="1:22" ht="14.4">
      <c r="A1513" s="521"/>
      <c r="B1513" s="510" t="s">
        <v>3</v>
      </c>
      <c r="C1513" s="525">
        <f>IFERROR(VLOOKUP($B1509,'PY1 TFR ADA'!$F:$AU,MATCH("A-1.3",'PY1 TFR ADA'!$F$5:$AU$5,0),FALSE),0)</f>
        <v>0</v>
      </c>
      <c r="D1513" s="167"/>
      <c r="E1513" s="525">
        <f>IFERROR(VALUE(VLOOKUP($B1509,'PY1 TFR ADA'!$F:$AU,MATCH("A-2.3",'PY1 TFR ADA'!$F$5:$AU$5,0),FALSE)),0)</f>
        <v>0</v>
      </c>
      <c r="F1513" s="167"/>
      <c r="G1513" s="609">
        <f>IFERROR(VLOOKUP($B1509,'PY1 TFR ADA'!$F:$AU,MATCH("b-1.3",'PY1 TFR ADA'!$F$5:$AU$5,0),FALSE),0)</f>
        <v>0</v>
      </c>
      <c r="H1513" s="527"/>
      <c r="I1513" s="609">
        <f>IFERROR(VLOOKUP($B1509,'PY1 TFR ADA'!$F:$AU,MATCH("b-2.3",'PY1 TFR ADA'!$F$5:$AU$5,0),FALSE),0)</f>
        <v>0</v>
      </c>
      <c r="J1513" s="527"/>
      <c r="K1513" s="609">
        <f>IFERROR(VLOOKUP($B1509,'PY1 TFR ADA'!$F:$AU,MATCH("b-3.3",'PY1 TFR ADA'!$F$5:$AU$5,0),FALSE),0)</f>
        <v>0</v>
      </c>
      <c r="L1513" s="527"/>
      <c r="M1513" s="609">
        <f>IFERROR(VLOOKUP($B1509,'PY1 TFR ADA'!$F:$AU,MATCH("b-4.3",'PY1 TFR ADA'!$F$5:$AU$5,0),FALSE),0)</f>
        <v>0</v>
      </c>
      <c r="N1513" s="527"/>
      <c r="O1513" s="609">
        <f>IFERROR(VLOOKUP($B1509,'PY1 TFR ADA'!$F:$AU,MATCH("b-5.3",'PY1 TFR ADA'!$F$5:$AU$5,0),FALSE),0)</f>
        <v>0</v>
      </c>
      <c r="P1513" s="527"/>
      <c r="Q1513" s="609">
        <f>IFERROR(VLOOKUP($B1509,'PY1 TFR ADA'!$F:$AU,MATCH("b-6.3",'PY1 TFR ADA'!$F$5:$AU$5,0),FALSE),0)</f>
        <v>0</v>
      </c>
      <c r="R1513" s="551"/>
      <c r="S1513" s="601">
        <f t="shared" si="2278"/>
        <v>0</v>
      </c>
      <c r="T1513" s="551"/>
      <c r="U1513" s="536">
        <f t="shared" ref="U1513" si="2281">ROUND(IF($G1518="LCFF Rate",(G1513*$C1513),(G1513*$E1513))+IF($I1518="LCFF Rate",(I1513*$C1513),(I1513*$E1513))+IF($K1518="LCFF Rate",(K1513*$C1513),(K1513*$E1513))+IF($M1518="LCFF Rate",(M1513*$C1513),(M1513*$E1513))+IF($O1518="LCFF Rate",(O1513*$C1513),(O1513*$E1513))+IF($Q1518="LCFF Rate",(Q1513*$C1513),(Q1513*$E1513)),0)</f>
        <v>0</v>
      </c>
      <c r="V1513" s="524"/>
    </row>
    <row r="1514" spans="1:22" ht="14.4">
      <c r="A1514" s="526"/>
      <c r="B1514" s="510" t="s">
        <v>4</v>
      </c>
      <c r="C1514" s="525">
        <f>IFERROR(VLOOKUP($B1509,'PY1 TFR ADA'!$F:$AU,MATCH("A-1.4",'PY1 TFR ADA'!$F$5:$AU$5,0),FALSE),0)</f>
        <v>0</v>
      </c>
      <c r="D1514" s="523"/>
      <c r="E1514" s="525">
        <f>IFERROR(VALUE(VLOOKUP($B1509,'PY1 TFR ADA'!$F:$AU,MATCH("A-2.4",'PY1 TFR ADA'!$F$5:$AU$5,0),FALSE)),0)</f>
        <v>0</v>
      </c>
      <c r="F1514" s="523"/>
      <c r="G1514" s="609">
        <f>IFERROR(VLOOKUP($B1509,'PY1 TFR ADA'!$F:$AU,MATCH("b-1.4",'PY1 TFR ADA'!$F$5:$AU$5,0),FALSE),0)</f>
        <v>0</v>
      </c>
      <c r="H1514" s="527"/>
      <c r="I1514" s="609">
        <f>IFERROR(VLOOKUP($B1509,'PY1 TFR ADA'!$F:$AU,MATCH("b-2.4",'PY1 TFR ADA'!$F$5:$AU$5,0),FALSE),0)</f>
        <v>0</v>
      </c>
      <c r="J1514" s="527"/>
      <c r="K1514" s="609">
        <f>IFERROR(VLOOKUP($B1509,'PY1 TFR ADA'!$F:$AU,MATCH("b-3.4",'PY1 TFR ADA'!$F$5:$AU$5,0),FALSE),0)</f>
        <v>0</v>
      </c>
      <c r="L1514" s="527"/>
      <c r="M1514" s="609">
        <f>IFERROR(VLOOKUP($B1509,'PY1 TFR ADA'!$F:$AU,MATCH("b-4.4",'PY1 TFR ADA'!$F$5:$AU$5,0),FALSE),0)</f>
        <v>0</v>
      </c>
      <c r="N1514" s="527"/>
      <c r="O1514" s="609">
        <f>IFERROR(VLOOKUP($B1509,'PY1 TFR ADA'!$F:$AU,MATCH("b-5.4",'PY1 TFR ADA'!$F$5:$AU$5,0),FALSE),0)</f>
        <v>0</v>
      </c>
      <c r="P1514" s="527"/>
      <c r="Q1514" s="609">
        <f>IFERROR(VLOOKUP($B1509,'PY1 TFR ADA'!$F:$AU,MATCH("b-6.4",'PY1 TFR ADA'!$F$5:$AU$5,0),FALSE),0)</f>
        <v>0</v>
      </c>
      <c r="R1514" s="551"/>
      <c r="S1514" s="601">
        <f t="shared" si="2278"/>
        <v>0</v>
      </c>
      <c r="T1514" s="551"/>
      <c r="U1514" s="536">
        <f t="shared" ref="U1514" si="2282">ROUND(IF($G1518="LCFF Rate",(G1514*$C1514),(G1514*$E1514))+IF($I1518="LCFF Rate",(I1514*$C1514),(I1514*$E1514))+IF($K1518="LCFF Rate",(K1514*$C1514),(K1514*$E1514))+IF($M1518="LCFF Rate",(M1514*$C1514),(M1514*$E1514))+IF($O1518="LCFF Rate",(O1514*$C1514),(O1514*$E1514))+IF($Q1518="LCFF Rate",(Q1514*$C1514),(Q1514*$E1514)),0)</f>
        <v>0</v>
      </c>
      <c r="V1514" s="522"/>
    </row>
    <row r="1515" spans="1:22" ht="14.4">
      <c r="A1515" s="521"/>
      <c r="B1515" s="167"/>
      <c r="C1515" s="165"/>
      <c r="D1515" s="523"/>
      <c r="E1515" s="165"/>
      <c r="F1515" s="523"/>
      <c r="G1515" s="520"/>
      <c r="H1515" s="523"/>
      <c r="I1515" s="520"/>
      <c r="J1515" s="523"/>
      <c r="K1515" s="520"/>
      <c r="L1515" s="523"/>
      <c r="M1515" s="520"/>
      <c r="N1515" s="523"/>
      <c r="O1515" s="520"/>
      <c r="P1515" s="523"/>
      <c r="Q1515" s="520"/>
      <c r="R1515" s="167"/>
      <c r="S1515" s="520"/>
      <c r="T1515" s="167"/>
      <c r="U1515" s="602"/>
      <c r="V1515" s="522"/>
    </row>
    <row r="1516" spans="1:22" ht="14.4">
      <c r="A1516" s="521"/>
      <c r="B1516" s="167"/>
      <c r="C1516" s="165"/>
      <c r="D1516" s="523"/>
      <c r="E1516" s="513" t="s">
        <v>1317</v>
      </c>
      <c r="F1516" s="523"/>
      <c r="G1516" s="601">
        <f t="shared" ref="G1516" si="2283">SUM(G1511:G1514)</f>
        <v>0</v>
      </c>
      <c r="H1516" s="527"/>
      <c r="I1516" s="601">
        <f t="shared" ref="I1516" si="2284">SUM(I1511:I1514)</f>
        <v>0</v>
      </c>
      <c r="J1516" s="527"/>
      <c r="K1516" s="601">
        <f t="shared" ref="K1516" si="2285">SUM(K1511:K1514)</f>
        <v>0</v>
      </c>
      <c r="L1516" s="527"/>
      <c r="M1516" s="601">
        <f t="shared" ref="M1516" si="2286">SUM(M1511:M1514)</f>
        <v>0</v>
      </c>
      <c r="N1516" s="527"/>
      <c r="O1516" s="601">
        <f t="shared" ref="O1516" si="2287">SUM(O1511:O1514)</f>
        <v>0</v>
      </c>
      <c r="P1516" s="527"/>
      <c r="Q1516" s="601">
        <f t="shared" ref="Q1516" si="2288">SUM(Q1511:Q1514)</f>
        <v>0</v>
      </c>
      <c r="R1516" s="527"/>
      <c r="S1516" s="601">
        <f t="shared" ref="S1516" si="2289">SUM(S1511:S1514)</f>
        <v>0</v>
      </c>
      <c r="T1516" s="527"/>
      <c r="U1516" s="536">
        <f t="shared" ref="U1516" si="2290">SUM(U1511:U1514)</f>
        <v>0</v>
      </c>
      <c r="V1516" s="522"/>
    </row>
    <row r="1517" spans="1:22" ht="14.4">
      <c r="A1517" s="521"/>
      <c r="B1517" s="167"/>
      <c r="C1517" s="165"/>
      <c r="D1517" s="523"/>
      <c r="E1517" s="165"/>
      <c r="F1517" s="523"/>
      <c r="G1517" s="520"/>
      <c r="H1517" s="523"/>
      <c r="I1517" s="520"/>
      <c r="J1517" s="523"/>
      <c r="K1517" s="520"/>
      <c r="L1517" s="523"/>
      <c r="M1517" s="520"/>
      <c r="N1517" s="523"/>
      <c r="O1517" s="520"/>
      <c r="P1517" s="523"/>
      <c r="Q1517" s="520"/>
      <c r="R1517" s="167"/>
      <c r="S1517" s="520"/>
      <c r="T1517" s="167"/>
      <c r="U1517" s="528"/>
      <c r="V1517" s="522"/>
    </row>
    <row r="1518" spans="1:22" ht="14.4">
      <c r="A1518" s="521"/>
      <c r="B1518" s="167"/>
      <c r="C1518" s="165"/>
      <c r="D1518" s="8"/>
      <c r="E1518" s="513" t="s">
        <v>1304</v>
      </c>
      <c r="F1518" s="523"/>
      <c r="G1518" s="977">
        <f>_xlfn.IFNA(IF(VLOOKUP($B1509,'PY1 TFR ADA'!$F:$AU,MATCH("B-1.5",'PY1 TFR ADA'!$F$5:$AU$5,0),FALSE)=TRUE,IF(VLOOKUP($B1509,'PY1 TFR ADA'!$F:$AU,MATCH("C-1",'PY1 TFR ADA'!$F$5:$AU$5,0),FALSE)=TRUE,"Alternative Rate","LCFF Rate"),"LCFF Rate"),0)</f>
        <v>0</v>
      </c>
      <c r="H1518" s="523"/>
      <c r="I1518" s="977">
        <f>_xlfn.IFNA(IF(VLOOKUP($B1509,'PY1 TFR ADA'!$F:$AU,MATCH("B-2.5",'PY1 TFR ADA'!$F$5:$AU$5,0),FALSE)=TRUE,IF(VLOOKUP($B1509,'PY1 TFR ADA'!$F:$AU,MATCH("C-1",'PY1 TFR ADA'!$F$5:$AU$5,0),FALSE)=TRUE,"Alternative Rate","LCFF Rate"),"LCFF Rate"),0)</f>
        <v>0</v>
      </c>
      <c r="J1518" s="523"/>
      <c r="K1518" s="977">
        <f>_xlfn.IFNA(IF(VLOOKUP($B1509,'PY1 TFR ADA'!$F:$AU,MATCH("B-3.5",'PY1 TFR ADA'!$F$5:$AU$5,0),FALSE)=TRUE,IF(VLOOKUP($B1509,'PY1 TFR ADA'!$F:$AU,MATCH("C-1",'PY1 TFR ADA'!$F$5:$AU$5,0),FALSE)=TRUE,"Alternative Rate","LCFF Rate"),"LCFF Rate"),0)</f>
        <v>0</v>
      </c>
      <c r="L1518" s="523"/>
      <c r="M1518" s="977">
        <f>_xlfn.IFNA(IF(VLOOKUP($B1509,'PY1 TFR ADA'!$F:$AU,MATCH("B-4.5",'PY1 TFR ADA'!$F$5:$AU$5,0),FALSE)=TRUE,IF(VLOOKUP($B1509,'PY1 TFR ADA'!$F:$AU,MATCH("C-1",'PY1 TFR ADA'!$F$5:$AU$5,0),FALSE)=TRUE,"Alternative Rate","LCFF Rate"),"LCFF Rate"),0)</f>
        <v>0</v>
      </c>
      <c r="N1518" s="523"/>
      <c r="O1518" s="977">
        <f>_xlfn.IFNA(IF(VLOOKUP($B1509,'PY1 TFR ADA'!$F:$AU,MATCH("B-5.5",'PY1 TFR ADA'!$F$5:$AU$5,0),FALSE)=TRUE,IF(VLOOKUP($B1509,'PY1 TFR ADA'!$F:$AU,MATCH("C-1",'PY1 TFR ADA'!$F$5:$AU$5,0),FALSE)=TRUE,"Alternative Rate","LCFF Rate"),"LCFF Rate"),0)</f>
        <v>0</v>
      </c>
      <c r="P1518" s="523"/>
      <c r="Q1518" s="977">
        <f>_xlfn.IFNA(IF(VLOOKUP($B1509,'PY1 TFR ADA'!$F:$AU,MATCH("B-6.5",'PY1 TFR ADA'!$F$5:$AU$5,0),FALSE)=TRUE,IF(VLOOKUP($B1509,'PY1 TFR ADA'!$F:$AU,MATCH("C-1",'PY1 TFR ADA'!$F$5:$AU$5,0),FALSE)=TRUE,"Alternative Rate","LCFF Rate"),"LCFF Rate"),0)</f>
        <v>0</v>
      </c>
      <c r="R1518" s="167"/>
      <c r="S1518" s="520"/>
      <c r="T1518" s="167"/>
      <c r="U1518" s="528"/>
      <c r="V1518" s="522"/>
    </row>
    <row r="1519" spans="1:22" ht="14.4">
      <c r="A1519" s="521"/>
      <c r="B1519" s="167"/>
      <c r="C1519" s="165"/>
      <c r="D1519" s="523"/>
      <c r="E1519" s="165"/>
      <c r="F1519" s="523"/>
      <c r="G1519" s="520"/>
      <c r="H1519" s="523"/>
      <c r="I1519" s="520"/>
      <c r="J1519" s="523"/>
      <c r="K1519" s="520"/>
      <c r="L1519" s="523"/>
      <c r="M1519" s="520"/>
      <c r="N1519" s="523"/>
      <c r="O1519" s="520"/>
      <c r="P1519" s="523"/>
      <c r="Q1519" s="520"/>
      <c r="R1519" s="167"/>
      <c r="S1519" s="520"/>
      <c r="T1519" s="167"/>
      <c r="U1519" s="528"/>
      <c r="V1519" s="522"/>
    </row>
    <row r="1520" spans="1:22" ht="14.4">
      <c r="A1520" s="521"/>
      <c r="B1520" s="2"/>
      <c r="C1520" s="8"/>
      <c r="D1520" s="8"/>
      <c r="E1520" s="8"/>
      <c r="F1520" s="523"/>
      <c r="G1520" s="535">
        <f t="shared" ref="G1520" si="2291">IF(G1518="LCFF Rate",(G1511*C1511+G1512*C1512+G1513*C1513+G1514*C1514),(G1516*E1514))</f>
        <v>0</v>
      </c>
      <c r="H1520" s="537"/>
      <c r="I1520" s="535">
        <f t="shared" ref="I1520" si="2292">IF(I1518="LCFF Rate",(I1511*C1511+I1512*C1512+I1513*C1513+I1514*C1514),(I1516*E1514))</f>
        <v>0</v>
      </c>
      <c r="J1520" s="537"/>
      <c r="K1520" s="535">
        <f t="shared" ref="K1520" si="2293">IF(K1518="LCFF Rate",(K1511*C1511+K1512*C1512+K1513*C1513+K1514*C1514),(K1516*E1514))</f>
        <v>0</v>
      </c>
      <c r="L1520" s="537"/>
      <c r="M1520" s="535">
        <f t="shared" ref="M1520" si="2294">IF(M1518="LCFF Rate",(M1511*C1511+M1512*C1512+M1513*C1513+M1514*C1514),(M1516*E1514))</f>
        <v>0</v>
      </c>
      <c r="N1520" s="537"/>
      <c r="O1520" s="535">
        <f t="shared" ref="O1520" si="2295">IF(O1518="LCFF Rate",(O1511*C1511+O1512*C1512+O1513*C1513+O1514*C1514),(O1516*E1514))</f>
        <v>0</v>
      </c>
      <c r="P1520" s="537"/>
      <c r="Q1520" s="535">
        <f t="shared" ref="Q1520" si="2296">IF(Q1518="LCFF Rate",(Q1511*C1511+Q1512*C1512+Q1513*C1513+Q1514*C1514),(Q1516*E1514))</f>
        <v>0</v>
      </c>
      <c r="R1520" s="167"/>
      <c r="S1520" s="538">
        <f t="shared" ref="S1520" si="2297">SUM(G1520:Q1520)</f>
        <v>0</v>
      </c>
      <c r="T1520" s="167"/>
      <c r="U1520" s="528"/>
      <c r="V1520" s="522"/>
    </row>
    <row r="1521" spans="1:22" ht="15" thickBot="1">
      <c r="A1521" s="529"/>
      <c r="B1521" s="530"/>
      <c r="C1521" s="531"/>
      <c r="D1521" s="532"/>
      <c r="E1521" s="533"/>
      <c r="F1521" s="532"/>
      <c r="G1521" s="530"/>
      <c r="H1521" s="532"/>
      <c r="I1521" s="530"/>
      <c r="J1521" s="532"/>
      <c r="K1521" s="530"/>
      <c r="L1521" s="532"/>
      <c r="M1521" s="530"/>
      <c r="N1521" s="532"/>
      <c r="O1521" s="530"/>
      <c r="P1521" s="532"/>
      <c r="Q1521" s="530"/>
      <c r="R1521" s="532"/>
      <c r="S1521" s="530"/>
      <c r="T1521" s="532"/>
      <c r="U1521" s="532"/>
      <c r="V1521" s="534"/>
    </row>
    <row r="1522" spans="1:22" ht="18.600000000000001" thickBot="1">
      <c r="A1522" s="890">
        <f>+A1509+1</f>
        <v>117</v>
      </c>
      <c r="B1522" s="891" t="str">
        <f>'Data Entry'!$B$3&amp;"-"&amp;C1522</f>
        <v>-</v>
      </c>
      <c r="C1522" s="891" t="str">
        <f>IFERROR(VLOOKUP('Data Entry'!$B$3&amp;"-"&amp;A1522,'PY1 TFR ADA'!$D:$AT,2,FALSE),"")</f>
        <v/>
      </c>
      <c r="D1522" s="892" t="str">
        <f>IFERROR(VLOOKUP('Data Entry'!$B$3&amp;"-"&amp;A1522,'PY1 TFR ADA'!$D:$AT,4,FALSE),"")</f>
        <v/>
      </c>
      <c r="E1522" s="893"/>
      <c r="F1522" s="893"/>
      <c r="G1522" s="893"/>
      <c r="H1522" s="893"/>
      <c r="I1522" s="893"/>
      <c r="J1522" s="893"/>
      <c r="K1522" s="893"/>
      <c r="L1522" s="893"/>
      <c r="M1522" s="893"/>
      <c r="N1522" s="893"/>
      <c r="O1522" s="893"/>
      <c r="P1522" s="893"/>
      <c r="Q1522" s="893"/>
      <c r="R1522" s="893"/>
      <c r="S1522" s="893"/>
      <c r="T1522" s="893"/>
      <c r="U1522" s="893"/>
      <c r="V1522" s="894"/>
    </row>
    <row r="1523" spans="1:22" ht="69">
      <c r="A1523" s="521"/>
      <c r="C1523" s="540" t="s">
        <v>1315</v>
      </c>
      <c r="D1523" s="512"/>
      <c r="E1523" s="540" t="s">
        <v>1316</v>
      </c>
      <c r="F1523" s="512"/>
      <c r="G1523" s="540" t="s">
        <v>1309</v>
      </c>
      <c r="H1523" s="512"/>
      <c r="I1523" s="540" t="s">
        <v>1310</v>
      </c>
      <c r="J1523" s="512"/>
      <c r="K1523" s="540" t="s">
        <v>1311</v>
      </c>
      <c r="L1523" s="512"/>
      <c r="M1523" s="540" t="s">
        <v>1312</v>
      </c>
      <c r="N1523" s="512"/>
      <c r="O1523" s="540" t="s">
        <v>1313</v>
      </c>
      <c r="P1523" s="512"/>
      <c r="Q1523" s="540" t="s">
        <v>1314</v>
      </c>
      <c r="R1523" s="167"/>
      <c r="S1523" s="540" t="s">
        <v>1308</v>
      </c>
      <c r="T1523" s="167"/>
      <c r="U1523" s="512" t="s">
        <v>1307</v>
      </c>
      <c r="V1523" s="524"/>
    </row>
    <row r="1524" spans="1:22" ht="14.4">
      <c r="A1524" s="521"/>
      <c r="B1524" s="510" t="s">
        <v>94</v>
      </c>
      <c r="C1524" s="525">
        <f>IFERROR(VLOOKUP($B1522,'PY1 TFR ADA'!$F:$AU,MATCH("A-1.1",'PY1 TFR ADA'!$F$5:$AU$5,0),FALSE),0)</f>
        <v>0</v>
      </c>
      <c r="D1524" s="167"/>
      <c r="E1524" s="525">
        <f>IFERROR(VALUE(VLOOKUP($B1522,'PY1 TFR ADA'!$F:$AU,MATCH("A-2.1",'PY1 TFR ADA'!$F$5:$AU$5,0),FALSE)),0)</f>
        <v>0</v>
      </c>
      <c r="F1524" s="167"/>
      <c r="G1524" s="609">
        <f>IFERROR(VLOOKUP($B1522,'PY1 TFR ADA'!$F:$AU,MATCH("b-1.1",'PY1 TFR ADA'!$F$5:$AU$5,0),FALSE),0)</f>
        <v>0</v>
      </c>
      <c r="H1524" s="527"/>
      <c r="I1524" s="609">
        <f>IFERROR(VLOOKUP($B1522,'PY1 TFR ADA'!$F:$AU,MATCH("b-2.1",'PY1 TFR ADA'!$F$5:$AU$5,0),FALSE),0)</f>
        <v>0</v>
      </c>
      <c r="J1524" s="527"/>
      <c r="K1524" s="609">
        <f>IFERROR(VLOOKUP($B1522,'PY1 TFR ADA'!$F:$AU,MATCH("b-3.1",'PY1 TFR ADA'!$F$5:$AU$5,0),FALSE),0)</f>
        <v>0</v>
      </c>
      <c r="L1524" s="527"/>
      <c r="M1524" s="609">
        <f>IFERROR(VLOOKUP($B1522,'PY1 TFR ADA'!$F:$AU,MATCH("b-4.1",'PY1 TFR ADA'!$F$5:$AU$5,0),FALSE),0)</f>
        <v>0</v>
      </c>
      <c r="N1524" s="527"/>
      <c r="O1524" s="609">
        <f>IFERROR(VLOOKUP($B1522,'PY1 TFR ADA'!$F:$AU,MATCH("b-5.1",'PY1 TFR ADA'!$F$5:$AU$5,0),FALSE),0)</f>
        <v>0</v>
      </c>
      <c r="P1524" s="527"/>
      <c r="Q1524" s="609">
        <f>IFERROR(VLOOKUP($B1522,'PY1 TFR ADA'!$F:$AU,MATCH("b-6.1",'PY1 TFR ADA'!$F$5:$AU$5,0),FALSE),0)</f>
        <v>0</v>
      </c>
      <c r="R1524" s="551"/>
      <c r="S1524" s="601">
        <f t="shared" ref="S1524:S1527" si="2298">SUM(G1524:Q1524)</f>
        <v>0</v>
      </c>
      <c r="T1524" s="551"/>
      <c r="U1524" s="536">
        <f t="shared" ref="U1524" si="2299">ROUND(IF($G1531="LCFF Rate",(G1524*$C1524),(G1524*$E1524))+IF($I1531="LCFF Rate",(I1524*$C1524),(I1524*$E1524))+IF($K1531="LCFF Rate",(K1524*$C1524),(K1524*$E1524))+IF($M1531="LCFF Rate",(M1524*$C1524),(M1524*$E1524))+IF($O1531="LCFF Rate",(O1524*$C1524),(O1524*$E1524))+IF($Q1531="LCFF Rate",(Q1524*$C1524),(Q1524*$E1524)),0)</f>
        <v>0</v>
      </c>
      <c r="V1524" s="524"/>
    </row>
    <row r="1525" spans="1:22" ht="14.4">
      <c r="A1525" s="521"/>
      <c r="B1525" s="510" t="s">
        <v>2</v>
      </c>
      <c r="C1525" s="525">
        <f>IFERROR(VLOOKUP($B1522,'PY1 TFR ADA'!$F:$AU,MATCH("A-1.2",'PY1 TFR ADA'!$F$5:$AU$5,0),FALSE),0)</f>
        <v>0</v>
      </c>
      <c r="D1525" s="167"/>
      <c r="E1525" s="525">
        <f>IFERROR(VALUE(VLOOKUP($B1522,'PY1 TFR ADA'!$F:$AU,MATCH("A-2.2",'PY1 TFR ADA'!$F$5:$AU$5,0),FALSE)),0)</f>
        <v>0</v>
      </c>
      <c r="F1525" s="167"/>
      <c r="G1525" s="609">
        <f>IFERROR(VLOOKUP($B1522,'PY1 TFR ADA'!$F:$AU,MATCH("b-1.2",'PY1 TFR ADA'!$F$5:$AU$5,0),FALSE),0)</f>
        <v>0</v>
      </c>
      <c r="H1525" s="527"/>
      <c r="I1525" s="609">
        <f>IFERROR(VLOOKUP($B1522,'PY1 TFR ADA'!$F:$AU,MATCH("b-2.2",'PY1 TFR ADA'!$F$5:$AU$5,0),FALSE),0)</f>
        <v>0</v>
      </c>
      <c r="J1525" s="527"/>
      <c r="K1525" s="609">
        <f>IFERROR(VLOOKUP($B1522,'PY1 TFR ADA'!$F:$AU,MATCH("b-3.2",'PY1 TFR ADA'!$F$5:$AU$5,0),FALSE),0)</f>
        <v>0</v>
      </c>
      <c r="L1525" s="527"/>
      <c r="M1525" s="609">
        <f>IFERROR(VLOOKUP($B1522,'PY1 TFR ADA'!$F:$AU,MATCH("b-4.2",'PY1 TFR ADA'!$F$5:$AU$5,0),FALSE),0)</f>
        <v>0</v>
      </c>
      <c r="N1525" s="527"/>
      <c r="O1525" s="609">
        <f>IFERROR(VLOOKUP($B1522,'PY1 TFR ADA'!$F:$AU,MATCH("b-5.2",'PY1 TFR ADA'!$F$5:$AU$5,0),FALSE),0)</f>
        <v>0</v>
      </c>
      <c r="P1525" s="527"/>
      <c r="Q1525" s="609">
        <f>IFERROR(VLOOKUP($B1522,'PY1 TFR ADA'!$F:$AU,MATCH("b-6.2",'PY1 TFR ADA'!$F$5:$AU$5,0),FALSE),0)</f>
        <v>0</v>
      </c>
      <c r="R1525" s="551"/>
      <c r="S1525" s="601">
        <f t="shared" si="2298"/>
        <v>0</v>
      </c>
      <c r="T1525" s="551"/>
      <c r="U1525" s="536">
        <f t="shared" ref="U1525" si="2300">ROUND(IF($G1531="LCFF Rate",(G1525*$C1525),(G1525*$E1525))+IF($I1531="LCFF Rate",(I1525*$C1525),(I1525*$E1525))+IF($K1531="LCFF Rate",(K1525*$C1525),(K1525*$E1525))+IF($M1531="LCFF Rate",(M1525*$C1525),(M1525*$E1525))+IF($O1531="LCFF Rate",(O1525*$C1525),(O1525*$E1525))+IF($Q1531="LCFF Rate",(Q1525*$C1525),(Q1525*$E1525)),0)</f>
        <v>0</v>
      </c>
      <c r="V1525" s="524"/>
    </row>
    <row r="1526" spans="1:22" ht="14.4">
      <c r="A1526" s="521"/>
      <c r="B1526" s="510" t="s">
        <v>3</v>
      </c>
      <c r="C1526" s="525">
        <f>IFERROR(VLOOKUP($B1522,'PY1 TFR ADA'!$F:$AU,MATCH("A-1.3",'PY1 TFR ADA'!$F$5:$AU$5,0),FALSE),0)</f>
        <v>0</v>
      </c>
      <c r="D1526" s="167"/>
      <c r="E1526" s="525">
        <f>IFERROR(VALUE(VLOOKUP($B1522,'PY1 TFR ADA'!$F:$AU,MATCH("A-2.3",'PY1 TFR ADA'!$F$5:$AU$5,0),FALSE)),0)</f>
        <v>0</v>
      </c>
      <c r="F1526" s="167"/>
      <c r="G1526" s="609">
        <f>IFERROR(VLOOKUP($B1522,'PY1 TFR ADA'!$F:$AU,MATCH("b-1.3",'PY1 TFR ADA'!$F$5:$AU$5,0),FALSE),0)</f>
        <v>0</v>
      </c>
      <c r="H1526" s="527"/>
      <c r="I1526" s="609">
        <f>IFERROR(VLOOKUP($B1522,'PY1 TFR ADA'!$F:$AU,MATCH("b-2.3",'PY1 TFR ADA'!$F$5:$AU$5,0),FALSE),0)</f>
        <v>0</v>
      </c>
      <c r="J1526" s="527"/>
      <c r="K1526" s="609">
        <f>IFERROR(VLOOKUP($B1522,'PY1 TFR ADA'!$F:$AU,MATCH("b-3.3",'PY1 TFR ADA'!$F$5:$AU$5,0),FALSE),0)</f>
        <v>0</v>
      </c>
      <c r="L1526" s="527"/>
      <c r="M1526" s="609">
        <f>IFERROR(VLOOKUP($B1522,'PY1 TFR ADA'!$F:$AU,MATCH("b-4.3",'PY1 TFR ADA'!$F$5:$AU$5,0),FALSE),0)</f>
        <v>0</v>
      </c>
      <c r="N1526" s="527"/>
      <c r="O1526" s="609">
        <f>IFERROR(VLOOKUP($B1522,'PY1 TFR ADA'!$F:$AU,MATCH("b-5.3",'PY1 TFR ADA'!$F$5:$AU$5,0),FALSE),0)</f>
        <v>0</v>
      </c>
      <c r="P1526" s="527"/>
      <c r="Q1526" s="609">
        <f>IFERROR(VLOOKUP($B1522,'PY1 TFR ADA'!$F:$AU,MATCH("b-6.3",'PY1 TFR ADA'!$F$5:$AU$5,0),FALSE),0)</f>
        <v>0</v>
      </c>
      <c r="R1526" s="551"/>
      <c r="S1526" s="601">
        <f t="shared" si="2298"/>
        <v>0</v>
      </c>
      <c r="T1526" s="551"/>
      <c r="U1526" s="536">
        <f t="shared" ref="U1526" si="2301">ROUND(IF($G1531="LCFF Rate",(G1526*$C1526),(G1526*$E1526))+IF($I1531="LCFF Rate",(I1526*$C1526),(I1526*$E1526))+IF($K1531="LCFF Rate",(K1526*$C1526),(K1526*$E1526))+IF($M1531="LCFF Rate",(M1526*$C1526),(M1526*$E1526))+IF($O1531="LCFF Rate",(O1526*$C1526),(O1526*$E1526))+IF($Q1531="LCFF Rate",(Q1526*$C1526),(Q1526*$E1526)),0)</f>
        <v>0</v>
      </c>
      <c r="V1526" s="524"/>
    </row>
    <row r="1527" spans="1:22" ht="14.4">
      <c r="A1527" s="526"/>
      <c r="B1527" s="510" t="s">
        <v>4</v>
      </c>
      <c r="C1527" s="525">
        <f>IFERROR(VLOOKUP($B1522,'PY1 TFR ADA'!$F:$AU,MATCH("A-1.4",'PY1 TFR ADA'!$F$5:$AU$5,0),FALSE),0)</f>
        <v>0</v>
      </c>
      <c r="D1527" s="523"/>
      <c r="E1527" s="525">
        <f>IFERROR(VALUE(VLOOKUP($B1522,'PY1 TFR ADA'!$F:$AU,MATCH("A-2.4",'PY1 TFR ADA'!$F$5:$AU$5,0),FALSE)),0)</f>
        <v>0</v>
      </c>
      <c r="F1527" s="523"/>
      <c r="G1527" s="609">
        <f>IFERROR(VLOOKUP($B1522,'PY1 TFR ADA'!$F:$AU,MATCH("b-1.4",'PY1 TFR ADA'!$F$5:$AU$5,0),FALSE),0)</f>
        <v>0</v>
      </c>
      <c r="H1527" s="527"/>
      <c r="I1527" s="609">
        <f>IFERROR(VLOOKUP($B1522,'PY1 TFR ADA'!$F:$AU,MATCH("b-2.4",'PY1 TFR ADA'!$F$5:$AU$5,0),FALSE),0)</f>
        <v>0</v>
      </c>
      <c r="J1527" s="527"/>
      <c r="K1527" s="609">
        <f>IFERROR(VLOOKUP($B1522,'PY1 TFR ADA'!$F:$AU,MATCH("b-3.4",'PY1 TFR ADA'!$F$5:$AU$5,0),FALSE),0)</f>
        <v>0</v>
      </c>
      <c r="L1527" s="527"/>
      <c r="M1527" s="609">
        <f>IFERROR(VLOOKUP($B1522,'PY1 TFR ADA'!$F:$AU,MATCH("b-4.4",'PY1 TFR ADA'!$F$5:$AU$5,0),FALSE),0)</f>
        <v>0</v>
      </c>
      <c r="N1527" s="527"/>
      <c r="O1527" s="609">
        <f>IFERROR(VLOOKUP($B1522,'PY1 TFR ADA'!$F:$AU,MATCH("b-5.4",'PY1 TFR ADA'!$F$5:$AU$5,0),FALSE),0)</f>
        <v>0</v>
      </c>
      <c r="P1527" s="527"/>
      <c r="Q1527" s="609">
        <f>IFERROR(VLOOKUP($B1522,'PY1 TFR ADA'!$F:$AU,MATCH("b-6.4",'PY1 TFR ADA'!$F$5:$AU$5,0),FALSE),0)</f>
        <v>0</v>
      </c>
      <c r="R1527" s="551"/>
      <c r="S1527" s="601">
        <f t="shared" si="2298"/>
        <v>0</v>
      </c>
      <c r="T1527" s="551"/>
      <c r="U1527" s="536">
        <f t="shared" ref="U1527" si="2302">ROUND(IF($G1531="LCFF Rate",(G1527*$C1527),(G1527*$E1527))+IF($I1531="LCFF Rate",(I1527*$C1527),(I1527*$E1527))+IF($K1531="LCFF Rate",(K1527*$C1527),(K1527*$E1527))+IF($M1531="LCFF Rate",(M1527*$C1527),(M1527*$E1527))+IF($O1531="LCFF Rate",(O1527*$C1527),(O1527*$E1527))+IF($Q1531="LCFF Rate",(Q1527*$C1527),(Q1527*$E1527)),0)</f>
        <v>0</v>
      </c>
      <c r="V1527" s="522"/>
    </row>
    <row r="1528" spans="1:22" ht="14.4">
      <c r="A1528" s="521"/>
      <c r="B1528" s="167"/>
      <c r="C1528" s="165"/>
      <c r="D1528" s="523"/>
      <c r="E1528" s="165"/>
      <c r="F1528" s="523"/>
      <c r="G1528" s="520"/>
      <c r="H1528" s="523"/>
      <c r="I1528" s="520"/>
      <c r="J1528" s="523"/>
      <c r="K1528" s="520"/>
      <c r="L1528" s="523"/>
      <c r="M1528" s="520"/>
      <c r="N1528" s="523"/>
      <c r="O1528" s="520"/>
      <c r="P1528" s="523"/>
      <c r="Q1528" s="520"/>
      <c r="R1528" s="167"/>
      <c r="S1528" s="520"/>
      <c r="T1528" s="167"/>
      <c r="U1528" s="602"/>
      <c r="V1528" s="522"/>
    </row>
    <row r="1529" spans="1:22" ht="14.4">
      <c r="A1529" s="521"/>
      <c r="B1529" s="167"/>
      <c r="C1529" s="165"/>
      <c r="D1529" s="523"/>
      <c r="E1529" s="513" t="s">
        <v>1317</v>
      </c>
      <c r="F1529" s="523"/>
      <c r="G1529" s="601">
        <f t="shared" ref="G1529" si="2303">SUM(G1524:G1527)</f>
        <v>0</v>
      </c>
      <c r="H1529" s="527"/>
      <c r="I1529" s="601">
        <f t="shared" ref="I1529" si="2304">SUM(I1524:I1527)</f>
        <v>0</v>
      </c>
      <c r="J1529" s="527"/>
      <c r="K1529" s="601">
        <f t="shared" ref="K1529" si="2305">SUM(K1524:K1527)</f>
        <v>0</v>
      </c>
      <c r="L1529" s="527"/>
      <c r="M1529" s="601">
        <f t="shared" ref="M1529" si="2306">SUM(M1524:M1527)</f>
        <v>0</v>
      </c>
      <c r="N1529" s="527"/>
      <c r="O1529" s="601">
        <f t="shared" ref="O1529" si="2307">SUM(O1524:O1527)</f>
        <v>0</v>
      </c>
      <c r="P1529" s="527"/>
      <c r="Q1529" s="601">
        <f t="shared" ref="Q1529" si="2308">SUM(Q1524:Q1527)</f>
        <v>0</v>
      </c>
      <c r="R1529" s="527"/>
      <c r="S1529" s="601">
        <f t="shared" ref="S1529" si="2309">SUM(S1524:S1527)</f>
        <v>0</v>
      </c>
      <c r="T1529" s="527"/>
      <c r="U1529" s="536">
        <f t="shared" ref="U1529" si="2310">SUM(U1524:U1527)</f>
        <v>0</v>
      </c>
      <c r="V1529" s="522"/>
    </row>
    <row r="1530" spans="1:22" ht="14.4">
      <c r="A1530" s="521"/>
      <c r="B1530" s="167"/>
      <c r="C1530" s="165"/>
      <c r="D1530" s="523"/>
      <c r="E1530" s="165"/>
      <c r="F1530" s="523"/>
      <c r="G1530" s="520"/>
      <c r="H1530" s="523"/>
      <c r="I1530" s="520"/>
      <c r="J1530" s="523"/>
      <c r="K1530" s="520"/>
      <c r="L1530" s="523"/>
      <c r="M1530" s="520"/>
      <c r="N1530" s="523"/>
      <c r="O1530" s="520"/>
      <c r="P1530" s="523"/>
      <c r="Q1530" s="520"/>
      <c r="R1530" s="167"/>
      <c r="S1530" s="520"/>
      <c r="T1530" s="167"/>
      <c r="U1530" s="528"/>
      <c r="V1530" s="522"/>
    </row>
    <row r="1531" spans="1:22" ht="14.4">
      <c r="A1531" s="521"/>
      <c r="B1531" s="167"/>
      <c r="C1531" s="165"/>
      <c r="D1531" s="8"/>
      <c r="E1531" s="513" t="s">
        <v>1304</v>
      </c>
      <c r="F1531" s="523"/>
      <c r="G1531" s="977">
        <f>_xlfn.IFNA(IF(VLOOKUP($B1522,'PY1 TFR ADA'!$F:$AU,MATCH("B-1.5",'PY1 TFR ADA'!$F$5:$AU$5,0),FALSE)=TRUE,IF(VLOOKUP($B1522,'PY1 TFR ADA'!$F:$AU,MATCH("C-1",'PY1 TFR ADA'!$F$5:$AU$5,0),FALSE)=TRUE,"Alternative Rate","LCFF Rate"),"LCFF Rate"),0)</f>
        <v>0</v>
      </c>
      <c r="H1531" s="523"/>
      <c r="I1531" s="977">
        <f>_xlfn.IFNA(IF(VLOOKUP($B1522,'PY1 TFR ADA'!$F:$AU,MATCH("B-2.5",'PY1 TFR ADA'!$F$5:$AU$5,0),FALSE)=TRUE,IF(VLOOKUP($B1522,'PY1 TFR ADA'!$F:$AU,MATCH("C-1",'PY1 TFR ADA'!$F$5:$AU$5,0),FALSE)=TRUE,"Alternative Rate","LCFF Rate"),"LCFF Rate"),0)</f>
        <v>0</v>
      </c>
      <c r="J1531" s="523"/>
      <c r="K1531" s="977">
        <f>_xlfn.IFNA(IF(VLOOKUP($B1522,'PY1 TFR ADA'!$F:$AU,MATCH("B-3.5",'PY1 TFR ADA'!$F$5:$AU$5,0),FALSE)=TRUE,IF(VLOOKUP($B1522,'PY1 TFR ADA'!$F:$AU,MATCH("C-1",'PY1 TFR ADA'!$F$5:$AU$5,0),FALSE)=TRUE,"Alternative Rate","LCFF Rate"),"LCFF Rate"),0)</f>
        <v>0</v>
      </c>
      <c r="L1531" s="523"/>
      <c r="M1531" s="977">
        <f>_xlfn.IFNA(IF(VLOOKUP($B1522,'PY1 TFR ADA'!$F:$AU,MATCH("B-4.5",'PY1 TFR ADA'!$F$5:$AU$5,0),FALSE)=TRUE,IF(VLOOKUP($B1522,'PY1 TFR ADA'!$F:$AU,MATCH("C-1",'PY1 TFR ADA'!$F$5:$AU$5,0),FALSE)=TRUE,"Alternative Rate","LCFF Rate"),"LCFF Rate"),0)</f>
        <v>0</v>
      </c>
      <c r="N1531" s="523"/>
      <c r="O1531" s="977">
        <f>_xlfn.IFNA(IF(VLOOKUP($B1522,'PY1 TFR ADA'!$F:$AU,MATCH("B-5.5",'PY1 TFR ADA'!$F$5:$AU$5,0),FALSE)=TRUE,IF(VLOOKUP($B1522,'PY1 TFR ADA'!$F:$AU,MATCH("C-1",'PY1 TFR ADA'!$F$5:$AU$5,0),FALSE)=TRUE,"Alternative Rate","LCFF Rate"),"LCFF Rate"),0)</f>
        <v>0</v>
      </c>
      <c r="P1531" s="523"/>
      <c r="Q1531" s="977">
        <f>_xlfn.IFNA(IF(VLOOKUP($B1522,'PY1 TFR ADA'!$F:$AU,MATCH("B-6.5",'PY1 TFR ADA'!$F$5:$AU$5,0),FALSE)=TRUE,IF(VLOOKUP($B1522,'PY1 TFR ADA'!$F:$AU,MATCH("C-1",'PY1 TFR ADA'!$F$5:$AU$5,0),FALSE)=TRUE,"Alternative Rate","LCFF Rate"),"LCFF Rate"),0)</f>
        <v>0</v>
      </c>
      <c r="R1531" s="167"/>
      <c r="S1531" s="520"/>
      <c r="T1531" s="167"/>
      <c r="U1531" s="528"/>
      <c r="V1531" s="522"/>
    </row>
    <row r="1532" spans="1:22" ht="14.4">
      <c r="A1532" s="521"/>
      <c r="B1532" s="167"/>
      <c r="C1532" s="165"/>
      <c r="D1532" s="523"/>
      <c r="E1532" s="165"/>
      <c r="F1532" s="523"/>
      <c r="G1532" s="520"/>
      <c r="H1532" s="523"/>
      <c r="I1532" s="520"/>
      <c r="J1532" s="523"/>
      <c r="K1532" s="520"/>
      <c r="L1532" s="523"/>
      <c r="M1532" s="520"/>
      <c r="N1532" s="523"/>
      <c r="O1532" s="520"/>
      <c r="P1532" s="523"/>
      <c r="Q1532" s="520"/>
      <c r="R1532" s="167"/>
      <c r="S1532" s="520"/>
      <c r="T1532" s="167"/>
      <c r="U1532" s="528"/>
      <c r="V1532" s="522"/>
    </row>
    <row r="1533" spans="1:22" ht="14.4">
      <c r="A1533" s="521"/>
      <c r="B1533" s="2"/>
      <c r="C1533" s="8"/>
      <c r="D1533" s="8"/>
      <c r="E1533" s="8"/>
      <c r="F1533" s="523"/>
      <c r="G1533" s="535">
        <f t="shared" ref="G1533" si="2311">IF(G1531="LCFF Rate",(G1524*C1524+G1525*C1525+G1526*C1526+G1527*C1527),(G1529*E1527))</f>
        <v>0</v>
      </c>
      <c r="H1533" s="537"/>
      <c r="I1533" s="535">
        <f t="shared" ref="I1533" si="2312">IF(I1531="LCFF Rate",(I1524*C1524+I1525*C1525+I1526*C1526+I1527*C1527),(I1529*E1527))</f>
        <v>0</v>
      </c>
      <c r="J1533" s="537"/>
      <c r="K1533" s="535">
        <f t="shared" ref="K1533" si="2313">IF(K1531="LCFF Rate",(K1524*C1524+K1525*C1525+K1526*C1526+K1527*C1527),(K1529*E1527))</f>
        <v>0</v>
      </c>
      <c r="L1533" s="537"/>
      <c r="M1533" s="535">
        <f t="shared" ref="M1533" si="2314">IF(M1531="LCFF Rate",(M1524*C1524+M1525*C1525+M1526*C1526+M1527*C1527),(M1529*E1527))</f>
        <v>0</v>
      </c>
      <c r="N1533" s="537"/>
      <c r="O1533" s="535">
        <f t="shared" ref="O1533" si="2315">IF(O1531="LCFF Rate",(O1524*C1524+O1525*C1525+O1526*C1526+O1527*C1527),(O1529*E1527))</f>
        <v>0</v>
      </c>
      <c r="P1533" s="537"/>
      <c r="Q1533" s="535">
        <f t="shared" ref="Q1533" si="2316">IF(Q1531="LCFF Rate",(Q1524*C1524+Q1525*C1525+Q1526*C1526+Q1527*C1527),(Q1529*E1527))</f>
        <v>0</v>
      </c>
      <c r="R1533" s="167"/>
      <c r="S1533" s="538">
        <f t="shared" ref="S1533" si="2317">SUM(G1533:Q1533)</f>
        <v>0</v>
      </c>
      <c r="T1533" s="167"/>
      <c r="U1533" s="528"/>
      <c r="V1533" s="522"/>
    </row>
    <row r="1534" spans="1:22" ht="15" thickBot="1">
      <c r="A1534" s="529"/>
      <c r="B1534" s="530"/>
      <c r="C1534" s="531"/>
      <c r="D1534" s="532"/>
      <c r="E1534" s="533"/>
      <c r="F1534" s="532"/>
      <c r="G1534" s="530"/>
      <c r="H1534" s="532"/>
      <c r="I1534" s="530"/>
      <c r="J1534" s="532"/>
      <c r="K1534" s="530"/>
      <c r="L1534" s="532"/>
      <c r="M1534" s="530"/>
      <c r="N1534" s="532"/>
      <c r="O1534" s="530"/>
      <c r="P1534" s="532"/>
      <c r="Q1534" s="530"/>
      <c r="R1534" s="532"/>
      <c r="S1534" s="530"/>
      <c r="T1534" s="532"/>
      <c r="U1534" s="532"/>
      <c r="V1534" s="534"/>
    </row>
    <row r="1535" spans="1:22" ht="18.600000000000001" thickBot="1">
      <c r="A1535" s="890">
        <f>+A1522+1</f>
        <v>118</v>
      </c>
      <c r="B1535" s="891" t="str">
        <f>'Data Entry'!$B$3&amp;"-"&amp;C1535</f>
        <v>-</v>
      </c>
      <c r="C1535" s="891" t="str">
        <f>IFERROR(VLOOKUP('Data Entry'!$B$3&amp;"-"&amp;A1535,'PY1 TFR ADA'!$D:$AT,2,FALSE),"")</f>
        <v/>
      </c>
      <c r="D1535" s="892" t="str">
        <f>IFERROR(VLOOKUP('Data Entry'!$B$3&amp;"-"&amp;A1535,'PY1 TFR ADA'!$D:$AT,4,FALSE),"")</f>
        <v/>
      </c>
      <c r="E1535" s="893"/>
      <c r="F1535" s="893"/>
      <c r="G1535" s="893"/>
      <c r="H1535" s="893"/>
      <c r="I1535" s="893"/>
      <c r="J1535" s="893"/>
      <c r="K1535" s="893"/>
      <c r="L1535" s="893"/>
      <c r="M1535" s="893"/>
      <c r="N1535" s="893"/>
      <c r="O1535" s="893"/>
      <c r="P1535" s="893"/>
      <c r="Q1535" s="893"/>
      <c r="R1535" s="893"/>
      <c r="S1535" s="893"/>
      <c r="T1535" s="893"/>
      <c r="U1535" s="893"/>
      <c r="V1535" s="894"/>
    </row>
    <row r="1536" spans="1:22" ht="69">
      <c r="A1536" s="521"/>
      <c r="C1536" s="540" t="s">
        <v>1315</v>
      </c>
      <c r="D1536" s="512"/>
      <c r="E1536" s="540" t="s">
        <v>1316</v>
      </c>
      <c r="F1536" s="512"/>
      <c r="G1536" s="540" t="s">
        <v>1309</v>
      </c>
      <c r="H1536" s="512"/>
      <c r="I1536" s="540" t="s">
        <v>1310</v>
      </c>
      <c r="J1536" s="512"/>
      <c r="K1536" s="540" t="s">
        <v>1311</v>
      </c>
      <c r="L1536" s="512"/>
      <c r="M1536" s="540" t="s">
        <v>1312</v>
      </c>
      <c r="N1536" s="512"/>
      <c r="O1536" s="540" t="s">
        <v>1313</v>
      </c>
      <c r="P1536" s="512"/>
      <c r="Q1536" s="540" t="s">
        <v>1314</v>
      </c>
      <c r="R1536" s="167"/>
      <c r="S1536" s="540" t="s">
        <v>1308</v>
      </c>
      <c r="T1536" s="167"/>
      <c r="U1536" s="512" t="s">
        <v>1307</v>
      </c>
      <c r="V1536" s="524"/>
    </row>
    <row r="1537" spans="1:22" ht="14.4">
      <c r="A1537" s="521"/>
      <c r="B1537" s="510" t="s">
        <v>94</v>
      </c>
      <c r="C1537" s="525">
        <f>IFERROR(VLOOKUP($B1535,'PY1 TFR ADA'!$F:$AU,MATCH("A-1.1",'PY1 TFR ADA'!$F$5:$AU$5,0),FALSE),0)</f>
        <v>0</v>
      </c>
      <c r="D1537" s="167"/>
      <c r="E1537" s="525">
        <f>IFERROR(VALUE(VLOOKUP($B1535,'PY1 TFR ADA'!$F:$AU,MATCH("A-2.1",'PY1 TFR ADA'!$F$5:$AU$5,0),FALSE)),0)</f>
        <v>0</v>
      </c>
      <c r="F1537" s="167"/>
      <c r="G1537" s="609">
        <f>IFERROR(VLOOKUP($B1535,'PY1 TFR ADA'!$F:$AU,MATCH("b-1.1",'PY1 TFR ADA'!$F$5:$AU$5,0),FALSE),0)</f>
        <v>0</v>
      </c>
      <c r="H1537" s="527"/>
      <c r="I1537" s="609">
        <f>IFERROR(VLOOKUP($B1535,'PY1 TFR ADA'!$F:$AU,MATCH("b-2.1",'PY1 TFR ADA'!$F$5:$AU$5,0),FALSE),0)</f>
        <v>0</v>
      </c>
      <c r="J1537" s="527"/>
      <c r="K1537" s="609">
        <f>IFERROR(VLOOKUP($B1535,'PY1 TFR ADA'!$F:$AU,MATCH("b-3.1",'PY1 TFR ADA'!$F$5:$AU$5,0),FALSE),0)</f>
        <v>0</v>
      </c>
      <c r="L1537" s="527"/>
      <c r="M1537" s="609">
        <f>IFERROR(VLOOKUP($B1535,'PY1 TFR ADA'!$F:$AU,MATCH("b-4.1",'PY1 TFR ADA'!$F$5:$AU$5,0),FALSE),0)</f>
        <v>0</v>
      </c>
      <c r="N1537" s="527"/>
      <c r="O1537" s="609">
        <f>IFERROR(VLOOKUP($B1535,'PY1 TFR ADA'!$F:$AU,MATCH("b-5.1",'PY1 TFR ADA'!$F$5:$AU$5,0),FALSE),0)</f>
        <v>0</v>
      </c>
      <c r="P1537" s="527"/>
      <c r="Q1537" s="609">
        <f>IFERROR(VLOOKUP($B1535,'PY1 TFR ADA'!$F:$AU,MATCH("b-6.1",'PY1 TFR ADA'!$F$5:$AU$5,0),FALSE),0)</f>
        <v>0</v>
      </c>
      <c r="R1537" s="551"/>
      <c r="S1537" s="601">
        <f t="shared" ref="S1537:S1540" si="2318">SUM(G1537:Q1537)</f>
        <v>0</v>
      </c>
      <c r="T1537" s="551"/>
      <c r="U1537" s="536">
        <f t="shared" ref="U1537" si="2319">ROUND(IF($G1544="LCFF Rate",(G1537*$C1537),(G1537*$E1537))+IF($I1544="LCFF Rate",(I1537*$C1537),(I1537*$E1537))+IF($K1544="LCFF Rate",(K1537*$C1537),(K1537*$E1537))+IF($M1544="LCFF Rate",(M1537*$C1537),(M1537*$E1537))+IF($O1544="LCFF Rate",(O1537*$C1537),(O1537*$E1537))+IF($Q1544="LCFF Rate",(Q1537*$C1537),(Q1537*$E1537)),0)</f>
        <v>0</v>
      </c>
      <c r="V1537" s="524"/>
    </row>
    <row r="1538" spans="1:22" ht="14.4">
      <c r="A1538" s="521"/>
      <c r="B1538" s="510" t="s">
        <v>2</v>
      </c>
      <c r="C1538" s="525">
        <f>IFERROR(VLOOKUP($B1535,'PY1 TFR ADA'!$F:$AU,MATCH("A-1.2",'PY1 TFR ADA'!$F$5:$AU$5,0),FALSE),0)</f>
        <v>0</v>
      </c>
      <c r="D1538" s="167"/>
      <c r="E1538" s="525">
        <f>IFERROR(VALUE(VLOOKUP($B1535,'PY1 TFR ADA'!$F:$AU,MATCH("A-2.2",'PY1 TFR ADA'!$F$5:$AU$5,0),FALSE)),0)</f>
        <v>0</v>
      </c>
      <c r="F1538" s="167"/>
      <c r="G1538" s="609">
        <f>IFERROR(VLOOKUP($B1535,'PY1 TFR ADA'!$F:$AU,MATCH("b-1.2",'PY1 TFR ADA'!$F$5:$AU$5,0),FALSE),0)</f>
        <v>0</v>
      </c>
      <c r="H1538" s="527"/>
      <c r="I1538" s="609">
        <f>IFERROR(VLOOKUP($B1535,'PY1 TFR ADA'!$F:$AU,MATCH("b-2.2",'PY1 TFR ADA'!$F$5:$AU$5,0),FALSE),0)</f>
        <v>0</v>
      </c>
      <c r="J1538" s="527"/>
      <c r="K1538" s="609">
        <f>IFERROR(VLOOKUP($B1535,'PY1 TFR ADA'!$F:$AU,MATCH("b-3.2",'PY1 TFR ADA'!$F$5:$AU$5,0),FALSE),0)</f>
        <v>0</v>
      </c>
      <c r="L1538" s="527"/>
      <c r="M1538" s="609">
        <f>IFERROR(VLOOKUP($B1535,'PY1 TFR ADA'!$F:$AU,MATCH("b-4.2",'PY1 TFR ADA'!$F$5:$AU$5,0),FALSE),0)</f>
        <v>0</v>
      </c>
      <c r="N1538" s="527"/>
      <c r="O1538" s="609">
        <f>IFERROR(VLOOKUP($B1535,'PY1 TFR ADA'!$F:$AU,MATCH("b-5.2",'PY1 TFR ADA'!$F$5:$AU$5,0),FALSE),0)</f>
        <v>0</v>
      </c>
      <c r="P1538" s="527"/>
      <c r="Q1538" s="609">
        <f>IFERROR(VLOOKUP($B1535,'PY1 TFR ADA'!$F:$AU,MATCH("b-6.2",'PY1 TFR ADA'!$F$5:$AU$5,0),FALSE),0)</f>
        <v>0</v>
      </c>
      <c r="R1538" s="551"/>
      <c r="S1538" s="601">
        <f t="shared" si="2318"/>
        <v>0</v>
      </c>
      <c r="T1538" s="551"/>
      <c r="U1538" s="536">
        <f t="shared" ref="U1538" si="2320">ROUND(IF($G1544="LCFF Rate",(G1538*$C1538),(G1538*$E1538))+IF($I1544="LCFF Rate",(I1538*$C1538),(I1538*$E1538))+IF($K1544="LCFF Rate",(K1538*$C1538),(K1538*$E1538))+IF($M1544="LCFF Rate",(M1538*$C1538),(M1538*$E1538))+IF($O1544="LCFF Rate",(O1538*$C1538),(O1538*$E1538))+IF($Q1544="LCFF Rate",(Q1538*$C1538),(Q1538*$E1538)),0)</f>
        <v>0</v>
      </c>
      <c r="V1538" s="524"/>
    </row>
    <row r="1539" spans="1:22" ht="14.4">
      <c r="A1539" s="521"/>
      <c r="B1539" s="510" t="s">
        <v>3</v>
      </c>
      <c r="C1539" s="525">
        <f>IFERROR(VLOOKUP($B1535,'PY1 TFR ADA'!$F:$AU,MATCH("A-1.3",'PY1 TFR ADA'!$F$5:$AU$5,0),FALSE),0)</f>
        <v>0</v>
      </c>
      <c r="D1539" s="167"/>
      <c r="E1539" s="525">
        <f>IFERROR(VALUE(VLOOKUP($B1535,'PY1 TFR ADA'!$F:$AU,MATCH("A-2.3",'PY1 TFR ADA'!$F$5:$AU$5,0),FALSE)),0)</f>
        <v>0</v>
      </c>
      <c r="F1539" s="167"/>
      <c r="G1539" s="609">
        <f>IFERROR(VLOOKUP($B1535,'PY1 TFR ADA'!$F:$AU,MATCH("b-1.3",'PY1 TFR ADA'!$F$5:$AU$5,0),FALSE),0)</f>
        <v>0</v>
      </c>
      <c r="H1539" s="527"/>
      <c r="I1539" s="609">
        <f>IFERROR(VLOOKUP($B1535,'PY1 TFR ADA'!$F:$AU,MATCH("b-2.3",'PY1 TFR ADA'!$F$5:$AU$5,0),FALSE),0)</f>
        <v>0</v>
      </c>
      <c r="J1539" s="527"/>
      <c r="K1539" s="609">
        <f>IFERROR(VLOOKUP($B1535,'PY1 TFR ADA'!$F:$AU,MATCH("b-3.3",'PY1 TFR ADA'!$F$5:$AU$5,0),FALSE),0)</f>
        <v>0</v>
      </c>
      <c r="L1539" s="527"/>
      <c r="M1539" s="609">
        <f>IFERROR(VLOOKUP($B1535,'PY1 TFR ADA'!$F:$AU,MATCH("b-4.3",'PY1 TFR ADA'!$F$5:$AU$5,0),FALSE),0)</f>
        <v>0</v>
      </c>
      <c r="N1539" s="527"/>
      <c r="O1539" s="609">
        <f>IFERROR(VLOOKUP($B1535,'PY1 TFR ADA'!$F:$AU,MATCH("b-5.3",'PY1 TFR ADA'!$F$5:$AU$5,0),FALSE),0)</f>
        <v>0</v>
      </c>
      <c r="P1539" s="527"/>
      <c r="Q1539" s="609">
        <f>IFERROR(VLOOKUP($B1535,'PY1 TFR ADA'!$F:$AU,MATCH("b-6.3",'PY1 TFR ADA'!$F$5:$AU$5,0),FALSE),0)</f>
        <v>0</v>
      </c>
      <c r="R1539" s="551"/>
      <c r="S1539" s="601">
        <f t="shared" si="2318"/>
        <v>0</v>
      </c>
      <c r="T1539" s="551"/>
      <c r="U1539" s="536">
        <f t="shared" ref="U1539" si="2321">ROUND(IF($G1544="LCFF Rate",(G1539*$C1539),(G1539*$E1539))+IF($I1544="LCFF Rate",(I1539*$C1539),(I1539*$E1539))+IF($K1544="LCFF Rate",(K1539*$C1539),(K1539*$E1539))+IF($M1544="LCFF Rate",(M1539*$C1539),(M1539*$E1539))+IF($O1544="LCFF Rate",(O1539*$C1539),(O1539*$E1539))+IF($Q1544="LCFF Rate",(Q1539*$C1539),(Q1539*$E1539)),0)</f>
        <v>0</v>
      </c>
      <c r="V1539" s="524"/>
    </row>
    <row r="1540" spans="1:22" ht="14.4">
      <c r="A1540" s="526"/>
      <c r="B1540" s="510" t="s">
        <v>4</v>
      </c>
      <c r="C1540" s="525">
        <f>IFERROR(VLOOKUP($B1535,'PY1 TFR ADA'!$F:$AU,MATCH("A-1.4",'PY1 TFR ADA'!$F$5:$AU$5,0),FALSE),0)</f>
        <v>0</v>
      </c>
      <c r="D1540" s="523"/>
      <c r="E1540" s="525">
        <f>IFERROR(VALUE(VLOOKUP($B1535,'PY1 TFR ADA'!$F:$AU,MATCH("A-2.4",'PY1 TFR ADA'!$F$5:$AU$5,0),FALSE)),0)</f>
        <v>0</v>
      </c>
      <c r="F1540" s="523"/>
      <c r="G1540" s="609">
        <f>IFERROR(VLOOKUP($B1535,'PY1 TFR ADA'!$F:$AU,MATCH("b-1.4",'PY1 TFR ADA'!$F$5:$AU$5,0),FALSE),0)</f>
        <v>0</v>
      </c>
      <c r="H1540" s="527"/>
      <c r="I1540" s="609">
        <f>IFERROR(VLOOKUP($B1535,'PY1 TFR ADA'!$F:$AU,MATCH("b-2.4",'PY1 TFR ADA'!$F$5:$AU$5,0),FALSE),0)</f>
        <v>0</v>
      </c>
      <c r="J1540" s="527"/>
      <c r="K1540" s="609">
        <f>IFERROR(VLOOKUP($B1535,'PY1 TFR ADA'!$F:$AU,MATCH("b-3.4",'PY1 TFR ADA'!$F$5:$AU$5,0),FALSE),0)</f>
        <v>0</v>
      </c>
      <c r="L1540" s="527"/>
      <c r="M1540" s="609">
        <f>IFERROR(VLOOKUP($B1535,'PY1 TFR ADA'!$F:$AU,MATCH("b-4.4",'PY1 TFR ADA'!$F$5:$AU$5,0),FALSE),0)</f>
        <v>0</v>
      </c>
      <c r="N1540" s="527"/>
      <c r="O1540" s="609">
        <f>IFERROR(VLOOKUP($B1535,'PY1 TFR ADA'!$F:$AU,MATCH("b-5.4",'PY1 TFR ADA'!$F$5:$AU$5,0),FALSE),0)</f>
        <v>0</v>
      </c>
      <c r="P1540" s="527"/>
      <c r="Q1540" s="609">
        <f>IFERROR(VLOOKUP($B1535,'PY1 TFR ADA'!$F:$AU,MATCH("b-6.4",'PY1 TFR ADA'!$F$5:$AU$5,0),FALSE),0)</f>
        <v>0</v>
      </c>
      <c r="R1540" s="551"/>
      <c r="S1540" s="601">
        <f t="shared" si="2318"/>
        <v>0</v>
      </c>
      <c r="T1540" s="551"/>
      <c r="U1540" s="536">
        <f t="shared" ref="U1540" si="2322">ROUND(IF($G1544="LCFF Rate",(G1540*$C1540),(G1540*$E1540))+IF($I1544="LCFF Rate",(I1540*$C1540),(I1540*$E1540))+IF($K1544="LCFF Rate",(K1540*$C1540),(K1540*$E1540))+IF($M1544="LCFF Rate",(M1540*$C1540),(M1540*$E1540))+IF($O1544="LCFF Rate",(O1540*$C1540),(O1540*$E1540))+IF($Q1544="LCFF Rate",(Q1540*$C1540),(Q1540*$E1540)),0)</f>
        <v>0</v>
      </c>
      <c r="V1540" s="522"/>
    </row>
    <row r="1541" spans="1:22" ht="14.4">
      <c r="A1541" s="521"/>
      <c r="B1541" s="167"/>
      <c r="C1541" s="165"/>
      <c r="D1541" s="523"/>
      <c r="E1541" s="165"/>
      <c r="F1541" s="523"/>
      <c r="G1541" s="520"/>
      <c r="H1541" s="523"/>
      <c r="I1541" s="520"/>
      <c r="J1541" s="523"/>
      <c r="K1541" s="520"/>
      <c r="L1541" s="523"/>
      <c r="M1541" s="520"/>
      <c r="N1541" s="523"/>
      <c r="O1541" s="520"/>
      <c r="P1541" s="523"/>
      <c r="Q1541" s="520"/>
      <c r="R1541" s="167"/>
      <c r="S1541" s="520"/>
      <c r="T1541" s="167"/>
      <c r="U1541" s="602"/>
      <c r="V1541" s="522"/>
    </row>
    <row r="1542" spans="1:22" ht="14.4">
      <c r="A1542" s="521"/>
      <c r="B1542" s="167"/>
      <c r="C1542" s="165"/>
      <c r="D1542" s="523"/>
      <c r="E1542" s="513" t="s">
        <v>1317</v>
      </c>
      <c r="F1542" s="523"/>
      <c r="G1542" s="601">
        <f t="shared" ref="G1542" si="2323">SUM(G1537:G1540)</f>
        <v>0</v>
      </c>
      <c r="H1542" s="527"/>
      <c r="I1542" s="601">
        <f t="shared" ref="I1542" si="2324">SUM(I1537:I1540)</f>
        <v>0</v>
      </c>
      <c r="J1542" s="527"/>
      <c r="K1542" s="601">
        <f t="shared" ref="K1542" si="2325">SUM(K1537:K1540)</f>
        <v>0</v>
      </c>
      <c r="L1542" s="527"/>
      <c r="M1542" s="601">
        <f t="shared" ref="M1542" si="2326">SUM(M1537:M1540)</f>
        <v>0</v>
      </c>
      <c r="N1542" s="527"/>
      <c r="O1542" s="601">
        <f t="shared" ref="O1542" si="2327">SUM(O1537:O1540)</f>
        <v>0</v>
      </c>
      <c r="P1542" s="527"/>
      <c r="Q1542" s="601">
        <f t="shared" ref="Q1542" si="2328">SUM(Q1537:Q1540)</f>
        <v>0</v>
      </c>
      <c r="R1542" s="527"/>
      <c r="S1542" s="601">
        <f t="shared" ref="S1542" si="2329">SUM(S1537:S1540)</f>
        <v>0</v>
      </c>
      <c r="T1542" s="527"/>
      <c r="U1542" s="536">
        <f t="shared" ref="U1542" si="2330">SUM(U1537:U1540)</f>
        <v>0</v>
      </c>
      <c r="V1542" s="522"/>
    </row>
    <row r="1543" spans="1:22" ht="14.4">
      <c r="A1543" s="521"/>
      <c r="B1543" s="167"/>
      <c r="C1543" s="165"/>
      <c r="D1543" s="523"/>
      <c r="E1543" s="165"/>
      <c r="F1543" s="523"/>
      <c r="G1543" s="520"/>
      <c r="H1543" s="523"/>
      <c r="I1543" s="520"/>
      <c r="J1543" s="523"/>
      <c r="K1543" s="520"/>
      <c r="L1543" s="523"/>
      <c r="M1543" s="520"/>
      <c r="N1543" s="523"/>
      <c r="O1543" s="520"/>
      <c r="P1543" s="523"/>
      <c r="Q1543" s="520"/>
      <c r="R1543" s="167"/>
      <c r="S1543" s="520"/>
      <c r="T1543" s="167"/>
      <c r="U1543" s="528"/>
      <c r="V1543" s="522"/>
    </row>
    <row r="1544" spans="1:22" ht="14.4">
      <c r="A1544" s="521"/>
      <c r="B1544" s="167"/>
      <c r="C1544" s="165"/>
      <c r="D1544" s="8"/>
      <c r="E1544" s="513" t="s">
        <v>1304</v>
      </c>
      <c r="F1544" s="523"/>
      <c r="G1544" s="977">
        <f>_xlfn.IFNA(IF(VLOOKUP($B1535,'PY1 TFR ADA'!$F:$AU,MATCH("B-1.5",'PY1 TFR ADA'!$F$5:$AU$5,0),FALSE)=TRUE,IF(VLOOKUP($B1535,'PY1 TFR ADA'!$F:$AU,MATCH("C-1",'PY1 TFR ADA'!$F$5:$AU$5,0),FALSE)=TRUE,"Alternative Rate","LCFF Rate"),"LCFF Rate"),0)</f>
        <v>0</v>
      </c>
      <c r="H1544" s="523"/>
      <c r="I1544" s="977">
        <f>_xlfn.IFNA(IF(VLOOKUP($B1535,'PY1 TFR ADA'!$F:$AU,MATCH("B-2.5",'PY1 TFR ADA'!$F$5:$AU$5,0),FALSE)=TRUE,IF(VLOOKUP($B1535,'PY1 TFR ADA'!$F:$AU,MATCH("C-1",'PY1 TFR ADA'!$F$5:$AU$5,0),FALSE)=TRUE,"Alternative Rate","LCFF Rate"),"LCFF Rate"),0)</f>
        <v>0</v>
      </c>
      <c r="J1544" s="523"/>
      <c r="K1544" s="977">
        <f>_xlfn.IFNA(IF(VLOOKUP($B1535,'PY1 TFR ADA'!$F:$AU,MATCH("B-3.5",'PY1 TFR ADA'!$F$5:$AU$5,0),FALSE)=TRUE,IF(VLOOKUP($B1535,'PY1 TFR ADA'!$F:$AU,MATCH("C-1",'PY1 TFR ADA'!$F$5:$AU$5,0),FALSE)=TRUE,"Alternative Rate","LCFF Rate"),"LCFF Rate"),0)</f>
        <v>0</v>
      </c>
      <c r="L1544" s="523"/>
      <c r="M1544" s="977">
        <f>_xlfn.IFNA(IF(VLOOKUP($B1535,'PY1 TFR ADA'!$F:$AU,MATCH("B-4.5",'PY1 TFR ADA'!$F$5:$AU$5,0),FALSE)=TRUE,IF(VLOOKUP($B1535,'PY1 TFR ADA'!$F:$AU,MATCH("C-1",'PY1 TFR ADA'!$F$5:$AU$5,0),FALSE)=TRUE,"Alternative Rate","LCFF Rate"),"LCFF Rate"),0)</f>
        <v>0</v>
      </c>
      <c r="N1544" s="523"/>
      <c r="O1544" s="977">
        <f>_xlfn.IFNA(IF(VLOOKUP($B1535,'PY1 TFR ADA'!$F:$AU,MATCH("B-5.5",'PY1 TFR ADA'!$F$5:$AU$5,0),FALSE)=TRUE,IF(VLOOKUP($B1535,'PY1 TFR ADA'!$F:$AU,MATCH("C-1",'PY1 TFR ADA'!$F$5:$AU$5,0),FALSE)=TRUE,"Alternative Rate","LCFF Rate"),"LCFF Rate"),0)</f>
        <v>0</v>
      </c>
      <c r="P1544" s="523"/>
      <c r="Q1544" s="977">
        <f>_xlfn.IFNA(IF(VLOOKUP($B1535,'PY1 TFR ADA'!$F:$AU,MATCH("B-6.5",'PY1 TFR ADA'!$F$5:$AU$5,0),FALSE)=TRUE,IF(VLOOKUP($B1535,'PY1 TFR ADA'!$F:$AU,MATCH("C-1",'PY1 TFR ADA'!$F$5:$AU$5,0),FALSE)=TRUE,"Alternative Rate","LCFF Rate"),"LCFF Rate"),0)</f>
        <v>0</v>
      </c>
      <c r="R1544" s="167"/>
      <c r="S1544" s="520"/>
      <c r="T1544" s="167"/>
      <c r="U1544" s="528"/>
      <c r="V1544" s="522"/>
    </row>
    <row r="1545" spans="1:22" ht="14.4">
      <c r="A1545" s="521"/>
      <c r="B1545" s="167"/>
      <c r="C1545" s="165"/>
      <c r="D1545" s="523"/>
      <c r="E1545" s="165"/>
      <c r="F1545" s="523"/>
      <c r="G1545" s="520"/>
      <c r="H1545" s="523"/>
      <c r="I1545" s="520"/>
      <c r="J1545" s="523"/>
      <c r="K1545" s="520"/>
      <c r="L1545" s="523"/>
      <c r="M1545" s="520"/>
      <c r="N1545" s="523"/>
      <c r="O1545" s="520"/>
      <c r="P1545" s="523"/>
      <c r="Q1545" s="520"/>
      <c r="R1545" s="167"/>
      <c r="S1545" s="520"/>
      <c r="T1545" s="167"/>
      <c r="U1545" s="528"/>
      <c r="V1545" s="522"/>
    </row>
    <row r="1546" spans="1:22" ht="14.4">
      <c r="A1546" s="521"/>
      <c r="B1546" s="2"/>
      <c r="C1546" s="8"/>
      <c r="D1546" s="8"/>
      <c r="E1546" s="8"/>
      <c r="F1546" s="523"/>
      <c r="G1546" s="535">
        <f t="shared" ref="G1546" si="2331">IF(G1544="LCFF Rate",(G1537*C1537+G1538*C1538+G1539*C1539+G1540*C1540),(G1542*E1540))</f>
        <v>0</v>
      </c>
      <c r="H1546" s="537"/>
      <c r="I1546" s="535">
        <f t="shared" ref="I1546" si="2332">IF(I1544="LCFF Rate",(I1537*C1537+I1538*C1538+I1539*C1539+I1540*C1540),(I1542*E1540))</f>
        <v>0</v>
      </c>
      <c r="J1546" s="537"/>
      <c r="K1546" s="535">
        <f t="shared" ref="K1546" si="2333">IF(K1544="LCFF Rate",(K1537*C1537+K1538*C1538+K1539*C1539+K1540*C1540),(K1542*E1540))</f>
        <v>0</v>
      </c>
      <c r="L1546" s="537"/>
      <c r="M1546" s="535">
        <f t="shared" ref="M1546" si="2334">IF(M1544="LCFF Rate",(M1537*C1537+M1538*C1538+M1539*C1539+M1540*C1540),(M1542*E1540))</f>
        <v>0</v>
      </c>
      <c r="N1546" s="537"/>
      <c r="O1546" s="535">
        <f t="shared" ref="O1546" si="2335">IF(O1544="LCFF Rate",(O1537*C1537+O1538*C1538+O1539*C1539+O1540*C1540),(O1542*E1540))</f>
        <v>0</v>
      </c>
      <c r="P1546" s="537"/>
      <c r="Q1546" s="535">
        <f t="shared" ref="Q1546" si="2336">IF(Q1544="LCFF Rate",(Q1537*C1537+Q1538*C1538+Q1539*C1539+Q1540*C1540),(Q1542*E1540))</f>
        <v>0</v>
      </c>
      <c r="R1546" s="167"/>
      <c r="S1546" s="538">
        <f t="shared" ref="S1546" si="2337">SUM(G1546:Q1546)</f>
        <v>0</v>
      </c>
      <c r="T1546" s="167"/>
      <c r="U1546" s="528"/>
      <c r="V1546" s="522"/>
    </row>
    <row r="1547" spans="1:22" ht="15" thickBot="1">
      <c r="A1547" s="529"/>
      <c r="B1547" s="530"/>
      <c r="C1547" s="531"/>
      <c r="D1547" s="532"/>
      <c r="E1547" s="533"/>
      <c r="F1547" s="532"/>
      <c r="G1547" s="530"/>
      <c r="H1547" s="532"/>
      <c r="I1547" s="530"/>
      <c r="J1547" s="532"/>
      <c r="K1547" s="530"/>
      <c r="L1547" s="532"/>
      <c r="M1547" s="530"/>
      <c r="N1547" s="532"/>
      <c r="O1547" s="530"/>
      <c r="P1547" s="532"/>
      <c r="Q1547" s="530"/>
      <c r="R1547" s="532"/>
      <c r="S1547" s="530"/>
      <c r="T1547" s="532"/>
      <c r="U1547" s="532"/>
      <c r="V1547" s="534"/>
    </row>
    <row r="1548" spans="1:22" ht="18.600000000000001" thickBot="1">
      <c r="A1548" s="890">
        <f>+A1535+1</f>
        <v>119</v>
      </c>
      <c r="B1548" s="891" t="str">
        <f>'Data Entry'!$B$3&amp;"-"&amp;C1548</f>
        <v>-</v>
      </c>
      <c r="C1548" s="891" t="str">
        <f>IFERROR(VLOOKUP('Data Entry'!$B$3&amp;"-"&amp;A1548,'PY1 TFR ADA'!$D:$AT,2,FALSE),"")</f>
        <v/>
      </c>
      <c r="D1548" s="892" t="str">
        <f>IFERROR(VLOOKUP('Data Entry'!$B$3&amp;"-"&amp;A1548,'PY1 TFR ADA'!$D:$AT,4,FALSE),"")</f>
        <v/>
      </c>
      <c r="E1548" s="893"/>
      <c r="F1548" s="893"/>
      <c r="G1548" s="893"/>
      <c r="H1548" s="893"/>
      <c r="I1548" s="893"/>
      <c r="J1548" s="893"/>
      <c r="K1548" s="893"/>
      <c r="L1548" s="893"/>
      <c r="M1548" s="893"/>
      <c r="N1548" s="893"/>
      <c r="O1548" s="893"/>
      <c r="P1548" s="893"/>
      <c r="Q1548" s="893"/>
      <c r="R1548" s="893"/>
      <c r="S1548" s="893"/>
      <c r="T1548" s="893"/>
      <c r="U1548" s="893"/>
      <c r="V1548" s="894"/>
    </row>
    <row r="1549" spans="1:22" ht="69">
      <c r="A1549" s="521"/>
      <c r="C1549" s="540" t="s">
        <v>1315</v>
      </c>
      <c r="D1549" s="512"/>
      <c r="E1549" s="540" t="s">
        <v>1316</v>
      </c>
      <c r="F1549" s="512"/>
      <c r="G1549" s="540" t="s">
        <v>1309</v>
      </c>
      <c r="H1549" s="512"/>
      <c r="I1549" s="540" t="s">
        <v>1310</v>
      </c>
      <c r="J1549" s="512"/>
      <c r="K1549" s="540" t="s">
        <v>1311</v>
      </c>
      <c r="L1549" s="512"/>
      <c r="M1549" s="540" t="s">
        <v>1312</v>
      </c>
      <c r="N1549" s="512"/>
      <c r="O1549" s="540" t="s">
        <v>1313</v>
      </c>
      <c r="P1549" s="512"/>
      <c r="Q1549" s="540" t="s">
        <v>1314</v>
      </c>
      <c r="R1549" s="167"/>
      <c r="S1549" s="540" t="s">
        <v>1308</v>
      </c>
      <c r="T1549" s="167"/>
      <c r="U1549" s="512" t="s">
        <v>1307</v>
      </c>
      <c r="V1549" s="524"/>
    </row>
    <row r="1550" spans="1:22" ht="14.4">
      <c r="A1550" s="521"/>
      <c r="B1550" s="510" t="s">
        <v>94</v>
      </c>
      <c r="C1550" s="525">
        <f>IFERROR(VLOOKUP($B1548,'PY1 TFR ADA'!$F:$AU,MATCH("A-1.1",'PY1 TFR ADA'!$F$5:$AU$5,0),FALSE),0)</f>
        <v>0</v>
      </c>
      <c r="D1550" s="167"/>
      <c r="E1550" s="525">
        <f>IFERROR(VALUE(VLOOKUP($B1548,'PY1 TFR ADA'!$F:$AU,MATCH("A-2.1",'PY1 TFR ADA'!$F$5:$AU$5,0),FALSE)),0)</f>
        <v>0</v>
      </c>
      <c r="F1550" s="167"/>
      <c r="G1550" s="609">
        <f>IFERROR(VLOOKUP($B1548,'PY1 TFR ADA'!$F:$AU,MATCH("b-1.1",'PY1 TFR ADA'!$F$5:$AU$5,0),FALSE),0)</f>
        <v>0</v>
      </c>
      <c r="H1550" s="527"/>
      <c r="I1550" s="609">
        <f>IFERROR(VLOOKUP($B1548,'PY1 TFR ADA'!$F:$AU,MATCH("b-2.1",'PY1 TFR ADA'!$F$5:$AU$5,0),FALSE),0)</f>
        <v>0</v>
      </c>
      <c r="J1550" s="527"/>
      <c r="K1550" s="609">
        <f>IFERROR(VLOOKUP($B1548,'PY1 TFR ADA'!$F:$AU,MATCH("b-3.1",'PY1 TFR ADA'!$F$5:$AU$5,0),FALSE),0)</f>
        <v>0</v>
      </c>
      <c r="L1550" s="527"/>
      <c r="M1550" s="609">
        <f>IFERROR(VLOOKUP($B1548,'PY1 TFR ADA'!$F:$AU,MATCH("b-4.1",'PY1 TFR ADA'!$F$5:$AU$5,0),FALSE),0)</f>
        <v>0</v>
      </c>
      <c r="N1550" s="527"/>
      <c r="O1550" s="609">
        <f>IFERROR(VLOOKUP($B1548,'PY1 TFR ADA'!$F:$AU,MATCH("b-5.1",'PY1 TFR ADA'!$F$5:$AU$5,0),FALSE),0)</f>
        <v>0</v>
      </c>
      <c r="P1550" s="527"/>
      <c r="Q1550" s="609">
        <f>IFERROR(VLOOKUP($B1548,'PY1 TFR ADA'!$F:$AU,MATCH("b-6.1",'PY1 TFR ADA'!$F$5:$AU$5,0),FALSE),0)</f>
        <v>0</v>
      </c>
      <c r="R1550" s="551"/>
      <c r="S1550" s="601">
        <f t="shared" ref="S1550:S1553" si="2338">SUM(G1550:Q1550)</f>
        <v>0</v>
      </c>
      <c r="T1550" s="551"/>
      <c r="U1550" s="536">
        <f t="shared" ref="U1550" si="2339">ROUND(IF($G1557="LCFF Rate",(G1550*$C1550),(G1550*$E1550))+IF($I1557="LCFF Rate",(I1550*$C1550),(I1550*$E1550))+IF($K1557="LCFF Rate",(K1550*$C1550),(K1550*$E1550))+IF($M1557="LCFF Rate",(M1550*$C1550),(M1550*$E1550))+IF($O1557="LCFF Rate",(O1550*$C1550),(O1550*$E1550))+IF($Q1557="LCFF Rate",(Q1550*$C1550),(Q1550*$E1550)),0)</f>
        <v>0</v>
      </c>
      <c r="V1550" s="524"/>
    </row>
    <row r="1551" spans="1:22" ht="14.4">
      <c r="A1551" s="521"/>
      <c r="B1551" s="510" t="s">
        <v>2</v>
      </c>
      <c r="C1551" s="525">
        <f>IFERROR(VLOOKUP($B1548,'PY1 TFR ADA'!$F:$AU,MATCH("A-1.2",'PY1 TFR ADA'!$F$5:$AU$5,0),FALSE),0)</f>
        <v>0</v>
      </c>
      <c r="D1551" s="167"/>
      <c r="E1551" s="525">
        <f>IFERROR(VALUE(VLOOKUP($B1548,'PY1 TFR ADA'!$F:$AU,MATCH("A-2.2",'PY1 TFR ADA'!$F$5:$AU$5,0),FALSE)),0)</f>
        <v>0</v>
      </c>
      <c r="F1551" s="167"/>
      <c r="G1551" s="609">
        <f>IFERROR(VLOOKUP($B1548,'PY1 TFR ADA'!$F:$AU,MATCH("b-1.2",'PY1 TFR ADA'!$F$5:$AU$5,0),FALSE),0)</f>
        <v>0</v>
      </c>
      <c r="H1551" s="527"/>
      <c r="I1551" s="609">
        <f>IFERROR(VLOOKUP($B1548,'PY1 TFR ADA'!$F:$AU,MATCH("b-2.2",'PY1 TFR ADA'!$F$5:$AU$5,0),FALSE),0)</f>
        <v>0</v>
      </c>
      <c r="J1551" s="527"/>
      <c r="K1551" s="609">
        <f>IFERROR(VLOOKUP($B1548,'PY1 TFR ADA'!$F:$AU,MATCH("b-3.2",'PY1 TFR ADA'!$F$5:$AU$5,0),FALSE),0)</f>
        <v>0</v>
      </c>
      <c r="L1551" s="527"/>
      <c r="M1551" s="609">
        <f>IFERROR(VLOOKUP($B1548,'PY1 TFR ADA'!$F:$AU,MATCH("b-4.2",'PY1 TFR ADA'!$F$5:$AU$5,0),FALSE),0)</f>
        <v>0</v>
      </c>
      <c r="N1551" s="527"/>
      <c r="O1551" s="609">
        <f>IFERROR(VLOOKUP($B1548,'PY1 TFR ADA'!$F:$AU,MATCH("b-5.2",'PY1 TFR ADA'!$F$5:$AU$5,0),FALSE),0)</f>
        <v>0</v>
      </c>
      <c r="P1551" s="527"/>
      <c r="Q1551" s="609">
        <f>IFERROR(VLOOKUP($B1548,'PY1 TFR ADA'!$F:$AU,MATCH("b-6.2",'PY1 TFR ADA'!$F$5:$AU$5,0),FALSE),0)</f>
        <v>0</v>
      </c>
      <c r="R1551" s="551"/>
      <c r="S1551" s="601">
        <f t="shared" si="2338"/>
        <v>0</v>
      </c>
      <c r="T1551" s="551"/>
      <c r="U1551" s="536">
        <f t="shared" ref="U1551" si="2340">ROUND(IF($G1557="LCFF Rate",(G1551*$C1551),(G1551*$E1551))+IF($I1557="LCFF Rate",(I1551*$C1551),(I1551*$E1551))+IF($K1557="LCFF Rate",(K1551*$C1551),(K1551*$E1551))+IF($M1557="LCFF Rate",(M1551*$C1551),(M1551*$E1551))+IF($O1557="LCFF Rate",(O1551*$C1551),(O1551*$E1551))+IF($Q1557="LCFF Rate",(Q1551*$C1551),(Q1551*$E1551)),0)</f>
        <v>0</v>
      </c>
      <c r="V1551" s="524"/>
    </row>
    <row r="1552" spans="1:22" ht="14.4">
      <c r="A1552" s="521"/>
      <c r="B1552" s="510" t="s">
        <v>3</v>
      </c>
      <c r="C1552" s="525">
        <f>IFERROR(VLOOKUP($B1548,'PY1 TFR ADA'!$F:$AU,MATCH("A-1.3",'PY1 TFR ADA'!$F$5:$AU$5,0),FALSE),0)</f>
        <v>0</v>
      </c>
      <c r="D1552" s="167"/>
      <c r="E1552" s="525">
        <f>IFERROR(VALUE(VLOOKUP($B1548,'PY1 TFR ADA'!$F:$AU,MATCH("A-2.3",'PY1 TFR ADA'!$F$5:$AU$5,0),FALSE)),0)</f>
        <v>0</v>
      </c>
      <c r="F1552" s="167"/>
      <c r="G1552" s="609">
        <f>IFERROR(VLOOKUP($B1548,'PY1 TFR ADA'!$F:$AU,MATCH("b-1.3",'PY1 TFR ADA'!$F$5:$AU$5,0),FALSE),0)</f>
        <v>0</v>
      </c>
      <c r="H1552" s="527"/>
      <c r="I1552" s="609">
        <f>IFERROR(VLOOKUP($B1548,'PY1 TFR ADA'!$F:$AU,MATCH("b-2.3",'PY1 TFR ADA'!$F$5:$AU$5,0),FALSE),0)</f>
        <v>0</v>
      </c>
      <c r="J1552" s="527"/>
      <c r="K1552" s="609">
        <f>IFERROR(VLOOKUP($B1548,'PY1 TFR ADA'!$F:$AU,MATCH("b-3.3",'PY1 TFR ADA'!$F$5:$AU$5,0),FALSE),0)</f>
        <v>0</v>
      </c>
      <c r="L1552" s="527"/>
      <c r="M1552" s="609">
        <f>IFERROR(VLOOKUP($B1548,'PY1 TFR ADA'!$F:$AU,MATCH("b-4.3",'PY1 TFR ADA'!$F$5:$AU$5,0),FALSE),0)</f>
        <v>0</v>
      </c>
      <c r="N1552" s="527"/>
      <c r="O1552" s="609">
        <f>IFERROR(VLOOKUP($B1548,'PY1 TFR ADA'!$F:$AU,MATCH("b-5.3",'PY1 TFR ADA'!$F$5:$AU$5,0),FALSE),0)</f>
        <v>0</v>
      </c>
      <c r="P1552" s="527"/>
      <c r="Q1552" s="609">
        <f>IFERROR(VLOOKUP($B1548,'PY1 TFR ADA'!$F:$AU,MATCH("b-6.3",'PY1 TFR ADA'!$F$5:$AU$5,0),FALSE),0)</f>
        <v>0</v>
      </c>
      <c r="R1552" s="551"/>
      <c r="S1552" s="601">
        <f t="shared" si="2338"/>
        <v>0</v>
      </c>
      <c r="T1552" s="551"/>
      <c r="U1552" s="536">
        <f t="shared" ref="U1552" si="2341">ROUND(IF($G1557="LCFF Rate",(G1552*$C1552),(G1552*$E1552))+IF($I1557="LCFF Rate",(I1552*$C1552),(I1552*$E1552))+IF($K1557="LCFF Rate",(K1552*$C1552),(K1552*$E1552))+IF($M1557="LCFF Rate",(M1552*$C1552),(M1552*$E1552))+IF($O1557="LCFF Rate",(O1552*$C1552),(O1552*$E1552))+IF($Q1557="LCFF Rate",(Q1552*$C1552),(Q1552*$E1552)),0)</f>
        <v>0</v>
      </c>
      <c r="V1552" s="524"/>
    </row>
    <row r="1553" spans="1:22" ht="14.4">
      <c r="A1553" s="526"/>
      <c r="B1553" s="510" t="s">
        <v>4</v>
      </c>
      <c r="C1553" s="525">
        <f>IFERROR(VLOOKUP($B1548,'PY1 TFR ADA'!$F:$AU,MATCH("A-1.4",'PY1 TFR ADA'!$F$5:$AU$5,0),FALSE),0)</f>
        <v>0</v>
      </c>
      <c r="D1553" s="523"/>
      <c r="E1553" s="525">
        <f>IFERROR(VALUE(VLOOKUP($B1548,'PY1 TFR ADA'!$F:$AU,MATCH("A-2.4",'PY1 TFR ADA'!$F$5:$AU$5,0),FALSE)),0)</f>
        <v>0</v>
      </c>
      <c r="F1553" s="523"/>
      <c r="G1553" s="609">
        <f>IFERROR(VLOOKUP($B1548,'PY1 TFR ADA'!$F:$AU,MATCH("b-1.4",'PY1 TFR ADA'!$F$5:$AU$5,0),FALSE),0)</f>
        <v>0</v>
      </c>
      <c r="H1553" s="527"/>
      <c r="I1553" s="609">
        <f>IFERROR(VLOOKUP($B1548,'PY1 TFR ADA'!$F:$AU,MATCH("b-2.4",'PY1 TFR ADA'!$F$5:$AU$5,0),FALSE),0)</f>
        <v>0</v>
      </c>
      <c r="J1553" s="527"/>
      <c r="K1553" s="609">
        <f>IFERROR(VLOOKUP($B1548,'PY1 TFR ADA'!$F:$AU,MATCH("b-3.4",'PY1 TFR ADA'!$F$5:$AU$5,0),FALSE),0)</f>
        <v>0</v>
      </c>
      <c r="L1553" s="527"/>
      <c r="M1553" s="609">
        <f>IFERROR(VLOOKUP($B1548,'PY1 TFR ADA'!$F:$AU,MATCH("b-4.4",'PY1 TFR ADA'!$F$5:$AU$5,0),FALSE),0)</f>
        <v>0</v>
      </c>
      <c r="N1553" s="527"/>
      <c r="O1553" s="609">
        <f>IFERROR(VLOOKUP($B1548,'PY1 TFR ADA'!$F:$AU,MATCH("b-5.4",'PY1 TFR ADA'!$F$5:$AU$5,0),FALSE),0)</f>
        <v>0</v>
      </c>
      <c r="P1553" s="527"/>
      <c r="Q1553" s="609">
        <f>IFERROR(VLOOKUP($B1548,'PY1 TFR ADA'!$F:$AU,MATCH("b-6.4",'PY1 TFR ADA'!$F$5:$AU$5,0),FALSE),0)</f>
        <v>0</v>
      </c>
      <c r="R1553" s="551"/>
      <c r="S1553" s="601">
        <f t="shared" si="2338"/>
        <v>0</v>
      </c>
      <c r="T1553" s="551"/>
      <c r="U1553" s="536">
        <f t="shared" ref="U1553" si="2342">ROUND(IF($G1557="LCFF Rate",(G1553*$C1553),(G1553*$E1553))+IF($I1557="LCFF Rate",(I1553*$C1553),(I1553*$E1553))+IF($K1557="LCFF Rate",(K1553*$C1553),(K1553*$E1553))+IF($M1557="LCFF Rate",(M1553*$C1553),(M1553*$E1553))+IF($O1557="LCFF Rate",(O1553*$C1553),(O1553*$E1553))+IF($Q1557="LCFF Rate",(Q1553*$C1553),(Q1553*$E1553)),0)</f>
        <v>0</v>
      </c>
      <c r="V1553" s="522"/>
    </row>
    <row r="1554" spans="1:22" ht="14.4">
      <c r="A1554" s="521"/>
      <c r="B1554" s="167"/>
      <c r="C1554" s="165"/>
      <c r="D1554" s="523"/>
      <c r="E1554" s="165"/>
      <c r="F1554" s="523"/>
      <c r="G1554" s="520"/>
      <c r="H1554" s="523"/>
      <c r="I1554" s="520"/>
      <c r="J1554" s="523"/>
      <c r="K1554" s="520"/>
      <c r="L1554" s="523"/>
      <c r="M1554" s="520"/>
      <c r="N1554" s="523"/>
      <c r="O1554" s="520"/>
      <c r="P1554" s="523"/>
      <c r="Q1554" s="520"/>
      <c r="R1554" s="167"/>
      <c r="S1554" s="520"/>
      <c r="T1554" s="167"/>
      <c r="U1554" s="602"/>
      <c r="V1554" s="522"/>
    </row>
    <row r="1555" spans="1:22" ht="14.4">
      <c r="A1555" s="521"/>
      <c r="B1555" s="167"/>
      <c r="C1555" s="165"/>
      <c r="D1555" s="523"/>
      <c r="E1555" s="513" t="s">
        <v>1317</v>
      </c>
      <c r="F1555" s="523"/>
      <c r="G1555" s="601">
        <f t="shared" ref="G1555" si="2343">SUM(G1550:G1553)</f>
        <v>0</v>
      </c>
      <c r="H1555" s="527"/>
      <c r="I1555" s="601">
        <f t="shared" ref="I1555" si="2344">SUM(I1550:I1553)</f>
        <v>0</v>
      </c>
      <c r="J1555" s="527"/>
      <c r="K1555" s="601">
        <f t="shared" ref="K1555" si="2345">SUM(K1550:K1553)</f>
        <v>0</v>
      </c>
      <c r="L1555" s="527"/>
      <c r="M1555" s="601">
        <f t="shared" ref="M1555" si="2346">SUM(M1550:M1553)</f>
        <v>0</v>
      </c>
      <c r="N1555" s="527"/>
      <c r="O1555" s="601">
        <f t="shared" ref="O1555" si="2347">SUM(O1550:O1553)</f>
        <v>0</v>
      </c>
      <c r="P1555" s="527"/>
      <c r="Q1555" s="601">
        <f t="shared" ref="Q1555" si="2348">SUM(Q1550:Q1553)</f>
        <v>0</v>
      </c>
      <c r="R1555" s="527"/>
      <c r="S1555" s="601">
        <f t="shared" ref="S1555" si="2349">SUM(S1550:S1553)</f>
        <v>0</v>
      </c>
      <c r="T1555" s="527"/>
      <c r="U1555" s="536">
        <f t="shared" ref="U1555" si="2350">SUM(U1550:U1553)</f>
        <v>0</v>
      </c>
      <c r="V1555" s="522"/>
    </row>
    <row r="1556" spans="1:22" ht="14.4">
      <c r="A1556" s="521"/>
      <c r="B1556" s="167"/>
      <c r="C1556" s="165"/>
      <c r="D1556" s="523"/>
      <c r="E1556" s="165"/>
      <c r="F1556" s="523"/>
      <c r="G1556" s="520"/>
      <c r="H1556" s="523"/>
      <c r="I1556" s="520"/>
      <c r="J1556" s="523"/>
      <c r="K1556" s="520"/>
      <c r="L1556" s="523"/>
      <c r="M1556" s="520"/>
      <c r="N1556" s="523"/>
      <c r="O1556" s="520"/>
      <c r="P1556" s="523"/>
      <c r="Q1556" s="520"/>
      <c r="R1556" s="167"/>
      <c r="S1556" s="520"/>
      <c r="T1556" s="167"/>
      <c r="U1556" s="528"/>
      <c r="V1556" s="522"/>
    </row>
    <row r="1557" spans="1:22" ht="14.4">
      <c r="A1557" s="521"/>
      <c r="B1557" s="167"/>
      <c r="C1557" s="165"/>
      <c r="D1557" s="8"/>
      <c r="E1557" s="513" t="s">
        <v>1304</v>
      </c>
      <c r="F1557" s="523"/>
      <c r="G1557" s="977">
        <f>_xlfn.IFNA(IF(VLOOKUP($B1548,'PY1 TFR ADA'!$F:$AU,MATCH("B-1.5",'PY1 TFR ADA'!$F$5:$AU$5,0),FALSE)=TRUE,IF(VLOOKUP($B1548,'PY1 TFR ADA'!$F:$AU,MATCH("C-1",'PY1 TFR ADA'!$F$5:$AU$5,0),FALSE)=TRUE,"Alternative Rate","LCFF Rate"),"LCFF Rate"),0)</f>
        <v>0</v>
      </c>
      <c r="H1557" s="523"/>
      <c r="I1557" s="977">
        <f>_xlfn.IFNA(IF(VLOOKUP($B1548,'PY1 TFR ADA'!$F:$AU,MATCH("B-2.5",'PY1 TFR ADA'!$F$5:$AU$5,0),FALSE)=TRUE,IF(VLOOKUP($B1548,'PY1 TFR ADA'!$F:$AU,MATCH("C-1",'PY1 TFR ADA'!$F$5:$AU$5,0),FALSE)=TRUE,"Alternative Rate","LCFF Rate"),"LCFF Rate"),0)</f>
        <v>0</v>
      </c>
      <c r="J1557" s="523"/>
      <c r="K1557" s="977">
        <f>_xlfn.IFNA(IF(VLOOKUP($B1548,'PY1 TFR ADA'!$F:$AU,MATCH("B-3.5",'PY1 TFR ADA'!$F$5:$AU$5,0),FALSE)=TRUE,IF(VLOOKUP($B1548,'PY1 TFR ADA'!$F:$AU,MATCH("C-1",'PY1 TFR ADA'!$F$5:$AU$5,0),FALSE)=TRUE,"Alternative Rate","LCFF Rate"),"LCFF Rate"),0)</f>
        <v>0</v>
      </c>
      <c r="L1557" s="523"/>
      <c r="M1557" s="977">
        <f>_xlfn.IFNA(IF(VLOOKUP($B1548,'PY1 TFR ADA'!$F:$AU,MATCH("B-4.5",'PY1 TFR ADA'!$F$5:$AU$5,0),FALSE)=TRUE,IF(VLOOKUP($B1548,'PY1 TFR ADA'!$F:$AU,MATCH("C-1",'PY1 TFR ADA'!$F$5:$AU$5,0),FALSE)=TRUE,"Alternative Rate","LCFF Rate"),"LCFF Rate"),0)</f>
        <v>0</v>
      </c>
      <c r="N1557" s="523"/>
      <c r="O1557" s="977">
        <f>_xlfn.IFNA(IF(VLOOKUP($B1548,'PY1 TFR ADA'!$F:$AU,MATCH("B-5.5",'PY1 TFR ADA'!$F$5:$AU$5,0),FALSE)=TRUE,IF(VLOOKUP($B1548,'PY1 TFR ADA'!$F:$AU,MATCH("C-1",'PY1 TFR ADA'!$F$5:$AU$5,0),FALSE)=TRUE,"Alternative Rate","LCFF Rate"),"LCFF Rate"),0)</f>
        <v>0</v>
      </c>
      <c r="P1557" s="523"/>
      <c r="Q1557" s="977">
        <f>_xlfn.IFNA(IF(VLOOKUP($B1548,'PY1 TFR ADA'!$F:$AU,MATCH("B-6.5",'PY1 TFR ADA'!$F$5:$AU$5,0),FALSE)=TRUE,IF(VLOOKUP($B1548,'PY1 TFR ADA'!$F:$AU,MATCH("C-1",'PY1 TFR ADA'!$F$5:$AU$5,0),FALSE)=TRUE,"Alternative Rate","LCFF Rate"),"LCFF Rate"),0)</f>
        <v>0</v>
      </c>
      <c r="R1557" s="167"/>
      <c r="S1557" s="520"/>
      <c r="T1557" s="167"/>
      <c r="U1557" s="528"/>
      <c r="V1557" s="522"/>
    </row>
    <row r="1558" spans="1:22" ht="14.4">
      <c r="A1558" s="521"/>
      <c r="B1558" s="167"/>
      <c r="C1558" s="165"/>
      <c r="D1558" s="523"/>
      <c r="E1558" s="165"/>
      <c r="F1558" s="523"/>
      <c r="G1558" s="520"/>
      <c r="H1558" s="523"/>
      <c r="I1558" s="520"/>
      <c r="J1558" s="523"/>
      <c r="K1558" s="520"/>
      <c r="L1558" s="523"/>
      <c r="M1558" s="520"/>
      <c r="N1558" s="523"/>
      <c r="O1558" s="520"/>
      <c r="P1558" s="523"/>
      <c r="Q1558" s="520"/>
      <c r="R1558" s="167"/>
      <c r="S1558" s="520"/>
      <c r="T1558" s="167"/>
      <c r="U1558" s="528"/>
      <c r="V1558" s="522"/>
    </row>
    <row r="1559" spans="1:22" ht="14.4">
      <c r="A1559" s="521"/>
      <c r="B1559" s="2"/>
      <c r="C1559" s="8"/>
      <c r="D1559" s="8"/>
      <c r="E1559" s="8"/>
      <c r="F1559" s="523"/>
      <c r="G1559" s="535">
        <f t="shared" ref="G1559" si="2351">IF(G1557="LCFF Rate",(G1550*C1550+G1551*C1551+G1552*C1552+G1553*C1553),(G1555*E1553))</f>
        <v>0</v>
      </c>
      <c r="H1559" s="537"/>
      <c r="I1559" s="535">
        <f t="shared" ref="I1559" si="2352">IF(I1557="LCFF Rate",(I1550*C1550+I1551*C1551+I1552*C1552+I1553*C1553),(I1555*E1553))</f>
        <v>0</v>
      </c>
      <c r="J1559" s="537"/>
      <c r="K1559" s="535">
        <f t="shared" ref="K1559" si="2353">IF(K1557="LCFF Rate",(K1550*C1550+K1551*C1551+K1552*C1552+K1553*C1553),(K1555*E1553))</f>
        <v>0</v>
      </c>
      <c r="L1559" s="537"/>
      <c r="M1559" s="535">
        <f t="shared" ref="M1559" si="2354">IF(M1557="LCFF Rate",(M1550*C1550+M1551*C1551+M1552*C1552+M1553*C1553),(M1555*E1553))</f>
        <v>0</v>
      </c>
      <c r="N1559" s="537"/>
      <c r="O1559" s="535">
        <f t="shared" ref="O1559" si="2355">IF(O1557="LCFF Rate",(O1550*C1550+O1551*C1551+O1552*C1552+O1553*C1553),(O1555*E1553))</f>
        <v>0</v>
      </c>
      <c r="P1559" s="537"/>
      <c r="Q1559" s="535">
        <f t="shared" ref="Q1559" si="2356">IF(Q1557="LCFF Rate",(Q1550*C1550+Q1551*C1551+Q1552*C1552+Q1553*C1553),(Q1555*E1553))</f>
        <v>0</v>
      </c>
      <c r="R1559" s="167"/>
      <c r="S1559" s="538">
        <f t="shared" ref="S1559" si="2357">SUM(G1559:Q1559)</f>
        <v>0</v>
      </c>
      <c r="T1559" s="167"/>
      <c r="U1559" s="528"/>
      <c r="V1559" s="522"/>
    </row>
    <row r="1560" spans="1:22" ht="15" thickBot="1">
      <c r="A1560" s="529"/>
      <c r="B1560" s="530"/>
      <c r="C1560" s="531"/>
      <c r="D1560" s="532"/>
      <c r="E1560" s="533"/>
      <c r="F1560" s="532"/>
      <c r="G1560" s="530"/>
      <c r="H1560" s="532"/>
      <c r="I1560" s="530"/>
      <c r="J1560" s="532"/>
      <c r="K1560" s="530"/>
      <c r="L1560" s="532"/>
      <c r="M1560" s="530"/>
      <c r="N1560" s="532"/>
      <c r="O1560" s="530"/>
      <c r="P1560" s="532"/>
      <c r="Q1560" s="530"/>
      <c r="R1560" s="532"/>
      <c r="S1560" s="530"/>
      <c r="T1560" s="532"/>
      <c r="U1560" s="532"/>
      <c r="V1560" s="534"/>
    </row>
    <row r="1561" spans="1:22" ht="18.600000000000001" thickBot="1">
      <c r="A1561" s="890">
        <f>+A1548+1</f>
        <v>120</v>
      </c>
      <c r="B1561" s="891" t="str">
        <f>'Data Entry'!$B$3&amp;"-"&amp;C1561</f>
        <v>-</v>
      </c>
      <c r="C1561" s="891" t="str">
        <f>IFERROR(VLOOKUP('Data Entry'!$B$3&amp;"-"&amp;A1561,'PY1 TFR ADA'!$D:$AT,2,FALSE),"")</f>
        <v/>
      </c>
      <c r="D1561" s="892" t="str">
        <f>IFERROR(VLOOKUP('Data Entry'!$B$3&amp;"-"&amp;A1561,'PY1 TFR ADA'!$D:$AT,4,FALSE),"")</f>
        <v/>
      </c>
      <c r="E1561" s="893"/>
      <c r="F1561" s="893"/>
      <c r="G1561" s="893"/>
      <c r="H1561" s="893"/>
      <c r="I1561" s="893"/>
      <c r="J1561" s="893"/>
      <c r="K1561" s="893"/>
      <c r="L1561" s="893"/>
      <c r="M1561" s="893"/>
      <c r="N1561" s="893"/>
      <c r="O1561" s="893"/>
      <c r="P1561" s="893"/>
      <c r="Q1561" s="893"/>
      <c r="R1561" s="893"/>
      <c r="S1561" s="893"/>
      <c r="T1561" s="893"/>
      <c r="U1561" s="893"/>
      <c r="V1561" s="894"/>
    </row>
    <row r="1562" spans="1:22" ht="69">
      <c r="A1562" s="521"/>
      <c r="C1562" s="540" t="s">
        <v>1315</v>
      </c>
      <c r="D1562" s="512"/>
      <c r="E1562" s="540" t="s">
        <v>1316</v>
      </c>
      <c r="F1562" s="512"/>
      <c r="G1562" s="540" t="s">
        <v>1309</v>
      </c>
      <c r="H1562" s="512"/>
      <c r="I1562" s="540" t="s">
        <v>1310</v>
      </c>
      <c r="J1562" s="512"/>
      <c r="K1562" s="540" t="s">
        <v>1311</v>
      </c>
      <c r="L1562" s="512"/>
      <c r="M1562" s="540" t="s">
        <v>1312</v>
      </c>
      <c r="N1562" s="512"/>
      <c r="O1562" s="540" t="s">
        <v>1313</v>
      </c>
      <c r="P1562" s="512"/>
      <c r="Q1562" s="540" t="s">
        <v>1314</v>
      </c>
      <c r="R1562" s="167"/>
      <c r="S1562" s="540" t="s">
        <v>1308</v>
      </c>
      <c r="T1562" s="167"/>
      <c r="U1562" s="512" t="s">
        <v>1307</v>
      </c>
      <c r="V1562" s="524"/>
    </row>
    <row r="1563" spans="1:22" ht="14.4">
      <c r="A1563" s="521"/>
      <c r="B1563" s="510" t="s">
        <v>94</v>
      </c>
      <c r="C1563" s="525">
        <f>IFERROR(VLOOKUP($B1561,'PY1 TFR ADA'!$F:$AU,MATCH("A-1.1",'PY1 TFR ADA'!$F$5:$AU$5,0),FALSE),0)</f>
        <v>0</v>
      </c>
      <c r="D1563" s="167"/>
      <c r="E1563" s="525">
        <f>IFERROR(VALUE(VLOOKUP($B1561,'PY1 TFR ADA'!$F:$AU,MATCH("A-2.1",'PY1 TFR ADA'!$F$5:$AU$5,0),FALSE)),0)</f>
        <v>0</v>
      </c>
      <c r="F1563" s="167"/>
      <c r="G1563" s="609">
        <f>IFERROR(VLOOKUP($B1561,'PY1 TFR ADA'!$F:$AU,MATCH("b-1.1",'PY1 TFR ADA'!$F$5:$AU$5,0),FALSE),0)</f>
        <v>0</v>
      </c>
      <c r="H1563" s="527"/>
      <c r="I1563" s="609">
        <f>IFERROR(VLOOKUP($B1561,'PY1 TFR ADA'!$F:$AU,MATCH("b-2.1",'PY1 TFR ADA'!$F$5:$AU$5,0),FALSE),0)</f>
        <v>0</v>
      </c>
      <c r="J1563" s="527"/>
      <c r="K1563" s="609">
        <f>IFERROR(VLOOKUP($B1561,'PY1 TFR ADA'!$F:$AU,MATCH("b-3.1",'PY1 TFR ADA'!$F$5:$AU$5,0),FALSE),0)</f>
        <v>0</v>
      </c>
      <c r="L1563" s="527"/>
      <c r="M1563" s="609">
        <f>IFERROR(VLOOKUP($B1561,'PY1 TFR ADA'!$F:$AU,MATCH("b-4.1",'PY1 TFR ADA'!$F$5:$AU$5,0),FALSE),0)</f>
        <v>0</v>
      </c>
      <c r="N1563" s="527"/>
      <c r="O1563" s="609">
        <f>IFERROR(VLOOKUP($B1561,'PY1 TFR ADA'!$F:$AU,MATCH("b-5.1",'PY1 TFR ADA'!$F$5:$AU$5,0),FALSE),0)</f>
        <v>0</v>
      </c>
      <c r="P1563" s="527"/>
      <c r="Q1563" s="609">
        <f>IFERROR(VLOOKUP($B1561,'PY1 TFR ADA'!$F:$AU,MATCH("b-6.1",'PY1 TFR ADA'!$F$5:$AU$5,0),FALSE),0)</f>
        <v>0</v>
      </c>
      <c r="R1563" s="551"/>
      <c r="S1563" s="601">
        <f t="shared" ref="S1563:S1566" si="2358">SUM(G1563:Q1563)</f>
        <v>0</v>
      </c>
      <c r="T1563" s="551"/>
      <c r="U1563" s="536">
        <f t="shared" ref="U1563" si="2359">ROUND(IF($G1570="LCFF Rate",(G1563*$C1563),(G1563*$E1563))+IF($I1570="LCFF Rate",(I1563*$C1563),(I1563*$E1563))+IF($K1570="LCFF Rate",(K1563*$C1563),(K1563*$E1563))+IF($M1570="LCFF Rate",(M1563*$C1563),(M1563*$E1563))+IF($O1570="LCFF Rate",(O1563*$C1563),(O1563*$E1563))+IF($Q1570="LCFF Rate",(Q1563*$C1563),(Q1563*$E1563)),0)</f>
        <v>0</v>
      </c>
      <c r="V1563" s="524"/>
    </row>
    <row r="1564" spans="1:22" ht="14.4">
      <c r="A1564" s="521"/>
      <c r="B1564" s="510" t="s">
        <v>2</v>
      </c>
      <c r="C1564" s="525">
        <f>IFERROR(VLOOKUP($B1561,'PY1 TFR ADA'!$F:$AU,MATCH("A-1.2",'PY1 TFR ADA'!$F$5:$AU$5,0),FALSE),0)</f>
        <v>0</v>
      </c>
      <c r="D1564" s="167"/>
      <c r="E1564" s="525">
        <f>IFERROR(VALUE(VLOOKUP($B1561,'PY1 TFR ADA'!$F:$AU,MATCH("A-2.2",'PY1 TFR ADA'!$F$5:$AU$5,0),FALSE)),0)</f>
        <v>0</v>
      </c>
      <c r="F1564" s="167"/>
      <c r="G1564" s="609">
        <f>IFERROR(VLOOKUP($B1561,'PY1 TFR ADA'!$F:$AU,MATCH("b-1.2",'PY1 TFR ADA'!$F$5:$AU$5,0),FALSE),0)</f>
        <v>0</v>
      </c>
      <c r="H1564" s="527"/>
      <c r="I1564" s="609">
        <f>IFERROR(VLOOKUP($B1561,'PY1 TFR ADA'!$F:$AU,MATCH("b-2.2",'PY1 TFR ADA'!$F$5:$AU$5,0),FALSE),0)</f>
        <v>0</v>
      </c>
      <c r="J1564" s="527"/>
      <c r="K1564" s="609">
        <f>IFERROR(VLOOKUP($B1561,'PY1 TFR ADA'!$F:$AU,MATCH("b-3.2",'PY1 TFR ADA'!$F$5:$AU$5,0),FALSE),0)</f>
        <v>0</v>
      </c>
      <c r="L1564" s="527"/>
      <c r="M1564" s="609">
        <f>IFERROR(VLOOKUP($B1561,'PY1 TFR ADA'!$F:$AU,MATCH("b-4.2",'PY1 TFR ADA'!$F$5:$AU$5,0),FALSE),0)</f>
        <v>0</v>
      </c>
      <c r="N1564" s="527"/>
      <c r="O1564" s="609">
        <f>IFERROR(VLOOKUP($B1561,'PY1 TFR ADA'!$F:$AU,MATCH("b-5.2",'PY1 TFR ADA'!$F$5:$AU$5,0),FALSE),0)</f>
        <v>0</v>
      </c>
      <c r="P1564" s="527"/>
      <c r="Q1564" s="609">
        <f>IFERROR(VLOOKUP($B1561,'PY1 TFR ADA'!$F:$AU,MATCH("b-6.2",'PY1 TFR ADA'!$F$5:$AU$5,0),FALSE),0)</f>
        <v>0</v>
      </c>
      <c r="R1564" s="551"/>
      <c r="S1564" s="601">
        <f t="shared" si="2358"/>
        <v>0</v>
      </c>
      <c r="T1564" s="551"/>
      <c r="U1564" s="536">
        <f t="shared" ref="U1564" si="2360">ROUND(IF($G1570="LCFF Rate",(G1564*$C1564),(G1564*$E1564))+IF($I1570="LCFF Rate",(I1564*$C1564),(I1564*$E1564))+IF($K1570="LCFF Rate",(K1564*$C1564),(K1564*$E1564))+IF($M1570="LCFF Rate",(M1564*$C1564),(M1564*$E1564))+IF($O1570="LCFF Rate",(O1564*$C1564),(O1564*$E1564))+IF($Q1570="LCFF Rate",(Q1564*$C1564),(Q1564*$E1564)),0)</f>
        <v>0</v>
      </c>
      <c r="V1564" s="524"/>
    </row>
    <row r="1565" spans="1:22" ht="14.4">
      <c r="A1565" s="521"/>
      <c r="B1565" s="510" t="s">
        <v>3</v>
      </c>
      <c r="C1565" s="525">
        <f>IFERROR(VLOOKUP($B1561,'PY1 TFR ADA'!$F:$AU,MATCH("A-1.3",'PY1 TFR ADA'!$F$5:$AU$5,0),FALSE),0)</f>
        <v>0</v>
      </c>
      <c r="D1565" s="167"/>
      <c r="E1565" s="525">
        <f>IFERROR(VALUE(VLOOKUP($B1561,'PY1 TFR ADA'!$F:$AU,MATCH("A-2.3",'PY1 TFR ADA'!$F$5:$AU$5,0),FALSE)),0)</f>
        <v>0</v>
      </c>
      <c r="F1565" s="167"/>
      <c r="G1565" s="609">
        <f>IFERROR(VLOOKUP($B1561,'PY1 TFR ADA'!$F:$AU,MATCH("b-1.3",'PY1 TFR ADA'!$F$5:$AU$5,0),FALSE),0)</f>
        <v>0</v>
      </c>
      <c r="H1565" s="527"/>
      <c r="I1565" s="609">
        <f>IFERROR(VLOOKUP($B1561,'PY1 TFR ADA'!$F:$AU,MATCH("b-2.3",'PY1 TFR ADA'!$F$5:$AU$5,0),FALSE),0)</f>
        <v>0</v>
      </c>
      <c r="J1565" s="527"/>
      <c r="K1565" s="609">
        <f>IFERROR(VLOOKUP($B1561,'PY1 TFR ADA'!$F:$AU,MATCH("b-3.3",'PY1 TFR ADA'!$F$5:$AU$5,0),FALSE),0)</f>
        <v>0</v>
      </c>
      <c r="L1565" s="527"/>
      <c r="M1565" s="609">
        <f>IFERROR(VLOOKUP($B1561,'PY1 TFR ADA'!$F:$AU,MATCH("b-4.3",'PY1 TFR ADA'!$F$5:$AU$5,0),FALSE),0)</f>
        <v>0</v>
      </c>
      <c r="N1565" s="527"/>
      <c r="O1565" s="609">
        <f>IFERROR(VLOOKUP($B1561,'PY1 TFR ADA'!$F:$AU,MATCH("b-5.3",'PY1 TFR ADA'!$F$5:$AU$5,0),FALSE),0)</f>
        <v>0</v>
      </c>
      <c r="P1565" s="527"/>
      <c r="Q1565" s="609">
        <f>IFERROR(VLOOKUP($B1561,'PY1 TFR ADA'!$F:$AU,MATCH("b-6.3",'PY1 TFR ADA'!$F$5:$AU$5,0),FALSE),0)</f>
        <v>0</v>
      </c>
      <c r="R1565" s="551"/>
      <c r="S1565" s="601">
        <f t="shared" si="2358"/>
        <v>0</v>
      </c>
      <c r="T1565" s="551"/>
      <c r="U1565" s="536">
        <f t="shared" ref="U1565" si="2361">ROUND(IF($G1570="LCFF Rate",(G1565*$C1565),(G1565*$E1565))+IF($I1570="LCFF Rate",(I1565*$C1565),(I1565*$E1565))+IF($K1570="LCFF Rate",(K1565*$C1565),(K1565*$E1565))+IF($M1570="LCFF Rate",(M1565*$C1565),(M1565*$E1565))+IF($O1570="LCFF Rate",(O1565*$C1565),(O1565*$E1565))+IF($Q1570="LCFF Rate",(Q1565*$C1565),(Q1565*$E1565)),0)</f>
        <v>0</v>
      </c>
      <c r="V1565" s="524"/>
    </row>
    <row r="1566" spans="1:22" ht="14.4">
      <c r="A1566" s="526"/>
      <c r="B1566" s="510" t="s">
        <v>4</v>
      </c>
      <c r="C1566" s="525">
        <f>IFERROR(VLOOKUP($B1561,'PY1 TFR ADA'!$F:$AU,MATCH("A-1.4",'PY1 TFR ADA'!$F$5:$AU$5,0),FALSE),0)</f>
        <v>0</v>
      </c>
      <c r="D1566" s="523"/>
      <c r="E1566" s="525">
        <f>IFERROR(VALUE(VLOOKUP($B1561,'PY1 TFR ADA'!$F:$AU,MATCH("A-2.4",'PY1 TFR ADA'!$F$5:$AU$5,0),FALSE)),0)</f>
        <v>0</v>
      </c>
      <c r="F1566" s="523"/>
      <c r="G1566" s="609">
        <f>IFERROR(VLOOKUP($B1561,'PY1 TFR ADA'!$F:$AU,MATCH("b-1.4",'PY1 TFR ADA'!$F$5:$AU$5,0),FALSE),0)</f>
        <v>0</v>
      </c>
      <c r="H1566" s="527"/>
      <c r="I1566" s="609">
        <f>IFERROR(VLOOKUP($B1561,'PY1 TFR ADA'!$F:$AU,MATCH("b-2.4",'PY1 TFR ADA'!$F$5:$AU$5,0),FALSE),0)</f>
        <v>0</v>
      </c>
      <c r="J1566" s="527"/>
      <c r="K1566" s="609">
        <f>IFERROR(VLOOKUP($B1561,'PY1 TFR ADA'!$F:$AU,MATCH("b-3.4",'PY1 TFR ADA'!$F$5:$AU$5,0),FALSE),0)</f>
        <v>0</v>
      </c>
      <c r="L1566" s="527"/>
      <c r="M1566" s="609">
        <f>IFERROR(VLOOKUP($B1561,'PY1 TFR ADA'!$F:$AU,MATCH("b-4.4",'PY1 TFR ADA'!$F$5:$AU$5,0),FALSE),0)</f>
        <v>0</v>
      </c>
      <c r="N1566" s="527"/>
      <c r="O1566" s="609">
        <f>IFERROR(VLOOKUP($B1561,'PY1 TFR ADA'!$F:$AU,MATCH("b-5.4",'PY1 TFR ADA'!$F$5:$AU$5,0),FALSE),0)</f>
        <v>0</v>
      </c>
      <c r="P1566" s="527"/>
      <c r="Q1566" s="609">
        <f>IFERROR(VLOOKUP($B1561,'PY1 TFR ADA'!$F:$AU,MATCH("b-6.4",'PY1 TFR ADA'!$F$5:$AU$5,0),FALSE),0)</f>
        <v>0</v>
      </c>
      <c r="R1566" s="551"/>
      <c r="S1566" s="601">
        <f t="shared" si="2358"/>
        <v>0</v>
      </c>
      <c r="T1566" s="551"/>
      <c r="U1566" s="536">
        <f t="shared" ref="U1566" si="2362">ROUND(IF($G1570="LCFF Rate",(G1566*$C1566),(G1566*$E1566))+IF($I1570="LCFF Rate",(I1566*$C1566),(I1566*$E1566))+IF($K1570="LCFF Rate",(K1566*$C1566),(K1566*$E1566))+IF($M1570="LCFF Rate",(M1566*$C1566),(M1566*$E1566))+IF($O1570="LCFF Rate",(O1566*$C1566),(O1566*$E1566))+IF($Q1570="LCFF Rate",(Q1566*$C1566),(Q1566*$E1566)),0)</f>
        <v>0</v>
      </c>
      <c r="V1566" s="522"/>
    </row>
    <row r="1567" spans="1:22" ht="14.4">
      <c r="A1567" s="521"/>
      <c r="B1567" s="167"/>
      <c r="C1567" s="165"/>
      <c r="D1567" s="523"/>
      <c r="E1567" s="165"/>
      <c r="F1567" s="523"/>
      <c r="G1567" s="520"/>
      <c r="H1567" s="523"/>
      <c r="I1567" s="520"/>
      <c r="J1567" s="523"/>
      <c r="K1567" s="520"/>
      <c r="L1567" s="523"/>
      <c r="M1567" s="520"/>
      <c r="N1567" s="523"/>
      <c r="O1567" s="520"/>
      <c r="P1567" s="523"/>
      <c r="Q1567" s="520"/>
      <c r="R1567" s="167"/>
      <c r="S1567" s="520"/>
      <c r="T1567" s="167"/>
      <c r="U1567" s="602"/>
      <c r="V1567" s="522"/>
    </row>
    <row r="1568" spans="1:22" ht="14.4">
      <c r="A1568" s="521"/>
      <c r="B1568" s="167"/>
      <c r="C1568" s="165"/>
      <c r="D1568" s="523"/>
      <c r="E1568" s="513" t="s">
        <v>1317</v>
      </c>
      <c r="F1568" s="523"/>
      <c r="G1568" s="601">
        <f t="shared" ref="G1568" si="2363">SUM(G1563:G1566)</f>
        <v>0</v>
      </c>
      <c r="H1568" s="527"/>
      <c r="I1568" s="601">
        <f t="shared" ref="I1568" si="2364">SUM(I1563:I1566)</f>
        <v>0</v>
      </c>
      <c r="J1568" s="527"/>
      <c r="K1568" s="601">
        <f t="shared" ref="K1568" si="2365">SUM(K1563:K1566)</f>
        <v>0</v>
      </c>
      <c r="L1568" s="527"/>
      <c r="M1568" s="601">
        <f t="shared" ref="M1568" si="2366">SUM(M1563:M1566)</f>
        <v>0</v>
      </c>
      <c r="N1568" s="527"/>
      <c r="O1568" s="601">
        <f t="shared" ref="O1568" si="2367">SUM(O1563:O1566)</f>
        <v>0</v>
      </c>
      <c r="P1568" s="527"/>
      <c r="Q1568" s="601">
        <f t="shared" ref="Q1568" si="2368">SUM(Q1563:Q1566)</f>
        <v>0</v>
      </c>
      <c r="R1568" s="527"/>
      <c r="S1568" s="601">
        <f t="shared" ref="S1568" si="2369">SUM(S1563:S1566)</f>
        <v>0</v>
      </c>
      <c r="T1568" s="527"/>
      <c r="U1568" s="536">
        <f t="shared" ref="U1568" si="2370">SUM(U1563:U1566)</f>
        <v>0</v>
      </c>
      <c r="V1568" s="522"/>
    </row>
    <row r="1569" spans="1:22" ht="14.4">
      <c r="A1569" s="521"/>
      <c r="B1569" s="167"/>
      <c r="C1569" s="165"/>
      <c r="D1569" s="523"/>
      <c r="E1569" s="165"/>
      <c r="F1569" s="523"/>
      <c r="G1569" s="520"/>
      <c r="H1569" s="523"/>
      <c r="I1569" s="520"/>
      <c r="J1569" s="523"/>
      <c r="K1569" s="520"/>
      <c r="L1569" s="523"/>
      <c r="M1569" s="520"/>
      <c r="N1569" s="523"/>
      <c r="O1569" s="520"/>
      <c r="P1569" s="523"/>
      <c r="Q1569" s="520"/>
      <c r="R1569" s="167"/>
      <c r="S1569" s="520"/>
      <c r="T1569" s="167"/>
      <c r="U1569" s="528"/>
      <c r="V1569" s="522"/>
    </row>
    <row r="1570" spans="1:22" ht="14.4">
      <c r="A1570" s="521"/>
      <c r="B1570" s="167"/>
      <c r="C1570" s="165"/>
      <c r="D1570" s="8"/>
      <c r="E1570" s="513" t="s">
        <v>1304</v>
      </c>
      <c r="F1570" s="523"/>
      <c r="G1570" s="977">
        <f>_xlfn.IFNA(IF(VLOOKUP($B1561,'PY1 TFR ADA'!$F:$AU,MATCH("B-1.5",'PY1 TFR ADA'!$F$5:$AU$5,0),FALSE)=TRUE,IF(VLOOKUP($B1561,'PY1 TFR ADA'!$F:$AU,MATCH("C-1",'PY1 TFR ADA'!$F$5:$AU$5,0),FALSE)=TRUE,"Alternative Rate","LCFF Rate"),"LCFF Rate"),0)</f>
        <v>0</v>
      </c>
      <c r="H1570" s="523"/>
      <c r="I1570" s="977">
        <f>_xlfn.IFNA(IF(VLOOKUP($B1561,'PY1 TFR ADA'!$F:$AU,MATCH("B-2.5",'PY1 TFR ADA'!$F$5:$AU$5,0),FALSE)=TRUE,IF(VLOOKUP($B1561,'PY1 TFR ADA'!$F:$AU,MATCH("C-1",'PY1 TFR ADA'!$F$5:$AU$5,0),FALSE)=TRUE,"Alternative Rate","LCFF Rate"),"LCFF Rate"),0)</f>
        <v>0</v>
      </c>
      <c r="J1570" s="523"/>
      <c r="K1570" s="977">
        <f>_xlfn.IFNA(IF(VLOOKUP($B1561,'PY1 TFR ADA'!$F:$AU,MATCH("B-3.5",'PY1 TFR ADA'!$F$5:$AU$5,0),FALSE)=TRUE,IF(VLOOKUP($B1561,'PY1 TFR ADA'!$F:$AU,MATCH("C-1",'PY1 TFR ADA'!$F$5:$AU$5,0),FALSE)=TRUE,"Alternative Rate","LCFF Rate"),"LCFF Rate"),0)</f>
        <v>0</v>
      </c>
      <c r="L1570" s="523"/>
      <c r="M1570" s="977">
        <f>_xlfn.IFNA(IF(VLOOKUP($B1561,'PY1 TFR ADA'!$F:$AU,MATCH("B-4.5",'PY1 TFR ADA'!$F$5:$AU$5,0),FALSE)=TRUE,IF(VLOOKUP($B1561,'PY1 TFR ADA'!$F:$AU,MATCH("C-1",'PY1 TFR ADA'!$F$5:$AU$5,0),FALSE)=TRUE,"Alternative Rate","LCFF Rate"),"LCFF Rate"),0)</f>
        <v>0</v>
      </c>
      <c r="N1570" s="523"/>
      <c r="O1570" s="977">
        <f>_xlfn.IFNA(IF(VLOOKUP($B1561,'PY1 TFR ADA'!$F:$AU,MATCH("B-5.5",'PY1 TFR ADA'!$F$5:$AU$5,0),FALSE)=TRUE,IF(VLOOKUP($B1561,'PY1 TFR ADA'!$F:$AU,MATCH("C-1",'PY1 TFR ADA'!$F$5:$AU$5,0),FALSE)=TRUE,"Alternative Rate","LCFF Rate"),"LCFF Rate"),0)</f>
        <v>0</v>
      </c>
      <c r="P1570" s="523"/>
      <c r="Q1570" s="977">
        <f>_xlfn.IFNA(IF(VLOOKUP($B1561,'PY1 TFR ADA'!$F:$AU,MATCH("B-6.5",'PY1 TFR ADA'!$F$5:$AU$5,0),FALSE)=TRUE,IF(VLOOKUP($B1561,'PY1 TFR ADA'!$F:$AU,MATCH("C-1",'PY1 TFR ADA'!$F$5:$AU$5,0),FALSE)=TRUE,"Alternative Rate","LCFF Rate"),"LCFF Rate"),0)</f>
        <v>0</v>
      </c>
      <c r="R1570" s="167"/>
      <c r="S1570" s="520"/>
      <c r="T1570" s="167"/>
      <c r="U1570" s="528"/>
      <c r="V1570" s="522"/>
    </row>
    <row r="1571" spans="1:22" ht="14.4">
      <c r="A1571" s="521"/>
      <c r="B1571" s="167"/>
      <c r="C1571" s="165"/>
      <c r="D1571" s="523"/>
      <c r="E1571" s="165"/>
      <c r="F1571" s="523"/>
      <c r="G1571" s="520"/>
      <c r="H1571" s="523"/>
      <c r="I1571" s="520"/>
      <c r="J1571" s="523"/>
      <c r="K1571" s="520"/>
      <c r="L1571" s="523"/>
      <c r="M1571" s="520"/>
      <c r="N1571" s="523"/>
      <c r="O1571" s="520"/>
      <c r="P1571" s="523"/>
      <c r="Q1571" s="520"/>
      <c r="R1571" s="167"/>
      <c r="S1571" s="520"/>
      <c r="T1571" s="167"/>
      <c r="U1571" s="528"/>
      <c r="V1571" s="522"/>
    </row>
    <row r="1572" spans="1:22" ht="14.4">
      <c r="A1572" s="521"/>
      <c r="B1572" s="2"/>
      <c r="C1572" s="8"/>
      <c r="D1572" s="8"/>
      <c r="E1572" s="8"/>
      <c r="F1572" s="523"/>
      <c r="G1572" s="535">
        <f t="shared" ref="G1572" si="2371">IF(G1570="LCFF Rate",(G1563*C1563+G1564*C1564+G1565*C1565+G1566*C1566),(G1568*E1566))</f>
        <v>0</v>
      </c>
      <c r="H1572" s="537"/>
      <c r="I1572" s="535">
        <f t="shared" ref="I1572" si="2372">IF(I1570="LCFF Rate",(I1563*C1563+I1564*C1564+I1565*C1565+I1566*C1566),(I1568*E1566))</f>
        <v>0</v>
      </c>
      <c r="J1572" s="537"/>
      <c r="K1572" s="535">
        <f t="shared" ref="K1572" si="2373">IF(K1570="LCFF Rate",(K1563*C1563+K1564*C1564+K1565*C1565+K1566*C1566),(K1568*E1566))</f>
        <v>0</v>
      </c>
      <c r="L1572" s="537"/>
      <c r="M1572" s="535">
        <f t="shared" ref="M1572" si="2374">IF(M1570="LCFF Rate",(M1563*C1563+M1564*C1564+M1565*C1565+M1566*C1566),(M1568*E1566))</f>
        <v>0</v>
      </c>
      <c r="N1572" s="537"/>
      <c r="O1572" s="535">
        <f t="shared" ref="O1572" si="2375">IF(O1570="LCFF Rate",(O1563*C1563+O1564*C1564+O1565*C1565+O1566*C1566),(O1568*E1566))</f>
        <v>0</v>
      </c>
      <c r="P1572" s="537"/>
      <c r="Q1572" s="535">
        <f t="shared" ref="Q1572" si="2376">IF(Q1570="LCFF Rate",(Q1563*C1563+Q1564*C1564+Q1565*C1565+Q1566*C1566),(Q1568*E1566))</f>
        <v>0</v>
      </c>
      <c r="R1572" s="167"/>
      <c r="S1572" s="538">
        <f t="shared" ref="S1572" si="2377">SUM(G1572:Q1572)</f>
        <v>0</v>
      </c>
      <c r="T1572" s="167"/>
      <c r="U1572" s="528"/>
      <c r="V1572" s="522"/>
    </row>
    <row r="1573" spans="1:22" ht="15" thickBot="1">
      <c r="A1573" s="529"/>
      <c r="B1573" s="530"/>
      <c r="C1573" s="531"/>
      <c r="D1573" s="532"/>
      <c r="E1573" s="533"/>
      <c r="F1573" s="532"/>
      <c r="G1573" s="530"/>
      <c r="H1573" s="532"/>
      <c r="I1573" s="530"/>
      <c r="J1573" s="532"/>
      <c r="K1573" s="530"/>
      <c r="L1573" s="532"/>
      <c r="M1573" s="530"/>
      <c r="N1573" s="532"/>
      <c r="O1573" s="530"/>
      <c r="P1573" s="532"/>
      <c r="Q1573" s="530"/>
      <c r="R1573" s="532"/>
      <c r="S1573" s="530"/>
      <c r="T1573" s="532"/>
      <c r="U1573" s="532"/>
      <c r="V1573" s="534"/>
    </row>
  </sheetData>
  <sheetProtection algorithmName="SHA-512" hashValue="SDyd7JzJe59wj8s0Ae7W1/KEhNxf2Xw3FKGTw5biRm4shwY+bIcPuMe1K/fplu6cWkny7JHir7iWgCeIPtXOMA==" saltValue="/dMaNIgM4/fLyODM6zuRhA==" spinCount="100000" sheet="1" formatCells="0" formatColumns="0" formatRows="0"/>
  <printOptions horizontalCentered="1"/>
  <pageMargins left="0.2" right="0.2" top="1" bottom="0.55000000000000004" header="0.3" footer="0.3"/>
  <pageSetup scale="65" fitToHeight="0" orientation="landscape" r:id="rId1"/>
  <headerFooter>
    <oddHeader>&amp;L
COE Transfers Tab&amp;R&amp;G</oddHeader>
    <oddFooter>&amp;L&amp;D&amp;T&amp;R&amp;F
&amp;A -page &amp;P of &amp;N</oddFooter>
  </headerFooter>
  <rowBreaks count="40" manualBreakCount="40">
    <brk id="13" max="21" man="1"/>
    <brk id="52" max="21" man="1"/>
    <brk id="91" max="21" man="1"/>
    <brk id="130" max="21" man="1"/>
    <brk id="169" max="21" man="1"/>
    <brk id="208" max="21" man="1"/>
    <brk id="247" max="21" man="1"/>
    <brk id="286" max="21" man="1"/>
    <brk id="325" max="21" man="1"/>
    <brk id="364" max="21" man="1"/>
    <brk id="403" max="21" man="1"/>
    <brk id="442" max="21" man="1"/>
    <brk id="481" max="21" man="1"/>
    <brk id="520" max="21" man="1"/>
    <brk id="559" max="21" man="1"/>
    <brk id="598" max="21" man="1"/>
    <brk id="637" max="21" man="1"/>
    <brk id="676" max="21" man="1"/>
    <brk id="715" max="21" man="1"/>
    <brk id="754" max="21" man="1"/>
    <brk id="793" max="21" man="1"/>
    <brk id="832" max="21" man="1"/>
    <brk id="871" max="21" man="1"/>
    <brk id="910" max="21" man="1"/>
    <brk id="949" max="21" man="1"/>
    <brk id="988" max="21" man="1"/>
    <brk id="1027" max="21" man="1"/>
    <brk id="1066" max="21" man="1"/>
    <brk id="1105" max="21" man="1"/>
    <brk id="1144" max="21" man="1"/>
    <brk id="1183" max="21" man="1"/>
    <brk id="1222" max="21" man="1"/>
    <brk id="1261" max="21" man="1"/>
    <brk id="1300" max="21" man="1"/>
    <brk id="1339" max="16383" man="1"/>
    <brk id="1378" max="16383" man="1"/>
    <brk id="1417" max="21" man="1"/>
    <brk id="1456" max="16383" man="1"/>
    <brk id="1495" max="16383" man="1"/>
    <brk id="1534" max="16383" man="1"/>
  </rowBreak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FC1FD-7463-4483-8EBF-301F3024CF98}">
  <dimension ref="A1:AV842"/>
  <sheetViews>
    <sheetView view="pageBreakPreview" zoomScale="90" zoomScaleNormal="80" zoomScaleSheetLayoutView="90" workbookViewId="0">
      <pane xSplit="7" ySplit="5" topLeftCell="U815" activePane="bottomRight" state="frozen"/>
      <selection pane="topRight" activeCell="H1" sqref="H1"/>
      <selection pane="bottomLeft" activeCell="A6" sqref="A6"/>
      <selection pane="bottomRight" activeCell="AD815" sqref="AD815"/>
    </sheetView>
  </sheetViews>
  <sheetFormatPr defaultColWidth="11.44140625" defaultRowHeight="13.2"/>
  <cols>
    <col min="1" max="1" width="9.33203125" style="24" customWidth="1"/>
    <col min="2" max="2" width="40.88671875" style="5" customWidth="1"/>
    <col min="3" max="3" width="9.109375" style="24" customWidth="1"/>
    <col min="4" max="4" width="11.109375" style="24" customWidth="1"/>
    <col min="5" max="6" width="13.5546875" style="24" customWidth="1"/>
    <col min="7" max="7" width="32.109375" style="5" customWidth="1"/>
    <col min="8" max="11" width="14.6640625" style="331" customWidth="1"/>
    <col min="12" max="15" width="13.6640625" style="331" customWidth="1"/>
    <col min="16" max="19" width="14.6640625" style="331" customWidth="1"/>
    <col min="20" max="44" width="15.33203125" style="331" customWidth="1"/>
    <col min="45" max="45" width="17.5546875" style="331" customWidth="1"/>
    <col min="46" max="46" width="16.5546875" style="331" customWidth="1"/>
    <col min="47" max="47" width="19" style="331" customWidth="1"/>
    <col min="48" max="48" width="21.33203125" style="331" customWidth="1"/>
    <col min="49" max="16384" width="11.44140625" style="5"/>
  </cols>
  <sheetData>
    <row r="1" spans="1:48" ht="15.6">
      <c r="A1" s="735" t="s">
        <v>591</v>
      </c>
      <c r="G1" s="951" t="s">
        <v>1802</v>
      </c>
      <c r="H1" s="492"/>
    </row>
    <row r="2" spans="1:48" ht="17.25" customHeight="1">
      <c r="A2" s="950" t="s">
        <v>1801</v>
      </c>
      <c r="B2" s="611"/>
      <c r="AU2" s="608" t="s">
        <v>1323</v>
      </c>
      <c r="AV2" s="608" t="s">
        <v>1323</v>
      </c>
    </row>
    <row r="3" spans="1:48" ht="26.4" customHeight="1">
      <c r="A3" s="107" t="str">
        <f>+'Data Entry'!I10</f>
        <v>2022-23</v>
      </c>
      <c r="D3" s="944" t="s">
        <v>1321</v>
      </c>
      <c r="F3" s="591" t="s">
        <v>1320</v>
      </c>
      <c r="G3" s="940" t="s">
        <v>1639</v>
      </c>
      <c r="H3" s="1290" t="s">
        <v>1591</v>
      </c>
      <c r="I3" s="1291"/>
      <c r="J3" s="1291"/>
      <c r="K3" s="1292"/>
      <c r="L3" s="1293" t="s">
        <v>1592</v>
      </c>
      <c r="M3" s="1294"/>
      <c r="N3" s="1294"/>
      <c r="O3" s="1295"/>
      <c r="P3" s="1296" t="s">
        <v>1593</v>
      </c>
      <c r="Q3" s="1297"/>
      <c r="R3" s="1297"/>
      <c r="S3" s="1298"/>
      <c r="T3" s="942" t="s">
        <v>1594</v>
      </c>
      <c r="U3" s="1296" t="s">
        <v>1595</v>
      </c>
      <c r="V3" s="1297"/>
      <c r="W3" s="1297"/>
      <c r="X3" s="1298"/>
      <c r="Y3" s="942" t="s">
        <v>1594</v>
      </c>
      <c r="Z3" s="1296" t="s">
        <v>1596</v>
      </c>
      <c r="AA3" s="1297"/>
      <c r="AB3" s="1297"/>
      <c r="AC3" s="1298"/>
      <c r="AD3" s="942" t="s">
        <v>1594</v>
      </c>
      <c r="AE3" s="1296" t="s">
        <v>1597</v>
      </c>
      <c r="AF3" s="1297"/>
      <c r="AG3" s="1297"/>
      <c r="AH3" s="1298"/>
      <c r="AI3" s="942" t="s">
        <v>1594</v>
      </c>
      <c r="AJ3" s="1296" t="s">
        <v>1598</v>
      </c>
      <c r="AK3" s="1297"/>
      <c r="AL3" s="1297"/>
      <c r="AM3" s="1298"/>
      <c r="AN3" s="942" t="s">
        <v>1594</v>
      </c>
      <c r="AO3" s="1296" t="s">
        <v>1599</v>
      </c>
      <c r="AP3" s="1297"/>
      <c r="AQ3" s="1297"/>
      <c r="AR3" s="1298"/>
      <c r="AS3" s="942" t="s">
        <v>1594</v>
      </c>
      <c r="AT3" s="941" t="s">
        <v>1594</v>
      </c>
      <c r="AU3" s="608" t="s">
        <v>1322</v>
      </c>
      <c r="AV3" s="608" t="s">
        <v>1322</v>
      </c>
    </row>
    <row r="4" spans="1:48" s="72" customFormat="1" ht="159.75" customHeight="1">
      <c r="A4" s="494" t="s">
        <v>16</v>
      </c>
      <c r="B4" s="494" t="s">
        <v>20</v>
      </c>
      <c r="C4" s="946" t="s">
        <v>1280</v>
      </c>
      <c r="D4" s="946" t="s">
        <v>1637</v>
      </c>
      <c r="E4" s="494" t="s">
        <v>592</v>
      </c>
      <c r="F4" s="946" t="s">
        <v>1638</v>
      </c>
      <c r="G4" s="494" t="s">
        <v>593</v>
      </c>
      <c r="H4" s="493" t="s">
        <v>594</v>
      </c>
      <c r="I4" s="493" t="s">
        <v>595</v>
      </c>
      <c r="J4" s="493" t="s">
        <v>596</v>
      </c>
      <c r="K4" s="493" t="s">
        <v>597</v>
      </c>
      <c r="L4" s="943" t="s">
        <v>1640</v>
      </c>
      <c r="M4" s="493" t="s">
        <v>598</v>
      </c>
      <c r="N4" s="493" t="s">
        <v>599</v>
      </c>
      <c r="O4" s="493" t="s">
        <v>600</v>
      </c>
      <c r="P4" s="494" t="s">
        <v>601</v>
      </c>
      <c r="Q4" s="494" t="s">
        <v>602</v>
      </c>
      <c r="R4" s="494" t="s">
        <v>603</v>
      </c>
      <c r="S4" s="494" t="s">
        <v>604</v>
      </c>
      <c r="T4" s="511" t="s">
        <v>605</v>
      </c>
      <c r="U4" s="494" t="s">
        <v>606</v>
      </c>
      <c r="V4" s="494" t="s">
        <v>607</v>
      </c>
      <c r="W4" s="494" t="s">
        <v>608</v>
      </c>
      <c r="X4" s="494" t="s">
        <v>609</v>
      </c>
      <c r="Y4" s="511" t="s">
        <v>610</v>
      </c>
      <c r="Z4" s="494" t="s">
        <v>611</v>
      </c>
      <c r="AA4" s="494" t="s">
        <v>612</v>
      </c>
      <c r="AB4" s="494" t="s">
        <v>613</v>
      </c>
      <c r="AC4" s="494" t="s">
        <v>614</v>
      </c>
      <c r="AD4" s="511" t="s">
        <v>615</v>
      </c>
      <c r="AE4" s="494" t="s">
        <v>616</v>
      </c>
      <c r="AF4" s="494" t="s">
        <v>617</v>
      </c>
      <c r="AG4" s="494" t="s">
        <v>618</v>
      </c>
      <c r="AH4" s="494" t="s">
        <v>619</v>
      </c>
      <c r="AI4" s="511" t="s">
        <v>620</v>
      </c>
      <c r="AJ4" s="494" t="s">
        <v>621</v>
      </c>
      <c r="AK4" s="494" t="s">
        <v>622</v>
      </c>
      <c r="AL4" s="494" t="s">
        <v>623</v>
      </c>
      <c r="AM4" s="494" t="s">
        <v>624</v>
      </c>
      <c r="AN4" s="511" t="s">
        <v>625</v>
      </c>
      <c r="AO4" s="494" t="s">
        <v>626</v>
      </c>
      <c r="AP4" s="494" t="s">
        <v>627</v>
      </c>
      <c r="AQ4" s="494" t="s">
        <v>628</v>
      </c>
      <c r="AR4" s="494" t="s">
        <v>629</v>
      </c>
      <c r="AS4" s="511" t="s">
        <v>630</v>
      </c>
      <c r="AT4" s="494" t="s">
        <v>631</v>
      </c>
      <c r="AU4" s="539" t="s">
        <v>632</v>
      </c>
      <c r="AV4" s="607" t="s">
        <v>633</v>
      </c>
    </row>
    <row r="5" spans="1:48" s="518" customFormat="1" ht="21" customHeight="1">
      <c r="A5" s="517"/>
      <c r="B5" s="517"/>
      <c r="F5" s="518" t="s">
        <v>1306</v>
      </c>
      <c r="H5" s="517" t="s">
        <v>250</v>
      </c>
      <c r="I5" s="517" t="s">
        <v>249</v>
      </c>
      <c r="J5" s="517" t="s">
        <v>1276</v>
      </c>
      <c r="K5" s="517" t="s">
        <v>1277</v>
      </c>
      <c r="L5" s="517" t="s">
        <v>252</v>
      </c>
      <c r="M5" s="517" t="s">
        <v>251</v>
      </c>
      <c r="N5" s="517" t="s">
        <v>1278</v>
      </c>
      <c r="O5" s="517" t="s">
        <v>1279</v>
      </c>
      <c r="P5" s="517" t="s">
        <v>255</v>
      </c>
      <c r="Q5" s="517" t="s">
        <v>256</v>
      </c>
      <c r="R5" s="517" t="s">
        <v>1286</v>
      </c>
      <c r="S5" s="517" t="s">
        <v>1287</v>
      </c>
      <c r="T5" s="517" t="s">
        <v>1288</v>
      </c>
      <c r="U5" s="519" t="s">
        <v>257</v>
      </c>
      <c r="V5" s="519" t="s">
        <v>258</v>
      </c>
      <c r="W5" s="519" t="s">
        <v>1289</v>
      </c>
      <c r="X5" s="519" t="s">
        <v>1290</v>
      </c>
      <c r="Y5" s="519" t="s">
        <v>1291</v>
      </c>
      <c r="Z5" s="519" t="s">
        <v>259</v>
      </c>
      <c r="AA5" s="519" t="s">
        <v>260</v>
      </c>
      <c r="AB5" s="519" t="s">
        <v>1292</v>
      </c>
      <c r="AC5" s="519" t="s">
        <v>1293</v>
      </c>
      <c r="AD5" s="519" t="s">
        <v>1294</v>
      </c>
      <c r="AE5" s="519" t="s">
        <v>261</v>
      </c>
      <c r="AF5" s="519" t="s">
        <v>262</v>
      </c>
      <c r="AG5" s="519" t="s">
        <v>1295</v>
      </c>
      <c r="AH5" s="519" t="s">
        <v>1296</v>
      </c>
      <c r="AI5" s="519" t="s">
        <v>1297</v>
      </c>
      <c r="AJ5" s="519" t="s">
        <v>336</v>
      </c>
      <c r="AK5" s="519" t="s">
        <v>335</v>
      </c>
      <c r="AL5" s="519" t="s">
        <v>1298</v>
      </c>
      <c r="AM5" s="519" t="s">
        <v>1299</v>
      </c>
      <c r="AN5" s="519" t="s">
        <v>1300</v>
      </c>
      <c r="AO5" s="519" t="s">
        <v>340</v>
      </c>
      <c r="AP5" s="519" t="s">
        <v>339</v>
      </c>
      <c r="AQ5" s="519" t="s">
        <v>1301</v>
      </c>
      <c r="AR5" s="519" t="s">
        <v>1302</v>
      </c>
      <c r="AS5" s="519" t="s">
        <v>1303</v>
      </c>
      <c r="AT5" s="517" t="s">
        <v>14</v>
      </c>
      <c r="AU5" s="517"/>
      <c r="AV5" s="517"/>
    </row>
    <row r="6" spans="1:48">
      <c r="A6" s="72">
        <v>1</v>
      </c>
      <c r="B6" s="391" t="s">
        <v>49</v>
      </c>
      <c r="C6" s="72">
        <f t="shared" ref="C6:C69" si="0">IF(E6="N/A",0,IF(A5&lt;&gt;A6,1,C5+1))</f>
        <v>0</v>
      </c>
      <c r="D6" s="72" t="str">
        <f t="shared" ref="D6:D69" si="1">A6&amp;"-"&amp;C6</f>
        <v>1-0</v>
      </c>
      <c r="E6" s="72" t="s">
        <v>29</v>
      </c>
      <c r="F6" s="72" t="str">
        <f>A6&amp;"-"&amp;E6</f>
        <v>1-N/A</v>
      </c>
      <c r="G6" s="391" t="s">
        <v>29</v>
      </c>
      <c r="H6" s="491" t="s">
        <v>29</v>
      </c>
      <c r="I6" s="491" t="s">
        <v>29</v>
      </c>
      <c r="J6" s="491" t="s">
        <v>29</v>
      </c>
      <c r="K6" s="491" t="s">
        <v>29</v>
      </c>
      <c r="L6" s="1071" t="s">
        <v>29</v>
      </c>
      <c r="M6" s="1071" t="s">
        <v>29</v>
      </c>
      <c r="N6" s="1071" t="s">
        <v>29</v>
      </c>
      <c r="O6" s="1071" t="s">
        <v>29</v>
      </c>
      <c r="P6" s="491" t="s">
        <v>29</v>
      </c>
      <c r="Q6" s="491" t="s">
        <v>29</v>
      </c>
      <c r="R6" s="491" t="s">
        <v>29</v>
      </c>
      <c r="S6" s="491" t="s">
        <v>29</v>
      </c>
      <c r="T6" s="1025" t="s">
        <v>29</v>
      </c>
      <c r="U6" s="491" t="s">
        <v>29</v>
      </c>
      <c r="V6" s="491" t="s">
        <v>29</v>
      </c>
      <c r="W6" s="491" t="s">
        <v>29</v>
      </c>
      <c r="X6" s="491" t="s">
        <v>29</v>
      </c>
      <c r="Y6" s="1025" t="s">
        <v>29</v>
      </c>
      <c r="Z6" s="491" t="s">
        <v>29</v>
      </c>
      <c r="AA6" s="491" t="s">
        <v>29</v>
      </c>
      <c r="AB6" s="491" t="s">
        <v>29</v>
      </c>
      <c r="AC6" s="491" t="s">
        <v>29</v>
      </c>
      <c r="AD6" s="1025" t="s">
        <v>29</v>
      </c>
      <c r="AE6" s="491" t="s">
        <v>29</v>
      </c>
      <c r="AF6" s="491" t="s">
        <v>29</v>
      </c>
      <c r="AG6" s="491" t="s">
        <v>29</v>
      </c>
      <c r="AH6" s="491" t="s">
        <v>29</v>
      </c>
      <c r="AI6" s="1025" t="s">
        <v>29</v>
      </c>
      <c r="AJ6" s="491" t="s">
        <v>29</v>
      </c>
      <c r="AK6" s="491" t="s">
        <v>29</v>
      </c>
      <c r="AL6" s="491" t="s">
        <v>29</v>
      </c>
      <c r="AM6" s="491" t="s">
        <v>29</v>
      </c>
      <c r="AN6" s="1025" t="s">
        <v>29</v>
      </c>
      <c r="AO6" s="491" t="s">
        <v>29</v>
      </c>
      <c r="AP6" s="491" t="s">
        <v>29</v>
      </c>
      <c r="AQ6" s="491" t="s">
        <v>29</v>
      </c>
      <c r="AR6" s="491" t="s">
        <v>29</v>
      </c>
      <c r="AS6" s="1025" t="s">
        <v>29</v>
      </c>
      <c r="AT6" s="1025" t="s">
        <v>29</v>
      </c>
      <c r="AU6" s="1071" t="s">
        <v>29</v>
      </c>
      <c r="AV6" s="1071" t="s">
        <v>29</v>
      </c>
    </row>
    <row r="7" spans="1:48">
      <c r="A7" s="72">
        <v>1</v>
      </c>
      <c r="B7" s="391" t="s">
        <v>49</v>
      </c>
      <c r="C7" s="72">
        <f t="shared" si="0"/>
        <v>0</v>
      </c>
      <c r="D7" s="72" t="str">
        <f t="shared" si="1"/>
        <v>1-0</v>
      </c>
      <c r="E7" s="72" t="s">
        <v>29</v>
      </c>
      <c r="F7" s="72" t="str">
        <f t="shared" ref="F7:F70" si="2">A7&amp;"-"&amp;E7</f>
        <v>1-N/A</v>
      </c>
      <c r="G7" s="391" t="s">
        <v>29</v>
      </c>
      <c r="H7" s="491" t="s">
        <v>29</v>
      </c>
      <c r="I7" s="491" t="s">
        <v>29</v>
      </c>
      <c r="J7" s="491" t="s">
        <v>29</v>
      </c>
      <c r="K7" s="491" t="s">
        <v>29</v>
      </c>
      <c r="L7" s="491" t="s">
        <v>29</v>
      </c>
      <c r="M7" s="491" t="s">
        <v>29</v>
      </c>
      <c r="N7" s="491" t="s">
        <v>29</v>
      </c>
      <c r="O7" s="491" t="s">
        <v>29</v>
      </c>
      <c r="P7" s="491" t="s">
        <v>29</v>
      </c>
      <c r="Q7" s="491" t="s">
        <v>29</v>
      </c>
      <c r="R7" s="491" t="s">
        <v>29</v>
      </c>
      <c r="S7" s="491" t="s">
        <v>29</v>
      </c>
      <c r="T7" s="1025" t="s">
        <v>29</v>
      </c>
      <c r="U7" s="491" t="s">
        <v>29</v>
      </c>
      <c r="V7" s="491" t="s">
        <v>29</v>
      </c>
      <c r="W7" s="491" t="s">
        <v>29</v>
      </c>
      <c r="X7" s="491" t="s">
        <v>29</v>
      </c>
      <c r="Y7" s="1025" t="s">
        <v>29</v>
      </c>
      <c r="Z7" s="491" t="s">
        <v>29</v>
      </c>
      <c r="AA7" s="491" t="s">
        <v>29</v>
      </c>
      <c r="AB7" s="491" t="s">
        <v>29</v>
      </c>
      <c r="AC7" s="491" t="s">
        <v>29</v>
      </c>
      <c r="AD7" s="1025" t="s">
        <v>29</v>
      </c>
      <c r="AE7" s="491" t="s">
        <v>29</v>
      </c>
      <c r="AF7" s="491" t="s">
        <v>29</v>
      </c>
      <c r="AG7" s="491" t="s">
        <v>29</v>
      </c>
      <c r="AH7" s="491" t="s">
        <v>29</v>
      </c>
      <c r="AI7" s="1025" t="s">
        <v>29</v>
      </c>
      <c r="AJ7" s="491" t="s">
        <v>29</v>
      </c>
      <c r="AK7" s="491" t="s">
        <v>29</v>
      </c>
      <c r="AL7" s="491" t="s">
        <v>29</v>
      </c>
      <c r="AM7" s="491" t="s">
        <v>29</v>
      </c>
      <c r="AN7" s="1025" t="s">
        <v>29</v>
      </c>
      <c r="AO7" s="491" t="s">
        <v>29</v>
      </c>
      <c r="AP7" s="491" t="s">
        <v>29</v>
      </c>
      <c r="AQ7" s="491" t="s">
        <v>29</v>
      </c>
      <c r="AR7" s="491" t="s">
        <v>29</v>
      </c>
      <c r="AS7" s="1025" t="s">
        <v>29</v>
      </c>
      <c r="AT7" s="1025" t="s">
        <v>29</v>
      </c>
      <c r="AU7" s="491" t="s">
        <v>29</v>
      </c>
      <c r="AV7" s="491" t="s">
        <v>29</v>
      </c>
    </row>
    <row r="8" spans="1:48">
      <c r="A8" s="72">
        <v>2</v>
      </c>
      <c r="B8" s="391" t="s">
        <v>51</v>
      </c>
      <c r="C8" s="72">
        <f t="shared" si="0"/>
        <v>1</v>
      </c>
      <c r="D8" s="72" t="str">
        <f t="shared" si="1"/>
        <v>2-1</v>
      </c>
      <c r="E8" s="72">
        <v>61333</v>
      </c>
      <c r="F8" s="72" t="str">
        <f t="shared" si="2"/>
        <v>2-61333</v>
      </c>
      <c r="G8" s="391" t="s">
        <v>634</v>
      </c>
      <c r="H8" s="331">
        <v>11739.56</v>
      </c>
      <c r="I8" s="331">
        <v>10794.04</v>
      </c>
      <c r="J8" s="331">
        <v>11114.24</v>
      </c>
      <c r="K8" s="331">
        <v>13215.27</v>
      </c>
      <c r="L8" s="491" t="s">
        <v>29</v>
      </c>
      <c r="M8" s="491" t="s">
        <v>29</v>
      </c>
      <c r="N8" s="491" t="s">
        <v>29</v>
      </c>
      <c r="O8" s="1072">
        <v>0</v>
      </c>
      <c r="P8" s="491">
        <v>0</v>
      </c>
      <c r="Q8" s="491">
        <v>0</v>
      </c>
      <c r="R8" s="491">
        <v>0</v>
      </c>
      <c r="S8" s="491">
        <v>0</v>
      </c>
      <c r="T8" s="1025" t="b">
        <v>0</v>
      </c>
      <c r="U8" s="491">
        <v>0</v>
      </c>
      <c r="V8" s="491">
        <v>0</v>
      </c>
      <c r="W8" s="491">
        <v>0</v>
      </c>
      <c r="X8" s="491">
        <v>0</v>
      </c>
      <c r="Y8" s="1025" t="b">
        <v>0</v>
      </c>
      <c r="Z8" s="331">
        <v>0</v>
      </c>
      <c r="AA8" s="331">
        <v>0</v>
      </c>
      <c r="AB8" s="331">
        <v>0</v>
      </c>
      <c r="AC8" s="331">
        <v>0</v>
      </c>
      <c r="AD8" s="1025" t="b">
        <v>0</v>
      </c>
      <c r="AE8" s="331">
        <v>0</v>
      </c>
      <c r="AF8" s="331">
        <v>0</v>
      </c>
      <c r="AG8" s="331">
        <v>0</v>
      </c>
      <c r="AH8" s="331">
        <v>0</v>
      </c>
      <c r="AI8" s="1025" t="b">
        <v>0</v>
      </c>
      <c r="AJ8" s="331">
        <v>0</v>
      </c>
      <c r="AK8" s="331">
        <v>0</v>
      </c>
      <c r="AL8" s="331">
        <v>0</v>
      </c>
      <c r="AM8" s="331">
        <v>0</v>
      </c>
      <c r="AN8" s="1025" t="b">
        <v>0</v>
      </c>
      <c r="AO8" s="331">
        <v>0</v>
      </c>
      <c r="AP8" s="331">
        <v>0</v>
      </c>
      <c r="AQ8" s="331">
        <v>0</v>
      </c>
      <c r="AR8" s="331">
        <v>22.68</v>
      </c>
      <c r="AS8" s="1025" t="b">
        <v>1</v>
      </c>
      <c r="AT8" s="1025" t="b">
        <v>1</v>
      </c>
      <c r="AU8" s="331">
        <v>0</v>
      </c>
      <c r="AV8" s="491" t="s">
        <v>29</v>
      </c>
    </row>
    <row r="9" spans="1:48">
      <c r="A9" s="72">
        <v>2</v>
      </c>
      <c r="B9" s="391" t="s">
        <v>51</v>
      </c>
      <c r="C9" s="72">
        <f t="shared" si="0"/>
        <v>0</v>
      </c>
      <c r="D9" s="72" t="str">
        <f t="shared" si="1"/>
        <v>2-0</v>
      </c>
      <c r="E9" s="72" t="s">
        <v>29</v>
      </c>
      <c r="F9" s="72" t="str">
        <f t="shared" si="2"/>
        <v>2-N/A</v>
      </c>
      <c r="G9" s="391" t="s">
        <v>29</v>
      </c>
      <c r="H9" s="491" t="s">
        <v>29</v>
      </c>
      <c r="I9" s="491" t="s">
        <v>29</v>
      </c>
      <c r="J9" s="491" t="s">
        <v>29</v>
      </c>
      <c r="K9" s="491" t="s">
        <v>29</v>
      </c>
      <c r="L9" s="491" t="s">
        <v>29</v>
      </c>
      <c r="M9" s="491" t="s">
        <v>29</v>
      </c>
      <c r="N9" s="491" t="s">
        <v>29</v>
      </c>
      <c r="O9" s="491" t="s">
        <v>29</v>
      </c>
      <c r="P9" s="491" t="s">
        <v>29</v>
      </c>
      <c r="Q9" s="491" t="s">
        <v>29</v>
      </c>
      <c r="R9" s="491" t="s">
        <v>29</v>
      </c>
      <c r="S9" s="491" t="s">
        <v>29</v>
      </c>
      <c r="T9" s="1025" t="s">
        <v>29</v>
      </c>
      <c r="U9" s="491" t="s">
        <v>29</v>
      </c>
      <c r="V9" s="491" t="s">
        <v>29</v>
      </c>
      <c r="W9" s="491" t="s">
        <v>29</v>
      </c>
      <c r="X9" s="491" t="s">
        <v>29</v>
      </c>
      <c r="Y9" s="1025" t="s">
        <v>29</v>
      </c>
      <c r="Z9" s="491" t="s">
        <v>29</v>
      </c>
      <c r="AA9" s="491" t="s">
        <v>29</v>
      </c>
      <c r="AB9" s="491" t="s">
        <v>29</v>
      </c>
      <c r="AC9" s="491" t="s">
        <v>29</v>
      </c>
      <c r="AD9" s="1025" t="s">
        <v>29</v>
      </c>
      <c r="AE9" s="491" t="s">
        <v>29</v>
      </c>
      <c r="AF9" s="491" t="s">
        <v>29</v>
      </c>
      <c r="AG9" s="491" t="s">
        <v>29</v>
      </c>
      <c r="AH9" s="491" t="s">
        <v>29</v>
      </c>
      <c r="AI9" s="1025" t="s">
        <v>29</v>
      </c>
      <c r="AJ9" s="491" t="s">
        <v>29</v>
      </c>
      <c r="AK9" s="491" t="s">
        <v>29</v>
      </c>
      <c r="AL9" s="491" t="s">
        <v>29</v>
      </c>
      <c r="AM9" s="491" t="s">
        <v>29</v>
      </c>
      <c r="AN9" s="1025" t="s">
        <v>29</v>
      </c>
      <c r="AO9" s="491" t="s">
        <v>29</v>
      </c>
      <c r="AP9" s="491" t="s">
        <v>29</v>
      </c>
      <c r="AQ9" s="491" t="s">
        <v>29</v>
      </c>
      <c r="AR9" s="491" t="s">
        <v>29</v>
      </c>
      <c r="AS9" s="1025" t="s">
        <v>29</v>
      </c>
      <c r="AT9" s="1025" t="s">
        <v>29</v>
      </c>
      <c r="AU9" s="491" t="s">
        <v>29</v>
      </c>
      <c r="AV9" s="331">
        <v>0</v>
      </c>
    </row>
    <row r="10" spans="1:48">
      <c r="A10" s="72">
        <v>3</v>
      </c>
      <c r="B10" s="391" t="s">
        <v>52</v>
      </c>
      <c r="C10" s="72">
        <f t="shared" si="0"/>
        <v>1</v>
      </c>
      <c r="D10" s="72" t="str">
        <f t="shared" si="1"/>
        <v>3-1</v>
      </c>
      <c r="E10" s="72">
        <v>73981</v>
      </c>
      <c r="F10" s="72" t="str">
        <f t="shared" si="2"/>
        <v>3-73981</v>
      </c>
      <c r="G10" s="391" t="s">
        <v>635</v>
      </c>
      <c r="H10" s="331">
        <v>11008.06</v>
      </c>
      <c r="I10" s="331">
        <v>10121.450000000001</v>
      </c>
      <c r="J10" s="331">
        <v>10421.700000000001</v>
      </c>
      <c r="K10" s="331">
        <v>12391.81</v>
      </c>
      <c r="L10" s="491" t="s">
        <v>29</v>
      </c>
      <c r="M10" s="491" t="s">
        <v>29</v>
      </c>
      <c r="N10" s="491" t="s">
        <v>29</v>
      </c>
      <c r="O10" s="491" t="s">
        <v>29</v>
      </c>
      <c r="P10" s="491">
        <v>0</v>
      </c>
      <c r="Q10" s="491">
        <v>0</v>
      </c>
      <c r="R10" s="491">
        <v>0</v>
      </c>
      <c r="S10" s="491">
        <v>8.82</v>
      </c>
      <c r="T10" s="1025" t="b">
        <v>0</v>
      </c>
      <c r="U10" s="491">
        <v>25.59</v>
      </c>
      <c r="V10" s="491">
        <v>13.04</v>
      </c>
      <c r="W10" s="491">
        <v>5.66</v>
      </c>
      <c r="X10" s="491">
        <v>17.13</v>
      </c>
      <c r="Y10" s="1025" t="b">
        <v>0</v>
      </c>
      <c r="Z10" s="331">
        <v>0.83</v>
      </c>
      <c r="AA10" s="331">
        <v>0.77</v>
      </c>
      <c r="AB10" s="331">
        <v>0.86</v>
      </c>
      <c r="AC10" s="331">
        <v>2.73</v>
      </c>
      <c r="AD10" s="1025" t="b">
        <v>0</v>
      </c>
      <c r="AE10" s="331">
        <v>1.61</v>
      </c>
      <c r="AF10" s="331">
        <v>0.41</v>
      </c>
      <c r="AG10" s="331">
        <v>0.38</v>
      </c>
      <c r="AH10" s="331">
        <v>1.35</v>
      </c>
      <c r="AI10" s="1025" t="b">
        <v>0</v>
      </c>
      <c r="AJ10" s="331">
        <v>0</v>
      </c>
      <c r="AK10" s="331">
        <v>0</v>
      </c>
      <c r="AL10" s="331">
        <v>0</v>
      </c>
      <c r="AM10" s="331">
        <v>0</v>
      </c>
      <c r="AN10" s="1025" t="b">
        <v>0</v>
      </c>
      <c r="AO10" s="331">
        <v>0</v>
      </c>
      <c r="AP10" s="331">
        <v>0</v>
      </c>
      <c r="AQ10" s="331">
        <v>0</v>
      </c>
      <c r="AR10" s="331">
        <v>0</v>
      </c>
      <c r="AS10" s="1025" t="b">
        <v>0</v>
      </c>
      <c r="AT10" s="1025" t="b">
        <v>0</v>
      </c>
      <c r="AU10" s="331">
        <v>896519</v>
      </c>
      <c r="AV10" s="491" t="s">
        <v>29</v>
      </c>
    </row>
    <row r="11" spans="1:48">
      <c r="A11" s="72">
        <v>3</v>
      </c>
      <c r="B11" s="391" t="s">
        <v>52</v>
      </c>
      <c r="C11" s="72">
        <f t="shared" si="0"/>
        <v>0</v>
      </c>
      <c r="D11" s="72" t="str">
        <f t="shared" si="1"/>
        <v>3-0</v>
      </c>
      <c r="E11" s="72" t="s">
        <v>29</v>
      </c>
      <c r="F11" s="72" t="str">
        <f t="shared" si="2"/>
        <v>3-N/A</v>
      </c>
      <c r="G11" s="391" t="s">
        <v>29</v>
      </c>
      <c r="H11" s="491" t="s">
        <v>29</v>
      </c>
      <c r="I11" s="491" t="s">
        <v>29</v>
      </c>
      <c r="J11" s="491" t="s">
        <v>29</v>
      </c>
      <c r="K11" s="491" t="s">
        <v>29</v>
      </c>
      <c r="L11" s="491" t="s">
        <v>29</v>
      </c>
      <c r="M11" s="491" t="s">
        <v>29</v>
      </c>
      <c r="N11" s="491" t="s">
        <v>29</v>
      </c>
      <c r="O11" s="491" t="s">
        <v>29</v>
      </c>
      <c r="P11" s="491" t="s">
        <v>29</v>
      </c>
      <c r="Q11" s="491" t="s">
        <v>29</v>
      </c>
      <c r="R11" s="491" t="s">
        <v>29</v>
      </c>
      <c r="S11" s="491" t="s">
        <v>29</v>
      </c>
      <c r="T11" s="1025" t="s">
        <v>29</v>
      </c>
      <c r="U11" s="491" t="s">
        <v>29</v>
      </c>
      <c r="V11" s="491" t="s">
        <v>29</v>
      </c>
      <c r="W11" s="491" t="s">
        <v>29</v>
      </c>
      <c r="X11" s="491" t="s">
        <v>29</v>
      </c>
      <c r="Y11" s="1025" t="s">
        <v>29</v>
      </c>
      <c r="Z11" s="491" t="s">
        <v>29</v>
      </c>
      <c r="AA11" s="491" t="s">
        <v>29</v>
      </c>
      <c r="AB11" s="491" t="s">
        <v>29</v>
      </c>
      <c r="AC11" s="491" t="s">
        <v>29</v>
      </c>
      <c r="AD11" s="1025" t="s">
        <v>29</v>
      </c>
      <c r="AE11" s="491" t="s">
        <v>29</v>
      </c>
      <c r="AF11" s="491" t="s">
        <v>29</v>
      </c>
      <c r="AG11" s="491" t="s">
        <v>29</v>
      </c>
      <c r="AH11" s="491" t="s">
        <v>29</v>
      </c>
      <c r="AI11" s="1025" t="s">
        <v>29</v>
      </c>
      <c r="AJ11" s="491" t="s">
        <v>29</v>
      </c>
      <c r="AK11" s="491" t="s">
        <v>29</v>
      </c>
      <c r="AL11" s="491" t="s">
        <v>29</v>
      </c>
      <c r="AM11" s="491" t="s">
        <v>29</v>
      </c>
      <c r="AN11" s="1025" t="s">
        <v>29</v>
      </c>
      <c r="AO11" s="491" t="s">
        <v>29</v>
      </c>
      <c r="AP11" s="491" t="s">
        <v>29</v>
      </c>
      <c r="AQ11" s="491" t="s">
        <v>29</v>
      </c>
      <c r="AR11" s="491" t="s">
        <v>29</v>
      </c>
      <c r="AS11" s="1025" t="s">
        <v>29</v>
      </c>
      <c r="AT11" s="1025" t="s">
        <v>29</v>
      </c>
      <c r="AU11" s="491" t="s">
        <v>29</v>
      </c>
      <c r="AV11" s="331">
        <v>896519</v>
      </c>
    </row>
    <row r="12" spans="1:48">
      <c r="A12" s="72">
        <v>4</v>
      </c>
      <c r="B12" s="391" t="s">
        <v>53</v>
      </c>
      <c r="C12" s="72">
        <f t="shared" si="0"/>
        <v>1</v>
      </c>
      <c r="D12" s="72" t="str">
        <f t="shared" si="1"/>
        <v>4-1</v>
      </c>
      <c r="E12" s="72">
        <v>61382</v>
      </c>
      <c r="F12" s="72" t="str">
        <f t="shared" si="2"/>
        <v>4-61382</v>
      </c>
      <c r="G12" s="391" t="s">
        <v>636</v>
      </c>
      <c r="H12" s="331">
        <v>12800.08</v>
      </c>
      <c r="I12" s="331">
        <v>11769.14</v>
      </c>
      <c r="J12" s="331">
        <v>12118.27</v>
      </c>
      <c r="K12" s="331">
        <v>14409.1</v>
      </c>
      <c r="L12" s="491" t="s">
        <v>29</v>
      </c>
      <c r="M12" s="491" t="s">
        <v>29</v>
      </c>
      <c r="N12" s="491" t="s">
        <v>29</v>
      </c>
      <c r="O12" s="491" t="s">
        <v>29</v>
      </c>
      <c r="P12" s="491">
        <v>0</v>
      </c>
      <c r="Q12" s="491">
        <v>0</v>
      </c>
      <c r="R12" s="491">
        <v>0</v>
      </c>
      <c r="S12" s="491">
        <v>0</v>
      </c>
      <c r="T12" s="1025" t="b">
        <v>0</v>
      </c>
      <c r="U12" s="491">
        <v>0</v>
      </c>
      <c r="V12" s="491">
        <v>0</v>
      </c>
      <c r="W12" s="491">
        <v>0.76</v>
      </c>
      <c r="X12" s="491">
        <v>0</v>
      </c>
      <c r="Y12" s="1025" t="b">
        <v>0</v>
      </c>
      <c r="Z12" s="331">
        <v>0</v>
      </c>
      <c r="AA12" s="331">
        <v>0</v>
      </c>
      <c r="AB12" s="331">
        <v>0</v>
      </c>
      <c r="AC12" s="331">
        <v>0</v>
      </c>
      <c r="AD12" s="1025" t="b">
        <v>0</v>
      </c>
      <c r="AE12" s="331">
        <v>0</v>
      </c>
      <c r="AF12" s="331">
        <v>0</v>
      </c>
      <c r="AG12" s="331">
        <v>0</v>
      </c>
      <c r="AH12" s="331">
        <v>0</v>
      </c>
      <c r="AI12" s="1025" t="b">
        <v>0</v>
      </c>
      <c r="AJ12" s="331">
        <v>0</v>
      </c>
      <c r="AK12" s="331">
        <v>0</v>
      </c>
      <c r="AL12" s="331">
        <v>0</v>
      </c>
      <c r="AM12" s="331">
        <v>0</v>
      </c>
      <c r="AN12" s="1025" t="b">
        <v>0</v>
      </c>
      <c r="AO12" s="331">
        <v>0</v>
      </c>
      <c r="AP12" s="331">
        <v>0</v>
      </c>
      <c r="AQ12" s="331">
        <v>0</v>
      </c>
      <c r="AR12" s="331">
        <v>0</v>
      </c>
      <c r="AS12" s="1025" t="b">
        <v>0</v>
      </c>
      <c r="AT12" s="1025" t="b">
        <v>0</v>
      </c>
      <c r="AU12" s="331">
        <v>9210</v>
      </c>
      <c r="AV12" s="491" t="s">
        <v>29</v>
      </c>
    </row>
    <row r="13" spans="1:48">
      <c r="A13" s="72">
        <v>4</v>
      </c>
      <c r="B13" s="391" t="s">
        <v>53</v>
      </c>
      <c r="C13" s="72">
        <f t="shared" si="0"/>
        <v>2</v>
      </c>
      <c r="D13" s="72" t="str">
        <f t="shared" si="1"/>
        <v>4-2</v>
      </c>
      <c r="E13" s="72">
        <v>61408</v>
      </c>
      <c r="F13" s="72" t="str">
        <f t="shared" si="2"/>
        <v>4-61408</v>
      </c>
      <c r="G13" s="391" t="s">
        <v>637</v>
      </c>
      <c r="H13" s="331">
        <v>11681.93</v>
      </c>
      <c r="I13" s="331">
        <v>10741.05</v>
      </c>
      <c r="J13" s="331">
        <v>11059.68</v>
      </c>
      <c r="K13" s="331">
        <v>13150.4</v>
      </c>
      <c r="L13" s="491" t="s">
        <v>29</v>
      </c>
      <c r="M13" s="491" t="s">
        <v>29</v>
      </c>
      <c r="N13" s="491" t="s">
        <v>29</v>
      </c>
      <c r="O13" s="491" t="s">
        <v>29</v>
      </c>
      <c r="P13" s="491">
        <v>0</v>
      </c>
      <c r="Q13" s="491">
        <v>0</v>
      </c>
      <c r="R13" s="491">
        <v>0</v>
      </c>
      <c r="S13" s="491">
        <v>0</v>
      </c>
      <c r="T13" s="1025" t="b">
        <v>0</v>
      </c>
      <c r="U13" s="491">
        <v>0.48</v>
      </c>
      <c r="V13" s="491">
        <v>0.86</v>
      </c>
      <c r="W13" s="491">
        <v>1.38</v>
      </c>
      <c r="X13" s="491">
        <v>0.45</v>
      </c>
      <c r="Y13" s="1025" t="b">
        <v>0</v>
      </c>
      <c r="Z13" s="331">
        <v>0</v>
      </c>
      <c r="AA13" s="331">
        <v>0</v>
      </c>
      <c r="AB13" s="331">
        <v>0</v>
      </c>
      <c r="AC13" s="331">
        <v>0</v>
      </c>
      <c r="AD13" s="1025" t="b">
        <v>0</v>
      </c>
      <c r="AE13" s="331">
        <v>0</v>
      </c>
      <c r="AF13" s="331">
        <v>0</v>
      </c>
      <c r="AG13" s="331">
        <v>0</v>
      </c>
      <c r="AH13" s="331">
        <v>0</v>
      </c>
      <c r="AI13" s="1025" t="b">
        <v>0</v>
      </c>
      <c r="AJ13" s="331">
        <v>0</v>
      </c>
      <c r="AK13" s="331">
        <v>0</v>
      </c>
      <c r="AL13" s="331">
        <v>0</v>
      </c>
      <c r="AM13" s="331">
        <v>0</v>
      </c>
      <c r="AN13" s="1025" t="b">
        <v>0</v>
      </c>
      <c r="AO13" s="331">
        <v>0</v>
      </c>
      <c r="AP13" s="331">
        <v>0</v>
      </c>
      <c r="AQ13" s="331">
        <v>0</v>
      </c>
      <c r="AR13" s="331">
        <v>0</v>
      </c>
      <c r="AS13" s="1025" t="b">
        <v>0</v>
      </c>
      <c r="AT13" s="1025" t="b">
        <v>0</v>
      </c>
      <c r="AU13" s="331">
        <v>36024</v>
      </c>
      <c r="AV13" s="491" t="s">
        <v>29</v>
      </c>
    </row>
    <row r="14" spans="1:48">
      <c r="A14" s="72">
        <v>4</v>
      </c>
      <c r="B14" s="391" t="s">
        <v>53</v>
      </c>
      <c r="C14" s="72">
        <f t="shared" si="0"/>
        <v>3</v>
      </c>
      <c r="D14" s="72" t="str">
        <f t="shared" si="1"/>
        <v>4-3</v>
      </c>
      <c r="E14" s="72">
        <v>61424</v>
      </c>
      <c r="F14" s="72" t="str">
        <f t="shared" si="2"/>
        <v>4-61424</v>
      </c>
      <c r="G14" s="391" t="s">
        <v>638</v>
      </c>
      <c r="H14" s="331">
        <v>11298.32</v>
      </c>
      <c r="I14" s="331">
        <v>10388.33</v>
      </c>
      <c r="J14" s="331">
        <v>10696.5</v>
      </c>
      <c r="K14" s="331">
        <v>12718.56</v>
      </c>
      <c r="L14" s="491" t="s">
        <v>29</v>
      </c>
      <c r="M14" s="491" t="s">
        <v>29</v>
      </c>
      <c r="N14" s="491" t="s">
        <v>29</v>
      </c>
      <c r="O14" s="491" t="s">
        <v>29</v>
      </c>
      <c r="P14" s="491">
        <v>8.6999999999999993</v>
      </c>
      <c r="Q14" s="491">
        <v>7.16</v>
      </c>
      <c r="R14" s="491">
        <v>4.51</v>
      </c>
      <c r="S14" s="491">
        <v>6.84</v>
      </c>
      <c r="T14" s="1025" t="b">
        <v>0</v>
      </c>
      <c r="U14" s="491">
        <v>0</v>
      </c>
      <c r="V14" s="491">
        <v>0</v>
      </c>
      <c r="W14" s="491">
        <v>0.85</v>
      </c>
      <c r="X14" s="491">
        <v>1.65</v>
      </c>
      <c r="Y14" s="1025" t="b">
        <v>0</v>
      </c>
      <c r="Z14" s="331">
        <v>0</v>
      </c>
      <c r="AA14" s="331">
        <v>0</v>
      </c>
      <c r="AB14" s="331">
        <v>0</v>
      </c>
      <c r="AC14" s="331">
        <v>0</v>
      </c>
      <c r="AD14" s="1025" t="b">
        <v>0</v>
      </c>
      <c r="AE14" s="331">
        <v>0</v>
      </c>
      <c r="AF14" s="331">
        <v>0</v>
      </c>
      <c r="AG14" s="331">
        <v>0</v>
      </c>
      <c r="AH14" s="331">
        <v>0</v>
      </c>
      <c r="AI14" s="1025" t="b">
        <v>0</v>
      </c>
      <c r="AJ14" s="331">
        <v>0</v>
      </c>
      <c r="AK14" s="331">
        <v>0</v>
      </c>
      <c r="AL14" s="331">
        <v>0</v>
      </c>
      <c r="AM14" s="331">
        <v>0</v>
      </c>
      <c r="AN14" s="1025" t="b">
        <v>0</v>
      </c>
      <c r="AO14" s="331">
        <v>0</v>
      </c>
      <c r="AP14" s="331">
        <v>0</v>
      </c>
      <c r="AQ14" s="331">
        <v>0</v>
      </c>
      <c r="AR14" s="331">
        <v>0</v>
      </c>
      <c r="AS14" s="1025" t="b">
        <v>0</v>
      </c>
      <c r="AT14" s="1025" t="b">
        <v>0</v>
      </c>
      <c r="AU14" s="331">
        <v>337989</v>
      </c>
      <c r="AV14" s="491" t="s">
        <v>29</v>
      </c>
    </row>
    <row r="15" spans="1:48">
      <c r="A15" s="72">
        <v>4</v>
      </c>
      <c r="B15" s="391" t="s">
        <v>53</v>
      </c>
      <c r="C15" s="72">
        <f t="shared" si="0"/>
        <v>4</v>
      </c>
      <c r="D15" s="72" t="str">
        <f t="shared" si="1"/>
        <v>4-4</v>
      </c>
      <c r="E15" s="72">
        <v>61432</v>
      </c>
      <c r="F15" s="72" t="str">
        <f t="shared" si="2"/>
        <v>4-61432</v>
      </c>
      <c r="G15" s="391" t="s">
        <v>639</v>
      </c>
      <c r="H15" s="331">
        <v>10983.57</v>
      </c>
      <c r="I15" s="331">
        <v>10098.93</v>
      </c>
      <c r="J15" s="331">
        <v>10398.52</v>
      </c>
      <c r="K15" s="331">
        <v>12364.25</v>
      </c>
      <c r="L15" s="491" t="s">
        <v>29</v>
      </c>
      <c r="M15" s="491" t="s">
        <v>29</v>
      </c>
      <c r="N15" s="491" t="s">
        <v>29</v>
      </c>
      <c r="O15" s="491" t="s">
        <v>29</v>
      </c>
      <c r="P15" s="491">
        <v>0</v>
      </c>
      <c r="Q15" s="491">
        <v>0</v>
      </c>
      <c r="R15" s="491">
        <v>0</v>
      </c>
      <c r="S15" s="491">
        <v>0</v>
      </c>
      <c r="T15" s="1025" t="b">
        <v>0</v>
      </c>
      <c r="U15" s="491">
        <v>0.77</v>
      </c>
      <c r="V15" s="491">
        <v>0</v>
      </c>
      <c r="W15" s="491">
        <v>1.94</v>
      </c>
      <c r="X15" s="491">
        <v>1.8</v>
      </c>
      <c r="Y15" s="1025" t="b">
        <v>0</v>
      </c>
      <c r="Z15" s="331">
        <v>0</v>
      </c>
      <c r="AA15" s="331">
        <v>0</v>
      </c>
      <c r="AB15" s="331">
        <v>0</v>
      </c>
      <c r="AC15" s="331">
        <v>0</v>
      </c>
      <c r="AD15" s="1025" t="b">
        <v>0</v>
      </c>
      <c r="AE15" s="331">
        <v>0</v>
      </c>
      <c r="AF15" s="331">
        <v>0</v>
      </c>
      <c r="AG15" s="331">
        <v>0</v>
      </c>
      <c r="AH15" s="331">
        <v>0</v>
      </c>
      <c r="AI15" s="1025" t="b">
        <v>0</v>
      </c>
      <c r="AJ15" s="331">
        <v>0</v>
      </c>
      <c r="AK15" s="331">
        <v>0</v>
      </c>
      <c r="AL15" s="331">
        <v>0</v>
      </c>
      <c r="AM15" s="331">
        <v>0</v>
      </c>
      <c r="AN15" s="1025" t="b">
        <v>0</v>
      </c>
      <c r="AO15" s="331">
        <v>0</v>
      </c>
      <c r="AP15" s="331">
        <v>0</v>
      </c>
      <c r="AQ15" s="331">
        <v>0</v>
      </c>
      <c r="AR15" s="331">
        <v>0</v>
      </c>
      <c r="AS15" s="1025" t="b">
        <v>0</v>
      </c>
      <c r="AT15" s="1025" t="b">
        <v>0</v>
      </c>
      <c r="AU15" s="331">
        <v>50886</v>
      </c>
      <c r="AV15" s="491" t="s">
        <v>29</v>
      </c>
    </row>
    <row r="16" spans="1:48">
      <c r="A16" s="72">
        <v>4</v>
      </c>
      <c r="B16" s="391" t="s">
        <v>53</v>
      </c>
      <c r="C16" s="72">
        <f t="shared" si="0"/>
        <v>5</v>
      </c>
      <c r="D16" s="72" t="str">
        <f t="shared" si="1"/>
        <v>4-5</v>
      </c>
      <c r="E16" s="72">
        <v>61457</v>
      </c>
      <c r="F16" s="72" t="str">
        <f t="shared" si="2"/>
        <v>4-61457</v>
      </c>
      <c r="G16" s="391" t="s">
        <v>640</v>
      </c>
      <c r="H16" s="331">
        <v>14037.79</v>
      </c>
      <c r="I16" s="331">
        <v>12907.16</v>
      </c>
      <c r="J16" s="331">
        <v>13290.05</v>
      </c>
      <c r="K16" s="331">
        <v>15802.39</v>
      </c>
      <c r="L16" s="491" t="s">
        <v>29</v>
      </c>
      <c r="M16" s="491" t="s">
        <v>29</v>
      </c>
      <c r="N16" s="491" t="s">
        <v>29</v>
      </c>
      <c r="O16" s="491" t="s">
        <v>29</v>
      </c>
      <c r="P16" s="491">
        <v>0</v>
      </c>
      <c r="Q16" s="491">
        <v>0</v>
      </c>
      <c r="R16" s="491">
        <v>0</v>
      </c>
      <c r="S16" s="491">
        <v>0</v>
      </c>
      <c r="T16" s="1025" t="b">
        <v>0</v>
      </c>
      <c r="U16" s="491">
        <v>0</v>
      </c>
      <c r="V16" s="491">
        <v>0.97</v>
      </c>
      <c r="W16" s="491">
        <v>0</v>
      </c>
      <c r="X16" s="491">
        <v>0</v>
      </c>
      <c r="Y16" s="1025" t="b">
        <v>0</v>
      </c>
      <c r="Z16" s="331">
        <v>0</v>
      </c>
      <c r="AA16" s="331">
        <v>0</v>
      </c>
      <c r="AB16" s="331">
        <v>0</v>
      </c>
      <c r="AC16" s="331">
        <v>0</v>
      </c>
      <c r="AD16" s="1025" t="b">
        <v>0</v>
      </c>
      <c r="AE16" s="331">
        <v>0</v>
      </c>
      <c r="AF16" s="331">
        <v>0</v>
      </c>
      <c r="AG16" s="331">
        <v>0</v>
      </c>
      <c r="AH16" s="331">
        <v>0</v>
      </c>
      <c r="AI16" s="1025" t="b">
        <v>0</v>
      </c>
      <c r="AJ16" s="331">
        <v>0</v>
      </c>
      <c r="AK16" s="331">
        <v>0</v>
      </c>
      <c r="AL16" s="331">
        <v>0</v>
      </c>
      <c r="AM16" s="331">
        <v>0</v>
      </c>
      <c r="AN16" s="1025" t="b">
        <v>0</v>
      </c>
      <c r="AO16" s="331">
        <v>0</v>
      </c>
      <c r="AP16" s="331">
        <v>0</v>
      </c>
      <c r="AQ16" s="331">
        <v>0</v>
      </c>
      <c r="AR16" s="331">
        <v>0</v>
      </c>
      <c r="AS16" s="1025" t="b">
        <v>0</v>
      </c>
      <c r="AT16" s="1025" t="b">
        <v>0</v>
      </c>
      <c r="AU16" s="331">
        <v>12520</v>
      </c>
      <c r="AV16" s="491" t="s">
        <v>29</v>
      </c>
    </row>
    <row r="17" spans="1:48">
      <c r="A17" s="72">
        <v>4</v>
      </c>
      <c r="B17" s="391" t="s">
        <v>53</v>
      </c>
      <c r="C17" s="72">
        <f t="shared" si="0"/>
        <v>6</v>
      </c>
      <c r="D17" s="72" t="str">
        <f t="shared" si="1"/>
        <v>4-6</v>
      </c>
      <c r="E17" s="72">
        <v>61507</v>
      </c>
      <c r="F17" s="72" t="str">
        <f t="shared" si="2"/>
        <v>4-61507</v>
      </c>
      <c r="G17" s="391" t="s">
        <v>641</v>
      </c>
      <c r="H17" s="331">
        <v>13414.2</v>
      </c>
      <c r="I17" s="331">
        <v>12333.8</v>
      </c>
      <c r="J17" s="331">
        <v>12699.68</v>
      </c>
      <c r="K17" s="331">
        <v>15100.42</v>
      </c>
      <c r="L17" s="491" t="s">
        <v>29</v>
      </c>
      <c r="M17" s="491" t="s">
        <v>29</v>
      </c>
      <c r="N17" s="491" t="s">
        <v>29</v>
      </c>
      <c r="O17" s="491" t="s">
        <v>29</v>
      </c>
      <c r="P17" s="491">
        <v>0</v>
      </c>
      <c r="Q17" s="491">
        <v>0</v>
      </c>
      <c r="R17" s="491">
        <v>0</v>
      </c>
      <c r="S17" s="491">
        <v>0</v>
      </c>
      <c r="T17" s="1025" t="b">
        <v>0</v>
      </c>
      <c r="U17" s="491">
        <v>3.5</v>
      </c>
      <c r="V17" s="491">
        <v>4.12</v>
      </c>
      <c r="W17" s="491">
        <v>3.82</v>
      </c>
      <c r="X17" s="491">
        <v>0</v>
      </c>
      <c r="Y17" s="1025" t="b">
        <v>0</v>
      </c>
      <c r="Z17" s="331">
        <v>0</v>
      </c>
      <c r="AA17" s="331">
        <v>0</v>
      </c>
      <c r="AB17" s="331">
        <v>0</v>
      </c>
      <c r="AC17" s="331">
        <v>0</v>
      </c>
      <c r="AD17" s="1025" t="b">
        <v>0</v>
      </c>
      <c r="AE17" s="331">
        <v>0</v>
      </c>
      <c r="AF17" s="331">
        <v>0</v>
      </c>
      <c r="AG17" s="331">
        <v>0</v>
      </c>
      <c r="AH17" s="331">
        <v>0</v>
      </c>
      <c r="AI17" s="1025" t="b">
        <v>0</v>
      </c>
      <c r="AJ17" s="331">
        <v>0</v>
      </c>
      <c r="AK17" s="331">
        <v>0</v>
      </c>
      <c r="AL17" s="331">
        <v>0</v>
      </c>
      <c r="AM17" s="331">
        <v>0</v>
      </c>
      <c r="AN17" s="1025" t="b">
        <v>0</v>
      </c>
      <c r="AO17" s="331">
        <v>0</v>
      </c>
      <c r="AP17" s="331">
        <v>0</v>
      </c>
      <c r="AQ17" s="331">
        <v>0</v>
      </c>
      <c r="AR17" s="331">
        <v>0</v>
      </c>
      <c r="AS17" s="1025" t="b">
        <v>0</v>
      </c>
      <c r="AT17" s="1025" t="b">
        <v>0</v>
      </c>
      <c r="AU17" s="331">
        <v>146278</v>
      </c>
      <c r="AV17" s="491" t="s">
        <v>29</v>
      </c>
    </row>
    <row r="18" spans="1:48">
      <c r="A18" s="72">
        <v>4</v>
      </c>
      <c r="B18" s="391" t="s">
        <v>53</v>
      </c>
      <c r="C18" s="72">
        <f t="shared" si="0"/>
        <v>7</v>
      </c>
      <c r="D18" s="72" t="str">
        <f t="shared" si="1"/>
        <v>4-7</v>
      </c>
      <c r="E18" s="72">
        <v>61515</v>
      </c>
      <c r="F18" s="72" t="str">
        <f t="shared" si="2"/>
        <v>4-61515</v>
      </c>
      <c r="G18" s="391" t="s">
        <v>642</v>
      </c>
      <c r="H18" s="331">
        <v>13221.54</v>
      </c>
      <c r="I18" s="331">
        <v>12156.65</v>
      </c>
      <c r="J18" s="331">
        <v>12517.28</v>
      </c>
      <c r="K18" s="331">
        <v>14883.54</v>
      </c>
      <c r="L18" s="491" t="s">
        <v>29</v>
      </c>
      <c r="M18" s="491" t="s">
        <v>29</v>
      </c>
      <c r="N18" s="491" t="s">
        <v>29</v>
      </c>
      <c r="O18" s="491" t="s">
        <v>29</v>
      </c>
      <c r="P18" s="491">
        <v>0</v>
      </c>
      <c r="Q18" s="491">
        <v>0</v>
      </c>
      <c r="R18" s="491">
        <v>0</v>
      </c>
      <c r="S18" s="491">
        <v>0</v>
      </c>
      <c r="T18" s="1025" t="b">
        <v>0</v>
      </c>
      <c r="U18" s="491">
        <v>0</v>
      </c>
      <c r="V18" s="491">
        <v>0</v>
      </c>
      <c r="W18" s="491">
        <v>0</v>
      </c>
      <c r="X18" s="491">
        <v>4.54</v>
      </c>
      <c r="Y18" s="1025" t="b">
        <v>0</v>
      </c>
      <c r="Z18" s="331">
        <v>0</v>
      </c>
      <c r="AA18" s="331">
        <v>0</v>
      </c>
      <c r="AB18" s="331">
        <v>0</v>
      </c>
      <c r="AC18" s="331">
        <v>0</v>
      </c>
      <c r="AD18" s="1025" t="b">
        <v>0</v>
      </c>
      <c r="AE18" s="331">
        <v>0</v>
      </c>
      <c r="AF18" s="331">
        <v>0</v>
      </c>
      <c r="AG18" s="331">
        <v>0</v>
      </c>
      <c r="AH18" s="331">
        <v>0</v>
      </c>
      <c r="AI18" s="1025" t="b">
        <v>0</v>
      </c>
      <c r="AJ18" s="331">
        <v>0</v>
      </c>
      <c r="AK18" s="331">
        <v>0</v>
      </c>
      <c r="AL18" s="331">
        <v>0</v>
      </c>
      <c r="AM18" s="331">
        <v>0</v>
      </c>
      <c r="AN18" s="1025" t="b">
        <v>0</v>
      </c>
      <c r="AO18" s="331">
        <v>0</v>
      </c>
      <c r="AP18" s="331">
        <v>0</v>
      </c>
      <c r="AQ18" s="331">
        <v>0</v>
      </c>
      <c r="AR18" s="331">
        <v>0</v>
      </c>
      <c r="AS18" s="1025" t="b">
        <v>0</v>
      </c>
      <c r="AT18" s="1025" t="b">
        <v>0</v>
      </c>
      <c r="AU18" s="331">
        <v>67571</v>
      </c>
      <c r="AV18" s="491" t="s">
        <v>29</v>
      </c>
    </row>
    <row r="19" spans="1:48">
      <c r="A19" s="72">
        <v>4</v>
      </c>
      <c r="B19" s="391" t="s">
        <v>53</v>
      </c>
      <c r="C19" s="72">
        <f t="shared" si="0"/>
        <v>8</v>
      </c>
      <c r="D19" s="72" t="str">
        <f t="shared" si="1"/>
        <v>4-8</v>
      </c>
      <c r="E19" s="72">
        <v>61523</v>
      </c>
      <c r="F19" s="72" t="str">
        <f t="shared" si="2"/>
        <v>4-61523</v>
      </c>
      <c r="G19" s="391" t="s">
        <v>643</v>
      </c>
      <c r="H19" s="331">
        <v>13416.78</v>
      </c>
      <c r="I19" s="331">
        <v>12336.17</v>
      </c>
      <c r="J19" s="331">
        <v>12702.12</v>
      </c>
      <c r="K19" s="331">
        <v>15103.33</v>
      </c>
      <c r="L19" s="491" t="s">
        <v>29</v>
      </c>
      <c r="M19" s="491" t="s">
        <v>29</v>
      </c>
      <c r="N19" s="491" t="s">
        <v>29</v>
      </c>
      <c r="O19" s="491" t="s">
        <v>29</v>
      </c>
      <c r="P19" s="491">
        <v>0</v>
      </c>
      <c r="Q19" s="491">
        <v>0</v>
      </c>
      <c r="R19" s="491">
        <v>0</v>
      </c>
      <c r="S19" s="491">
        <v>0</v>
      </c>
      <c r="T19" s="1025" t="b">
        <v>0</v>
      </c>
      <c r="U19" s="491">
        <v>4.08</v>
      </c>
      <c r="V19" s="491">
        <v>1.82</v>
      </c>
      <c r="W19" s="491">
        <v>0.83</v>
      </c>
      <c r="X19" s="491">
        <v>0</v>
      </c>
      <c r="Y19" s="1025" t="b">
        <v>0</v>
      </c>
      <c r="Z19" s="331">
        <v>0</v>
      </c>
      <c r="AA19" s="331">
        <v>0</v>
      </c>
      <c r="AB19" s="331">
        <v>0</v>
      </c>
      <c r="AC19" s="331">
        <v>0</v>
      </c>
      <c r="AD19" s="1025" t="b">
        <v>0</v>
      </c>
      <c r="AE19" s="331">
        <v>0</v>
      </c>
      <c r="AF19" s="331">
        <v>0</v>
      </c>
      <c r="AG19" s="331">
        <v>0</v>
      </c>
      <c r="AH19" s="331">
        <v>0</v>
      </c>
      <c r="AI19" s="1025" t="b">
        <v>0</v>
      </c>
      <c r="AJ19" s="331">
        <v>0</v>
      </c>
      <c r="AK19" s="331">
        <v>0</v>
      </c>
      <c r="AL19" s="331">
        <v>0</v>
      </c>
      <c r="AM19" s="331">
        <v>0</v>
      </c>
      <c r="AN19" s="1025" t="b">
        <v>0</v>
      </c>
      <c r="AO19" s="331">
        <v>0</v>
      </c>
      <c r="AP19" s="331">
        <v>0</v>
      </c>
      <c r="AQ19" s="331">
        <v>0</v>
      </c>
      <c r="AR19" s="331">
        <v>0</v>
      </c>
      <c r="AS19" s="1025" t="b">
        <v>0</v>
      </c>
      <c r="AT19" s="1025" t="b">
        <v>0</v>
      </c>
      <c r="AU19" s="331">
        <v>87735</v>
      </c>
      <c r="AV19" s="491" t="s">
        <v>29</v>
      </c>
    </row>
    <row r="20" spans="1:48">
      <c r="A20" s="72">
        <v>4</v>
      </c>
      <c r="B20" s="391" t="s">
        <v>53</v>
      </c>
      <c r="C20" s="72">
        <f t="shared" si="0"/>
        <v>9</v>
      </c>
      <c r="D20" s="72" t="str">
        <f t="shared" si="1"/>
        <v>4-9</v>
      </c>
      <c r="E20" s="72">
        <v>61531</v>
      </c>
      <c r="F20" s="72" t="str">
        <f t="shared" si="2"/>
        <v>4-61531</v>
      </c>
      <c r="G20" s="391" t="s">
        <v>644</v>
      </c>
      <c r="H20" s="331">
        <v>12374.32</v>
      </c>
      <c r="I20" s="331">
        <v>11377.68</v>
      </c>
      <c r="J20" s="331">
        <v>11715.19</v>
      </c>
      <c r="K20" s="331">
        <v>13929.83</v>
      </c>
      <c r="L20" s="491" t="s">
        <v>29</v>
      </c>
      <c r="M20" s="491" t="s">
        <v>29</v>
      </c>
      <c r="N20" s="491" t="s">
        <v>29</v>
      </c>
      <c r="O20" s="491" t="s">
        <v>29</v>
      </c>
      <c r="P20" s="491">
        <v>0</v>
      </c>
      <c r="Q20" s="491">
        <v>0</v>
      </c>
      <c r="R20" s="491">
        <v>0</v>
      </c>
      <c r="S20" s="491">
        <v>0</v>
      </c>
      <c r="T20" s="1025" t="b">
        <v>0</v>
      </c>
      <c r="U20" s="491">
        <v>0</v>
      </c>
      <c r="V20" s="491">
        <v>0.26</v>
      </c>
      <c r="W20" s="491">
        <v>1.32</v>
      </c>
      <c r="X20" s="491">
        <v>1.1299999999999999</v>
      </c>
      <c r="Y20" s="1025" t="b">
        <v>0</v>
      </c>
      <c r="Z20" s="331">
        <v>0</v>
      </c>
      <c r="AA20" s="331">
        <v>0</v>
      </c>
      <c r="AB20" s="331">
        <v>0</v>
      </c>
      <c r="AC20" s="331">
        <v>0</v>
      </c>
      <c r="AD20" s="1025" t="b">
        <v>0</v>
      </c>
      <c r="AE20" s="331">
        <v>0</v>
      </c>
      <c r="AF20" s="331">
        <v>0</v>
      </c>
      <c r="AG20" s="331">
        <v>0</v>
      </c>
      <c r="AH20" s="331">
        <v>0</v>
      </c>
      <c r="AI20" s="1025" t="b">
        <v>0</v>
      </c>
      <c r="AJ20" s="331">
        <v>0</v>
      </c>
      <c r="AK20" s="331">
        <v>0</v>
      </c>
      <c r="AL20" s="331">
        <v>0</v>
      </c>
      <c r="AM20" s="331">
        <v>0</v>
      </c>
      <c r="AN20" s="1025" t="b">
        <v>0</v>
      </c>
      <c r="AO20" s="331">
        <v>0</v>
      </c>
      <c r="AP20" s="331">
        <v>0</v>
      </c>
      <c r="AQ20" s="331">
        <v>0</v>
      </c>
      <c r="AR20" s="331">
        <v>0</v>
      </c>
      <c r="AS20" s="1025" t="b">
        <v>0</v>
      </c>
      <c r="AT20" s="1025" t="b">
        <v>0</v>
      </c>
      <c r="AU20" s="331">
        <v>34163</v>
      </c>
      <c r="AV20" s="491" t="s">
        <v>29</v>
      </c>
    </row>
    <row r="21" spans="1:48">
      <c r="A21" s="72">
        <v>4</v>
      </c>
      <c r="B21" s="391" t="s">
        <v>53</v>
      </c>
      <c r="C21" s="72">
        <f t="shared" si="0"/>
        <v>10</v>
      </c>
      <c r="D21" s="72" t="str">
        <f t="shared" si="1"/>
        <v>4-10</v>
      </c>
      <c r="E21" s="72">
        <v>61549</v>
      </c>
      <c r="F21" s="72" t="str">
        <f t="shared" si="2"/>
        <v>4-61549</v>
      </c>
      <c r="G21" s="391" t="s">
        <v>645</v>
      </c>
      <c r="H21" s="331">
        <v>13946.61</v>
      </c>
      <c r="I21" s="331">
        <v>12823.33</v>
      </c>
      <c r="J21" s="331">
        <v>13203.73</v>
      </c>
      <c r="K21" s="331">
        <v>15699.76</v>
      </c>
      <c r="L21" s="491" t="s">
        <v>29</v>
      </c>
      <c r="M21" s="491" t="s">
        <v>29</v>
      </c>
      <c r="N21" s="491" t="s">
        <v>29</v>
      </c>
      <c r="O21" s="491" t="s">
        <v>29</v>
      </c>
      <c r="P21" s="491">
        <v>0</v>
      </c>
      <c r="Q21" s="491">
        <v>0</v>
      </c>
      <c r="R21" s="491">
        <v>0</v>
      </c>
      <c r="S21" s="491">
        <v>0</v>
      </c>
      <c r="T21" s="1025" t="b">
        <v>0</v>
      </c>
      <c r="U21" s="491">
        <v>9.86</v>
      </c>
      <c r="V21" s="491">
        <v>2.48</v>
      </c>
      <c r="W21" s="491">
        <v>3.72</v>
      </c>
      <c r="X21" s="491">
        <v>0</v>
      </c>
      <c r="Y21" s="1025" t="b">
        <v>0</v>
      </c>
      <c r="Z21" s="331">
        <v>0</v>
      </c>
      <c r="AA21" s="331">
        <v>0</v>
      </c>
      <c r="AB21" s="331">
        <v>0</v>
      </c>
      <c r="AC21" s="331">
        <v>0</v>
      </c>
      <c r="AD21" s="1025" t="b">
        <v>0</v>
      </c>
      <c r="AE21" s="331">
        <v>0</v>
      </c>
      <c r="AF21" s="331">
        <v>0</v>
      </c>
      <c r="AG21" s="331">
        <v>0</v>
      </c>
      <c r="AH21" s="331">
        <v>0</v>
      </c>
      <c r="AI21" s="1025" t="b">
        <v>0</v>
      </c>
      <c r="AJ21" s="331">
        <v>0</v>
      </c>
      <c r="AK21" s="331">
        <v>0</v>
      </c>
      <c r="AL21" s="331">
        <v>0</v>
      </c>
      <c r="AM21" s="331">
        <v>0</v>
      </c>
      <c r="AN21" s="1025" t="b">
        <v>0</v>
      </c>
      <c r="AO21" s="331">
        <v>0</v>
      </c>
      <c r="AP21" s="331">
        <v>0</v>
      </c>
      <c r="AQ21" s="331">
        <v>0</v>
      </c>
      <c r="AR21" s="331">
        <v>0</v>
      </c>
      <c r="AS21" s="1025" t="b">
        <v>0</v>
      </c>
      <c r="AT21" s="1025" t="b">
        <v>0</v>
      </c>
      <c r="AU21" s="331">
        <v>218434</v>
      </c>
      <c r="AV21" s="491" t="s">
        <v>29</v>
      </c>
    </row>
    <row r="22" spans="1:48">
      <c r="A22" s="72">
        <v>4</v>
      </c>
      <c r="B22" s="391" t="s">
        <v>53</v>
      </c>
      <c r="C22" s="72">
        <f t="shared" si="0"/>
        <v>11</v>
      </c>
      <c r="D22" s="72" t="str">
        <f t="shared" si="1"/>
        <v>4-11</v>
      </c>
      <c r="E22" s="72">
        <v>73379</v>
      </c>
      <c r="F22" s="72" t="str">
        <f t="shared" si="2"/>
        <v>4-73379</v>
      </c>
      <c r="G22" s="391" t="s">
        <v>646</v>
      </c>
      <c r="H22" s="331">
        <v>15026.92</v>
      </c>
      <c r="I22" s="331">
        <v>13816.63</v>
      </c>
      <c r="J22" s="331">
        <v>14226.49</v>
      </c>
      <c r="K22" s="331">
        <v>16915.86</v>
      </c>
      <c r="L22" s="491" t="s">
        <v>29</v>
      </c>
      <c r="M22" s="491" t="s">
        <v>29</v>
      </c>
      <c r="N22" s="491" t="s">
        <v>29</v>
      </c>
      <c r="O22" s="491" t="s">
        <v>29</v>
      </c>
      <c r="P22" s="491">
        <v>0</v>
      </c>
      <c r="Q22" s="491">
        <v>0</v>
      </c>
      <c r="R22" s="491">
        <v>0</v>
      </c>
      <c r="S22" s="491">
        <v>0</v>
      </c>
      <c r="T22" s="1025" t="b">
        <v>0</v>
      </c>
      <c r="U22" s="491">
        <v>0.97</v>
      </c>
      <c r="V22" s="491">
        <v>0</v>
      </c>
      <c r="W22" s="491">
        <v>0</v>
      </c>
      <c r="X22" s="491">
        <v>0</v>
      </c>
      <c r="Y22" s="1025" t="b">
        <v>0</v>
      </c>
      <c r="Z22" s="331">
        <v>0</v>
      </c>
      <c r="AA22" s="331">
        <v>0</v>
      </c>
      <c r="AB22" s="331">
        <v>0</v>
      </c>
      <c r="AC22" s="331">
        <v>0</v>
      </c>
      <c r="AD22" s="1025" t="b">
        <v>0</v>
      </c>
      <c r="AE22" s="331">
        <v>0</v>
      </c>
      <c r="AF22" s="331">
        <v>0</v>
      </c>
      <c r="AG22" s="331">
        <v>0</v>
      </c>
      <c r="AH22" s="331">
        <v>0</v>
      </c>
      <c r="AI22" s="1025" t="b">
        <v>0</v>
      </c>
      <c r="AJ22" s="331">
        <v>0</v>
      </c>
      <c r="AK22" s="331">
        <v>0</v>
      </c>
      <c r="AL22" s="331">
        <v>0</v>
      </c>
      <c r="AM22" s="331">
        <v>0</v>
      </c>
      <c r="AN22" s="1025" t="b">
        <v>0</v>
      </c>
      <c r="AO22" s="331">
        <v>0</v>
      </c>
      <c r="AP22" s="331">
        <v>0</v>
      </c>
      <c r="AQ22" s="331">
        <v>0</v>
      </c>
      <c r="AR22" s="331">
        <v>0</v>
      </c>
      <c r="AS22" s="1025" t="b">
        <v>0</v>
      </c>
      <c r="AT22" s="1025" t="b">
        <v>0</v>
      </c>
      <c r="AU22" s="331">
        <v>14576</v>
      </c>
      <c r="AV22" s="491" t="s">
        <v>29</v>
      </c>
    </row>
    <row r="23" spans="1:48">
      <c r="A23" s="72">
        <v>4</v>
      </c>
      <c r="B23" s="391" t="s">
        <v>53</v>
      </c>
      <c r="C23" s="72">
        <f t="shared" si="0"/>
        <v>12</v>
      </c>
      <c r="D23" s="72" t="str">
        <f t="shared" si="1"/>
        <v>4-12</v>
      </c>
      <c r="E23" s="72">
        <v>75507</v>
      </c>
      <c r="F23" s="72" t="str">
        <f t="shared" si="2"/>
        <v>4-75507</v>
      </c>
      <c r="G23" s="391" t="s">
        <v>647</v>
      </c>
      <c r="H23" s="331">
        <v>12952.32</v>
      </c>
      <c r="I23" s="331">
        <v>11909.12</v>
      </c>
      <c r="J23" s="331">
        <v>12262.4</v>
      </c>
      <c r="K23" s="331">
        <v>14580.48</v>
      </c>
      <c r="L23" s="491" t="s">
        <v>29</v>
      </c>
      <c r="M23" s="491" t="s">
        <v>29</v>
      </c>
      <c r="N23" s="491" t="s">
        <v>29</v>
      </c>
      <c r="O23" s="491" t="s">
        <v>29</v>
      </c>
      <c r="P23" s="491">
        <v>0</v>
      </c>
      <c r="Q23" s="491">
        <v>0</v>
      </c>
      <c r="R23" s="491">
        <v>0</v>
      </c>
      <c r="S23" s="491">
        <v>0</v>
      </c>
      <c r="T23" s="1025" t="b">
        <v>0</v>
      </c>
      <c r="U23" s="491">
        <v>0</v>
      </c>
      <c r="V23" s="491">
        <v>0</v>
      </c>
      <c r="W23" s="491">
        <v>0.99</v>
      </c>
      <c r="X23" s="491">
        <v>3.22</v>
      </c>
      <c r="Y23" s="1025" t="b">
        <v>0</v>
      </c>
      <c r="Z23" s="331">
        <v>0</v>
      </c>
      <c r="AA23" s="331">
        <v>0</v>
      </c>
      <c r="AB23" s="331">
        <v>0</v>
      </c>
      <c r="AC23" s="331">
        <v>0</v>
      </c>
      <c r="AD23" s="1025" t="b">
        <v>0</v>
      </c>
      <c r="AE23" s="331">
        <v>0</v>
      </c>
      <c r="AF23" s="331">
        <v>0</v>
      </c>
      <c r="AG23" s="331">
        <v>0</v>
      </c>
      <c r="AH23" s="331">
        <v>0</v>
      </c>
      <c r="AI23" s="1025" t="b">
        <v>0</v>
      </c>
      <c r="AJ23" s="331">
        <v>0</v>
      </c>
      <c r="AK23" s="331">
        <v>0</v>
      </c>
      <c r="AL23" s="331">
        <v>0</v>
      </c>
      <c r="AM23" s="331">
        <v>0</v>
      </c>
      <c r="AN23" s="1025" t="b">
        <v>0</v>
      </c>
      <c r="AO23" s="331">
        <v>0</v>
      </c>
      <c r="AP23" s="331">
        <v>0</v>
      </c>
      <c r="AQ23" s="331">
        <v>0</v>
      </c>
      <c r="AR23" s="331">
        <v>0</v>
      </c>
      <c r="AS23" s="1025" t="b">
        <v>0</v>
      </c>
      <c r="AT23" s="1025" t="b">
        <v>0</v>
      </c>
      <c r="AU23" s="331">
        <v>59089</v>
      </c>
      <c r="AV23" s="491" t="s">
        <v>29</v>
      </c>
    </row>
    <row r="24" spans="1:48">
      <c r="A24" s="72">
        <v>4</v>
      </c>
      <c r="B24" s="391" t="s">
        <v>53</v>
      </c>
      <c r="C24" s="72">
        <f t="shared" si="0"/>
        <v>0</v>
      </c>
      <c r="D24" s="72" t="str">
        <f t="shared" si="1"/>
        <v>4-0</v>
      </c>
      <c r="E24" s="72" t="s">
        <v>29</v>
      </c>
      <c r="F24" s="72" t="str">
        <f t="shared" si="2"/>
        <v>4-N/A</v>
      </c>
      <c r="G24" s="391" t="s">
        <v>29</v>
      </c>
      <c r="H24" s="491" t="s">
        <v>29</v>
      </c>
      <c r="I24" s="491" t="s">
        <v>29</v>
      </c>
      <c r="J24" s="491" t="s">
        <v>29</v>
      </c>
      <c r="K24" s="491" t="s">
        <v>29</v>
      </c>
      <c r="L24" s="491" t="s">
        <v>29</v>
      </c>
      <c r="M24" s="491" t="s">
        <v>29</v>
      </c>
      <c r="N24" s="491" t="s">
        <v>29</v>
      </c>
      <c r="O24" s="491" t="s">
        <v>29</v>
      </c>
      <c r="P24" s="491" t="s">
        <v>29</v>
      </c>
      <c r="Q24" s="491" t="s">
        <v>29</v>
      </c>
      <c r="R24" s="491" t="s">
        <v>29</v>
      </c>
      <c r="S24" s="491" t="s">
        <v>29</v>
      </c>
      <c r="T24" s="1025" t="s">
        <v>29</v>
      </c>
      <c r="U24" s="491" t="s">
        <v>29</v>
      </c>
      <c r="V24" s="491" t="s">
        <v>29</v>
      </c>
      <c r="W24" s="491" t="s">
        <v>29</v>
      </c>
      <c r="X24" s="491" t="s">
        <v>29</v>
      </c>
      <c r="Y24" s="1025" t="s">
        <v>29</v>
      </c>
      <c r="Z24" s="491" t="s">
        <v>29</v>
      </c>
      <c r="AA24" s="491" t="s">
        <v>29</v>
      </c>
      <c r="AB24" s="491" t="s">
        <v>29</v>
      </c>
      <c r="AC24" s="491" t="s">
        <v>29</v>
      </c>
      <c r="AD24" s="1025" t="s">
        <v>29</v>
      </c>
      <c r="AE24" s="491" t="s">
        <v>29</v>
      </c>
      <c r="AF24" s="491" t="s">
        <v>29</v>
      </c>
      <c r="AG24" s="491" t="s">
        <v>29</v>
      </c>
      <c r="AH24" s="491" t="s">
        <v>29</v>
      </c>
      <c r="AI24" s="1025" t="s">
        <v>29</v>
      </c>
      <c r="AJ24" s="491" t="s">
        <v>29</v>
      </c>
      <c r="AK24" s="491" t="s">
        <v>29</v>
      </c>
      <c r="AL24" s="491" t="s">
        <v>29</v>
      </c>
      <c r="AM24" s="491" t="s">
        <v>29</v>
      </c>
      <c r="AN24" s="1025" t="s">
        <v>29</v>
      </c>
      <c r="AO24" s="491" t="s">
        <v>29</v>
      </c>
      <c r="AP24" s="491" t="s">
        <v>29</v>
      </c>
      <c r="AQ24" s="491" t="s">
        <v>29</v>
      </c>
      <c r="AR24" s="491" t="s">
        <v>29</v>
      </c>
      <c r="AS24" s="1025" t="s">
        <v>29</v>
      </c>
      <c r="AT24" s="1025" t="s">
        <v>29</v>
      </c>
      <c r="AU24" s="491" t="s">
        <v>29</v>
      </c>
      <c r="AV24" s="491">
        <v>1074475</v>
      </c>
    </row>
    <row r="25" spans="1:48">
      <c r="A25" s="72">
        <v>5</v>
      </c>
      <c r="B25" s="391" t="s">
        <v>54</v>
      </c>
      <c r="C25" s="72">
        <f t="shared" si="0"/>
        <v>1</v>
      </c>
      <c r="D25" s="72" t="str">
        <f t="shared" si="1"/>
        <v>5-1</v>
      </c>
      <c r="E25" s="72">
        <v>61556</v>
      </c>
      <c r="F25" s="72" t="str">
        <f t="shared" si="2"/>
        <v>5-61556</v>
      </c>
      <c r="G25" s="391" t="s">
        <v>649</v>
      </c>
      <c r="H25" s="491">
        <v>10886.83</v>
      </c>
      <c r="I25" s="491">
        <v>10009.99</v>
      </c>
      <c r="J25" s="491">
        <v>10306.93</v>
      </c>
      <c r="K25" s="491">
        <v>12255.35</v>
      </c>
      <c r="L25" s="491" t="s">
        <v>29</v>
      </c>
      <c r="M25" s="491" t="s">
        <v>29</v>
      </c>
      <c r="N25" s="491" t="s">
        <v>29</v>
      </c>
      <c r="O25" s="491" t="s">
        <v>29</v>
      </c>
      <c r="P25" s="491">
        <v>0</v>
      </c>
      <c r="Q25" s="491">
        <v>0</v>
      </c>
      <c r="R25" s="491">
        <v>0</v>
      </c>
      <c r="S25" s="491">
        <v>0</v>
      </c>
      <c r="T25" s="1025" t="b">
        <v>0</v>
      </c>
      <c r="U25" s="491">
        <v>0</v>
      </c>
      <c r="V25" s="491">
        <v>0</v>
      </c>
      <c r="W25" s="491">
        <v>0</v>
      </c>
      <c r="X25" s="491">
        <v>3.18</v>
      </c>
      <c r="Y25" s="1025" t="b">
        <v>0</v>
      </c>
      <c r="Z25" s="491">
        <v>0</v>
      </c>
      <c r="AA25" s="491">
        <v>0</v>
      </c>
      <c r="AB25" s="491">
        <v>0</v>
      </c>
      <c r="AC25" s="491">
        <v>1.95</v>
      </c>
      <c r="AD25" s="1025" t="b">
        <v>0</v>
      </c>
      <c r="AE25" s="491">
        <v>0</v>
      </c>
      <c r="AF25" s="491">
        <v>0</v>
      </c>
      <c r="AG25" s="491">
        <v>0</v>
      </c>
      <c r="AH25" s="491">
        <v>0.21</v>
      </c>
      <c r="AI25" s="1025" t="b">
        <v>0</v>
      </c>
      <c r="AJ25" s="491">
        <v>0</v>
      </c>
      <c r="AK25" s="491">
        <v>0</v>
      </c>
      <c r="AL25" s="491">
        <v>0</v>
      </c>
      <c r="AM25" s="491">
        <v>0</v>
      </c>
      <c r="AN25" s="1025" t="b">
        <v>0</v>
      </c>
      <c r="AO25" s="491">
        <v>0</v>
      </c>
      <c r="AP25" s="491">
        <v>0</v>
      </c>
      <c r="AQ25" s="491">
        <v>0</v>
      </c>
      <c r="AR25" s="491">
        <v>0</v>
      </c>
      <c r="AS25" s="1025" t="b">
        <v>0</v>
      </c>
      <c r="AT25" s="1025" t="b">
        <v>0</v>
      </c>
      <c r="AU25" s="491">
        <v>65444</v>
      </c>
      <c r="AV25" s="491" t="s">
        <v>29</v>
      </c>
    </row>
    <row r="26" spans="1:48">
      <c r="A26" s="72">
        <v>5</v>
      </c>
      <c r="B26" s="391" t="s">
        <v>54</v>
      </c>
      <c r="C26" s="72">
        <f t="shared" si="0"/>
        <v>2</v>
      </c>
      <c r="D26" s="72" t="str">
        <f t="shared" si="1"/>
        <v>5-2</v>
      </c>
      <c r="E26" s="72">
        <v>61564</v>
      </c>
      <c r="F26" s="72" t="str">
        <f t="shared" si="2"/>
        <v>5-61564</v>
      </c>
      <c r="G26" s="391" t="s">
        <v>650</v>
      </c>
      <c r="H26" s="331">
        <v>11123.61</v>
      </c>
      <c r="I26" s="331">
        <v>10227.700000000001</v>
      </c>
      <c r="J26" s="331">
        <v>10531.1</v>
      </c>
      <c r="K26" s="331">
        <v>12521.9</v>
      </c>
      <c r="L26" s="491" t="s">
        <v>29</v>
      </c>
      <c r="M26" s="491" t="s">
        <v>29</v>
      </c>
      <c r="N26" s="491" t="s">
        <v>29</v>
      </c>
      <c r="O26" s="491" t="s">
        <v>29</v>
      </c>
      <c r="P26" s="491">
        <v>0</v>
      </c>
      <c r="Q26" s="491">
        <v>0</v>
      </c>
      <c r="R26" s="491">
        <v>0</v>
      </c>
      <c r="S26" s="491">
        <v>0</v>
      </c>
      <c r="T26" s="1025" t="b">
        <v>0</v>
      </c>
      <c r="U26" s="491">
        <v>0</v>
      </c>
      <c r="V26" s="491">
        <v>0</v>
      </c>
      <c r="W26" s="491">
        <v>0</v>
      </c>
      <c r="X26" s="491">
        <v>5.86</v>
      </c>
      <c r="Y26" s="1025" t="b">
        <v>0</v>
      </c>
      <c r="Z26" s="331">
        <v>0</v>
      </c>
      <c r="AA26" s="331">
        <v>1.86</v>
      </c>
      <c r="AB26" s="331">
        <v>4.9400000000000004</v>
      </c>
      <c r="AC26" s="331">
        <v>7.45</v>
      </c>
      <c r="AD26" s="1025" t="b">
        <v>0</v>
      </c>
      <c r="AE26" s="331">
        <v>0</v>
      </c>
      <c r="AF26" s="331">
        <v>0</v>
      </c>
      <c r="AG26" s="331">
        <v>0.1</v>
      </c>
      <c r="AH26" s="331">
        <v>0.55000000000000004</v>
      </c>
      <c r="AI26" s="1025" t="b">
        <v>0</v>
      </c>
      <c r="AJ26" s="331">
        <v>0</v>
      </c>
      <c r="AK26" s="331">
        <v>0</v>
      </c>
      <c r="AL26" s="331">
        <v>0</v>
      </c>
      <c r="AM26" s="331">
        <v>0</v>
      </c>
      <c r="AN26" s="1025" t="b">
        <v>0</v>
      </c>
      <c r="AO26" s="331">
        <v>0</v>
      </c>
      <c r="AP26" s="331">
        <v>0</v>
      </c>
      <c r="AQ26" s="331">
        <v>0</v>
      </c>
      <c r="AR26" s="331">
        <v>0</v>
      </c>
      <c r="AS26" s="1025" t="b">
        <v>0</v>
      </c>
      <c r="AT26" s="1025" t="b">
        <v>0</v>
      </c>
      <c r="AU26" s="331">
        <v>245655</v>
      </c>
      <c r="AV26" s="491" t="s">
        <v>29</v>
      </c>
    </row>
    <row r="27" spans="1:48">
      <c r="A27" s="72">
        <v>5</v>
      </c>
      <c r="B27" s="391" t="s">
        <v>54</v>
      </c>
      <c r="C27" s="72">
        <f t="shared" si="0"/>
        <v>3</v>
      </c>
      <c r="D27" s="72" t="str">
        <f t="shared" si="1"/>
        <v>5-3</v>
      </c>
      <c r="E27" s="72">
        <v>61572</v>
      </c>
      <c r="F27" s="72" t="str">
        <f t="shared" si="2"/>
        <v>5-61572</v>
      </c>
      <c r="G27" s="391" t="s">
        <v>651</v>
      </c>
      <c r="H27" s="331">
        <v>11337.02</v>
      </c>
      <c r="I27" s="331">
        <v>10423.92</v>
      </c>
      <c r="J27" s="331">
        <v>10733.14</v>
      </c>
      <c r="K27" s="331">
        <v>12762.13</v>
      </c>
      <c r="L27" s="491" t="s">
        <v>29</v>
      </c>
      <c r="M27" s="491" t="s">
        <v>29</v>
      </c>
      <c r="N27" s="491" t="s">
        <v>29</v>
      </c>
      <c r="O27" s="491" t="s">
        <v>29</v>
      </c>
      <c r="P27" s="491">
        <v>0</v>
      </c>
      <c r="Q27" s="491">
        <v>0</v>
      </c>
      <c r="R27" s="491">
        <v>0</v>
      </c>
      <c r="S27" s="491">
        <v>0</v>
      </c>
      <c r="T27" s="1025" t="b">
        <v>0</v>
      </c>
      <c r="U27" s="491">
        <v>0</v>
      </c>
      <c r="V27" s="491">
        <v>0</v>
      </c>
      <c r="W27" s="491">
        <v>0</v>
      </c>
      <c r="X27" s="491">
        <v>0</v>
      </c>
      <c r="Y27" s="1025" t="b">
        <v>0</v>
      </c>
      <c r="Z27" s="331">
        <v>0</v>
      </c>
      <c r="AA27" s="331">
        <v>0.97</v>
      </c>
      <c r="AB27" s="331">
        <v>0</v>
      </c>
      <c r="AC27" s="331">
        <v>0</v>
      </c>
      <c r="AD27" s="1025" t="b">
        <v>0</v>
      </c>
      <c r="AE27" s="331">
        <v>0</v>
      </c>
      <c r="AF27" s="331">
        <v>0.1</v>
      </c>
      <c r="AG27" s="331">
        <v>0.03</v>
      </c>
      <c r="AH27" s="331">
        <v>0</v>
      </c>
      <c r="AI27" s="1025" t="b">
        <v>0</v>
      </c>
      <c r="AJ27" s="331">
        <v>0</v>
      </c>
      <c r="AK27" s="331">
        <v>0</v>
      </c>
      <c r="AL27" s="331">
        <v>0</v>
      </c>
      <c r="AM27" s="331">
        <v>0</v>
      </c>
      <c r="AN27" s="1025" t="b">
        <v>0</v>
      </c>
      <c r="AO27" s="331">
        <v>0</v>
      </c>
      <c r="AP27" s="331">
        <v>0</v>
      </c>
      <c r="AQ27" s="331">
        <v>0</v>
      </c>
      <c r="AR27" s="331">
        <v>0</v>
      </c>
      <c r="AS27" s="1025" t="b">
        <v>0</v>
      </c>
      <c r="AT27" s="1025" t="b">
        <v>0</v>
      </c>
      <c r="AU27" s="331">
        <v>11476</v>
      </c>
      <c r="AV27" s="491" t="s">
        <v>29</v>
      </c>
    </row>
    <row r="28" spans="1:48">
      <c r="A28" s="72">
        <v>5</v>
      </c>
      <c r="B28" s="391" t="s">
        <v>54</v>
      </c>
      <c r="C28" s="72">
        <f t="shared" si="0"/>
        <v>4</v>
      </c>
      <c r="D28" s="72" t="str">
        <f t="shared" si="1"/>
        <v>5-4</v>
      </c>
      <c r="E28" s="72">
        <v>61580</v>
      </c>
      <c r="F28" s="72" t="str">
        <f t="shared" si="2"/>
        <v>5-61580</v>
      </c>
      <c r="G28" s="391" t="s">
        <v>652</v>
      </c>
      <c r="H28" s="331">
        <v>11200.11</v>
      </c>
      <c r="I28" s="331">
        <v>10298.040000000001</v>
      </c>
      <c r="J28" s="331">
        <v>10603.53</v>
      </c>
      <c r="K28" s="331">
        <v>12608.01</v>
      </c>
      <c r="L28" s="491" t="s">
        <v>29</v>
      </c>
      <c r="M28" s="491" t="s">
        <v>29</v>
      </c>
      <c r="N28" s="491" t="s">
        <v>29</v>
      </c>
      <c r="O28" s="491" t="s">
        <v>29</v>
      </c>
      <c r="P28" s="491">
        <v>0</v>
      </c>
      <c r="Q28" s="491">
        <v>0</v>
      </c>
      <c r="R28" s="491">
        <v>0</v>
      </c>
      <c r="S28" s="491">
        <v>0</v>
      </c>
      <c r="T28" s="1025" t="b">
        <v>0</v>
      </c>
      <c r="U28" s="491">
        <v>0</v>
      </c>
      <c r="V28" s="491">
        <v>0</v>
      </c>
      <c r="W28" s="491">
        <v>0</v>
      </c>
      <c r="X28" s="491">
        <v>0</v>
      </c>
      <c r="Y28" s="1025" t="b">
        <v>0</v>
      </c>
      <c r="Z28" s="331">
        <v>0</v>
      </c>
      <c r="AA28" s="331">
        <v>0</v>
      </c>
      <c r="AB28" s="331">
        <v>1</v>
      </c>
      <c r="AC28" s="331">
        <v>0</v>
      </c>
      <c r="AD28" s="1025" t="b">
        <v>0</v>
      </c>
      <c r="AE28" s="331">
        <v>0</v>
      </c>
      <c r="AF28" s="331">
        <v>0</v>
      </c>
      <c r="AG28" s="331">
        <v>0</v>
      </c>
      <c r="AH28" s="331">
        <v>0</v>
      </c>
      <c r="AI28" s="1025" t="b">
        <v>0</v>
      </c>
      <c r="AJ28" s="331">
        <v>0</v>
      </c>
      <c r="AK28" s="331">
        <v>0</v>
      </c>
      <c r="AL28" s="331">
        <v>0</v>
      </c>
      <c r="AM28" s="331">
        <v>0</v>
      </c>
      <c r="AN28" s="1025" t="b">
        <v>0</v>
      </c>
      <c r="AO28" s="331">
        <v>0</v>
      </c>
      <c r="AP28" s="331">
        <v>0</v>
      </c>
      <c r="AQ28" s="331">
        <v>0</v>
      </c>
      <c r="AR28" s="331">
        <v>0</v>
      </c>
      <c r="AS28" s="1025" t="b">
        <v>0</v>
      </c>
      <c r="AT28" s="1025" t="b">
        <v>0</v>
      </c>
      <c r="AU28" s="331">
        <v>10604</v>
      </c>
      <c r="AV28" s="491" t="s">
        <v>29</v>
      </c>
    </row>
    <row r="29" spans="1:48">
      <c r="A29" s="72">
        <v>5</v>
      </c>
      <c r="B29" s="391" t="s">
        <v>54</v>
      </c>
      <c r="C29" s="72">
        <f t="shared" si="0"/>
        <v>0</v>
      </c>
      <c r="D29" s="72" t="str">
        <f t="shared" si="1"/>
        <v>5-0</v>
      </c>
      <c r="E29" s="72" t="s">
        <v>29</v>
      </c>
      <c r="F29" s="72" t="str">
        <f t="shared" si="2"/>
        <v>5-N/A</v>
      </c>
      <c r="G29" s="391" t="s">
        <v>29</v>
      </c>
      <c r="H29" s="491" t="s">
        <v>29</v>
      </c>
      <c r="I29" s="491" t="s">
        <v>29</v>
      </c>
      <c r="J29" s="491" t="s">
        <v>29</v>
      </c>
      <c r="K29" s="491" t="s">
        <v>29</v>
      </c>
      <c r="L29" s="491" t="s">
        <v>29</v>
      </c>
      <c r="M29" s="491" t="s">
        <v>29</v>
      </c>
      <c r="N29" s="491" t="s">
        <v>29</v>
      </c>
      <c r="O29" s="491" t="s">
        <v>29</v>
      </c>
      <c r="P29" s="491" t="s">
        <v>29</v>
      </c>
      <c r="Q29" s="491" t="s">
        <v>29</v>
      </c>
      <c r="R29" s="491" t="s">
        <v>29</v>
      </c>
      <c r="S29" s="491" t="s">
        <v>29</v>
      </c>
      <c r="T29" s="1025" t="s">
        <v>29</v>
      </c>
      <c r="U29" s="491" t="s">
        <v>29</v>
      </c>
      <c r="V29" s="491" t="s">
        <v>29</v>
      </c>
      <c r="W29" s="491" t="s">
        <v>29</v>
      </c>
      <c r="X29" s="491" t="s">
        <v>29</v>
      </c>
      <c r="Y29" s="1025" t="s">
        <v>29</v>
      </c>
      <c r="Z29" s="491" t="s">
        <v>29</v>
      </c>
      <c r="AA29" s="491" t="s">
        <v>29</v>
      </c>
      <c r="AB29" s="491" t="s">
        <v>29</v>
      </c>
      <c r="AC29" s="491" t="s">
        <v>29</v>
      </c>
      <c r="AD29" s="1025" t="s">
        <v>29</v>
      </c>
      <c r="AE29" s="491" t="s">
        <v>29</v>
      </c>
      <c r="AF29" s="491" t="s">
        <v>29</v>
      </c>
      <c r="AG29" s="491" t="s">
        <v>29</v>
      </c>
      <c r="AH29" s="491" t="s">
        <v>29</v>
      </c>
      <c r="AI29" s="1025" t="s">
        <v>29</v>
      </c>
      <c r="AJ29" s="491" t="s">
        <v>29</v>
      </c>
      <c r="AK29" s="491" t="s">
        <v>29</v>
      </c>
      <c r="AL29" s="491" t="s">
        <v>29</v>
      </c>
      <c r="AM29" s="491" t="s">
        <v>29</v>
      </c>
      <c r="AN29" s="1025" t="s">
        <v>29</v>
      </c>
      <c r="AO29" s="491" t="s">
        <v>29</v>
      </c>
      <c r="AP29" s="491" t="s">
        <v>29</v>
      </c>
      <c r="AQ29" s="491" t="s">
        <v>29</v>
      </c>
      <c r="AR29" s="491" t="s">
        <v>29</v>
      </c>
      <c r="AS29" s="1025" t="s">
        <v>29</v>
      </c>
      <c r="AT29" s="1025" t="s">
        <v>29</v>
      </c>
      <c r="AU29" s="491" t="s">
        <v>29</v>
      </c>
      <c r="AV29" s="491">
        <v>333179</v>
      </c>
    </row>
    <row r="30" spans="1:48">
      <c r="A30" s="72">
        <v>6</v>
      </c>
      <c r="B30" s="391" t="s">
        <v>55</v>
      </c>
      <c r="C30" s="72">
        <f t="shared" si="0"/>
        <v>1</v>
      </c>
      <c r="D30" s="72" t="str">
        <f t="shared" si="1"/>
        <v>6-1</v>
      </c>
      <c r="E30" s="72">
        <v>61598</v>
      </c>
      <c r="F30" s="72" t="str">
        <f t="shared" si="2"/>
        <v>6-61598</v>
      </c>
      <c r="G30" s="391" t="s">
        <v>653</v>
      </c>
      <c r="H30" s="491">
        <v>12554.09</v>
      </c>
      <c r="I30" s="491">
        <v>11542.96</v>
      </c>
      <c r="J30" s="491">
        <v>11885.38</v>
      </c>
      <c r="K30" s="491">
        <v>14132.19</v>
      </c>
      <c r="L30" s="491" t="s">
        <v>29</v>
      </c>
      <c r="M30" s="491" t="s">
        <v>29</v>
      </c>
      <c r="N30" s="491" t="s">
        <v>29</v>
      </c>
      <c r="O30" s="491" t="s">
        <v>29</v>
      </c>
      <c r="P30" s="491">
        <v>0</v>
      </c>
      <c r="Q30" s="491">
        <v>0</v>
      </c>
      <c r="R30" s="491">
        <v>0</v>
      </c>
      <c r="S30" s="491">
        <v>0</v>
      </c>
      <c r="T30" s="1025" t="b">
        <v>0</v>
      </c>
      <c r="U30" s="491">
        <v>0</v>
      </c>
      <c r="V30" s="491">
        <v>0</v>
      </c>
      <c r="W30" s="491">
        <v>0</v>
      </c>
      <c r="X30" s="491">
        <v>4.07</v>
      </c>
      <c r="Y30" s="1025" t="b">
        <v>0</v>
      </c>
      <c r="Z30" s="491">
        <v>0</v>
      </c>
      <c r="AA30" s="491">
        <v>0.98</v>
      </c>
      <c r="AB30" s="491">
        <v>1.36</v>
      </c>
      <c r="AC30" s="491">
        <v>0</v>
      </c>
      <c r="AD30" s="1025" t="b">
        <v>0</v>
      </c>
      <c r="AE30" s="491">
        <v>0</v>
      </c>
      <c r="AF30" s="491">
        <v>0</v>
      </c>
      <c r="AG30" s="491">
        <v>0</v>
      </c>
      <c r="AH30" s="491">
        <v>0</v>
      </c>
      <c r="AI30" s="1025" t="b">
        <v>0</v>
      </c>
      <c r="AJ30" s="491">
        <v>0</v>
      </c>
      <c r="AK30" s="491">
        <v>0</v>
      </c>
      <c r="AL30" s="491">
        <v>0</v>
      </c>
      <c r="AM30" s="491">
        <v>0</v>
      </c>
      <c r="AN30" s="1025" t="b">
        <v>0</v>
      </c>
      <c r="AO30" s="491">
        <v>0</v>
      </c>
      <c r="AP30" s="491">
        <v>0</v>
      </c>
      <c r="AQ30" s="491">
        <v>0</v>
      </c>
      <c r="AR30" s="491">
        <v>0</v>
      </c>
      <c r="AS30" s="1025" t="b">
        <v>0</v>
      </c>
      <c r="AT30" s="1025" t="b">
        <v>0</v>
      </c>
      <c r="AU30" s="491">
        <v>84994</v>
      </c>
      <c r="AV30" s="491" t="s">
        <v>29</v>
      </c>
    </row>
    <row r="31" spans="1:48">
      <c r="A31" s="72">
        <v>6</v>
      </c>
      <c r="B31" s="391" t="s">
        <v>55</v>
      </c>
      <c r="C31" s="72">
        <f t="shared" si="0"/>
        <v>2</v>
      </c>
      <c r="D31" s="72" t="str">
        <f t="shared" si="1"/>
        <v>6-2</v>
      </c>
      <c r="E31" s="72">
        <v>61614</v>
      </c>
      <c r="F31" s="72" t="str">
        <f t="shared" si="2"/>
        <v>6-61614</v>
      </c>
      <c r="G31" s="391" t="s">
        <v>654</v>
      </c>
      <c r="H31" s="331">
        <v>12804.38</v>
      </c>
      <c r="I31" s="331">
        <v>11773.1</v>
      </c>
      <c r="J31" s="331">
        <v>12122.34</v>
      </c>
      <c r="K31" s="331">
        <v>14413.94</v>
      </c>
      <c r="L31" s="491" t="s">
        <v>29</v>
      </c>
      <c r="M31" s="491" t="s">
        <v>29</v>
      </c>
      <c r="N31" s="491" t="s">
        <v>29</v>
      </c>
      <c r="O31" s="491" t="s">
        <v>29</v>
      </c>
      <c r="P31" s="491">
        <v>0</v>
      </c>
      <c r="Q31" s="491">
        <v>0</v>
      </c>
      <c r="R31" s="491">
        <v>0</v>
      </c>
      <c r="S31" s="491">
        <v>0</v>
      </c>
      <c r="T31" s="1025" t="b">
        <v>0</v>
      </c>
      <c r="U31" s="491">
        <v>0</v>
      </c>
      <c r="V31" s="491">
        <v>0</v>
      </c>
      <c r="W31" s="491">
        <v>0</v>
      </c>
      <c r="X31" s="491">
        <v>7.6</v>
      </c>
      <c r="Y31" s="1025" t="b">
        <v>0</v>
      </c>
      <c r="Z31" s="331">
        <v>0</v>
      </c>
      <c r="AA31" s="331">
        <v>1.63</v>
      </c>
      <c r="AB31" s="331">
        <v>0</v>
      </c>
      <c r="AC31" s="331">
        <v>0.51</v>
      </c>
      <c r="AD31" s="1025" t="b">
        <v>0</v>
      </c>
      <c r="AE31" s="331">
        <v>0</v>
      </c>
      <c r="AF31" s="331">
        <v>0</v>
      </c>
      <c r="AG31" s="331">
        <v>0</v>
      </c>
      <c r="AH31" s="331">
        <v>0</v>
      </c>
      <c r="AI31" s="1025" t="b">
        <v>0</v>
      </c>
      <c r="AJ31" s="331">
        <v>0</v>
      </c>
      <c r="AK31" s="331">
        <v>0</v>
      </c>
      <c r="AL31" s="331">
        <v>0</v>
      </c>
      <c r="AM31" s="331">
        <v>0</v>
      </c>
      <c r="AN31" s="1025" t="b">
        <v>0</v>
      </c>
      <c r="AO31" s="331">
        <v>0</v>
      </c>
      <c r="AP31" s="331">
        <v>0</v>
      </c>
      <c r="AQ31" s="331">
        <v>0</v>
      </c>
      <c r="AR31" s="331">
        <v>0</v>
      </c>
      <c r="AS31" s="1025" t="b">
        <v>0</v>
      </c>
      <c r="AT31" s="1025" t="b">
        <v>0</v>
      </c>
      <c r="AU31" s="331">
        <v>136087</v>
      </c>
      <c r="AV31" s="491" t="s">
        <v>29</v>
      </c>
    </row>
    <row r="32" spans="1:48">
      <c r="A32" s="72">
        <v>6</v>
      </c>
      <c r="B32" s="391" t="s">
        <v>55</v>
      </c>
      <c r="C32" s="72">
        <f t="shared" si="0"/>
        <v>3</v>
      </c>
      <c r="D32" s="72" t="str">
        <f t="shared" si="1"/>
        <v>6-3</v>
      </c>
      <c r="E32" s="72">
        <v>61622</v>
      </c>
      <c r="F32" s="72" t="str">
        <f t="shared" si="2"/>
        <v>6-61622</v>
      </c>
      <c r="G32" s="391" t="s">
        <v>655</v>
      </c>
      <c r="H32" s="331">
        <v>14624.38</v>
      </c>
      <c r="I32" s="331">
        <v>13446.51</v>
      </c>
      <c r="J32" s="331">
        <v>13845.4</v>
      </c>
      <c r="K32" s="331">
        <v>16462.73</v>
      </c>
      <c r="L32" s="491" t="s">
        <v>29</v>
      </c>
      <c r="M32" s="491" t="s">
        <v>29</v>
      </c>
      <c r="N32" s="491" t="s">
        <v>29</v>
      </c>
      <c r="O32" s="491" t="s">
        <v>29</v>
      </c>
      <c r="P32" s="491">
        <v>0</v>
      </c>
      <c r="Q32" s="491">
        <v>0</v>
      </c>
      <c r="R32" s="491">
        <v>0</v>
      </c>
      <c r="S32" s="491">
        <v>0</v>
      </c>
      <c r="T32" s="1025" t="b">
        <v>0</v>
      </c>
      <c r="U32" s="491">
        <v>0</v>
      </c>
      <c r="V32" s="491">
        <v>0</v>
      </c>
      <c r="W32" s="491">
        <v>0</v>
      </c>
      <c r="X32" s="491">
        <v>0.96</v>
      </c>
      <c r="Y32" s="1025" t="b">
        <v>0</v>
      </c>
      <c r="Z32" s="331">
        <v>0</v>
      </c>
      <c r="AA32" s="331">
        <v>0</v>
      </c>
      <c r="AB32" s="331">
        <v>0</v>
      </c>
      <c r="AC32" s="331">
        <v>0</v>
      </c>
      <c r="AD32" s="1025" t="b">
        <v>0</v>
      </c>
      <c r="AE32" s="331">
        <v>0</v>
      </c>
      <c r="AF32" s="331">
        <v>0</v>
      </c>
      <c r="AG32" s="331">
        <v>0</v>
      </c>
      <c r="AH32" s="331">
        <v>0</v>
      </c>
      <c r="AI32" s="1025" t="b">
        <v>0</v>
      </c>
      <c r="AJ32" s="331">
        <v>0</v>
      </c>
      <c r="AK32" s="331">
        <v>0</v>
      </c>
      <c r="AL32" s="331">
        <v>0</v>
      </c>
      <c r="AM32" s="331">
        <v>0</v>
      </c>
      <c r="AN32" s="1025" t="b">
        <v>0</v>
      </c>
      <c r="AO32" s="331">
        <v>0</v>
      </c>
      <c r="AP32" s="331">
        <v>0</v>
      </c>
      <c r="AQ32" s="331">
        <v>0</v>
      </c>
      <c r="AR32" s="331">
        <v>0</v>
      </c>
      <c r="AS32" s="1025" t="b">
        <v>0</v>
      </c>
      <c r="AT32" s="1025" t="b">
        <v>0</v>
      </c>
      <c r="AU32" s="331">
        <v>15804</v>
      </c>
      <c r="AV32" s="491" t="s">
        <v>29</v>
      </c>
    </row>
    <row r="33" spans="1:48">
      <c r="A33" s="72">
        <v>6</v>
      </c>
      <c r="B33" s="391" t="s">
        <v>55</v>
      </c>
      <c r="C33" s="72">
        <f t="shared" si="0"/>
        <v>0</v>
      </c>
      <c r="D33" s="72" t="str">
        <f t="shared" si="1"/>
        <v>6-0</v>
      </c>
      <c r="E33" s="72" t="s">
        <v>29</v>
      </c>
      <c r="F33" s="72" t="str">
        <f t="shared" si="2"/>
        <v>6-N/A</v>
      </c>
      <c r="G33" s="391" t="s">
        <v>29</v>
      </c>
      <c r="H33" s="491" t="s">
        <v>29</v>
      </c>
      <c r="I33" s="491" t="s">
        <v>29</v>
      </c>
      <c r="J33" s="491" t="s">
        <v>29</v>
      </c>
      <c r="K33" s="491" t="s">
        <v>29</v>
      </c>
      <c r="L33" s="491" t="s">
        <v>29</v>
      </c>
      <c r="M33" s="491" t="s">
        <v>29</v>
      </c>
      <c r="N33" s="491" t="s">
        <v>29</v>
      </c>
      <c r="O33" s="491" t="s">
        <v>29</v>
      </c>
      <c r="P33" s="491" t="s">
        <v>29</v>
      </c>
      <c r="Q33" s="491" t="s">
        <v>29</v>
      </c>
      <c r="R33" s="491" t="s">
        <v>29</v>
      </c>
      <c r="S33" s="491" t="s">
        <v>29</v>
      </c>
      <c r="T33" s="1025" t="s">
        <v>29</v>
      </c>
      <c r="U33" s="491" t="s">
        <v>29</v>
      </c>
      <c r="V33" s="491" t="s">
        <v>29</v>
      </c>
      <c r="W33" s="491" t="s">
        <v>29</v>
      </c>
      <c r="X33" s="491" t="s">
        <v>29</v>
      </c>
      <c r="Y33" s="1025" t="s">
        <v>29</v>
      </c>
      <c r="Z33" s="491" t="s">
        <v>29</v>
      </c>
      <c r="AA33" s="491" t="s">
        <v>29</v>
      </c>
      <c r="AB33" s="491" t="s">
        <v>29</v>
      </c>
      <c r="AC33" s="491" t="s">
        <v>29</v>
      </c>
      <c r="AD33" s="1025" t="s">
        <v>29</v>
      </c>
      <c r="AE33" s="491" t="s">
        <v>29</v>
      </c>
      <c r="AF33" s="491" t="s">
        <v>29</v>
      </c>
      <c r="AG33" s="491" t="s">
        <v>29</v>
      </c>
      <c r="AH33" s="491" t="s">
        <v>29</v>
      </c>
      <c r="AI33" s="1025" t="s">
        <v>29</v>
      </c>
      <c r="AJ33" s="491" t="s">
        <v>29</v>
      </c>
      <c r="AK33" s="491" t="s">
        <v>29</v>
      </c>
      <c r="AL33" s="491" t="s">
        <v>29</v>
      </c>
      <c r="AM33" s="491" t="s">
        <v>29</v>
      </c>
      <c r="AN33" s="1025" t="s">
        <v>29</v>
      </c>
      <c r="AO33" s="491" t="s">
        <v>29</v>
      </c>
      <c r="AP33" s="491" t="s">
        <v>29</v>
      </c>
      <c r="AQ33" s="491" t="s">
        <v>29</v>
      </c>
      <c r="AR33" s="491" t="s">
        <v>29</v>
      </c>
      <c r="AS33" s="1025" t="s">
        <v>29</v>
      </c>
      <c r="AT33" s="1025" t="s">
        <v>29</v>
      </c>
      <c r="AU33" s="491" t="s">
        <v>29</v>
      </c>
      <c r="AV33" s="491">
        <v>236885</v>
      </c>
    </row>
    <row r="34" spans="1:48">
      <c r="A34" s="72">
        <v>7</v>
      </c>
      <c r="B34" s="391" t="s">
        <v>109</v>
      </c>
      <c r="C34" s="72">
        <f t="shared" si="0"/>
        <v>1</v>
      </c>
      <c r="D34" s="72" t="str">
        <f t="shared" si="1"/>
        <v>7-1</v>
      </c>
      <c r="E34" s="72">
        <v>61168</v>
      </c>
      <c r="F34" s="72" t="str">
        <f t="shared" si="2"/>
        <v>7-61168</v>
      </c>
      <c r="G34" s="391" t="s">
        <v>656</v>
      </c>
      <c r="H34" s="491">
        <v>13687.72</v>
      </c>
      <c r="I34" s="491">
        <v>12585.29</v>
      </c>
      <c r="J34" s="491">
        <v>12958.63</v>
      </c>
      <c r="K34" s="491">
        <v>15408.32</v>
      </c>
      <c r="L34" s="1072">
        <v>0</v>
      </c>
      <c r="M34" s="1072">
        <v>0</v>
      </c>
      <c r="N34" s="1072">
        <v>0</v>
      </c>
      <c r="O34" s="1072">
        <v>0</v>
      </c>
      <c r="P34" s="491">
        <v>0</v>
      </c>
      <c r="Q34" s="491">
        <v>0</v>
      </c>
      <c r="R34" s="491">
        <v>0</v>
      </c>
      <c r="S34" s="491">
        <v>0</v>
      </c>
      <c r="T34" s="1025" t="b">
        <v>0</v>
      </c>
      <c r="U34" s="491">
        <v>0</v>
      </c>
      <c r="V34" s="491">
        <v>0</v>
      </c>
      <c r="W34" s="491">
        <v>0</v>
      </c>
      <c r="X34" s="491">
        <v>0</v>
      </c>
      <c r="Y34" s="1025" t="b">
        <v>0</v>
      </c>
      <c r="Z34" s="491">
        <v>0</v>
      </c>
      <c r="AA34" s="491">
        <v>0</v>
      </c>
      <c r="AB34" s="491">
        <v>0</v>
      </c>
      <c r="AC34" s="491">
        <v>0</v>
      </c>
      <c r="AD34" s="1025" t="b">
        <v>0</v>
      </c>
      <c r="AE34" s="491">
        <v>0</v>
      </c>
      <c r="AF34" s="491">
        <v>0</v>
      </c>
      <c r="AG34" s="491">
        <v>0.11</v>
      </c>
      <c r="AH34" s="491">
        <v>0</v>
      </c>
      <c r="AI34" s="1025" t="b">
        <v>1</v>
      </c>
      <c r="AJ34" s="491">
        <v>0</v>
      </c>
      <c r="AK34" s="491">
        <v>0</v>
      </c>
      <c r="AL34" s="491">
        <v>0</v>
      </c>
      <c r="AM34" s="491">
        <v>0</v>
      </c>
      <c r="AN34" s="1025" t="b">
        <v>0</v>
      </c>
      <c r="AO34" s="491">
        <v>0</v>
      </c>
      <c r="AP34" s="491">
        <v>0</v>
      </c>
      <c r="AQ34" s="491">
        <v>0</v>
      </c>
      <c r="AR34" s="491">
        <v>0</v>
      </c>
      <c r="AS34" s="1025" t="b">
        <v>0</v>
      </c>
      <c r="AT34" s="1025" t="b">
        <v>1</v>
      </c>
      <c r="AU34" s="491">
        <v>0</v>
      </c>
      <c r="AV34" s="491" t="s">
        <v>29</v>
      </c>
    </row>
    <row r="35" spans="1:48">
      <c r="A35" s="72">
        <v>7</v>
      </c>
      <c r="B35" s="391" t="s">
        <v>109</v>
      </c>
      <c r="C35" s="72">
        <f t="shared" si="0"/>
        <v>2</v>
      </c>
      <c r="D35" s="72" t="str">
        <f t="shared" si="1"/>
        <v>7-2</v>
      </c>
      <c r="E35" s="72">
        <v>61176</v>
      </c>
      <c r="F35" s="72" t="str">
        <f t="shared" si="2"/>
        <v>7-61176</v>
      </c>
      <c r="G35" s="391" t="s">
        <v>1780</v>
      </c>
      <c r="H35" s="491">
        <v>10684.65</v>
      </c>
      <c r="I35" s="491">
        <v>9824.09</v>
      </c>
      <c r="J35" s="491">
        <v>10115.52</v>
      </c>
      <c r="K35" s="491">
        <v>12027.76</v>
      </c>
      <c r="L35" s="1072">
        <v>0</v>
      </c>
      <c r="M35" s="1072">
        <v>0</v>
      </c>
      <c r="N35" s="1072">
        <v>0</v>
      </c>
      <c r="O35" s="1072">
        <v>0</v>
      </c>
      <c r="P35" s="491">
        <v>0</v>
      </c>
      <c r="Q35" s="491">
        <v>0</v>
      </c>
      <c r="R35" s="491">
        <v>0</v>
      </c>
      <c r="S35" s="491">
        <v>0</v>
      </c>
      <c r="T35" s="1025" t="b">
        <v>0</v>
      </c>
      <c r="U35" s="491">
        <v>0</v>
      </c>
      <c r="V35" s="491">
        <v>0</v>
      </c>
      <c r="W35" s="491">
        <v>0</v>
      </c>
      <c r="X35" s="491">
        <v>0.57999999999999996</v>
      </c>
      <c r="Y35" s="1025" t="b">
        <v>1</v>
      </c>
      <c r="Z35" s="491">
        <v>0</v>
      </c>
      <c r="AA35" s="491">
        <v>0</v>
      </c>
      <c r="AB35" s="491">
        <v>0</v>
      </c>
      <c r="AC35" s="491">
        <v>0</v>
      </c>
      <c r="AD35" s="1025" t="b">
        <v>0</v>
      </c>
      <c r="AE35" s="491">
        <v>0</v>
      </c>
      <c r="AF35" s="491">
        <v>0</v>
      </c>
      <c r="AG35" s="491">
        <v>0</v>
      </c>
      <c r="AH35" s="491">
        <v>0</v>
      </c>
      <c r="AI35" s="1025" t="b">
        <v>0</v>
      </c>
      <c r="AJ35" s="491">
        <v>0</v>
      </c>
      <c r="AK35" s="491">
        <v>0</v>
      </c>
      <c r="AL35" s="491">
        <v>0</v>
      </c>
      <c r="AM35" s="491">
        <v>0</v>
      </c>
      <c r="AN35" s="1025" t="b">
        <v>0</v>
      </c>
      <c r="AO35" s="491">
        <v>0</v>
      </c>
      <c r="AP35" s="491">
        <v>0</v>
      </c>
      <c r="AQ35" s="491">
        <v>0</v>
      </c>
      <c r="AR35" s="491">
        <v>0</v>
      </c>
      <c r="AS35" s="1025" t="b">
        <v>0</v>
      </c>
      <c r="AT35" s="1025" t="b">
        <v>0</v>
      </c>
      <c r="AU35" s="491">
        <v>6976</v>
      </c>
      <c r="AV35" s="491" t="s">
        <v>29</v>
      </c>
    </row>
    <row r="36" spans="1:48">
      <c r="A36" s="72">
        <v>7</v>
      </c>
      <c r="B36" s="391" t="s">
        <v>109</v>
      </c>
      <c r="C36" s="72">
        <f t="shared" si="0"/>
        <v>3</v>
      </c>
      <c r="D36" s="72" t="str">
        <f t="shared" si="1"/>
        <v>7-3</v>
      </c>
      <c r="E36" s="72">
        <v>61192</v>
      </c>
      <c r="F36" s="72" t="str">
        <f t="shared" si="2"/>
        <v>7-61192</v>
      </c>
      <c r="G36" s="391" t="s">
        <v>1641</v>
      </c>
      <c r="H36" s="331">
        <v>12635.8</v>
      </c>
      <c r="I36" s="331">
        <v>11618.09</v>
      </c>
      <c r="J36" s="331">
        <v>11962.74</v>
      </c>
      <c r="K36" s="331">
        <v>14224.17</v>
      </c>
      <c r="L36" s="1072">
        <v>0</v>
      </c>
      <c r="M36" s="1072">
        <v>0</v>
      </c>
      <c r="N36" s="1072">
        <v>0</v>
      </c>
      <c r="O36" s="1072">
        <v>0</v>
      </c>
      <c r="P36" s="491">
        <v>0</v>
      </c>
      <c r="Q36" s="491">
        <v>0</v>
      </c>
      <c r="R36" s="491">
        <v>0</v>
      </c>
      <c r="S36" s="491">
        <v>0</v>
      </c>
      <c r="T36" s="1025" t="b">
        <v>0</v>
      </c>
      <c r="U36" s="491">
        <v>0</v>
      </c>
      <c r="V36" s="491">
        <v>0</v>
      </c>
      <c r="W36" s="491">
        <v>0</v>
      </c>
      <c r="X36" s="491">
        <v>0.9</v>
      </c>
      <c r="Y36" s="1025" t="b">
        <v>1</v>
      </c>
      <c r="Z36" s="331">
        <v>0</v>
      </c>
      <c r="AA36" s="331">
        <v>0</v>
      </c>
      <c r="AB36" s="331">
        <v>0</v>
      </c>
      <c r="AC36" s="331">
        <v>0</v>
      </c>
      <c r="AD36" s="1025" t="b">
        <v>0</v>
      </c>
      <c r="AE36" s="331">
        <v>0</v>
      </c>
      <c r="AF36" s="331">
        <v>0</v>
      </c>
      <c r="AG36" s="331">
        <v>0</v>
      </c>
      <c r="AH36" s="331">
        <v>0.1</v>
      </c>
      <c r="AI36" s="1025" t="b">
        <v>1</v>
      </c>
      <c r="AJ36" s="331">
        <v>0</v>
      </c>
      <c r="AK36" s="331">
        <v>0</v>
      </c>
      <c r="AL36" s="331">
        <v>0</v>
      </c>
      <c r="AM36" s="331">
        <v>0</v>
      </c>
      <c r="AN36" s="1025" t="b">
        <v>0</v>
      </c>
      <c r="AO36" s="331">
        <v>0</v>
      </c>
      <c r="AP36" s="331">
        <v>0</v>
      </c>
      <c r="AQ36" s="331">
        <v>0</v>
      </c>
      <c r="AR36" s="331">
        <v>0</v>
      </c>
      <c r="AS36" s="1025" t="b">
        <v>0</v>
      </c>
      <c r="AT36" s="1025" t="b">
        <v>0</v>
      </c>
      <c r="AU36" s="331">
        <v>14224</v>
      </c>
      <c r="AV36" s="491" t="s">
        <v>29</v>
      </c>
    </row>
    <row r="37" spans="1:48">
      <c r="A37" s="72">
        <v>7</v>
      </c>
      <c r="B37" s="391" t="s">
        <v>109</v>
      </c>
      <c r="C37" s="72">
        <f t="shared" si="0"/>
        <v>4</v>
      </c>
      <c r="D37" s="72" t="str">
        <f t="shared" si="1"/>
        <v>7-4</v>
      </c>
      <c r="E37" s="72">
        <v>61275</v>
      </c>
      <c r="F37" s="72" t="str">
        <f t="shared" si="2"/>
        <v>7-61275</v>
      </c>
      <c r="G37" s="391" t="s">
        <v>1642</v>
      </c>
      <c r="H37" s="331">
        <v>10195.09</v>
      </c>
      <c r="I37" s="331">
        <v>9373.9699999999993</v>
      </c>
      <c r="J37" s="331">
        <v>9652.0400000000009</v>
      </c>
      <c r="K37" s="331">
        <v>11476.66</v>
      </c>
      <c r="L37" s="1072">
        <v>0</v>
      </c>
      <c r="M37" s="1072">
        <v>0</v>
      </c>
      <c r="N37" s="1072">
        <v>0</v>
      </c>
      <c r="O37" s="1072">
        <v>0</v>
      </c>
      <c r="P37" s="491">
        <v>0</v>
      </c>
      <c r="Q37" s="491">
        <v>0</v>
      </c>
      <c r="R37" s="491">
        <v>0</v>
      </c>
      <c r="S37" s="491">
        <v>0</v>
      </c>
      <c r="T37" s="1025" t="b">
        <v>0</v>
      </c>
      <c r="U37" s="491">
        <v>0</v>
      </c>
      <c r="V37" s="491">
        <v>0</v>
      </c>
      <c r="W37" s="491">
        <v>0</v>
      </c>
      <c r="X37" s="491">
        <v>1.82</v>
      </c>
      <c r="Y37" s="1025" t="b">
        <v>1</v>
      </c>
      <c r="Z37" s="331">
        <v>0</v>
      </c>
      <c r="AA37" s="331">
        <v>0</v>
      </c>
      <c r="AB37" s="331">
        <v>0</v>
      </c>
      <c r="AC37" s="331">
        <v>0</v>
      </c>
      <c r="AD37" s="1025" t="b">
        <v>0</v>
      </c>
      <c r="AE37" s="331">
        <v>0</v>
      </c>
      <c r="AF37" s="331">
        <v>0</v>
      </c>
      <c r="AG37" s="331">
        <v>0</v>
      </c>
      <c r="AH37" s="331">
        <v>0.17</v>
      </c>
      <c r="AI37" s="1025" t="b">
        <v>1</v>
      </c>
      <c r="AJ37" s="331">
        <v>0</v>
      </c>
      <c r="AK37" s="331">
        <v>0</v>
      </c>
      <c r="AL37" s="331">
        <v>0</v>
      </c>
      <c r="AM37" s="331">
        <v>0</v>
      </c>
      <c r="AN37" s="1025" t="b">
        <v>0</v>
      </c>
      <c r="AO37" s="331">
        <v>0</v>
      </c>
      <c r="AP37" s="331">
        <v>0</v>
      </c>
      <c r="AQ37" s="331">
        <v>0</v>
      </c>
      <c r="AR37" s="331">
        <v>0</v>
      </c>
      <c r="AS37" s="1025" t="b">
        <v>0</v>
      </c>
      <c r="AT37" s="1025" t="b">
        <v>0</v>
      </c>
      <c r="AU37" s="331">
        <v>22839</v>
      </c>
      <c r="AV37" s="491" t="s">
        <v>29</v>
      </c>
    </row>
    <row r="38" spans="1:48">
      <c r="A38" s="72">
        <v>7</v>
      </c>
      <c r="B38" s="391" t="s">
        <v>109</v>
      </c>
      <c r="C38" s="72">
        <f t="shared" si="0"/>
        <v>5</v>
      </c>
      <c r="D38" s="72" t="str">
        <f t="shared" si="1"/>
        <v>7-5</v>
      </c>
      <c r="E38" s="72">
        <v>61291</v>
      </c>
      <c r="F38" s="72" t="str">
        <f t="shared" si="2"/>
        <v>7-61291</v>
      </c>
      <c r="G38" s="391" t="s">
        <v>657</v>
      </c>
      <c r="H38" s="331">
        <v>12800.08</v>
      </c>
      <c r="I38" s="331">
        <v>11769.14</v>
      </c>
      <c r="J38" s="331">
        <v>12118.27</v>
      </c>
      <c r="K38" s="331">
        <v>14409.1</v>
      </c>
      <c r="L38" s="1072">
        <v>0</v>
      </c>
      <c r="M38" s="1072">
        <v>0</v>
      </c>
      <c r="N38" s="1072">
        <v>0</v>
      </c>
      <c r="O38" s="1072">
        <v>0</v>
      </c>
      <c r="P38" s="491">
        <v>0</v>
      </c>
      <c r="Q38" s="491">
        <v>0</v>
      </c>
      <c r="R38" s="491">
        <v>0</v>
      </c>
      <c r="S38" s="491">
        <v>0</v>
      </c>
      <c r="T38" s="1025" t="b">
        <v>0</v>
      </c>
      <c r="U38" s="491">
        <v>0</v>
      </c>
      <c r="V38" s="491">
        <v>0.45</v>
      </c>
      <c r="W38" s="491">
        <v>0</v>
      </c>
      <c r="X38" s="491">
        <v>0</v>
      </c>
      <c r="Y38" s="1025" t="b">
        <v>1</v>
      </c>
      <c r="Z38" s="331">
        <v>0</v>
      </c>
      <c r="AA38" s="331">
        <v>0</v>
      </c>
      <c r="AB38" s="331">
        <v>0</v>
      </c>
      <c r="AC38" s="331">
        <v>0</v>
      </c>
      <c r="AD38" s="1025" t="b">
        <v>0</v>
      </c>
      <c r="AE38" s="331">
        <v>0</v>
      </c>
      <c r="AF38" s="331">
        <v>0.1</v>
      </c>
      <c r="AG38" s="331">
        <v>0</v>
      </c>
      <c r="AH38" s="331">
        <v>0</v>
      </c>
      <c r="AI38" s="1025" t="b">
        <v>1</v>
      </c>
      <c r="AJ38" s="331">
        <v>0</v>
      </c>
      <c r="AK38" s="331">
        <v>0</v>
      </c>
      <c r="AL38" s="331">
        <v>0</v>
      </c>
      <c r="AM38" s="331">
        <v>0</v>
      </c>
      <c r="AN38" s="1025" t="b">
        <v>0</v>
      </c>
      <c r="AO38" s="331">
        <v>0</v>
      </c>
      <c r="AP38" s="331">
        <v>0</v>
      </c>
      <c r="AQ38" s="331">
        <v>0</v>
      </c>
      <c r="AR38" s="331">
        <v>0</v>
      </c>
      <c r="AS38" s="1025" t="b">
        <v>0</v>
      </c>
      <c r="AT38" s="1025" t="b">
        <v>0</v>
      </c>
      <c r="AU38" s="331">
        <v>6473</v>
      </c>
      <c r="AV38" s="491" t="s">
        <v>29</v>
      </c>
    </row>
    <row r="39" spans="1:48">
      <c r="A39" s="72">
        <v>7</v>
      </c>
      <c r="B39" s="391" t="s">
        <v>109</v>
      </c>
      <c r="C39" s="72">
        <f t="shared" si="0"/>
        <v>6</v>
      </c>
      <c r="D39" s="72" t="str">
        <f t="shared" si="1"/>
        <v>7-6</v>
      </c>
      <c r="E39" s="72">
        <v>75101</v>
      </c>
      <c r="F39" s="72" t="str">
        <f t="shared" si="2"/>
        <v>7-75101</v>
      </c>
      <c r="G39" s="391" t="s">
        <v>658</v>
      </c>
      <c r="H39" s="331">
        <v>10450.700000000001</v>
      </c>
      <c r="I39" s="331">
        <v>9608.99</v>
      </c>
      <c r="J39" s="331">
        <v>9894.0300000000007</v>
      </c>
      <c r="K39" s="331">
        <v>11764.4</v>
      </c>
      <c r="L39" s="1072">
        <v>0</v>
      </c>
      <c r="M39" s="1072">
        <v>0</v>
      </c>
      <c r="N39" s="1072">
        <v>0</v>
      </c>
      <c r="O39" s="1072">
        <v>0</v>
      </c>
      <c r="P39" s="491">
        <v>0</v>
      </c>
      <c r="Q39" s="491">
        <v>0</v>
      </c>
      <c r="R39" s="491">
        <v>0</v>
      </c>
      <c r="S39" s="491">
        <v>0</v>
      </c>
      <c r="T39" s="1025" t="b">
        <v>0</v>
      </c>
      <c r="U39" s="491">
        <v>0</v>
      </c>
      <c r="V39" s="491">
        <v>0</v>
      </c>
      <c r="W39" s="491">
        <v>7.0000000000000007E-2</v>
      </c>
      <c r="X39" s="491">
        <v>0.05</v>
      </c>
      <c r="Y39" s="1025" t="b">
        <v>1</v>
      </c>
      <c r="Z39" s="331">
        <v>0</v>
      </c>
      <c r="AA39" s="331">
        <v>0</v>
      </c>
      <c r="AB39" s="331">
        <v>0</v>
      </c>
      <c r="AC39" s="331">
        <v>0</v>
      </c>
      <c r="AD39" s="1025" t="b">
        <v>0</v>
      </c>
      <c r="AE39" s="331">
        <v>0</v>
      </c>
      <c r="AF39" s="331">
        <v>0</v>
      </c>
      <c r="AG39" s="331">
        <v>0</v>
      </c>
      <c r="AH39" s="331">
        <v>7.0000000000000007E-2</v>
      </c>
      <c r="AI39" s="1025" t="b">
        <v>1</v>
      </c>
      <c r="AJ39" s="331">
        <v>0</v>
      </c>
      <c r="AK39" s="331">
        <v>0</v>
      </c>
      <c r="AL39" s="331">
        <v>0</v>
      </c>
      <c r="AM39" s="331">
        <v>0</v>
      </c>
      <c r="AN39" s="1025" t="b">
        <v>0</v>
      </c>
      <c r="AO39" s="331">
        <v>0</v>
      </c>
      <c r="AP39" s="331">
        <v>0</v>
      </c>
      <c r="AQ39" s="331">
        <v>0</v>
      </c>
      <c r="AR39" s="331">
        <v>0</v>
      </c>
      <c r="AS39" s="1025" t="b">
        <v>0</v>
      </c>
      <c r="AT39" s="1025" t="b">
        <v>0</v>
      </c>
      <c r="AU39" s="331">
        <v>2105</v>
      </c>
      <c r="AV39" s="491" t="s">
        <v>29</v>
      </c>
    </row>
    <row r="40" spans="1:48">
      <c r="A40" s="72">
        <v>7</v>
      </c>
      <c r="B40" s="391" t="s">
        <v>109</v>
      </c>
      <c r="C40" s="72">
        <f t="shared" si="0"/>
        <v>7</v>
      </c>
      <c r="D40" s="72" t="str">
        <f t="shared" si="1"/>
        <v>7-7</v>
      </c>
      <c r="E40" s="72">
        <v>61630</v>
      </c>
      <c r="F40" s="72" t="str">
        <f t="shared" si="2"/>
        <v>7-61630</v>
      </c>
      <c r="G40" s="391" t="s">
        <v>659</v>
      </c>
      <c r="H40" s="331">
        <v>10289.4</v>
      </c>
      <c r="I40" s="331">
        <v>9460.68</v>
      </c>
      <c r="J40" s="331">
        <v>9741.33</v>
      </c>
      <c r="K40" s="331">
        <v>11582.82</v>
      </c>
      <c r="L40" s="1072">
        <v>0</v>
      </c>
      <c r="M40" s="1072">
        <v>0</v>
      </c>
      <c r="N40" s="1072">
        <v>0</v>
      </c>
      <c r="O40" s="1072">
        <v>0</v>
      </c>
      <c r="P40" s="491">
        <v>0</v>
      </c>
      <c r="Q40" s="491">
        <v>0</v>
      </c>
      <c r="R40" s="491">
        <v>0</v>
      </c>
      <c r="S40" s="491">
        <v>0</v>
      </c>
      <c r="T40" s="1025" t="b">
        <v>0</v>
      </c>
      <c r="U40" s="491">
        <v>0</v>
      </c>
      <c r="V40" s="491">
        <v>0</v>
      </c>
      <c r="W40" s="491">
        <v>0</v>
      </c>
      <c r="X40" s="491">
        <v>5.23</v>
      </c>
      <c r="Y40" s="1025" t="b">
        <v>1</v>
      </c>
      <c r="Z40" s="331">
        <v>0</v>
      </c>
      <c r="AA40" s="331">
        <v>0</v>
      </c>
      <c r="AB40" s="331">
        <v>0</v>
      </c>
      <c r="AC40" s="331">
        <v>0</v>
      </c>
      <c r="AD40" s="1025" t="b">
        <v>0</v>
      </c>
      <c r="AE40" s="331">
        <v>0</v>
      </c>
      <c r="AF40" s="331">
        <v>0</v>
      </c>
      <c r="AG40" s="331">
        <v>0</v>
      </c>
      <c r="AH40" s="331">
        <v>0.41</v>
      </c>
      <c r="AI40" s="1025" t="b">
        <v>1</v>
      </c>
      <c r="AJ40" s="331">
        <v>0</v>
      </c>
      <c r="AK40" s="331">
        <v>0</v>
      </c>
      <c r="AL40" s="331">
        <v>0</v>
      </c>
      <c r="AM40" s="331">
        <v>0</v>
      </c>
      <c r="AN40" s="1025" t="b">
        <v>0</v>
      </c>
      <c r="AO40" s="331">
        <v>0</v>
      </c>
      <c r="AP40" s="331">
        <v>0</v>
      </c>
      <c r="AQ40" s="331">
        <v>0</v>
      </c>
      <c r="AR40" s="331">
        <v>0</v>
      </c>
      <c r="AS40" s="1025" t="b">
        <v>0</v>
      </c>
      <c r="AT40" s="1025" t="b">
        <v>1</v>
      </c>
      <c r="AU40" s="331">
        <v>0</v>
      </c>
      <c r="AV40" s="491" t="s">
        <v>29</v>
      </c>
    </row>
    <row r="41" spans="1:48">
      <c r="A41" s="72">
        <v>7</v>
      </c>
      <c r="B41" s="391" t="s">
        <v>109</v>
      </c>
      <c r="C41" s="72">
        <f t="shared" si="0"/>
        <v>8</v>
      </c>
      <c r="D41" s="72" t="str">
        <f t="shared" si="1"/>
        <v>7-8</v>
      </c>
      <c r="E41" s="72">
        <v>61648</v>
      </c>
      <c r="F41" s="72" t="str">
        <f t="shared" si="2"/>
        <v>7-61648</v>
      </c>
      <c r="G41" s="391" t="s">
        <v>660</v>
      </c>
      <c r="H41" s="331">
        <v>12933.4</v>
      </c>
      <c r="I41" s="331">
        <v>11891.72</v>
      </c>
      <c r="J41" s="331">
        <v>12244.49</v>
      </c>
      <c r="K41" s="331">
        <v>14559.18</v>
      </c>
      <c r="L41" s="1072">
        <v>0</v>
      </c>
      <c r="M41" s="1072">
        <v>0</v>
      </c>
      <c r="N41" s="1072">
        <v>0</v>
      </c>
      <c r="O41" s="1072">
        <v>0</v>
      </c>
      <c r="P41" s="491">
        <v>0</v>
      </c>
      <c r="Q41" s="491">
        <v>0</v>
      </c>
      <c r="R41" s="491">
        <v>0</v>
      </c>
      <c r="S41" s="491">
        <v>0</v>
      </c>
      <c r="T41" s="1025" t="b">
        <v>0</v>
      </c>
      <c r="U41" s="491">
        <v>1.75</v>
      </c>
      <c r="V41" s="491">
        <v>0.88</v>
      </c>
      <c r="W41" s="491">
        <v>3.54</v>
      </c>
      <c r="X41" s="491">
        <v>10.82</v>
      </c>
      <c r="Y41" s="1025" t="b">
        <v>1</v>
      </c>
      <c r="Z41" s="331">
        <v>0</v>
      </c>
      <c r="AA41" s="331">
        <v>0</v>
      </c>
      <c r="AB41" s="331">
        <v>0</v>
      </c>
      <c r="AC41" s="331">
        <v>0</v>
      </c>
      <c r="AD41" s="1025" t="b">
        <v>0</v>
      </c>
      <c r="AE41" s="331">
        <v>0.19</v>
      </c>
      <c r="AF41" s="331">
        <v>0.1</v>
      </c>
      <c r="AG41" s="331">
        <v>0.26</v>
      </c>
      <c r="AH41" s="331">
        <v>0.67</v>
      </c>
      <c r="AI41" s="1025" t="b">
        <v>1</v>
      </c>
      <c r="AJ41" s="331">
        <v>0</v>
      </c>
      <c r="AK41" s="331">
        <v>0</v>
      </c>
      <c r="AL41" s="331">
        <v>0</v>
      </c>
      <c r="AM41" s="331">
        <v>0</v>
      </c>
      <c r="AN41" s="1025" t="b">
        <v>0</v>
      </c>
      <c r="AO41" s="331">
        <v>0</v>
      </c>
      <c r="AP41" s="331">
        <v>0</v>
      </c>
      <c r="AQ41" s="331">
        <v>0</v>
      </c>
      <c r="AR41" s="331">
        <v>0</v>
      </c>
      <c r="AS41" s="1025" t="b">
        <v>0</v>
      </c>
      <c r="AT41" s="1025" t="b">
        <v>1</v>
      </c>
      <c r="AU41" s="331">
        <v>0</v>
      </c>
      <c r="AV41" s="491" t="s">
        <v>29</v>
      </c>
    </row>
    <row r="42" spans="1:48">
      <c r="A42" s="72">
        <v>7</v>
      </c>
      <c r="B42" s="391" t="s">
        <v>109</v>
      </c>
      <c r="C42" s="72">
        <f t="shared" si="0"/>
        <v>9</v>
      </c>
      <c r="D42" s="72" t="str">
        <f t="shared" si="1"/>
        <v>7-9</v>
      </c>
      <c r="E42" s="72">
        <v>61655</v>
      </c>
      <c r="F42" s="72" t="str">
        <f t="shared" si="2"/>
        <v>7-61655</v>
      </c>
      <c r="G42" s="391" t="s">
        <v>661</v>
      </c>
      <c r="H42" s="331">
        <v>10695.58</v>
      </c>
      <c r="I42" s="331">
        <v>9834.14</v>
      </c>
      <c r="J42" s="331">
        <v>10125.870000000001</v>
      </c>
      <c r="K42" s="331">
        <v>12040.06</v>
      </c>
      <c r="L42" s="1072">
        <v>0</v>
      </c>
      <c r="M42" s="1072">
        <v>0</v>
      </c>
      <c r="N42" s="1072">
        <v>0</v>
      </c>
      <c r="O42" s="1072">
        <v>0</v>
      </c>
      <c r="P42" s="491">
        <v>0</v>
      </c>
      <c r="Q42" s="491">
        <v>0</v>
      </c>
      <c r="R42" s="491">
        <v>0</v>
      </c>
      <c r="S42" s="491">
        <v>0</v>
      </c>
      <c r="T42" s="1025" t="b">
        <v>0</v>
      </c>
      <c r="U42" s="491">
        <v>2.54</v>
      </c>
      <c r="V42" s="491">
        <v>3.55</v>
      </c>
      <c r="W42" s="491">
        <v>4.8499999999999996</v>
      </c>
      <c r="X42" s="491">
        <v>0</v>
      </c>
      <c r="Y42" s="1025" t="b">
        <v>1</v>
      </c>
      <c r="Z42" s="331">
        <v>0</v>
      </c>
      <c r="AA42" s="331">
        <v>0</v>
      </c>
      <c r="AB42" s="331">
        <v>0</v>
      </c>
      <c r="AC42" s="331">
        <v>0</v>
      </c>
      <c r="AD42" s="1025" t="b">
        <v>0</v>
      </c>
      <c r="AE42" s="331">
        <v>0.43</v>
      </c>
      <c r="AF42" s="331">
        <v>0.49</v>
      </c>
      <c r="AG42" s="331">
        <v>7.0000000000000007E-2</v>
      </c>
      <c r="AH42" s="331">
        <v>0</v>
      </c>
      <c r="AI42" s="1025" t="b">
        <v>1</v>
      </c>
      <c r="AJ42" s="331">
        <v>0</v>
      </c>
      <c r="AK42" s="331">
        <v>0</v>
      </c>
      <c r="AL42" s="331">
        <v>0</v>
      </c>
      <c r="AM42" s="331">
        <v>0</v>
      </c>
      <c r="AN42" s="1025" t="b">
        <v>0</v>
      </c>
      <c r="AO42" s="331">
        <v>0</v>
      </c>
      <c r="AP42" s="331">
        <v>0</v>
      </c>
      <c r="AQ42" s="331">
        <v>0</v>
      </c>
      <c r="AR42" s="331">
        <v>0</v>
      </c>
      <c r="AS42" s="1025" t="b">
        <v>0</v>
      </c>
      <c r="AT42" s="1025" t="b">
        <v>1</v>
      </c>
      <c r="AU42" s="331">
        <v>0</v>
      </c>
      <c r="AV42" s="491" t="s">
        <v>29</v>
      </c>
    </row>
    <row r="43" spans="1:48">
      <c r="A43" s="72">
        <v>7</v>
      </c>
      <c r="B43" s="391" t="s">
        <v>109</v>
      </c>
      <c r="C43" s="72">
        <f t="shared" si="0"/>
        <v>10</v>
      </c>
      <c r="D43" s="72" t="str">
        <f t="shared" si="1"/>
        <v>7-10</v>
      </c>
      <c r="E43" s="72">
        <v>61663</v>
      </c>
      <c r="F43" s="72" t="str">
        <f t="shared" si="2"/>
        <v>7-61663</v>
      </c>
      <c r="G43" s="391" t="s">
        <v>662</v>
      </c>
      <c r="H43" s="331">
        <v>10791.31</v>
      </c>
      <c r="I43" s="331">
        <v>9922.16</v>
      </c>
      <c r="J43" s="331">
        <v>10216.5</v>
      </c>
      <c r="K43" s="331">
        <v>12147.82</v>
      </c>
      <c r="L43" s="1072">
        <v>0</v>
      </c>
      <c r="M43" s="1072">
        <v>0</v>
      </c>
      <c r="N43" s="1072">
        <v>0</v>
      </c>
      <c r="O43" s="1072">
        <v>0</v>
      </c>
      <c r="P43" s="491">
        <v>0</v>
      </c>
      <c r="Q43" s="491">
        <v>0</v>
      </c>
      <c r="R43" s="491">
        <v>0</v>
      </c>
      <c r="S43" s="491">
        <v>0</v>
      </c>
      <c r="T43" s="1025" t="b">
        <v>0</v>
      </c>
      <c r="U43" s="491">
        <v>0.82</v>
      </c>
      <c r="V43" s="491">
        <v>0</v>
      </c>
      <c r="W43" s="491">
        <v>0</v>
      </c>
      <c r="X43" s="491">
        <v>0</v>
      </c>
      <c r="Y43" s="1025" t="b">
        <v>1</v>
      </c>
      <c r="Z43" s="331">
        <v>0</v>
      </c>
      <c r="AA43" s="331">
        <v>0</v>
      </c>
      <c r="AB43" s="331">
        <v>0</v>
      </c>
      <c r="AC43" s="331">
        <v>0</v>
      </c>
      <c r="AD43" s="1025" t="b">
        <v>0</v>
      </c>
      <c r="AE43" s="331">
        <v>0.11</v>
      </c>
      <c r="AF43" s="331">
        <v>0</v>
      </c>
      <c r="AG43" s="331">
        <v>0</v>
      </c>
      <c r="AH43" s="331">
        <v>0</v>
      </c>
      <c r="AI43" s="1025" t="b">
        <v>1</v>
      </c>
      <c r="AJ43" s="331">
        <v>0</v>
      </c>
      <c r="AK43" s="331">
        <v>0</v>
      </c>
      <c r="AL43" s="331">
        <v>0</v>
      </c>
      <c r="AM43" s="331">
        <v>0</v>
      </c>
      <c r="AN43" s="1025" t="b">
        <v>0</v>
      </c>
      <c r="AO43" s="331">
        <v>0</v>
      </c>
      <c r="AP43" s="331">
        <v>0</v>
      </c>
      <c r="AQ43" s="331">
        <v>0</v>
      </c>
      <c r="AR43" s="331">
        <v>0</v>
      </c>
      <c r="AS43" s="1025" t="b">
        <v>0</v>
      </c>
      <c r="AT43" s="1025" t="b">
        <v>1</v>
      </c>
      <c r="AU43" s="331">
        <v>0</v>
      </c>
      <c r="AV43" s="491" t="s">
        <v>29</v>
      </c>
    </row>
    <row r="44" spans="1:48">
      <c r="A44" s="72">
        <v>7</v>
      </c>
      <c r="B44" s="391" t="s">
        <v>109</v>
      </c>
      <c r="C44" s="72">
        <f t="shared" si="0"/>
        <v>11</v>
      </c>
      <c r="D44" s="72" t="str">
        <f t="shared" si="1"/>
        <v>7-11</v>
      </c>
      <c r="E44" s="72">
        <v>61697</v>
      </c>
      <c r="F44" s="72" t="str">
        <f t="shared" si="2"/>
        <v>7-61697</v>
      </c>
      <c r="G44" s="391" t="s">
        <v>663</v>
      </c>
      <c r="H44" s="331">
        <v>12579.03</v>
      </c>
      <c r="I44" s="331">
        <v>11565.9</v>
      </c>
      <c r="J44" s="331">
        <v>11908.99</v>
      </c>
      <c r="K44" s="331">
        <v>14160.27</v>
      </c>
      <c r="L44" s="1072">
        <v>0</v>
      </c>
      <c r="M44" s="1072">
        <v>0</v>
      </c>
      <c r="N44" s="1072">
        <v>0</v>
      </c>
      <c r="O44" s="1072">
        <v>0</v>
      </c>
      <c r="P44" s="491">
        <v>0</v>
      </c>
      <c r="Q44" s="491">
        <v>0</v>
      </c>
      <c r="R44" s="491">
        <v>0</v>
      </c>
      <c r="S44" s="491">
        <v>0</v>
      </c>
      <c r="T44" s="1025" t="b">
        <v>0</v>
      </c>
      <c r="U44" s="491">
        <v>0.67</v>
      </c>
      <c r="V44" s="491">
        <v>0.82</v>
      </c>
      <c r="W44" s="491">
        <v>0</v>
      </c>
      <c r="X44" s="491">
        <v>0.88</v>
      </c>
      <c r="Y44" s="1025" t="b">
        <v>1</v>
      </c>
      <c r="Z44" s="331">
        <v>0</v>
      </c>
      <c r="AA44" s="331">
        <v>0</v>
      </c>
      <c r="AB44" s="331">
        <v>0</v>
      </c>
      <c r="AC44" s="331">
        <v>0</v>
      </c>
      <c r="AD44" s="1025" t="b">
        <v>0</v>
      </c>
      <c r="AE44" s="331">
        <v>0</v>
      </c>
      <c r="AF44" s="331">
        <v>0.09</v>
      </c>
      <c r="AG44" s="331">
        <v>0.04</v>
      </c>
      <c r="AH44" s="331">
        <v>0</v>
      </c>
      <c r="AI44" s="1025" t="b">
        <v>1</v>
      </c>
      <c r="AJ44" s="331">
        <v>0</v>
      </c>
      <c r="AK44" s="331">
        <v>0</v>
      </c>
      <c r="AL44" s="331">
        <v>0</v>
      </c>
      <c r="AM44" s="331">
        <v>0</v>
      </c>
      <c r="AN44" s="1025" t="b">
        <v>0</v>
      </c>
      <c r="AO44" s="331">
        <v>0</v>
      </c>
      <c r="AP44" s="331">
        <v>0</v>
      </c>
      <c r="AQ44" s="331">
        <v>0</v>
      </c>
      <c r="AR44" s="331">
        <v>0</v>
      </c>
      <c r="AS44" s="1025" t="b">
        <v>0</v>
      </c>
      <c r="AT44" s="1025" t="b">
        <v>1</v>
      </c>
      <c r="AU44" s="331">
        <v>0</v>
      </c>
      <c r="AV44" s="491" t="s">
        <v>29</v>
      </c>
    </row>
    <row r="45" spans="1:48">
      <c r="A45" s="72">
        <v>7</v>
      </c>
      <c r="B45" s="391" t="s">
        <v>109</v>
      </c>
      <c r="C45" s="72">
        <f t="shared" si="0"/>
        <v>12</v>
      </c>
      <c r="D45" s="72" t="str">
        <f t="shared" si="1"/>
        <v>7-12</v>
      </c>
      <c r="E45" s="72">
        <v>61713</v>
      </c>
      <c r="F45" s="72" t="str">
        <f t="shared" si="2"/>
        <v>7-61713</v>
      </c>
      <c r="G45" s="391" t="s">
        <v>1781</v>
      </c>
      <c r="H45" s="331">
        <v>10238.61</v>
      </c>
      <c r="I45" s="331">
        <v>9413.9699999999993</v>
      </c>
      <c r="J45" s="331">
        <v>9693.24</v>
      </c>
      <c r="K45" s="331">
        <v>11525.64</v>
      </c>
      <c r="L45" s="1072">
        <v>0</v>
      </c>
      <c r="M45" s="1072">
        <v>0</v>
      </c>
      <c r="N45" s="1072">
        <v>0</v>
      </c>
      <c r="O45" s="1072">
        <v>0</v>
      </c>
      <c r="P45" s="491">
        <v>0</v>
      </c>
      <c r="Q45" s="491">
        <v>0</v>
      </c>
      <c r="R45" s="491">
        <v>0</v>
      </c>
      <c r="S45" s="491">
        <v>0</v>
      </c>
      <c r="T45" s="1025" t="b">
        <v>0</v>
      </c>
      <c r="U45" s="491">
        <v>0</v>
      </c>
      <c r="V45" s="491">
        <v>1</v>
      </c>
      <c r="W45" s="491">
        <v>0</v>
      </c>
      <c r="X45" s="491">
        <v>0</v>
      </c>
      <c r="Y45" s="1025" t="b">
        <v>1</v>
      </c>
      <c r="Z45" s="331">
        <v>0</v>
      </c>
      <c r="AA45" s="331">
        <v>0</v>
      </c>
      <c r="AB45" s="331">
        <v>0</v>
      </c>
      <c r="AC45" s="331">
        <v>0</v>
      </c>
      <c r="AD45" s="1025" t="b">
        <v>0</v>
      </c>
      <c r="AE45" s="331">
        <v>0</v>
      </c>
      <c r="AF45" s="331">
        <v>0.1</v>
      </c>
      <c r="AG45" s="331">
        <v>0</v>
      </c>
      <c r="AH45" s="331">
        <v>0</v>
      </c>
      <c r="AI45" s="1025" t="b">
        <v>1</v>
      </c>
      <c r="AJ45" s="331">
        <v>0</v>
      </c>
      <c r="AK45" s="331">
        <v>0</v>
      </c>
      <c r="AL45" s="331">
        <v>0</v>
      </c>
      <c r="AM45" s="331">
        <v>0</v>
      </c>
      <c r="AN45" s="1025" t="b">
        <v>0</v>
      </c>
      <c r="AO45" s="331">
        <v>0</v>
      </c>
      <c r="AP45" s="331">
        <v>0</v>
      </c>
      <c r="AQ45" s="331">
        <v>0</v>
      </c>
      <c r="AR45" s="331">
        <v>0</v>
      </c>
      <c r="AS45" s="1025" t="b">
        <v>0</v>
      </c>
      <c r="AT45" s="1025" t="b">
        <v>1</v>
      </c>
      <c r="AU45" s="331">
        <v>0</v>
      </c>
      <c r="AV45" s="491" t="s">
        <v>29</v>
      </c>
    </row>
    <row r="46" spans="1:48">
      <c r="A46" s="72">
        <v>7</v>
      </c>
      <c r="B46" s="391" t="s">
        <v>109</v>
      </c>
      <c r="C46" s="72">
        <f t="shared" si="0"/>
        <v>13</v>
      </c>
      <c r="D46" s="72" t="str">
        <f t="shared" si="1"/>
        <v>7-13</v>
      </c>
      <c r="E46" s="72">
        <v>61721</v>
      </c>
      <c r="F46" s="72" t="str">
        <f t="shared" si="2"/>
        <v>7-61721</v>
      </c>
      <c r="G46" s="391" t="s">
        <v>664</v>
      </c>
      <c r="H46" s="331">
        <v>10680</v>
      </c>
      <c r="I46" s="331">
        <v>9819.81</v>
      </c>
      <c r="J46" s="331">
        <v>10111.120000000001</v>
      </c>
      <c r="K46" s="331">
        <v>12022.52</v>
      </c>
      <c r="L46" s="1072">
        <v>0</v>
      </c>
      <c r="M46" s="1072">
        <v>0</v>
      </c>
      <c r="N46" s="1072">
        <v>0</v>
      </c>
      <c r="O46" s="1072">
        <v>0</v>
      </c>
      <c r="P46" s="491">
        <v>0</v>
      </c>
      <c r="Q46" s="491">
        <v>0</v>
      </c>
      <c r="R46" s="491">
        <v>0</v>
      </c>
      <c r="S46" s="491">
        <v>0</v>
      </c>
      <c r="T46" s="1025" t="b">
        <v>0</v>
      </c>
      <c r="U46" s="491">
        <v>0</v>
      </c>
      <c r="V46" s="491">
        <v>0</v>
      </c>
      <c r="W46" s="491">
        <v>0</v>
      </c>
      <c r="X46" s="491">
        <v>32.729999999999997</v>
      </c>
      <c r="Y46" s="1025" t="b">
        <v>1</v>
      </c>
      <c r="Z46" s="331">
        <v>0</v>
      </c>
      <c r="AA46" s="331">
        <v>0</v>
      </c>
      <c r="AB46" s="331">
        <v>0</v>
      </c>
      <c r="AC46" s="331">
        <v>0</v>
      </c>
      <c r="AD46" s="1025" t="b">
        <v>0</v>
      </c>
      <c r="AE46" s="331">
        <v>0</v>
      </c>
      <c r="AF46" s="331">
        <v>0</v>
      </c>
      <c r="AG46" s="331">
        <v>0</v>
      </c>
      <c r="AH46" s="331">
        <v>2.91</v>
      </c>
      <c r="AI46" s="1025" t="b">
        <v>1</v>
      </c>
      <c r="AJ46" s="331">
        <v>0</v>
      </c>
      <c r="AK46" s="331">
        <v>0</v>
      </c>
      <c r="AL46" s="331">
        <v>0</v>
      </c>
      <c r="AM46" s="331">
        <v>0</v>
      </c>
      <c r="AN46" s="1025" t="b">
        <v>0</v>
      </c>
      <c r="AO46" s="331">
        <v>0</v>
      </c>
      <c r="AP46" s="331">
        <v>0</v>
      </c>
      <c r="AQ46" s="331">
        <v>0</v>
      </c>
      <c r="AR46" s="331">
        <v>0</v>
      </c>
      <c r="AS46" s="1025" t="b">
        <v>0</v>
      </c>
      <c r="AT46" s="1025" t="b">
        <v>1</v>
      </c>
      <c r="AU46" s="331">
        <v>0</v>
      </c>
      <c r="AV46" s="491" t="s">
        <v>29</v>
      </c>
    </row>
    <row r="47" spans="1:48">
      <c r="A47" s="72">
        <v>7</v>
      </c>
      <c r="B47" s="391" t="s">
        <v>109</v>
      </c>
      <c r="C47" s="72">
        <f t="shared" si="0"/>
        <v>14</v>
      </c>
      <c r="D47" s="72" t="str">
        <f t="shared" si="1"/>
        <v>7-14</v>
      </c>
      <c r="E47" s="72">
        <v>61739</v>
      </c>
      <c r="F47" s="72" t="str">
        <f t="shared" si="2"/>
        <v>7-61739</v>
      </c>
      <c r="G47" s="391" t="s">
        <v>665</v>
      </c>
      <c r="H47" s="331">
        <v>10866.79</v>
      </c>
      <c r="I47" s="331">
        <v>9991.57</v>
      </c>
      <c r="J47" s="331">
        <v>10287.959999999999</v>
      </c>
      <c r="K47" s="331">
        <v>12232.79</v>
      </c>
      <c r="L47" s="1072">
        <v>0</v>
      </c>
      <c r="M47" s="1072">
        <v>0</v>
      </c>
      <c r="N47" s="1072">
        <v>0</v>
      </c>
      <c r="O47" s="1072">
        <v>0</v>
      </c>
      <c r="P47" s="491">
        <v>0</v>
      </c>
      <c r="Q47" s="491">
        <v>0</v>
      </c>
      <c r="R47" s="491">
        <v>0</v>
      </c>
      <c r="S47" s="491">
        <v>0</v>
      </c>
      <c r="T47" s="1025" t="b">
        <v>0</v>
      </c>
      <c r="U47" s="491">
        <v>1.48</v>
      </c>
      <c r="V47" s="491">
        <v>0.97</v>
      </c>
      <c r="W47" s="491">
        <v>3.04</v>
      </c>
      <c r="X47" s="491">
        <v>5.84</v>
      </c>
      <c r="Y47" s="1025" t="b">
        <v>1</v>
      </c>
      <c r="Z47" s="331">
        <v>0</v>
      </c>
      <c r="AA47" s="331">
        <v>0</v>
      </c>
      <c r="AB47" s="331">
        <v>0</v>
      </c>
      <c r="AC47" s="331">
        <v>0</v>
      </c>
      <c r="AD47" s="1025" t="b">
        <v>0</v>
      </c>
      <c r="AE47" s="331">
        <v>0.05</v>
      </c>
      <c r="AF47" s="331">
        <v>0.21</v>
      </c>
      <c r="AG47" s="331">
        <v>0.05</v>
      </c>
      <c r="AH47" s="331">
        <v>0.55000000000000004</v>
      </c>
      <c r="AI47" s="1025" t="b">
        <v>1</v>
      </c>
      <c r="AJ47" s="331">
        <v>0</v>
      </c>
      <c r="AK47" s="331">
        <v>0</v>
      </c>
      <c r="AL47" s="331">
        <v>0</v>
      </c>
      <c r="AM47" s="331">
        <v>0</v>
      </c>
      <c r="AN47" s="1025" t="b">
        <v>0</v>
      </c>
      <c r="AO47" s="331">
        <v>0</v>
      </c>
      <c r="AP47" s="331">
        <v>0</v>
      </c>
      <c r="AQ47" s="331">
        <v>0</v>
      </c>
      <c r="AR47" s="331">
        <v>0</v>
      </c>
      <c r="AS47" s="1025" t="b">
        <v>0</v>
      </c>
      <c r="AT47" s="1025" t="b">
        <v>1</v>
      </c>
      <c r="AU47" s="331">
        <v>0</v>
      </c>
      <c r="AV47" s="491" t="s">
        <v>29</v>
      </c>
    </row>
    <row r="48" spans="1:48">
      <c r="A48" s="72">
        <v>7</v>
      </c>
      <c r="B48" s="391" t="s">
        <v>109</v>
      </c>
      <c r="C48" s="72">
        <f t="shared" si="0"/>
        <v>15</v>
      </c>
      <c r="D48" s="72" t="str">
        <f t="shared" si="1"/>
        <v>7-15</v>
      </c>
      <c r="E48" s="72">
        <v>61747</v>
      </c>
      <c r="F48" s="72" t="str">
        <f t="shared" si="2"/>
        <v>7-61747</v>
      </c>
      <c r="G48" s="391" t="s">
        <v>1782</v>
      </c>
      <c r="H48" s="331">
        <v>10242.25</v>
      </c>
      <c r="I48" s="331">
        <v>9417.32</v>
      </c>
      <c r="J48" s="331">
        <v>9696.68</v>
      </c>
      <c r="K48" s="331">
        <v>11529.74</v>
      </c>
      <c r="L48" s="1072">
        <v>0</v>
      </c>
      <c r="M48" s="1072">
        <v>0</v>
      </c>
      <c r="N48" s="1072">
        <v>0</v>
      </c>
      <c r="O48" s="1072">
        <v>0</v>
      </c>
      <c r="P48" s="491">
        <v>0</v>
      </c>
      <c r="Q48" s="491">
        <v>0</v>
      </c>
      <c r="R48" s="491">
        <v>0</v>
      </c>
      <c r="S48" s="491">
        <v>0</v>
      </c>
      <c r="T48" s="1025" t="b">
        <v>0</v>
      </c>
      <c r="U48" s="491">
        <v>0</v>
      </c>
      <c r="V48" s="491">
        <v>0</v>
      </c>
      <c r="W48" s="491">
        <v>0</v>
      </c>
      <c r="X48" s="491">
        <v>0</v>
      </c>
      <c r="Y48" s="1025" t="b">
        <v>0</v>
      </c>
      <c r="Z48" s="331">
        <v>0</v>
      </c>
      <c r="AA48" s="331">
        <v>0</v>
      </c>
      <c r="AB48" s="331">
        <v>0</v>
      </c>
      <c r="AC48" s="331">
        <v>0</v>
      </c>
      <c r="AD48" s="1025" t="b">
        <v>0</v>
      </c>
      <c r="AE48" s="331">
        <v>0</v>
      </c>
      <c r="AF48" s="331">
        <v>0</v>
      </c>
      <c r="AG48" s="331">
        <v>0.1</v>
      </c>
      <c r="AH48" s="331">
        <v>0</v>
      </c>
      <c r="AI48" s="1025" t="b">
        <v>1</v>
      </c>
      <c r="AJ48" s="331">
        <v>0</v>
      </c>
      <c r="AK48" s="331">
        <v>0</v>
      </c>
      <c r="AL48" s="331">
        <v>0</v>
      </c>
      <c r="AM48" s="331">
        <v>0</v>
      </c>
      <c r="AN48" s="1025" t="b">
        <v>0</v>
      </c>
      <c r="AO48" s="331">
        <v>0</v>
      </c>
      <c r="AP48" s="331">
        <v>0</v>
      </c>
      <c r="AQ48" s="331">
        <v>0</v>
      </c>
      <c r="AR48" s="331">
        <v>0</v>
      </c>
      <c r="AS48" s="1025" t="b">
        <v>0</v>
      </c>
      <c r="AT48" s="1025" t="b">
        <v>1</v>
      </c>
      <c r="AU48" s="331">
        <v>0</v>
      </c>
      <c r="AV48" s="491" t="s">
        <v>29</v>
      </c>
    </row>
    <row r="49" spans="1:48">
      <c r="A49" s="72">
        <v>7</v>
      </c>
      <c r="B49" s="391" t="s">
        <v>109</v>
      </c>
      <c r="C49" s="72">
        <f t="shared" si="0"/>
        <v>16</v>
      </c>
      <c r="D49" s="72" t="str">
        <f t="shared" si="1"/>
        <v>7-16</v>
      </c>
      <c r="E49" s="72">
        <v>61754</v>
      </c>
      <c r="F49" s="72" t="str">
        <f t="shared" si="2"/>
        <v>7-61754</v>
      </c>
      <c r="G49" s="391" t="s">
        <v>666</v>
      </c>
      <c r="H49" s="331">
        <v>11088.6</v>
      </c>
      <c r="I49" s="331">
        <v>10195.51</v>
      </c>
      <c r="J49" s="331">
        <v>10497.96</v>
      </c>
      <c r="K49" s="331">
        <v>12482.49</v>
      </c>
      <c r="L49" s="1072">
        <v>0</v>
      </c>
      <c r="M49" s="1072">
        <v>0</v>
      </c>
      <c r="N49" s="1072">
        <v>0</v>
      </c>
      <c r="O49" s="1072">
        <v>0</v>
      </c>
      <c r="P49" s="491">
        <v>0</v>
      </c>
      <c r="Q49" s="491">
        <v>0</v>
      </c>
      <c r="R49" s="491">
        <v>0</v>
      </c>
      <c r="S49" s="491">
        <v>0</v>
      </c>
      <c r="T49" s="1025" t="b">
        <v>0</v>
      </c>
      <c r="U49" s="491">
        <v>0.69</v>
      </c>
      <c r="V49" s="491">
        <v>1.7</v>
      </c>
      <c r="W49" s="491">
        <v>1.26</v>
      </c>
      <c r="X49" s="491">
        <v>5.96</v>
      </c>
      <c r="Y49" s="1025" t="b">
        <v>1</v>
      </c>
      <c r="Z49" s="331">
        <v>0</v>
      </c>
      <c r="AA49" s="331">
        <v>0</v>
      </c>
      <c r="AB49" s="331">
        <v>0</v>
      </c>
      <c r="AC49" s="331">
        <v>0</v>
      </c>
      <c r="AD49" s="1025" t="b">
        <v>0</v>
      </c>
      <c r="AE49" s="331">
        <v>0</v>
      </c>
      <c r="AF49" s="331">
        <v>0.28000000000000003</v>
      </c>
      <c r="AG49" s="331">
        <v>0.17</v>
      </c>
      <c r="AH49" s="331">
        <v>0.48</v>
      </c>
      <c r="AI49" s="1025" t="b">
        <v>1</v>
      </c>
      <c r="AJ49" s="331">
        <v>0</v>
      </c>
      <c r="AK49" s="331">
        <v>0</v>
      </c>
      <c r="AL49" s="331">
        <v>0</v>
      </c>
      <c r="AM49" s="331">
        <v>0</v>
      </c>
      <c r="AN49" s="1025" t="b">
        <v>0</v>
      </c>
      <c r="AO49" s="331">
        <v>0</v>
      </c>
      <c r="AP49" s="331">
        <v>0</v>
      </c>
      <c r="AQ49" s="331">
        <v>0</v>
      </c>
      <c r="AR49" s="331">
        <v>0</v>
      </c>
      <c r="AS49" s="1025" t="b">
        <v>0</v>
      </c>
      <c r="AT49" s="1025" t="b">
        <v>1</v>
      </c>
      <c r="AU49" s="331">
        <v>0</v>
      </c>
      <c r="AV49" s="491" t="s">
        <v>29</v>
      </c>
    </row>
    <row r="50" spans="1:48">
      <c r="A50" s="72">
        <v>7</v>
      </c>
      <c r="B50" s="391" t="s">
        <v>109</v>
      </c>
      <c r="C50" s="72">
        <f t="shared" si="0"/>
        <v>17</v>
      </c>
      <c r="D50" s="72" t="str">
        <f t="shared" si="1"/>
        <v>7-17</v>
      </c>
      <c r="E50" s="72">
        <v>61762</v>
      </c>
      <c r="F50" s="72" t="str">
        <f t="shared" si="2"/>
        <v>7-61762</v>
      </c>
      <c r="G50" s="391" t="s">
        <v>667</v>
      </c>
      <c r="H50" s="331">
        <v>11015.14</v>
      </c>
      <c r="I50" s="331">
        <v>10127.959999999999</v>
      </c>
      <c r="J50" s="331">
        <v>10428.4</v>
      </c>
      <c r="K50" s="331">
        <v>12399.79</v>
      </c>
      <c r="L50" s="1072">
        <v>0</v>
      </c>
      <c r="M50" s="1072">
        <v>0</v>
      </c>
      <c r="N50" s="1072">
        <v>0</v>
      </c>
      <c r="O50" s="1072">
        <v>0</v>
      </c>
      <c r="P50" s="491">
        <v>0</v>
      </c>
      <c r="Q50" s="491">
        <v>0</v>
      </c>
      <c r="R50" s="491">
        <v>0</v>
      </c>
      <c r="S50" s="491">
        <v>0</v>
      </c>
      <c r="T50" s="1025" t="b">
        <v>0</v>
      </c>
      <c r="U50" s="491">
        <v>5.55</v>
      </c>
      <c r="V50" s="491">
        <v>3.55</v>
      </c>
      <c r="W50" s="491">
        <v>1.82</v>
      </c>
      <c r="X50" s="491">
        <v>0</v>
      </c>
      <c r="Y50" s="1025" t="b">
        <v>1</v>
      </c>
      <c r="Z50" s="331">
        <v>0</v>
      </c>
      <c r="AA50" s="331">
        <v>0</v>
      </c>
      <c r="AB50" s="331">
        <v>0</v>
      </c>
      <c r="AC50" s="331">
        <v>0</v>
      </c>
      <c r="AD50" s="1025" t="b">
        <v>0</v>
      </c>
      <c r="AE50" s="331">
        <v>0.31</v>
      </c>
      <c r="AF50" s="331">
        <v>0.18</v>
      </c>
      <c r="AG50" s="331">
        <v>0.21</v>
      </c>
      <c r="AH50" s="331">
        <v>0</v>
      </c>
      <c r="AI50" s="1025" t="b">
        <v>1</v>
      </c>
      <c r="AJ50" s="331">
        <v>0</v>
      </c>
      <c r="AK50" s="331">
        <v>0</v>
      </c>
      <c r="AL50" s="331">
        <v>0</v>
      </c>
      <c r="AM50" s="331">
        <v>0</v>
      </c>
      <c r="AN50" s="1025" t="b">
        <v>0</v>
      </c>
      <c r="AO50" s="331">
        <v>0</v>
      </c>
      <c r="AP50" s="331">
        <v>0</v>
      </c>
      <c r="AQ50" s="331">
        <v>0</v>
      </c>
      <c r="AR50" s="331">
        <v>0</v>
      </c>
      <c r="AS50" s="1025" t="b">
        <v>0</v>
      </c>
      <c r="AT50" s="1025" t="b">
        <v>1</v>
      </c>
      <c r="AU50" s="331">
        <v>0</v>
      </c>
      <c r="AV50" s="491" t="s">
        <v>29</v>
      </c>
    </row>
    <row r="51" spans="1:48">
      <c r="A51" s="72">
        <v>7</v>
      </c>
      <c r="B51" s="391" t="s">
        <v>109</v>
      </c>
      <c r="C51" s="72">
        <f t="shared" si="0"/>
        <v>18</v>
      </c>
      <c r="D51" s="72" t="str">
        <f t="shared" si="1"/>
        <v>7-18</v>
      </c>
      <c r="E51" s="72">
        <v>61770</v>
      </c>
      <c r="F51" s="72" t="str">
        <f t="shared" si="2"/>
        <v>7-61770</v>
      </c>
      <c r="G51" s="391" t="s">
        <v>668</v>
      </c>
      <c r="H51" s="331">
        <v>10193.68</v>
      </c>
      <c r="I51" s="331">
        <v>9372.66</v>
      </c>
      <c r="J51" s="331">
        <v>9650.7000000000007</v>
      </c>
      <c r="K51" s="331">
        <v>11475.07</v>
      </c>
      <c r="L51" s="1072">
        <v>0</v>
      </c>
      <c r="M51" s="1072">
        <v>0</v>
      </c>
      <c r="N51" s="1072">
        <v>0</v>
      </c>
      <c r="O51" s="1072">
        <v>0</v>
      </c>
      <c r="P51" s="491">
        <v>0</v>
      </c>
      <c r="Q51" s="491">
        <v>0</v>
      </c>
      <c r="R51" s="491">
        <v>0</v>
      </c>
      <c r="S51" s="491">
        <v>0</v>
      </c>
      <c r="T51" s="1025" t="b">
        <v>0</v>
      </c>
      <c r="U51" s="491">
        <v>0.8</v>
      </c>
      <c r="V51" s="491">
        <v>0</v>
      </c>
      <c r="W51" s="491">
        <v>0.9</v>
      </c>
      <c r="X51" s="491">
        <v>0</v>
      </c>
      <c r="Y51" s="1025" t="b">
        <v>1</v>
      </c>
      <c r="Z51" s="331">
        <v>0</v>
      </c>
      <c r="AA51" s="331">
        <v>0</v>
      </c>
      <c r="AB51" s="331">
        <v>0</v>
      </c>
      <c r="AC51" s="331">
        <v>0</v>
      </c>
      <c r="AD51" s="1025" t="b">
        <v>0</v>
      </c>
      <c r="AE51" s="331">
        <v>0.06</v>
      </c>
      <c r="AF51" s="331">
        <v>0</v>
      </c>
      <c r="AG51" s="331">
        <v>0.11</v>
      </c>
      <c r="AH51" s="331">
        <v>0</v>
      </c>
      <c r="AI51" s="1025" t="b">
        <v>1</v>
      </c>
      <c r="AJ51" s="331">
        <v>0</v>
      </c>
      <c r="AK51" s="331">
        <v>0</v>
      </c>
      <c r="AL51" s="331">
        <v>0</v>
      </c>
      <c r="AM51" s="331">
        <v>0</v>
      </c>
      <c r="AN51" s="1025" t="b">
        <v>0</v>
      </c>
      <c r="AO51" s="331">
        <v>0</v>
      </c>
      <c r="AP51" s="331">
        <v>0</v>
      </c>
      <c r="AQ51" s="331">
        <v>0</v>
      </c>
      <c r="AR51" s="331">
        <v>0</v>
      </c>
      <c r="AS51" s="1025" t="b">
        <v>0</v>
      </c>
      <c r="AT51" s="1025" t="b">
        <v>1</v>
      </c>
      <c r="AU51" s="331">
        <v>0</v>
      </c>
      <c r="AV51" s="491" t="s">
        <v>29</v>
      </c>
    </row>
    <row r="52" spans="1:48">
      <c r="A52" s="72">
        <v>7</v>
      </c>
      <c r="B52" s="391" t="s">
        <v>109</v>
      </c>
      <c r="C52" s="72">
        <f t="shared" si="0"/>
        <v>19</v>
      </c>
      <c r="D52" s="72" t="str">
        <f t="shared" si="1"/>
        <v>7-19</v>
      </c>
      <c r="E52" s="72">
        <v>61788</v>
      </c>
      <c r="F52" s="72" t="str">
        <f t="shared" si="2"/>
        <v>7-61788</v>
      </c>
      <c r="G52" s="391" t="s">
        <v>669</v>
      </c>
      <c r="H52" s="331">
        <v>13358.29</v>
      </c>
      <c r="I52" s="331">
        <v>12282.4</v>
      </c>
      <c r="J52" s="331">
        <v>12646.75</v>
      </c>
      <c r="K52" s="331">
        <v>15037.49</v>
      </c>
      <c r="L52" s="1072">
        <v>0</v>
      </c>
      <c r="M52" s="1072">
        <v>0</v>
      </c>
      <c r="N52" s="1072">
        <v>0</v>
      </c>
      <c r="O52" s="1072">
        <v>0</v>
      </c>
      <c r="P52" s="491">
        <v>0</v>
      </c>
      <c r="Q52" s="491">
        <v>0</v>
      </c>
      <c r="R52" s="491">
        <v>0</v>
      </c>
      <c r="S52" s="491">
        <v>0</v>
      </c>
      <c r="T52" s="1025" t="b">
        <v>0</v>
      </c>
      <c r="U52" s="491">
        <v>3.19</v>
      </c>
      <c r="V52" s="491">
        <v>2.56</v>
      </c>
      <c r="W52" s="491">
        <v>1.71</v>
      </c>
      <c r="X52" s="491">
        <v>20.420000000000002</v>
      </c>
      <c r="Y52" s="1025" t="b">
        <v>1</v>
      </c>
      <c r="Z52" s="331">
        <v>0</v>
      </c>
      <c r="AA52" s="331">
        <v>0</v>
      </c>
      <c r="AB52" s="331">
        <v>0</v>
      </c>
      <c r="AC52" s="331">
        <v>0</v>
      </c>
      <c r="AD52" s="1025" t="b">
        <v>0</v>
      </c>
      <c r="AE52" s="331">
        <v>0.57999999999999996</v>
      </c>
      <c r="AF52" s="331">
        <v>0.15</v>
      </c>
      <c r="AG52" s="331">
        <v>0.31</v>
      </c>
      <c r="AH52" s="331">
        <v>1.48</v>
      </c>
      <c r="AI52" s="1025" t="b">
        <v>1</v>
      </c>
      <c r="AJ52" s="331">
        <v>0</v>
      </c>
      <c r="AK52" s="331">
        <v>0</v>
      </c>
      <c r="AL52" s="331">
        <v>0</v>
      </c>
      <c r="AM52" s="331">
        <v>0</v>
      </c>
      <c r="AN52" s="1025" t="b">
        <v>0</v>
      </c>
      <c r="AO52" s="331">
        <v>0</v>
      </c>
      <c r="AP52" s="331">
        <v>0</v>
      </c>
      <c r="AQ52" s="331">
        <v>0</v>
      </c>
      <c r="AR52" s="331">
        <v>0</v>
      </c>
      <c r="AS52" s="1025" t="b">
        <v>0</v>
      </c>
      <c r="AT52" s="1025" t="b">
        <v>1</v>
      </c>
      <c r="AU52" s="331">
        <v>0</v>
      </c>
      <c r="AV52" s="491" t="s">
        <v>29</v>
      </c>
    </row>
    <row r="53" spans="1:48">
      <c r="A53" s="72">
        <v>7</v>
      </c>
      <c r="B53" s="391" t="s">
        <v>109</v>
      </c>
      <c r="C53" s="72">
        <f t="shared" si="0"/>
        <v>20</v>
      </c>
      <c r="D53" s="72" t="str">
        <f t="shared" si="1"/>
        <v>7-20</v>
      </c>
      <c r="E53" s="72">
        <v>61796</v>
      </c>
      <c r="F53" s="72" t="str">
        <f t="shared" si="2"/>
        <v>7-61796</v>
      </c>
      <c r="G53" s="391" t="s">
        <v>1783</v>
      </c>
      <c r="H53" s="331">
        <v>12431.09</v>
      </c>
      <c r="I53" s="331">
        <v>11429.87</v>
      </c>
      <c r="J53" s="331">
        <v>11768.93</v>
      </c>
      <c r="K53" s="331">
        <v>13993.73</v>
      </c>
      <c r="L53" s="1072">
        <v>0</v>
      </c>
      <c r="M53" s="1072">
        <v>0</v>
      </c>
      <c r="N53" s="1072">
        <v>0</v>
      </c>
      <c r="O53" s="1072">
        <v>0</v>
      </c>
      <c r="P53" s="491">
        <v>0</v>
      </c>
      <c r="Q53" s="491">
        <v>0</v>
      </c>
      <c r="R53" s="491">
        <v>0</v>
      </c>
      <c r="S53" s="491">
        <v>0</v>
      </c>
      <c r="T53" s="1025" t="b">
        <v>0</v>
      </c>
      <c r="U53" s="491">
        <v>0</v>
      </c>
      <c r="V53" s="491">
        <v>0</v>
      </c>
      <c r="W53" s="491">
        <v>0</v>
      </c>
      <c r="X53" s="491">
        <v>0.68</v>
      </c>
      <c r="Y53" s="1025" t="b">
        <v>1</v>
      </c>
      <c r="Z53" s="331">
        <v>0</v>
      </c>
      <c r="AA53" s="331">
        <v>0</v>
      </c>
      <c r="AB53" s="331">
        <v>0</v>
      </c>
      <c r="AC53" s="331">
        <v>0</v>
      </c>
      <c r="AD53" s="1025" t="b">
        <v>0</v>
      </c>
      <c r="AE53" s="331">
        <v>0</v>
      </c>
      <c r="AF53" s="331">
        <v>0</v>
      </c>
      <c r="AG53" s="331">
        <v>0</v>
      </c>
      <c r="AH53" s="331">
        <v>0</v>
      </c>
      <c r="AI53" s="1025" t="b">
        <v>0</v>
      </c>
      <c r="AJ53" s="331">
        <v>0</v>
      </c>
      <c r="AK53" s="331">
        <v>0</v>
      </c>
      <c r="AL53" s="331">
        <v>0</v>
      </c>
      <c r="AM53" s="331">
        <v>0</v>
      </c>
      <c r="AN53" s="1025" t="b">
        <v>0</v>
      </c>
      <c r="AO53" s="331">
        <v>0</v>
      </c>
      <c r="AP53" s="331">
        <v>0</v>
      </c>
      <c r="AQ53" s="331">
        <v>0</v>
      </c>
      <c r="AR53" s="331">
        <v>0</v>
      </c>
      <c r="AS53" s="1025" t="b">
        <v>0</v>
      </c>
      <c r="AT53" s="1025" t="b">
        <v>1</v>
      </c>
      <c r="AU53" s="331">
        <v>0</v>
      </c>
      <c r="AV53" s="491" t="s">
        <v>29</v>
      </c>
    </row>
    <row r="54" spans="1:48">
      <c r="A54" s="72">
        <v>7</v>
      </c>
      <c r="B54" s="391" t="s">
        <v>109</v>
      </c>
      <c r="C54" s="72">
        <f t="shared" si="0"/>
        <v>21</v>
      </c>
      <c r="D54" s="72" t="str">
        <f t="shared" si="1"/>
        <v>7-21</v>
      </c>
      <c r="E54" s="72">
        <v>61804</v>
      </c>
      <c r="F54" s="72" t="str">
        <f t="shared" si="2"/>
        <v>7-61804</v>
      </c>
      <c r="G54" s="391" t="s">
        <v>670</v>
      </c>
      <c r="H54" s="491">
        <v>10316.120000000001</v>
      </c>
      <c r="I54" s="491">
        <v>9485.24</v>
      </c>
      <c r="J54" s="491">
        <v>9766.6200000000008</v>
      </c>
      <c r="K54" s="491">
        <v>11612.9</v>
      </c>
      <c r="L54" s="1072">
        <v>0</v>
      </c>
      <c r="M54" s="1072">
        <v>0</v>
      </c>
      <c r="N54" s="1072">
        <v>0</v>
      </c>
      <c r="O54" s="1072">
        <v>0</v>
      </c>
      <c r="P54" s="491">
        <v>0</v>
      </c>
      <c r="Q54" s="491">
        <v>0</v>
      </c>
      <c r="R54" s="491">
        <v>0</v>
      </c>
      <c r="S54" s="491">
        <v>0</v>
      </c>
      <c r="T54" s="1025" t="b">
        <v>0</v>
      </c>
      <c r="U54" s="491">
        <v>0</v>
      </c>
      <c r="V54" s="491">
        <v>1.88</v>
      </c>
      <c r="W54" s="491">
        <v>0.99</v>
      </c>
      <c r="X54" s="491">
        <v>3.93</v>
      </c>
      <c r="Y54" s="1025" t="b">
        <v>1</v>
      </c>
      <c r="Z54" s="491">
        <v>0</v>
      </c>
      <c r="AA54" s="491">
        <v>0</v>
      </c>
      <c r="AB54" s="491">
        <v>0</v>
      </c>
      <c r="AC54" s="491">
        <v>0</v>
      </c>
      <c r="AD54" s="1025" t="b">
        <v>0</v>
      </c>
      <c r="AE54" s="491">
        <v>0</v>
      </c>
      <c r="AF54" s="491">
        <v>7.0000000000000007E-2</v>
      </c>
      <c r="AG54" s="491">
        <v>0</v>
      </c>
      <c r="AH54" s="491">
        <v>0.38</v>
      </c>
      <c r="AI54" s="1025" t="b">
        <v>1</v>
      </c>
      <c r="AJ54" s="491">
        <v>0</v>
      </c>
      <c r="AK54" s="491">
        <v>0</v>
      </c>
      <c r="AL54" s="491">
        <v>0</v>
      </c>
      <c r="AM54" s="491">
        <v>0</v>
      </c>
      <c r="AN54" s="1025" t="b">
        <v>0</v>
      </c>
      <c r="AO54" s="491">
        <v>0</v>
      </c>
      <c r="AP54" s="491">
        <v>0</v>
      </c>
      <c r="AQ54" s="491">
        <v>0</v>
      </c>
      <c r="AR54" s="491">
        <v>0</v>
      </c>
      <c r="AS54" s="1025" t="b">
        <v>0</v>
      </c>
      <c r="AT54" s="1025" t="b">
        <v>1</v>
      </c>
      <c r="AU54" s="491">
        <v>0</v>
      </c>
      <c r="AV54" s="491" t="s">
        <v>29</v>
      </c>
    </row>
    <row r="55" spans="1:48">
      <c r="A55" s="72">
        <v>7</v>
      </c>
      <c r="B55" s="391" t="s">
        <v>109</v>
      </c>
      <c r="C55" s="72">
        <f t="shared" si="0"/>
        <v>22</v>
      </c>
      <c r="D55" s="72" t="str">
        <f t="shared" si="1"/>
        <v>7-22</v>
      </c>
      <c r="E55" s="72">
        <v>61812</v>
      </c>
      <c r="F55" s="72" t="str">
        <f t="shared" si="2"/>
        <v>7-61812</v>
      </c>
      <c r="G55" s="391" t="s">
        <v>671</v>
      </c>
      <c r="H55" s="491">
        <v>10533.27</v>
      </c>
      <c r="I55" s="491">
        <v>9684.91</v>
      </c>
      <c r="J55" s="491">
        <v>9972.2099999999991</v>
      </c>
      <c r="K55" s="491">
        <v>11857.35</v>
      </c>
      <c r="L55" s="1072">
        <v>0</v>
      </c>
      <c r="M55" s="1072">
        <v>0</v>
      </c>
      <c r="N55" s="1072">
        <v>0</v>
      </c>
      <c r="O55" s="1072">
        <v>0</v>
      </c>
      <c r="P55" s="491">
        <v>0</v>
      </c>
      <c r="Q55" s="491">
        <v>0</v>
      </c>
      <c r="R55" s="491">
        <v>0</v>
      </c>
      <c r="S55" s="491">
        <v>0</v>
      </c>
      <c r="T55" s="1025" t="b">
        <v>0</v>
      </c>
      <c r="U55" s="491">
        <v>1.66</v>
      </c>
      <c r="V55" s="491">
        <v>0.74</v>
      </c>
      <c r="W55" s="491">
        <v>1</v>
      </c>
      <c r="X55" s="491">
        <v>0</v>
      </c>
      <c r="Y55" s="1025" t="b">
        <v>1</v>
      </c>
      <c r="Z55" s="491">
        <v>0</v>
      </c>
      <c r="AA55" s="491">
        <v>0</v>
      </c>
      <c r="AB55" s="491">
        <v>0</v>
      </c>
      <c r="AC55" s="491">
        <v>0</v>
      </c>
      <c r="AD55" s="1025" t="b">
        <v>0</v>
      </c>
      <c r="AE55" s="491">
        <v>0.19</v>
      </c>
      <c r="AF55" s="491">
        <v>0.14000000000000001</v>
      </c>
      <c r="AG55" s="491">
        <v>0.2</v>
      </c>
      <c r="AH55" s="491">
        <v>0</v>
      </c>
      <c r="AI55" s="1025" t="b">
        <v>1</v>
      </c>
      <c r="AJ55" s="491">
        <v>0</v>
      </c>
      <c r="AK55" s="491">
        <v>0</v>
      </c>
      <c r="AL55" s="491">
        <v>0</v>
      </c>
      <c r="AM55" s="491">
        <v>0</v>
      </c>
      <c r="AN55" s="1025" t="b">
        <v>0</v>
      </c>
      <c r="AO55" s="491">
        <v>0</v>
      </c>
      <c r="AP55" s="491">
        <v>0</v>
      </c>
      <c r="AQ55" s="491">
        <v>0</v>
      </c>
      <c r="AR55" s="491">
        <v>0</v>
      </c>
      <c r="AS55" s="1025" t="b">
        <v>0</v>
      </c>
      <c r="AT55" s="1025" t="b">
        <v>1</v>
      </c>
      <c r="AU55" s="491">
        <v>0</v>
      </c>
      <c r="AV55" s="491" t="s">
        <v>29</v>
      </c>
    </row>
    <row r="56" spans="1:48">
      <c r="A56" s="72">
        <v>7</v>
      </c>
      <c r="B56" s="391" t="s">
        <v>109</v>
      </c>
      <c r="C56" s="72">
        <f t="shared" si="0"/>
        <v>0</v>
      </c>
      <c r="D56" s="72" t="str">
        <f t="shared" si="1"/>
        <v>7-0</v>
      </c>
      <c r="E56" s="72" t="s">
        <v>29</v>
      </c>
      <c r="F56" s="72" t="str">
        <f t="shared" si="2"/>
        <v>7-N/A</v>
      </c>
      <c r="G56" s="391" t="s">
        <v>29</v>
      </c>
      <c r="H56" s="491" t="s">
        <v>29</v>
      </c>
      <c r="I56" s="491" t="s">
        <v>29</v>
      </c>
      <c r="J56" s="491" t="s">
        <v>29</v>
      </c>
      <c r="K56" s="491" t="s">
        <v>29</v>
      </c>
      <c r="L56" s="491" t="s">
        <v>29</v>
      </c>
      <c r="M56" s="491" t="s">
        <v>29</v>
      </c>
      <c r="N56" s="491" t="s">
        <v>29</v>
      </c>
      <c r="O56" s="491" t="s">
        <v>29</v>
      </c>
      <c r="P56" s="491" t="s">
        <v>29</v>
      </c>
      <c r="Q56" s="491" t="s">
        <v>29</v>
      </c>
      <c r="R56" s="491" t="s">
        <v>29</v>
      </c>
      <c r="S56" s="491" t="s">
        <v>29</v>
      </c>
      <c r="T56" s="1025" t="s">
        <v>29</v>
      </c>
      <c r="U56" s="491" t="s">
        <v>29</v>
      </c>
      <c r="V56" s="491" t="s">
        <v>29</v>
      </c>
      <c r="W56" s="491" t="s">
        <v>29</v>
      </c>
      <c r="X56" s="491" t="s">
        <v>29</v>
      </c>
      <c r="Y56" s="1025" t="s">
        <v>29</v>
      </c>
      <c r="Z56" s="491" t="s">
        <v>29</v>
      </c>
      <c r="AA56" s="491" t="s">
        <v>29</v>
      </c>
      <c r="AB56" s="491" t="s">
        <v>29</v>
      </c>
      <c r="AC56" s="491" t="s">
        <v>29</v>
      </c>
      <c r="AD56" s="1025" t="s">
        <v>29</v>
      </c>
      <c r="AE56" s="491" t="s">
        <v>29</v>
      </c>
      <c r="AF56" s="491" t="s">
        <v>29</v>
      </c>
      <c r="AG56" s="491" t="s">
        <v>29</v>
      </c>
      <c r="AH56" s="491" t="s">
        <v>29</v>
      </c>
      <c r="AI56" s="1025" t="s">
        <v>29</v>
      </c>
      <c r="AJ56" s="491" t="s">
        <v>29</v>
      </c>
      <c r="AK56" s="491" t="s">
        <v>29</v>
      </c>
      <c r="AL56" s="491" t="s">
        <v>29</v>
      </c>
      <c r="AM56" s="491" t="s">
        <v>29</v>
      </c>
      <c r="AN56" s="1025" t="s">
        <v>29</v>
      </c>
      <c r="AO56" s="491" t="s">
        <v>29</v>
      </c>
      <c r="AP56" s="491" t="s">
        <v>29</v>
      </c>
      <c r="AQ56" s="491" t="s">
        <v>29</v>
      </c>
      <c r="AR56" s="491" t="s">
        <v>29</v>
      </c>
      <c r="AS56" s="1025" t="s">
        <v>29</v>
      </c>
      <c r="AT56" s="1025" t="s">
        <v>29</v>
      </c>
      <c r="AU56" s="491" t="s">
        <v>29</v>
      </c>
      <c r="AV56" s="491">
        <v>52617</v>
      </c>
    </row>
    <row r="57" spans="1:48">
      <c r="A57" s="72">
        <v>8</v>
      </c>
      <c r="B57" s="391" t="s">
        <v>56</v>
      </c>
      <c r="C57" s="72">
        <f t="shared" si="0"/>
        <v>1</v>
      </c>
      <c r="D57" s="72" t="str">
        <f t="shared" si="1"/>
        <v>8-1</v>
      </c>
      <c r="E57" s="72">
        <v>61820</v>
      </c>
      <c r="F57" s="72" t="str">
        <f t="shared" si="2"/>
        <v>8-61820</v>
      </c>
      <c r="G57" s="391" t="s">
        <v>672</v>
      </c>
      <c r="H57" s="491">
        <v>12386.36</v>
      </c>
      <c r="I57" s="491">
        <v>11388.75</v>
      </c>
      <c r="J57" s="491">
        <v>11726.59</v>
      </c>
      <c r="K57" s="491">
        <v>13943.38</v>
      </c>
      <c r="L57" s="491" t="s">
        <v>29</v>
      </c>
      <c r="M57" s="491" t="s">
        <v>29</v>
      </c>
      <c r="N57" s="491" t="s">
        <v>29</v>
      </c>
      <c r="O57" s="491" t="s">
        <v>29</v>
      </c>
      <c r="P57" s="491">
        <v>0</v>
      </c>
      <c r="Q57" s="491">
        <v>0</v>
      </c>
      <c r="R57" s="491">
        <v>0</v>
      </c>
      <c r="S57" s="491">
        <v>7.33</v>
      </c>
      <c r="T57" s="1025" t="b">
        <v>0</v>
      </c>
      <c r="U57" s="491">
        <v>0</v>
      </c>
      <c r="V57" s="491">
        <v>0</v>
      </c>
      <c r="W57" s="491">
        <v>0</v>
      </c>
      <c r="X57" s="491">
        <v>0</v>
      </c>
      <c r="Y57" s="1025" t="b">
        <v>0</v>
      </c>
      <c r="Z57" s="491">
        <v>0</v>
      </c>
      <c r="AA57" s="491">
        <v>0</v>
      </c>
      <c r="AB57" s="491">
        <v>0</v>
      </c>
      <c r="AC57" s="491">
        <v>0</v>
      </c>
      <c r="AD57" s="1025" t="b">
        <v>0</v>
      </c>
      <c r="AE57" s="491">
        <v>0</v>
      </c>
      <c r="AF57" s="491">
        <v>0</v>
      </c>
      <c r="AG57" s="491">
        <v>0</v>
      </c>
      <c r="AH57" s="491">
        <v>0</v>
      </c>
      <c r="AI57" s="1025" t="b">
        <v>0</v>
      </c>
      <c r="AJ57" s="491">
        <v>0</v>
      </c>
      <c r="AK57" s="491">
        <v>0</v>
      </c>
      <c r="AL57" s="491">
        <v>0</v>
      </c>
      <c r="AM57" s="491">
        <v>0</v>
      </c>
      <c r="AN57" s="1025" t="b">
        <v>0</v>
      </c>
      <c r="AO57" s="491">
        <v>2.8</v>
      </c>
      <c r="AP57" s="491">
        <v>0.9</v>
      </c>
      <c r="AQ57" s="491">
        <v>1.7</v>
      </c>
      <c r="AR57" s="491">
        <v>2.8</v>
      </c>
      <c r="AS57" s="1025" t="b">
        <v>0</v>
      </c>
      <c r="AT57" s="1025" t="b">
        <v>0</v>
      </c>
      <c r="AU57" s="491">
        <v>206113</v>
      </c>
      <c r="AV57" s="491" t="s">
        <v>29</v>
      </c>
    </row>
    <row r="58" spans="1:48">
      <c r="A58" s="72">
        <v>8</v>
      </c>
      <c r="B58" s="391" t="s">
        <v>56</v>
      </c>
      <c r="C58" s="72">
        <f t="shared" si="0"/>
        <v>0</v>
      </c>
      <c r="D58" s="72" t="str">
        <f t="shared" si="1"/>
        <v>8-0</v>
      </c>
      <c r="E58" s="72" t="s">
        <v>29</v>
      </c>
      <c r="F58" s="72" t="str">
        <f t="shared" si="2"/>
        <v>8-N/A</v>
      </c>
      <c r="G58" s="391" t="s">
        <v>29</v>
      </c>
      <c r="H58" s="491" t="s">
        <v>29</v>
      </c>
      <c r="I58" s="491" t="s">
        <v>29</v>
      </c>
      <c r="J58" s="491" t="s">
        <v>29</v>
      </c>
      <c r="K58" s="491" t="s">
        <v>29</v>
      </c>
      <c r="L58" s="491" t="s">
        <v>29</v>
      </c>
      <c r="M58" s="491" t="s">
        <v>29</v>
      </c>
      <c r="N58" s="491" t="s">
        <v>29</v>
      </c>
      <c r="O58" s="491" t="s">
        <v>29</v>
      </c>
      <c r="P58" s="491" t="s">
        <v>29</v>
      </c>
      <c r="Q58" s="491" t="s">
        <v>29</v>
      </c>
      <c r="R58" s="491" t="s">
        <v>29</v>
      </c>
      <c r="S58" s="491" t="s">
        <v>29</v>
      </c>
      <c r="T58" s="1025" t="s">
        <v>29</v>
      </c>
      <c r="U58" s="491" t="s">
        <v>29</v>
      </c>
      <c r="V58" s="491" t="s">
        <v>29</v>
      </c>
      <c r="W58" s="491" t="s">
        <v>29</v>
      </c>
      <c r="X58" s="491" t="s">
        <v>29</v>
      </c>
      <c r="Y58" s="1025" t="s">
        <v>29</v>
      </c>
      <c r="Z58" s="491" t="s">
        <v>29</v>
      </c>
      <c r="AA58" s="491" t="s">
        <v>29</v>
      </c>
      <c r="AB58" s="491" t="s">
        <v>29</v>
      </c>
      <c r="AC58" s="491" t="s">
        <v>29</v>
      </c>
      <c r="AD58" s="1025" t="s">
        <v>29</v>
      </c>
      <c r="AE58" s="491" t="s">
        <v>29</v>
      </c>
      <c r="AF58" s="491" t="s">
        <v>29</v>
      </c>
      <c r="AG58" s="491" t="s">
        <v>29</v>
      </c>
      <c r="AH58" s="491" t="s">
        <v>29</v>
      </c>
      <c r="AI58" s="1025" t="s">
        <v>29</v>
      </c>
      <c r="AJ58" s="491" t="s">
        <v>29</v>
      </c>
      <c r="AK58" s="491" t="s">
        <v>29</v>
      </c>
      <c r="AL58" s="491" t="s">
        <v>29</v>
      </c>
      <c r="AM58" s="491" t="s">
        <v>29</v>
      </c>
      <c r="AN58" s="1025" t="s">
        <v>29</v>
      </c>
      <c r="AO58" s="491" t="s">
        <v>29</v>
      </c>
      <c r="AP58" s="491" t="s">
        <v>29</v>
      </c>
      <c r="AQ58" s="491" t="s">
        <v>29</v>
      </c>
      <c r="AR58" s="491" t="s">
        <v>29</v>
      </c>
      <c r="AS58" s="1025" t="s">
        <v>29</v>
      </c>
      <c r="AT58" s="1025" t="s">
        <v>29</v>
      </c>
      <c r="AU58" s="491" t="s">
        <v>29</v>
      </c>
      <c r="AV58" s="491">
        <v>206113</v>
      </c>
    </row>
    <row r="59" spans="1:48">
      <c r="A59" s="72">
        <v>9</v>
      </c>
      <c r="B59" s="391" t="s">
        <v>37</v>
      </c>
      <c r="C59" s="72">
        <f t="shared" si="0"/>
        <v>1</v>
      </c>
      <c r="D59" s="72" t="str">
        <f t="shared" si="1"/>
        <v>9-1</v>
      </c>
      <c r="E59" s="72">
        <v>61838</v>
      </c>
      <c r="F59" s="72" t="str">
        <f t="shared" si="2"/>
        <v>9-61838</v>
      </c>
      <c r="G59" s="391" t="s">
        <v>673</v>
      </c>
      <c r="H59" s="331">
        <v>10507.57</v>
      </c>
      <c r="I59" s="331">
        <v>9661.27</v>
      </c>
      <c r="J59" s="331">
        <v>9947.8700000000008</v>
      </c>
      <c r="K59" s="331">
        <v>11828.41</v>
      </c>
      <c r="L59" s="491" t="s">
        <v>29</v>
      </c>
      <c r="M59" s="491" t="s">
        <v>29</v>
      </c>
      <c r="N59" s="491" t="s">
        <v>29</v>
      </c>
      <c r="O59" s="491" t="s">
        <v>29</v>
      </c>
      <c r="P59" s="491">
        <v>0</v>
      </c>
      <c r="Q59" s="491">
        <v>0</v>
      </c>
      <c r="R59" s="491">
        <v>0</v>
      </c>
      <c r="S59" s="491">
        <v>0</v>
      </c>
      <c r="T59" s="1025" t="b">
        <v>0</v>
      </c>
      <c r="U59" s="491">
        <v>15.68</v>
      </c>
      <c r="V59" s="491">
        <v>5.54</v>
      </c>
      <c r="W59" s="491">
        <v>0.97</v>
      </c>
      <c r="X59" s="491">
        <v>0</v>
      </c>
      <c r="Y59" s="1025" t="b">
        <v>0</v>
      </c>
      <c r="Z59" s="331">
        <v>0</v>
      </c>
      <c r="AA59" s="331">
        <v>0</v>
      </c>
      <c r="AB59" s="331">
        <v>0</v>
      </c>
      <c r="AC59" s="331">
        <v>0</v>
      </c>
      <c r="AD59" s="1025" t="b">
        <v>0</v>
      </c>
      <c r="AE59" s="331">
        <v>0</v>
      </c>
      <c r="AF59" s="331">
        <v>0</v>
      </c>
      <c r="AG59" s="331">
        <v>0</v>
      </c>
      <c r="AH59" s="331">
        <v>0</v>
      </c>
      <c r="AI59" s="1025" t="b">
        <v>0</v>
      </c>
      <c r="AJ59" s="331">
        <v>0</v>
      </c>
      <c r="AK59" s="331">
        <v>0</v>
      </c>
      <c r="AL59" s="331">
        <v>0</v>
      </c>
      <c r="AM59" s="331">
        <v>0</v>
      </c>
      <c r="AN59" s="1025" t="b">
        <v>0</v>
      </c>
      <c r="AO59" s="331">
        <v>0</v>
      </c>
      <c r="AP59" s="331">
        <v>0</v>
      </c>
      <c r="AQ59" s="331">
        <v>0</v>
      </c>
      <c r="AR59" s="331">
        <v>0</v>
      </c>
      <c r="AS59" s="1025" t="b">
        <v>0</v>
      </c>
      <c r="AT59" s="1025" t="b">
        <v>0</v>
      </c>
      <c r="AU59" s="331">
        <v>227931</v>
      </c>
      <c r="AV59" s="491" t="s">
        <v>29</v>
      </c>
    </row>
    <row r="60" spans="1:48">
      <c r="A60" s="72">
        <v>9</v>
      </c>
      <c r="B60" s="391" t="s">
        <v>37</v>
      </c>
      <c r="C60" s="72">
        <f t="shared" si="0"/>
        <v>2</v>
      </c>
      <c r="D60" s="72" t="str">
        <f t="shared" si="1"/>
        <v>9-2</v>
      </c>
      <c r="E60" s="72">
        <v>61846</v>
      </c>
      <c r="F60" s="72" t="str">
        <f t="shared" si="2"/>
        <v>9-61846</v>
      </c>
      <c r="G60" s="391" t="s">
        <v>674</v>
      </c>
      <c r="H60" s="331">
        <v>11130.9</v>
      </c>
      <c r="I60" s="331">
        <v>10234.4</v>
      </c>
      <c r="J60" s="331">
        <v>10538</v>
      </c>
      <c r="K60" s="331">
        <v>12530.1</v>
      </c>
      <c r="L60" s="491" t="s">
        <v>29</v>
      </c>
      <c r="M60" s="491" t="s">
        <v>29</v>
      </c>
      <c r="N60" s="491" t="s">
        <v>29</v>
      </c>
      <c r="O60" s="491" t="s">
        <v>29</v>
      </c>
      <c r="P60" s="491">
        <v>0</v>
      </c>
      <c r="Q60" s="491">
        <v>0</v>
      </c>
      <c r="R60" s="491">
        <v>0</v>
      </c>
      <c r="S60" s="491">
        <v>0</v>
      </c>
      <c r="T60" s="1025" t="b">
        <v>0</v>
      </c>
      <c r="U60" s="491">
        <v>0.95</v>
      </c>
      <c r="V60" s="491">
        <v>3.6</v>
      </c>
      <c r="W60" s="491">
        <v>0.92</v>
      </c>
      <c r="X60" s="491">
        <v>0</v>
      </c>
      <c r="Y60" s="1025" t="b">
        <v>0</v>
      </c>
      <c r="Z60" s="331">
        <v>0</v>
      </c>
      <c r="AA60" s="331">
        <v>0</v>
      </c>
      <c r="AB60" s="331">
        <v>0</v>
      </c>
      <c r="AC60" s="331">
        <v>0</v>
      </c>
      <c r="AD60" s="1025" t="b">
        <v>0</v>
      </c>
      <c r="AE60" s="331">
        <v>0</v>
      </c>
      <c r="AF60" s="331">
        <v>0</v>
      </c>
      <c r="AG60" s="331">
        <v>0</v>
      </c>
      <c r="AH60" s="331">
        <v>0</v>
      </c>
      <c r="AI60" s="1025" t="b">
        <v>0</v>
      </c>
      <c r="AJ60" s="331">
        <v>0</v>
      </c>
      <c r="AK60" s="331">
        <v>0</v>
      </c>
      <c r="AL60" s="331">
        <v>0</v>
      </c>
      <c r="AM60" s="331">
        <v>0</v>
      </c>
      <c r="AN60" s="1025" t="b">
        <v>0</v>
      </c>
      <c r="AO60" s="331">
        <v>0</v>
      </c>
      <c r="AP60" s="331">
        <v>0</v>
      </c>
      <c r="AQ60" s="331">
        <v>0</v>
      </c>
      <c r="AR60" s="331">
        <v>0</v>
      </c>
      <c r="AS60" s="1025" t="b">
        <v>0</v>
      </c>
      <c r="AT60" s="1025" t="b">
        <v>0</v>
      </c>
      <c r="AU60" s="331">
        <v>57113</v>
      </c>
      <c r="AV60" s="491" t="s">
        <v>29</v>
      </c>
    </row>
    <row r="61" spans="1:48">
      <c r="A61" s="72">
        <v>9</v>
      </c>
      <c r="B61" s="391" t="s">
        <v>37</v>
      </c>
      <c r="C61" s="72">
        <f t="shared" si="0"/>
        <v>3</v>
      </c>
      <c r="D61" s="72" t="str">
        <f t="shared" si="1"/>
        <v>9-3</v>
      </c>
      <c r="E61" s="72">
        <v>61853</v>
      </c>
      <c r="F61" s="72" t="str">
        <f t="shared" si="2"/>
        <v>9-61853</v>
      </c>
      <c r="G61" s="391" t="s">
        <v>675</v>
      </c>
      <c r="H61" s="331">
        <v>10578.6</v>
      </c>
      <c r="I61" s="331">
        <v>9726.59</v>
      </c>
      <c r="J61" s="331">
        <v>10015.120000000001</v>
      </c>
      <c r="K61" s="331">
        <v>11908.38</v>
      </c>
      <c r="L61" s="491" t="s">
        <v>29</v>
      </c>
      <c r="M61" s="491" t="s">
        <v>29</v>
      </c>
      <c r="N61" s="491" t="s">
        <v>29</v>
      </c>
      <c r="O61" s="491" t="s">
        <v>29</v>
      </c>
      <c r="P61" s="491">
        <v>0</v>
      </c>
      <c r="Q61" s="491">
        <v>0</v>
      </c>
      <c r="R61" s="491">
        <v>0</v>
      </c>
      <c r="S61" s="491">
        <v>0</v>
      </c>
      <c r="T61" s="1025" t="b">
        <v>0</v>
      </c>
      <c r="U61" s="491">
        <v>0</v>
      </c>
      <c r="V61" s="491">
        <v>0</v>
      </c>
      <c r="W61" s="491">
        <v>0</v>
      </c>
      <c r="X61" s="491">
        <v>63.44</v>
      </c>
      <c r="Y61" s="1025" t="b">
        <v>0</v>
      </c>
      <c r="Z61" s="331">
        <v>0</v>
      </c>
      <c r="AA61" s="331">
        <v>0</v>
      </c>
      <c r="AB61" s="331">
        <v>0</v>
      </c>
      <c r="AC61" s="331">
        <v>4.41</v>
      </c>
      <c r="AD61" s="1025" t="b">
        <v>0</v>
      </c>
      <c r="AE61" s="331">
        <v>0</v>
      </c>
      <c r="AF61" s="331">
        <v>0</v>
      </c>
      <c r="AG61" s="331">
        <v>0</v>
      </c>
      <c r="AH61" s="331">
        <v>0</v>
      </c>
      <c r="AI61" s="1025" t="b">
        <v>0</v>
      </c>
      <c r="AJ61" s="331">
        <v>0</v>
      </c>
      <c r="AK61" s="331">
        <v>0</v>
      </c>
      <c r="AL61" s="331">
        <v>0</v>
      </c>
      <c r="AM61" s="331">
        <v>0</v>
      </c>
      <c r="AN61" s="1025" t="b">
        <v>0</v>
      </c>
      <c r="AO61" s="331">
        <v>0</v>
      </c>
      <c r="AP61" s="331">
        <v>0</v>
      </c>
      <c r="AQ61" s="331">
        <v>0</v>
      </c>
      <c r="AR61" s="331">
        <v>0</v>
      </c>
      <c r="AS61" s="1025" t="b">
        <v>0</v>
      </c>
      <c r="AT61" s="1025" t="b">
        <v>0</v>
      </c>
      <c r="AU61" s="331">
        <v>807984</v>
      </c>
      <c r="AV61" s="491" t="s">
        <v>29</v>
      </c>
    </row>
    <row r="62" spans="1:48">
      <c r="A62" s="72">
        <v>9</v>
      </c>
      <c r="B62" s="391" t="s">
        <v>37</v>
      </c>
      <c r="C62" s="72">
        <f t="shared" si="0"/>
        <v>4</v>
      </c>
      <c r="D62" s="72" t="str">
        <f t="shared" si="1"/>
        <v>9-4</v>
      </c>
      <c r="E62" s="72">
        <v>61879</v>
      </c>
      <c r="F62" s="72" t="str">
        <f t="shared" si="2"/>
        <v>9-61879</v>
      </c>
      <c r="G62" s="391" t="s">
        <v>676</v>
      </c>
      <c r="H62" s="331">
        <v>10896.14</v>
      </c>
      <c r="I62" s="331">
        <v>10018.549999999999</v>
      </c>
      <c r="J62" s="331">
        <v>10315.74</v>
      </c>
      <c r="K62" s="331">
        <v>12265.83</v>
      </c>
      <c r="L62" s="491" t="s">
        <v>29</v>
      </c>
      <c r="M62" s="491" t="s">
        <v>29</v>
      </c>
      <c r="N62" s="491" t="s">
        <v>29</v>
      </c>
      <c r="O62" s="491" t="s">
        <v>29</v>
      </c>
      <c r="P62" s="491">
        <v>0</v>
      </c>
      <c r="Q62" s="491">
        <v>0</v>
      </c>
      <c r="R62" s="491">
        <v>0</v>
      </c>
      <c r="S62" s="491">
        <v>0</v>
      </c>
      <c r="T62" s="1025" t="b">
        <v>0</v>
      </c>
      <c r="U62" s="491">
        <v>1.92</v>
      </c>
      <c r="V62" s="491">
        <v>0.05</v>
      </c>
      <c r="W62" s="491">
        <v>2.72</v>
      </c>
      <c r="X62" s="491">
        <v>0</v>
      </c>
      <c r="Y62" s="1025" t="b">
        <v>0</v>
      </c>
      <c r="Z62" s="331">
        <v>0</v>
      </c>
      <c r="AA62" s="331">
        <v>0</v>
      </c>
      <c r="AB62" s="331">
        <v>1.1599999999999999</v>
      </c>
      <c r="AC62" s="331">
        <v>0</v>
      </c>
      <c r="AD62" s="1025" t="b">
        <v>0</v>
      </c>
      <c r="AE62" s="331">
        <v>0</v>
      </c>
      <c r="AF62" s="331">
        <v>0</v>
      </c>
      <c r="AG62" s="331">
        <v>0</v>
      </c>
      <c r="AH62" s="331">
        <v>0</v>
      </c>
      <c r="AI62" s="1025" t="b">
        <v>0</v>
      </c>
      <c r="AJ62" s="331">
        <v>0</v>
      </c>
      <c r="AK62" s="331">
        <v>0</v>
      </c>
      <c r="AL62" s="331">
        <v>0</v>
      </c>
      <c r="AM62" s="331">
        <v>0</v>
      </c>
      <c r="AN62" s="1025" t="b">
        <v>0</v>
      </c>
      <c r="AO62" s="331">
        <v>0</v>
      </c>
      <c r="AP62" s="331">
        <v>0</v>
      </c>
      <c r="AQ62" s="331">
        <v>0</v>
      </c>
      <c r="AR62" s="331">
        <v>0</v>
      </c>
      <c r="AS62" s="1025" t="b">
        <v>0</v>
      </c>
      <c r="AT62" s="1025" t="b">
        <v>0</v>
      </c>
      <c r="AU62" s="331">
        <v>61447</v>
      </c>
      <c r="AV62" s="491" t="s">
        <v>29</v>
      </c>
    </row>
    <row r="63" spans="1:48">
      <c r="A63" s="72">
        <v>9</v>
      </c>
      <c r="B63" s="391" t="s">
        <v>37</v>
      </c>
      <c r="C63" s="72">
        <f t="shared" si="0"/>
        <v>5</v>
      </c>
      <c r="D63" s="72" t="str">
        <f t="shared" si="1"/>
        <v>9-5</v>
      </c>
      <c r="E63" s="72">
        <v>61887</v>
      </c>
      <c r="F63" s="72" t="str">
        <f t="shared" si="2"/>
        <v>9-61887</v>
      </c>
      <c r="G63" s="391" t="s">
        <v>677</v>
      </c>
      <c r="H63" s="331">
        <v>10640.13</v>
      </c>
      <c r="I63" s="331">
        <v>9783.16</v>
      </c>
      <c r="J63" s="331">
        <v>10073.370000000001</v>
      </c>
      <c r="K63" s="331">
        <v>11977.64</v>
      </c>
      <c r="L63" s="491" t="s">
        <v>29</v>
      </c>
      <c r="M63" s="491" t="s">
        <v>29</v>
      </c>
      <c r="N63" s="491" t="s">
        <v>29</v>
      </c>
      <c r="O63" s="491" t="s">
        <v>29</v>
      </c>
      <c r="P63" s="491">
        <v>0</v>
      </c>
      <c r="Q63" s="491">
        <v>0</v>
      </c>
      <c r="R63" s="491">
        <v>0</v>
      </c>
      <c r="S63" s="491">
        <v>0</v>
      </c>
      <c r="T63" s="1025" t="b">
        <v>0</v>
      </c>
      <c r="U63" s="491">
        <v>0.66</v>
      </c>
      <c r="V63" s="491">
        <v>1.62</v>
      </c>
      <c r="W63" s="491">
        <v>0.95</v>
      </c>
      <c r="X63" s="491">
        <v>0</v>
      </c>
      <c r="Y63" s="1025" t="b">
        <v>0</v>
      </c>
      <c r="Z63" s="331">
        <v>0</v>
      </c>
      <c r="AA63" s="331">
        <v>0</v>
      </c>
      <c r="AB63" s="331">
        <v>0</v>
      </c>
      <c r="AC63" s="331">
        <v>0</v>
      </c>
      <c r="AD63" s="1025" t="b">
        <v>0</v>
      </c>
      <c r="AE63" s="331">
        <v>0</v>
      </c>
      <c r="AF63" s="331">
        <v>0</v>
      </c>
      <c r="AG63" s="331">
        <v>0</v>
      </c>
      <c r="AH63" s="331">
        <v>0</v>
      </c>
      <c r="AI63" s="1025" t="b">
        <v>0</v>
      </c>
      <c r="AJ63" s="331">
        <v>0</v>
      </c>
      <c r="AK63" s="331">
        <v>0</v>
      </c>
      <c r="AL63" s="331">
        <v>0</v>
      </c>
      <c r="AM63" s="331">
        <v>0</v>
      </c>
      <c r="AN63" s="1025" t="b">
        <v>0</v>
      </c>
      <c r="AO63" s="331">
        <v>0</v>
      </c>
      <c r="AP63" s="331">
        <v>0</v>
      </c>
      <c r="AQ63" s="331">
        <v>0</v>
      </c>
      <c r="AR63" s="331">
        <v>0</v>
      </c>
      <c r="AS63" s="1025" t="b">
        <v>0</v>
      </c>
      <c r="AT63" s="1025" t="b">
        <v>0</v>
      </c>
      <c r="AU63" s="331">
        <v>32441</v>
      </c>
      <c r="AV63" s="491" t="s">
        <v>29</v>
      </c>
    </row>
    <row r="64" spans="1:48">
      <c r="A64" s="72">
        <v>9</v>
      </c>
      <c r="B64" s="391" t="s">
        <v>37</v>
      </c>
      <c r="C64" s="72">
        <f t="shared" si="0"/>
        <v>6</v>
      </c>
      <c r="D64" s="72" t="str">
        <f t="shared" si="1"/>
        <v>9-6</v>
      </c>
      <c r="E64" s="72">
        <v>61911</v>
      </c>
      <c r="F64" s="72" t="str">
        <f t="shared" si="2"/>
        <v>9-61911</v>
      </c>
      <c r="G64" s="391" t="s">
        <v>1643</v>
      </c>
      <c r="H64" s="331">
        <v>10381.69</v>
      </c>
      <c r="I64" s="331">
        <v>9545.5300000000007</v>
      </c>
      <c r="J64" s="331">
        <v>9828.7000000000007</v>
      </c>
      <c r="K64" s="331">
        <v>11686.71</v>
      </c>
      <c r="L64" s="491" t="s">
        <v>29</v>
      </c>
      <c r="M64" s="491" t="s">
        <v>29</v>
      </c>
      <c r="N64" s="491" t="s">
        <v>29</v>
      </c>
      <c r="O64" s="491" t="s">
        <v>29</v>
      </c>
      <c r="P64" s="491">
        <v>0</v>
      </c>
      <c r="Q64" s="491">
        <v>0</v>
      </c>
      <c r="R64" s="491">
        <v>0</v>
      </c>
      <c r="S64" s="491">
        <v>0</v>
      </c>
      <c r="T64" s="1025" t="b">
        <v>0</v>
      </c>
      <c r="U64" s="491">
        <v>0</v>
      </c>
      <c r="V64" s="491">
        <v>0.94</v>
      </c>
      <c r="W64" s="491">
        <v>0</v>
      </c>
      <c r="X64" s="491">
        <v>0</v>
      </c>
      <c r="Y64" s="1025" t="b">
        <v>0</v>
      </c>
      <c r="Z64" s="331">
        <v>0</v>
      </c>
      <c r="AA64" s="331">
        <v>0</v>
      </c>
      <c r="AB64" s="331">
        <v>0</v>
      </c>
      <c r="AC64" s="331">
        <v>0</v>
      </c>
      <c r="AD64" s="1025" t="b">
        <v>0</v>
      </c>
      <c r="AE64" s="331">
        <v>0</v>
      </c>
      <c r="AF64" s="331">
        <v>0</v>
      </c>
      <c r="AG64" s="331">
        <v>0</v>
      </c>
      <c r="AH64" s="331">
        <v>0</v>
      </c>
      <c r="AI64" s="1025" t="b">
        <v>0</v>
      </c>
      <c r="AJ64" s="331">
        <v>0</v>
      </c>
      <c r="AK64" s="331">
        <v>0</v>
      </c>
      <c r="AL64" s="331">
        <v>0</v>
      </c>
      <c r="AM64" s="331">
        <v>0</v>
      </c>
      <c r="AN64" s="1025" t="b">
        <v>0</v>
      </c>
      <c r="AO64" s="331">
        <v>0</v>
      </c>
      <c r="AP64" s="331">
        <v>0</v>
      </c>
      <c r="AQ64" s="331">
        <v>0</v>
      </c>
      <c r="AR64" s="331">
        <v>0</v>
      </c>
      <c r="AS64" s="1025" t="b">
        <v>0</v>
      </c>
      <c r="AT64" s="1025" t="b">
        <v>0</v>
      </c>
      <c r="AU64" s="331">
        <v>8973</v>
      </c>
      <c r="AV64" s="491" t="s">
        <v>29</v>
      </c>
    </row>
    <row r="65" spans="1:48">
      <c r="A65" s="72">
        <v>9</v>
      </c>
      <c r="B65" s="391" t="s">
        <v>37</v>
      </c>
      <c r="C65" s="72">
        <f t="shared" si="0"/>
        <v>7</v>
      </c>
      <c r="D65" s="72" t="str">
        <f t="shared" si="1"/>
        <v>9-7</v>
      </c>
      <c r="E65" s="72">
        <v>61929</v>
      </c>
      <c r="F65" s="72" t="str">
        <f t="shared" si="2"/>
        <v>9-61929</v>
      </c>
      <c r="G65" s="391" t="s">
        <v>678</v>
      </c>
      <c r="H65" s="331">
        <v>11165.3</v>
      </c>
      <c r="I65" s="331">
        <v>10266.030000000001</v>
      </c>
      <c r="J65" s="331">
        <v>10570.57</v>
      </c>
      <c r="K65" s="331">
        <v>12568.83</v>
      </c>
      <c r="L65" s="491" t="s">
        <v>29</v>
      </c>
      <c r="M65" s="491" t="s">
        <v>29</v>
      </c>
      <c r="N65" s="491" t="s">
        <v>29</v>
      </c>
      <c r="O65" s="491" t="s">
        <v>29</v>
      </c>
      <c r="P65" s="491">
        <v>0</v>
      </c>
      <c r="Q65" s="491">
        <v>0</v>
      </c>
      <c r="R65" s="491">
        <v>0</v>
      </c>
      <c r="S65" s="491">
        <v>0</v>
      </c>
      <c r="T65" s="1025" t="b">
        <v>0</v>
      </c>
      <c r="U65" s="491">
        <v>5.78</v>
      </c>
      <c r="V65" s="491">
        <v>3.99</v>
      </c>
      <c r="W65" s="491">
        <v>0.95</v>
      </c>
      <c r="X65" s="491">
        <v>0</v>
      </c>
      <c r="Y65" s="1025" t="b">
        <v>0</v>
      </c>
      <c r="Z65" s="331">
        <v>0</v>
      </c>
      <c r="AA65" s="331">
        <v>0</v>
      </c>
      <c r="AB65" s="331">
        <v>0.79</v>
      </c>
      <c r="AC65" s="331">
        <v>0</v>
      </c>
      <c r="AD65" s="1025" t="b">
        <v>0</v>
      </c>
      <c r="AE65" s="331">
        <v>0</v>
      </c>
      <c r="AF65" s="331">
        <v>0</v>
      </c>
      <c r="AG65" s="331">
        <v>0</v>
      </c>
      <c r="AH65" s="331">
        <v>0</v>
      </c>
      <c r="AI65" s="1025" t="b">
        <v>0</v>
      </c>
      <c r="AJ65" s="331">
        <v>0</v>
      </c>
      <c r="AK65" s="331">
        <v>0</v>
      </c>
      <c r="AL65" s="331">
        <v>0</v>
      </c>
      <c r="AM65" s="331">
        <v>0</v>
      </c>
      <c r="AN65" s="1025" t="b">
        <v>0</v>
      </c>
      <c r="AO65" s="331">
        <v>0</v>
      </c>
      <c r="AP65" s="331">
        <v>0</v>
      </c>
      <c r="AQ65" s="331">
        <v>0</v>
      </c>
      <c r="AR65" s="331">
        <v>0</v>
      </c>
      <c r="AS65" s="1025" t="b">
        <v>0</v>
      </c>
      <c r="AT65" s="1025" t="b">
        <v>0</v>
      </c>
      <c r="AU65" s="331">
        <v>123889</v>
      </c>
      <c r="AV65" s="491" t="s">
        <v>29</v>
      </c>
    </row>
    <row r="66" spans="1:48">
      <c r="A66" s="72">
        <v>9</v>
      </c>
      <c r="B66" s="391" t="s">
        <v>37</v>
      </c>
      <c r="C66" s="72">
        <f t="shared" si="0"/>
        <v>8</v>
      </c>
      <c r="D66" s="72" t="str">
        <f t="shared" si="1"/>
        <v>9-8</v>
      </c>
      <c r="E66" s="72">
        <v>61945</v>
      </c>
      <c r="F66" s="72" t="str">
        <f t="shared" si="2"/>
        <v>9-61945</v>
      </c>
      <c r="G66" s="391" t="s">
        <v>646</v>
      </c>
      <c r="H66" s="331">
        <v>11159.64</v>
      </c>
      <c r="I66" s="331">
        <v>10260.82</v>
      </c>
      <c r="J66" s="331">
        <v>10565.21</v>
      </c>
      <c r="K66" s="331">
        <v>12562.45</v>
      </c>
      <c r="L66" s="491" t="s">
        <v>29</v>
      </c>
      <c r="M66" s="491" t="s">
        <v>29</v>
      </c>
      <c r="N66" s="491" t="s">
        <v>29</v>
      </c>
      <c r="O66" s="491" t="s">
        <v>29</v>
      </c>
      <c r="P66" s="491">
        <v>0</v>
      </c>
      <c r="Q66" s="491">
        <v>0</v>
      </c>
      <c r="R66" s="491">
        <v>0</v>
      </c>
      <c r="S66" s="491">
        <v>0</v>
      </c>
      <c r="T66" s="1025" t="b">
        <v>0</v>
      </c>
      <c r="U66" s="491">
        <v>3.12</v>
      </c>
      <c r="V66" s="491">
        <v>0.75</v>
      </c>
      <c r="W66" s="491">
        <v>1.61</v>
      </c>
      <c r="X66" s="491">
        <v>0</v>
      </c>
      <c r="Y66" s="1025" t="b">
        <v>0</v>
      </c>
      <c r="Z66" s="331">
        <v>0</v>
      </c>
      <c r="AA66" s="331">
        <v>0</v>
      </c>
      <c r="AB66" s="331">
        <v>0</v>
      </c>
      <c r="AC66" s="331">
        <v>0</v>
      </c>
      <c r="AD66" s="1025" t="b">
        <v>0</v>
      </c>
      <c r="AE66" s="331">
        <v>0</v>
      </c>
      <c r="AF66" s="331">
        <v>0</v>
      </c>
      <c r="AG66" s="331">
        <v>0</v>
      </c>
      <c r="AH66" s="331">
        <v>0</v>
      </c>
      <c r="AI66" s="1025" t="b">
        <v>0</v>
      </c>
      <c r="AJ66" s="331">
        <v>0</v>
      </c>
      <c r="AK66" s="331">
        <v>0</v>
      </c>
      <c r="AL66" s="331">
        <v>0</v>
      </c>
      <c r="AM66" s="331">
        <v>0</v>
      </c>
      <c r="AN66" s="1025" t="b">
        <v>0</v>
      </c>
      <c r="AO66" s="331">
        <v>0</v>
      </c>
      <c r="AP66" s="331">
        <v>0</v>
      </c>
      <c r="AQ66" s="331">
        <v>0</v>
      </c>
      <c r="AR66" s="331">
        <v>0</v>
      </c>
      <c r="AS66" s="1025" t="b">
        <v>0</v>
      </c>
      <c r="AT66" s="1025" t="b">
        <v>0</v>
      </c>
      <c r="AU66" s="331">
        <v>59524</v>
      </c>
      <c r="AV66" s="491" t="s">
        <v>29</v>
      </c>
    </row>
    <row r="67" spans="1:48">
      <c r="A67" s="72">
        <v>9</v>
      </c>
      <c r="B67" s="391" t="s">
        <v>37</v>
      </c>
      <c r="C67" s="72">
        <f t="shared" si="0"/>
        <v>9</v>
      </c>
      <c r="D67" s="72" t="str">
        <f t="shared" si="1"/>
        <v>9-9</v>
      </c>
      <c r="E67" s="72">
        <v>61952</v>
      </c>
      <c r="F67" s="72" t="str">
        <f t="shared" si="2"/>
        <v>9-61952</v>
      </c>
      <c r="G67" s="391" t="s">
        <v>679</v>
      </c>
      <c r="H67" s="331">
        <v>11523.67</v>
      </c>
      <c r="I67" s="331">
        <v>10595.53</v>
      </c>
      <c r="J67" s="331">
        <v>10909.85</v>
      </c>
      <c r="K67" s="331">
        <v>12972.24</v>
      </c>
      <c r="L67" s="491" t="s">
        <v>29</v>
      </c>
      <c r="M67" s="491" t="s">
        <v>29</v>
      </c>
      <c r="N67" s="491" t="s">
        <v>29</v>
      </c>
      <c r="O67" s="491" t="s">
        <v>29</v>
      </c>
      <c r="P67" s="491">
        <v>0</v>
      </c>
      <c r="Q67" s="491">
        <v>0</v>
      </c>
      <c r="R67" s="491">
        <v>0</v>
      </c>
      <c r="S67" s="491">
        <v>0</v>
      </c>
      <c r="T67" s="1025" t="b">
        <v>0</v>
      </c>
      <c r="U67" s="491">
        <v>4.8099999999999996</v>
      </c>
      <c r="V67" s="491">
        <v>1.86</v>
      </c>
      <c r="W67" s="491">
        <v>4.33</v>
      </c>
      <c r="X67" s="491">
        <v>0</v>
      </c>
      <c r="Y67" s="1025" t="b">
        <v>0</v>
      </c>
      <c r="Z67" s="331">
        <v>0</v>
      </c>
      <c r="AA67" s="331">
        <v>0</v>
      </c>
      <c r="AB67" s="331">
        <v>0</v>
      </c>
      <c r="AC67" s="331">
        <v>0</v>
      </c>
      <c r="AD67" s="1025" t="b">
        <v>0</v>
      </c>
      <c r="AE67" s="331">
        <v>0</v>
      </c>
      <c r="AF67" s="331">
        <v>0</v>
      </c>
      <c r="AG67" s="331">
        <v>0</v>
      </c>
      <c r="AH67" s="331">
        <v>0</v>
      </c>
      <c r="AI67" s="1025" t="b">
        <v>0</v>
      </c>
      <c r="AJ67" s="331">
        <v>0</v>
      </c>
      <c r="AK67" s="331">
        <v>0</v>
      </c>
      <c r="AL67" s="331">
        <v>0</v>
      </c>
      <c r="AM67" s="331">
        <v>0</v>
      </c>
      <c r="AN67" s="1025" t="b">
        <v>0</v>
      </c>
      <c r="AO67" s="331">
        <v>0</v>
      </c>
      <c r="AP67" s="331">
        <v>0</v>
      </c>
      <c r="AQ67" s="331">
        <v>0</v>
      </c>
      <c r="AR67" s="331">
        <v>0</v>
      </c>
      <c r="AS67" s="1025" t="b">
        <v>0</v>
      </c>
      <c r="AT67" s="1025" t="b">
        <v>0</v>
      </c>
      <c r="AU67" s="331">
        <v>122377</v>
      </c>
      <c r="AV67" s="491" t="s">
        <v>29</v>
      </c>
    </row>
    <row r="68" spans="1:48">
      <c r="A68" s="72">
        <v>9</v>
      </c>
      <c r="B68" s="391" t="s">
        <v>37</v>
      </c>
      <c r="C68" s="72">
        <f t="shared" si="0"/>
        <v>10</v>
      </c>
      <c r="D68" s="72" t="str">
        <f t="shared" si="1"/>
        <v>9-10</v>
      </c>
      <c r="E68" s="72">
        <v>61960</v>
      </c>
      <c r="F68" s="72" t="str">
        <f t="shared" si="2"/>
        <v>9-61960</v>
      </c>
      <c r="G68" s="391" t="s">
        <v>680</v>
      </c>
      <c r="H68" s="491">
        <v>11019.19</v>
      </c>
      <c r="I68" s="491">
        <v>10131.68</v>
      </c>
      <c r="J68" s="491">
        <v>10432.24</v>
      </c>
      <c r="K68" s="491">
        <v>12404.34</v>
      </c>
      <c r="L68" s="491" t="s">
        <v>29</v>
      </c>
      <c r="M68" s="491" t="s">
        <v>29</v>
      </c>
      <c r="N68" s="491" t="s">
        <v>29</v>
      </c>
      <c r="O68" s="491" t="s">
        <v>29</v>
      </c>
      <c r="P68" s="491">
        <v>0</v>
      </c>
      <c r="Q68" s="491">
        <v>0</v>
      </c>
      <c r="R68" s="491">
        <v>0</v>
      </c>
      <c r="S68" s="491">
        <v>0</v>
      </c>
      <c r="T68" s="1025" t="b">
        <v>0</v>
      </c>
      <c r="U68" s="491">
        <v>3.62</v>
      </c>
      <c r="V68" s="491">
        <v>0</v>
      </c>
      <c r="W68" s="491">
        <v>2.02</v>
      </c>
      <c r="X68" s="491">
        <v>0</v>
      </c>
      <c r="Y68" s="1025" t="b">
        <v>0</v>
      </c>
      <c r="Z68" s="491">
        <v>0</v>
      </c>
      <c r="AA68" s="491">
        <v>0</v>
      </c>
      <c r="AB68" s="491">
        <v>0</v>
      </c>
      <c r="AC68" s="491">
        <v>0</v>
      </c>
      <c r="AD68" s="1025" t="b">
        <v>0</v>
      </c>
      <c r="AE68" s="491">
        <v>0</v>
      </c>
      <c r="AF68" s="491">
        <v>0</v>
      </c>
      <c r="AG68" s="491">
        <v>0</v>
      </c>
      <c r="AH68" s="491">
        <v>0</v>
      </c>
      <c r="AI68" s="1025" t="b">
        <v>0</v>
      </c>
      <c r="AJ68" s="491">
        <v>0</v>
      </c>
      <c r="AK68" s="491">
        <v>0</v>
      </c>
      <c r="AL68" s="491">
        <v>0</v>
      </c>
      <c r="AM68" s="491">
        <v>0</v>
      </c>
      <c r="AN68" s="1025" t="b">
        <v>0</v>
      </c>
      <c r="AO68" s="491">
        <v>0</v>
      </c>
      <c r="AP68" s="491">
        <v>0</v>
      </c>
      <c r="AQ68" s="491">
        <v>0</v>
      </c>
      <c r="AR68" s="491">
        <v>0</v>
      </c>
      <c r="AS68" s="1025" t="b">
        <v>0</v>
      </c>
      <c r="AT68" s="1025" t="b">
        <v>0</v>
      </c>
      <c r="AU68" s="491">
        <v>60962</v>
      </c>
      <c r="AV68" s="491" t="s">
        <v>29</v>
      </c>
    </row>
    <row r="69" spans="1:48">
      <c r="A69" s="72">
        <v>9</v>
      </c>
      <c r="B69" s="391" t="s">
        <v>37</v>
      </c>
      <c r="C69" s="72">
        <f t="shared" si="0"/>
        <v>11</v>
      </c>
      <c r="D69" s="72" t="str">
        <f t="shared" si="1"/>
        <v>9-11</v>
      </c>
      <c r="E69" s="72">
        <v>61978</v>
      </c>
      <c r="F69" s="72" t="str">
        <f t="shared" si="2"/>
        <v>9-61978</v>
      </c>
      <c r="G69" s="391" t="s">
        <v>681</v>
      </c>
      <c r="H69" s="331">
        <v>10499.27</v>
      </c>
      <c r="I69" s="331">
        <v>9653.64</v>
      </c>
      <c r="J69" s="331">
        <v>9940.02</v>
      </c>
      <c r="K69" s="331">
        <v>11819.07</v>
      </c>
      <c r="L69" s="491" t="s">
        <v>29</v>
      </c>
      <c r="M69" s="491" t="s">
        <v>29</v>
      </c>
      <c r="N69" s="491" t="s">
        <v>29</v>
      </c>
      <c r="O69" s="491" t="s">
        <v>29</v>
      </c>
      <c r="P69" s="491">
        <v>0</v>
      </c>
      <c r="Q69" s="491">
        <v>0</v>
      </c>
      <c r="R69" s="491">
        <v>0</v>
      </c>
      <c r="S69" s="491">
        <v>0</v>
      </c>
      <c r="T69" s="1025" t="b">
        <v>0</v>
      </c>
      <c r="U69" s="491">
        <v>9.91</v>
      </c>
      <c r="V69" s="491">
        <v>7.06</v>
      </c>
      <c r="W69" s="491">
        <v>5.61</v>
      </c>
      <c r="X69" s="491">
        <v>0</v>
      </c>
      <c r="Y69" s="1025" t="b">
        <v>0</v>
      </c>
      <c r="Z69" s="331">
        <v>0</v>
      </c>
      <c r="AA69" s="331">
        <v>0</v>
      </c>
      <c r="AB69" s="331">
        <v>0</v>
      </c>
      <c r="AC69" s="331">
        <v>0</v>
      </c>
      <c r="AD69" s="1025" t="b">
        <v>0</v>
      </c>
      <c r="AE69" s="331">
        <v>0</v>
      </c>
      <c r="AF69" s="331">
        <v>0</v>
      </c>
      <c r="AG69" s="331">
        <v>0</v>
      </c>
      <c r="AH69" s="331">
        <v>0</v>
      </c>
      <c r="AI69" s="1025" t="b">
        <v>0</v>
      </c>
      <c r="AJ69" s="331">
        <v>0</v>
      </c>
      <c r="AK69" s="331">
        <v>0</v>
      </c>
      <c r="AL69" s="331">
        <v>0</v>
      </c>
      <c r="AM69" s="331">
        <v>0</v>
      </c>
      <c r="AN69" s="1025" t="b">
        <v>0</v>
      </c>
      <c r="AO69" s="331">
        <v>0</v>
      </c>
      <c r="AP69" s="331">
        <v>0</v>
      </c>
      <c r="AQ69" s="331">
        <v>0</v>
      </c>
      <c r="AR69" s="331">
        <v>0</v>
      </c>
      <c r="AS69" s="1025" t="b">
        <v>0</v>
      </c>
      <c r="AT69" s="1025" t="b">
        <v>0</v>
      </c>
      <c r="AU69" s="331">
        <v>227967</v>
      </c>
      <c r="AV69" s="491" t="s">
        <v>29</v>
      </c>
    </row>
    <row r="70" spans="1:48">
      <c r="A70" s="72">
        <v>9</v>
      </c>
      <c r="B70" s="391" t="s">
        <v>37</v>
      </c>
      <c r="C70" s="72">
        <f t="shared" ref="C70:C133" si="3">IF(E70="N/A",0,IF(A69&lt;&gt;A70,1,C69+1))</f>
        <v>12</v>
      </c>
      <c r="D70" s="72" t="str">
        <f t="shared" ref="D70:D133" si="4">A70&amp;"-"&amp;C70</f>
        <v>9-12</v>
      </c>
      <c r="E70" s="72">
        <v>73783</v>
      </c>
      <c r="F70" s="72" t="str">
        <f t="shared" si="2"/>
        <v>9-73783</v>
      </c>
      <c r="G70" s="391" t="s">
        <v>682</v>
      </c>
      <c r="H70" s="491">
        <v>10996.92</v>
      </c>
      <c r="I70" s="491">
        <v>10111.219999999999</v>
      </c>
      <c r="J70" s="491">
        <v>10411.16</v>
      </c>
      <c r="K70" s="491">
        <v>12379.28</v>
      </c>
      <c r="L70" s="491" t="s">
        <v>29</v>
      </c>
      <c r="M70" s="491" t="s">
        <v>29</v>
      </c>
      <c r="N70" s="491" t="s">
        <v>29</v>
      </c>
      <c r="O70" s="491" t="s">
        <v>29</v>
      </c>
      <c r="P70" s="491">
        <v>0</v>
      </c>
      <c r="Q70" s="491">
        <v>0</v>
      </c>
      <c r="R70" s="491">
        <v>0</v>
      </c>
      <c r="S70" s="491">
        <v>0</v>
      </c>
      <c r="T70" s="1025" t="b">
        <v>0</v>
      </c>
      <c r="U70" s="491">
        <v>0</v>
      </c>
      <c r="V70" s="491">
        <v>2.65</v>
      </c>
      <c r="W70" s="491">
        <v>2.4700000000000002</v>
      </c>
      <c r="X70" s="491">
        <v>2.82</v>
      </c>
      <c r="Y70" s="1025" t="b">
        <v>0</v>
      </c>
      <c r="Z70" s="491">
        <v>0</v>
      </c>
      <c r="AA70" s="491">
        <v>0</v>
      </c>
      <c r="AB70" s="491">
        <v>0</v>
      </c>
      <c r="AC70" s="491">
        <v>0</v>
      </c>
      <c r="AD70" s="1025" t="b">
        <v>0</v>
      </c>
      <c r="AE70" s="491">
        <v>0</v>
      </c>
      <c r="AF70" s="491">
        <v>0</v>
      </c>
      <c r="AG70" s="491">
        <v>0</v>
      </c>
      <c r="AH70" s="491">
        <v>0</v>
      </c>
      <c r="AI70" s="1025" t="b">
        <v>0</v>
      </c>
      <c r="AJ70" s="491">
        <v>0</v>
      </c>
      <c r="AK70" s="491">
        <v>0</v>
      </c>
      <c r="AL70" s="491">
        <v>0</v>
      </c>
      <c r="AM70" s="491">
        <v>0</v>
      </c>
      <c r="AN70" s="1025" t="b">
        <v>0</v>
      </c>
      <c r="AO70" s="491">
        <v>0</v>
      </c>
      <c r="AP70" s="491">
        <v>0</v>
      </c>
      <c r="AQ70" s="491">
        <v>0</v>
      </c>
      <c r="AR70" s="491">
        <v>0</v>
      </c>
      <c r="AS70" s="1025" t="b">
        <v>0</v>
      </c>
      <c r="AT70" s="1025" t="b">
        <v>0</v>
      </c>
      <c r="AU70" s="491">
        <v>87421</v>
      </c>
      <c r="AV70" s="491" t="s">
        <v>29</v>
      </c>
    </row>
    <row r="71" spans="1:48">
      <c r="A71" s="72">
        <v>9</v>
      </c>
      <c r="B71" s="391" t="s">
        <v>37</v>
      </c>
      <c r="C71" s="72">
        <f t="shared" si="3"/>
        <v>0</v>
      </c>
      <c r="D71" s="72" t="str">
        <f t="shared" si="4"/>
        <v>9-0</v>
      </c>
      <c r="E71" s="72" t="s">
        <v>29</v>
      </c>
      <c r="F71" s="72" t="str">
        <f t="shared" ref="F71:F134" si="5">A71&amp;"-"&amp;E71</f>
        <v>9-N/A</v>
      </c>
      <c r="G71" s="391" t="s">
        <v>29</v>
      </c>
      <c r="H71" s="491" t="s">
        <v>29</v>
      </c>
      <c r="I71" s="491" t="s">
        <v>29</v>
      </c>
      <c r="J71" s="491" t="s">
        <v>29</v>
      </c>
      <c r="K71" s="491" t="s">
        <v>29</v>
      </c>
      <c r="L71" s="491" t="s">
        <v>29</v>
      </c>
      <c r="M71" s="491" t="s">
        <v>29</v>
      </c>
      <c r="N71" s="491" t="s">
        <v>29</v>
      </c>
      <c r="O71" s="491" t="s">
        <v>29</v>
      </c>
      <c r="P71" s="491" t="s">
        <v>29</v>
      </c>
      <c r="Q71" s="491" t="s">
        <v>29</v>
      </c>
      <c r="R71" s="491" t="s">
        <v>29</v>
      </c>
      <c r="S71" s="491" t="s">
        <v>29</v>
      </c>
      <c r="T71" s="1025" t="s">
        <v>29</v>
      </c>
      <c r="U71" s="491" t="s">
        <v>29</v>
      </c>
      <c r="V71" s="491" t="s">
        <v>29</v>
      </c>
      <c r="W71" s="491" t="s">
        <v>29</v>
      </c>
      <c r="X71" s="491" t="s">
        <v>29</v>
      </c>
      <c r="Y71" s="1025" t="s">
        <v>29</v>
      </c>
      <c r="Z71" s="491" t="s">
        <v>29</v>
      </c>
      <c r="AA71" s="491" t="s">
        <v>29</v>
      </c>
      <c r="AB71" s="491" t="s">
        <v>29</v>
      </c>
      <c r="AC71" s="491" t="s">
        <v>29</v>
      </c>
      <c r="AD71" s="1025" t="s">
        <v>29</v>
      </c>
      <c r="AE71" s="491" t="s">
        <v>29</v>
      </c>
      <c r="AF71" s="491" t="s">
        <v>29</v>
      </c>
      <c r="AG71" s="491" t="s">
        <v>29</v>
      </c>
      <c r="AH71" s="491" t="s">
        <v>29</v>
      </c>
      <c r="AI71" s="1025" t="s">
        <v>29</v>
      </c>
      <c r="AJ71" s="491" t="s">
        <v>29</v>
      </c>
      <c r="AK71" s="491" t="s">
        <v>29</v>
      </c>
      <c r="AL71" s="491" t="s">
        <v>29</v>
      </c>
      <c r="AM71" s="491" t="s">
        <v>29</v>
      </c>
      <c r="AN71" s="1025" t="s">
        <v>29</v>
      </c>
      <c r="AO71" s="491" t="s">
        <v>29</v>
      </c>
      <c r="AP71" s="491" t="s">
        <v>29</v>
      </c>
      <c r="AQ71" s="491" t="s">
        <v>29</v>
      </c>
      <c r="AR71" s="491" t="s">
        <v>29</v>
      </c>
      <c r="AS71" s="1025" t="s">
        <v>29</v>
      </c>
      <c r="AT71" s="1025" t="s">
        <v>29</v>
      </c>
      <c r="AU71" s="491" t="s">
        <v>29</v>
      </c>
      <c r="AV71" s="491">
        <v>1878029</v>
      </c>
    </row>
    <row r="72" spans="1:48">
      <c r="A72" s="72">
        <v>10</v>
      </c>
      <c r="B72" s="391" t="s">
        <v>48</v>
      </c>
      <c r="C72" s="72">
        <f t="shared" si="3"/>
        <v>1</v>
      </c>
      <c r="D72" s="72" t="str">
        <f t="shared" si="4"/>
        <v>10-1</v>
      </c>
      <c r="E72" s="72">
        <v>62042</v>
      </c>
      <c r="F72" s="72" t="str">
        <f t="shared" si="5"/>
        <v>10-62042</v>
      </c>
      <c r="G72" s="391" t="s">
        <v>683</v>
      </c>
      <c r="H72" s="331">
        <v>14518.59</v>
      </c>
      <c r="I72" s="331">
        <v>13349.24</v>
      </c>
      <c r="J72" s="331">
        <v>13745.24</v>
      </c>
      <c r="K72" s="331">
        <v>16343.64</v>
      </c>
      <c r="L72" s="491" t="s">
        <v>29</v>
      </c>
      <c r="M72" s="491" t="s">
        <v>29</v>
      </c>
      <c r="N72" s="491" t="s">
        <v>29</v>
      </c>
      <c r="O72" s="491" t="s">
        <v>29</v>
      </c>
      <c r="P72" s="491">
        <v>0</v>
      </c>
      <c r="Q72" s="491">
        <v>0</v>
      </c>
      <c r="R72" s="491">
        <v>0</v>
      </c>
      <c r="S72" s="491">
        <v>0</v>
      </c>
      <c r="T72" s="1025" t="b">
        <v>0</v>
      </c>
      <c r="U72" s="491">
        <v>0.91</v>
      </c>
      <c r="V72" s="491">
        <v>0</v>
      </c>
      <c r="W72" s="491">
        <v>0</v>
      </c>
      <c r="X72" s="491">
        <v>0</v>
      </c>
      <c r="Y72" s="1025" t="b">
        <v>0</v>
      </c>
      <c r="Z72" s="331">
        <v>0</v>
      </c>
      <c r="AA72" s="331">
        <v>0</v>
      </c>
      <c r="AB72" s="331">
        <v>0</v>
      </c>
      <c r="AC72" s="331">
        <v>0</v>
      </c>
      <c r="AD72" s="1025" t="b">
        <v>0</v>
      </c>
      <c r="AE72" s="331">
        <v>0</v>
      </c>
      <c r="AF72" s="331">
        <v>0</v>
      </c>
      <c r="AG72" s="331">
        <v>0</v>
      </c>
      <c r="AH72" s="331">
        <v>0</v>
      </c>
      <c r="AI72" s="1025" t="b">
        <v>0</v>
      </c>
      <c r="AJ72" s="331">
        <v>0</v>
      </c>
      <c r="AK72" s="331">
        <v>0</v>
      </c>
      <c r="AL72" s="331">
        <v>0</v>
      </c>
      <c r="AM72" s="331">
        <v>0</v>
      </c>
      <c r="AN72" s="1025" t="b">
        <v>0</v>
      </c>
      <c r="AO72" s="331">
        <v>0</v>
      </c>
      <c r="AP72" s="331">
        <v>0</v>
      </c>
      <c r="AQ72" s="331">
        <v>0</v>
      </c>
      <c r="AR72" s="331">
        <v>0</v>
      </c>
      <c r="AS72" s="1025" t="b">
        <v>0</v>
      </c>
      <c r="AT72" s="1025" t="b">
        <v>0</v>
      </c>
      <c r="AU72" s="331">
        <v>13212</v>
      </c>
      <c r="AV72" s="491" t="s">
        <v>29</v>
      </c>
    </row>
    <row r="73" spans="1:48">
      <c r="A73" s="72">
        <v>10</v>
      </c>
      <c r="B73" s="391" t="s">
        <v>48</v>
      </c>
      <c r="C73" s="72">
        <f t="shared" si="3"/>
        <v>2</v>
      </c>
      <c r="D73" s="72" t="str">
        <f t="shared" si="4"/>
        <v>10-2</v>
      </c>
      <c r="E73" s="72">
        <v>62109</v>
      </c>
      <c r="F73" s="72" t="str">
        <f t="shared" si="5"/>
        <v>10-62109</v>
      </c>
      <c r="G73" s="391" t="s">
        <v>1644</v>
      </c>
      <c r="H73" s="331">
        <v>10539.14</v>
      </c>
      <c r="I73" s="331">
        <v>9690.2999999999993</v>
      </c>
      <c r="J73" s="331">
        <v>9977.76</v>
      </c>
      <c r="K73" s="331">
        <v>11863.95</v>
      </c>
      <c r="L73" s="491" t="s">
        <v>29</v>
      </c>
      <c r="M73" s="491" t="s">
        <v>29</v>
      </c>
      <c r="N73" s="491" t="s">
        <v>29</v>
      </c>
      <c r="O73" s="491" t="s">
        <v>29</v>
      </c>
      <c r="P73" s="491">
        <v>0</v>
      </c>
      <c r="Q73" s="491">
        <v>0</v>
      </c>
      <c r="R73" s="491">
        <v>0</v>
      </c>
      <c r="S73" s="491">
        <v>0</v>
      </c>
      <c r="T73" s="1025" t="b">
        <v>0</v>
      </c>
      <c r="U73" s="491">
        <v>0</v>
      </c>
      <c r="V73" s="491">
        <v>0</v>
      </c>
      <c r="W73" s="491">
        <v>1</v>
      </c>
      <c r="X73" s="491">
        <v>0</v>
      </c>
      <c r="Y73" s="1025" t="b">
        <v>0</v>
      </c>
      <c r="Z73" s="331">
        <v>0</v>
      </c>
      <c r="AA73" s="331">
        <v>0</v>
      </c>
      <c r="AB73" s="331">
        <v>0</v>
      </c>
      <c r="AC73" s="331">
        <v>0</v>
      </c>
      <c r="AD73" s="1025" t="b">
        <v>0</v>
      </c>
      <c r="AE73" s="331">
        <v>0</v>
      </c>
      <c r="AF73" s="331">
        <v>0</v>
      </c>
      <c r="AG73" s="331">
        <v>0</v>
      </c>
      <c r="AH73" s="331">
        <v>0</v>
      </c>
      <c r="AI73" s="1025" t="b">
        <v>0</v>
      </c>
      <c r="AJ73" s="331">
        <v>0</v>
      </c>
      <c r="AK73" s="331">
        <v>0</v>
      </c>
      <c r="AL73" s="331">
        <v>0</v>
      </c>
      <c r="AM73" s="331">
        <v>0</v>
      </c>
      <c r="AN73" s="1025" t="b">
        <v>0</v>
      </c>
      <c r="AO73" s="331">
        <v>0</v>
      </c>
      <c r="AP73" s="331">
        <v>0</v>
      </c>
      <c r="AQ73" s="331">
        <v>0</v>
      </c>
      <c r="AR73" s="331">
        <v>0</v>
      </c>
      <c r="AS73" s="1025" t="b">
        <v>0</v>
      </c>
      <c r="AT73" s="1025" t="b">
        <v>0</v>
      </c>
      <c r="AU73" s="331">
        <v>9978</v>
      </c>
      <c r="AV73" s="491" t="s">
        <v>29</v>
      </c>
    </row>
    <row r="74" spans="1:48">
      <c r="A74" s="72">
        <v>10</v>
      </c>
      <c r="B74" s="391" t="s">
        <v>48</v>
      </c>
      <c r="C74" s="72">
        <f t="shared" si="3"/>
        <v>3</v>
      </c>
      <c r="D74" s="72" t="str">
        <f t="shared" si="4"/>
        <v>10-3</v>
      </c>
      <c r="E74" s="72">
        <v>62117</v>
      </c>
      <c r="F74" s="72" t="str">
        <f t="shared" si="5"/>
        <v>10-62117</v>
      </c>
      <c r="G74" s="391" t="s">
        <v>684</v>
      </c>
      <c r="H74" s="331">
        <v>11082.73</v>
      </c>
      <c r="I74" s="331">
        <v>10190.11</v>
      </c>
      <c r="J74" s="331">
        <v>10492.4</v>
      </c>
      <c r="K74" s="331">
        <v>12475.88</v>
      </c>
      <c r="L74" s="491" t="s">
        <v>29</v>
      </c>
      <c r="M74" s="491" t="s">
        <v>29</v>
      </c>
      <c r="N74" s="491" t="s">
        <v>29</v>
      </c>
      <c r="O74" s="491" t="s">
        <v>29</v>
      </c>
      <c r="P74" s="491">
        <v>0</v>
      </c>
      <c r="Q74" s="491">
        <v>0</v>
      </c>
      <c r="R74" s="491">
        <v>0.63</v>
      </c>
      <c r="S74" s="491">
        <v>0.98</v>
      </c>
      <c r="T74" s="1025" t="b">
        <v>0</v>
      </c>
      <c r="U74" s="491">
        <v>0</v>
      </c>
      <c r="V74" s="491">
        <v>0</v>
      </c>
      <c r="W74" s="491">
        <v>0</v>
      </c>
      <c r="X74" s="491">
        <v>0</v>
      </c>
      <c r="Y74" s="1025" t="b">
        <v>0</v>
      </c>
      <c r="Z74" s="331">
        <v>0</v>
      </c>
      <c r="AA74" s="331">
        <v>0</v>
      </c>
      <c r="AB74" s="331">
        <v>0</v>
      </c>
      <c r="AC74" s="331">
        <v>0</v>
      </c>
      <c r="AD74" s="1025" t="b">
        <v>0</v>
      </c>
      <c r="AE74" s="331">
        <v>0</v>
      </c>
      <c r="AF74" s="331">
        <v>0</v>
      </c>
      <c r="AG74" s="331">
        <v>0</v>
      </c>
      <c r="AH74" s="331">
        <v>0</v>
      </c>
      <c r="AI74" s="1025" t="b">
        <v>0</v>
      </c>
      <c r="AJ74" s="331">
        <v>0</v>
      </c>
      <c r="AK74" s="331">
        <v>0</v>
      </c>
      <c r="AL74" s="331">
        <v>0</v>
      </c>
      <c r="AM74" s="331">
        <v>0</v>
      </c>
      <c r="AN74" s="1025" t="b">
        <v>0</v>
      </c>
      <c r="AO74" s="331">
        <v>0</v>
      </c>
      <c r="AP74" s="331">
        <v>0</v>
      </c>
      <c r="AQ74" s="331">
        <v>0</v>
      </c>
      <c r="AR74" s="331">
        <v>0</v>
      </c>
      <c r="AS74" s="1025" t="b">
        <v>0</v>
      </c>
      <c r="AT74" s="1025" t="b">
        <v>0</v>
      </c>
      <c r="AU74" s="331">
        <v>18836</v>
      </c>
      <c r="AV74" s="491" t="s">
        <v>29</v>
      </c>
    </row>
    <row r="75" spans="1:48">
      <c r="A75" s="72">
        <v>10</v>
      </c>
      <c r="B75" s="391" t="s">
        <v>48</v>
      </c>
      <c r="C75" s="72">
        <f t="shared" si="3"/>
        <v>4</v>
      </c>
      <c r="D75" s="72" t="str">
        <f t="shared" si="4"/>
        <v>10-4</v>
      </c>
      <c r="E75" s="72">
        <v>62125</v>
      </c>
      <c r="F75" s="72" t="str">
        <f t="shared" si="5"/>
        <v>10-62125</v>
      </c>
      <c r="G75" s="391" t="s">
        <v>685</v>
      </c>
      <c r="H75" s="331">
        <v>14236.47</v>
      </c>
      <c r="I75" s="331">
        <v>13089.84</v>
      </c>
      <c r="J75" s="331">
        <v>13478.15</v>
      </c>
      <c r="K75" s="331">
        <v>16026.05</v>
      </c>
      <c r="L75" s="491" t="s">
        <v>29</v>
      </c>
      <c r="M75" s="491" t="s">
        <v>29</v>
      </c>
      <c r="N75" s="491" t="s">
        <v>29</v>
      </c>
      <c r="O75" s="491" t="s">
        <v>29</v>
      </c>
      <c r="P75" s="491">
        <v>0</v>
      </c>
      <c r="Q75" s="491">
        <v>0</v>
      </c>
      <c r="R75" s="491">
        <v>0</v>
      </c>
      <c r="S75" s="491">
        <v>0</v>
      </c>
      <c r="T75" s="1025" t="b">
        <v>0</v>
      </c>
      <c r="U75" s="491">
        <v>0</v>
      </c>
      <c r="V75" s="491">
        <v>0</v>
      </c>
      <c r="W75" s="491">
        <v>0</v>
      </c>
      <c r="X75" s="491">
        <v>0.56000000000000005</v>
      </c>
      <c r="Y75" s="1025" t="b">
        <v>0</v>
      </c>
      <c r="Z75" s="331">
        <v>0</v>
      </c>
      <c r="AA75" s="331">
        <v>0</v>
      </c>
      <c r="AB75" s="331">
        <v>0</v>
      </c>
      <c r="AC75" s="331">
        <v>0</v>
      </c>
      <c r="AD75" s="1025" t="b">
        <v>0</v>
      </c>
      <c r="AE75" s="331">
        <v>0</v>
      </c>
      <c r="AF75" s="331">
        <v>0</v>
      </c>
      <c r="AG75" s="331">
        <v>0</v>
      </c>
      <c r="AH75" s="331">
        <v>0</v>
      </c>
      <c r="AI75" s="1025" t="b">
        <v>0</v>
      </c>
      <c r="AJ75" s="331">
        <v>0</v>
      </c>
      <c r="AK75" s="331">
        <v>0</v>
      </c>
      <c r="AL75" s="331">
        <v>0</v>
      </c>
      <c r="AM75" s="331">
        <v>0</v>
      </c>
      <c r="AN75" s="1025" t="b">
        <v>0</v>
      </c>
      <c r="AO75" s="331">
        <v>0</v>
      </c>
      <c r="AP75" s="331">
        <v>0</v>
      </c>
      <c r="AQ75" s="331">
        <v>0</v>
      </c>
      <c r="AR75" s="331">
        <v>0</v>
      </c>
      <c r="AS75" s="1025" t="b">
        <v>0</v>
      </c>
      <c r="AT75" s="1025" t="b">
        <v>0</v>
      </c>
      <c r="AU75" s="331">
        <v>8975</v>
      </c>
      <c r="AV75" s="491" t="s">
        <v>29</v>
      </c>
    </row>
    <row r="76" spans="1:48">
      <c r="A76" s="72">
        <v>10</v>
      </c>
      <c r="B76" s="391" t="s">
        <v>48</v>
      </c>
      <c r="C76" s="72">
        <f t="shared" si="3"/>
        <v>5</v>
      </c>
      <c r="D76" s="72" t="str">
        <f t="shared" si="4"/>
        <v>10-5</v>
      </c>
      <c r="E76" s="72">
        <v>62158</v>
      </c>
      <c r="F76" s="72" t="str">
        <f t="shared" si="5"/>
        <v>10-62158</v>
      </c>
      <c r="G76" s="391" t="s">
        <v>686</v>
      </c>
      <c r="H76" s="331">
        <v>13402.16</v>
      </c>
      <c r="I76" s="331">
        <v>12322.73</v>
      </c>
      <c r="J76" s="331">
        <v>12688.28</v>
      </c>
      <c r="K76" s="331">
        <v>15086.87</v>
      </c>
      <c r="L76" s="491" t="s">
        <v>29</v>
      </c>
      <c r="M76" s="491" t="s">
        <v>29</v>
      </c>
      <c r="N76" s="491" t="s">
        <v>29</v>
      </c>
      <c r="O76" s="491" t="s">
        <v>29</v>
      </c>
      <c r="P76" s="491">
        <v>0</v>
      </c>
      <c r="Q76" s="491">
        <v>0</v>
      </c>
      <c r="R76" s="491">
        <v>0.47</v>
      </c>
      <c r="S76" s="491">
        <v>0</v>
      </c>
      <c r="T76" s="1025" t="b">
        <v>0</v>
      </c>
      <c r="U76" s="491">
        <v>0</v>
      </c>
      <c r="V76" s="491">
        <v>1.71</v>
      </c>
      <c r="W76" s="491">
        <v>2.72</v>
      </c>
      <c r="X76" s="491">
        <v>6.01</v>
      </c>
      <c r="Y76" s="1025" t="b">
        <v>0</v>
      </c>
      <c r="Z76" s="331">
        <v>0</v>
      </c>
      <c r="AA76" s="331">
        <v>0</v>
      </c>
      <c r="AB76" s="331">
        <v>0</v>
      </c>
      <c r="AC76" s="331">
        <v>0</v>
      </c>
      <c r="AD76" s="1025" t="b">
        <v>0</v>
      </c>
      <c r="AE76" s="331">
        <v>0</v>
      </c>
      <c r="AF76" s="331">
        <v>0.19</v>
      </c>
      <c r="AG76" s="331">
        <v>0.17</v>
      </c>
      <c r="AH76" s="331">
        <v>0.27</v>
      </c>
      <c r="AI76" s="1025" t="b">
        <v>0</v>
      </c>
      <c r="AJ76" s="331">
        <v>0</v>
      </c>
      <c r="AK76" s="331">
        <v>0</v>
      </c>
      <c r="AL76" s="331">
        <v>0</v>
      </c>
      <c r="AM76" s="331">
        <v>0</v>
      </c>
      <c r="AN76" s="1025" t="b">
        <v>0</v>
      </c>
      <c r="AO76" s="331">
        <v>0</v>
      </c>
      <c r="AP76" s="331">
        <v>0</v>
      </c>
      <c r="AQ76" s="331">
        <v>0</v>
      </c>
      <c r="AR76" s="331">
        <v>0</v>
      </c>
      <c r="AS76" s="1025" t="b">
        <v>0</v>
      </c>
      <c r="AT76" s="1025" t="b">
        <v>0</v>
      </c>
      <c r="AU76" s="331">
        <v>160792</v>
      </c>
      <c r="AV76" s="491" t="s">
        <v>29</v>
      </c>
    </row>
    <row r="77" spans="1:48">
      <c r="A77" s="72">
        <v>10</v>
      </c>
      <c r="B77" s="391" t="s">
        <v>48</v>
      </c>
      <c r="C77" s="72">
        <f t="shared" si="3"/>
        <v>6</v>
      </c>
      <c r="D77" s="72" t="str">
        <f t="shared" si="4"/>
        <v>10-6</v>
      </c>
      <c r="E77" s="72">
        <v>62166</v>
      </c>
      <c r="F77" s="72" t="str">
        <f t="shared" si="5"/>
        <v>10-62166</v>
      </c>
      <c r="G77" s="391" t="s">
        <v>687</v>
      </c>
      <c r="H77" s="331">
        <v>14092.83</v>
      </c>
      <c r="I77" s="331">
        <v>12957.77</v>
      </c>
      <c r="J77" s="331">
        <v>13342.16</v>
      </c>
      <c r="K77" s="331">
        <v>15864.36</v>
      </c>
      <c r="L77" s="491" t="s">
        <v>29</v>
      </c>
      <c r="M77" s="491" t="s">
        <v>29</v>
      </c>
      <c r="N77" s="491" t="s">
        <v>29</v>
      </c>
      <c r="O77" s="491" t="s">
        <v>29</v>
      </c>
      <c r="P77" s="491">
        <v>0</v>
      </c>
      <c r="Q77" s="491">
        <v>0</v>
      </c>
      <c r="R77" s="491">
        <v>0.33</v>
      </c>
      <c r="S77" s="491">
        <v>10.86</v>
      </c>
      <c r="T77" s="1025" t="b">
        <v>0</v>
      </c>
      <c r="U77" s="491">
        <v>0</v>
      </c>
      <c r="V77" s="491">
        <v>0</v>
      </c>
      <c r="W77" s="491">
        <v>0</v>
      </c>
      <c r="X77" s="491">
        <v>0</v>
      </c>
      <c r="Y77" s="1025" t="b">
        <v>0</v>
      </c>
      <c r="Z77" s="331">
        <v>0</v>
      </c>
      <c r="AA77" s="331">
        <v>0</v>
      </c>
      <c r="AB77" s="331">
        <v>0</v>
      </c>
      <c r="AC77" s="331">
        <v>0</v>
      </c>
      <c r="AD77" s="1025" t="b">
        <v>0</v>
      </c>
      <c r="AE77" s="331">
        <v>0</v>
      </c>
      <c r="AF77" s="331">
        <v>0</v>
      </c>
      <c r="AG77" s="331">
        <v>0</v>
      </c>
      <c r="AH77" s="331">
        <v>0</v>
      </c>
      <c r="AI77" s="1025" t="b">
        <v>0</v>
      </c>
      <c r="AJ77" s="331">
        <v>0</v>
      </c>
      <c r="AK77" s="331">
        <v>0</v>
      </c>
      <c r="AL77" s="331">
        <v>0</v>
      </c>
      <c r="AM77" s="331">
        <v>0</v>
      </c>
      <c r="AN77" s="1025" t="b">
        <v>0</v>
      </c>
      <c r="AO77" s="331">
        <v>0</v>
      </c>
      <c r="AP77" s="331">
        <v>0</v>
      </c>
      <c r="AQ77" s="331">
        <v>0</v>
      </c>
      <c r="AR77" s="331">
        <v>0</v>
      </c>
      <c r="AS77" s="1025" t="b">
        <v>0</v>
      </c>
      <c r="AT77" s="1025" t="b">
        <v>0</v>
      </c>
      <c r="AU77" s="331">
        <v>176690</v>
      </c>
      <c r="AV77" s="491" t="s">
        <v>29</v>
      </c>
    </row>
    <row r="78" spans="1:48">
      <c r="A78" s="72">
        <v>10</v>
      </c>
      <c r="B78" s="391" t="s">
        <v>48</v>
      </c>
      <c r="C78" s="72">
        <f t="shared" si="3"/>
        <v>7</v>
      </c>
      <c r="D78" s="72" t="str">
        <f t="shared" si="4"/>
        <v>10-7</v>
      </c>
      <c r="E78" s="72">
        <v>62240</v>
      </c>
      <c r="F78" s="72" t="str">
        <f t="shared" si="5"/>
        <v>10-62240</v>
      </c>
      <c r="G78" s="391" t="s">
        <v>688</v>
      </c>
      <c r="H78" s="331">
        <v>12486.14</v>
      </c>
      <c r="I78" s="331">
        <v>11480.48</v>
      </c>
      <c r="J78" s="331">
        <v>11821.05</v>
      </c>
      <c r="K78" s="331">
        <v>14055.7</v>
      </c>
      <c r="L78" s="491" t="s">
        <v>29</v>
      </c>
      <c r="M78" s="491" t="s">
        <v>29</v>
      </c>
      <c r="N78" s="491" t="s">
        <v>29</v>
      </c>
      <c r="O78" s="491" t="s">
        <v>29</v>
      </c>
      <c r="P78" s="491">
        <v>0</v>
      </c>
      <c r="Q78" s="491">
        <v>0</v>
      </c>
      <c r="R78" s="491">
        <v>0</v>
      </c>
      <c r="S78" s="491">
        <v>0</v>
      </c>
      <c r="T78" s="1025" t="b">
        <v>0</v>
      </c>
      <c r="U78" s="491">
        <v>1.62</v>
      </c>
      <c r="V78" s="491">
        <v>0</v>
      </c>
      <c r="W78" s="491">
        <v>2.4500000000000002</v>
      </c>
      <c r="X78" s="491">
        <v>0</v>
      </c>
      <c r="Y78" s="1025" t="b">
        <v>0</v>
      </c>
      <c r="Z78" s="331">
        <v>0</v>
      </c>
      <c r="AA78" s="331">
        <v>0</v>
      </c>
      <c r="AB78" s="331">
        <v>0</v>
      </c>
      <c r="AC78" s="331">
        <v>0</v>
      </c>
      <c r="AD78" s="1025" t="b">
        <v>0</v>
      </c>
      <c r="AE78" s="331">
        <v>0</v>
      </c>
      <c r="AF78" s="331">
        <v>0.11</v>
      </c>
      <c r="AG78" s="331">
        <v>0.09</v>
      </c>
      <c r="AH78" s="331">
        <v>0</v>
      </c>
      <c r="AI78" s="1025" t="b">
        <v>0</v>
      </c>
      <c r="AJ78" s="331">
        <v>0</v>
      </c>
      <c r="AK78" s="331">
        <v>0</v>
      </c>
      <c r="AL78" s="331">
        <v>0</v>
      </c>
      <c r="AM78" s="331">
        <v>0</v>
      </c>
      <c r="AN78" s="1025" t="b">
        <v>0</v>
      </c>
      <c r="AO78" s="331">
        <v>0</v>
      </c>
      <c r="AP78" s="331">
        <v>0</v>
      </c>
      <c r="AQ78" s="331">
        <v>0</v>
      </c>
      <c r="AR78" s="331">
        <v>0</v>
      </c>
      <c r="AS78" s="1025" t="b">
        <v>0</v>
      </c>
      <c r="AT78" s="1025" t="b">
        <v>0</v>
      </c>
      <c r="AU78" s="331">
        <v>51516</v>
      </c>
      <c r="AV78" s="491" t="s">
        <v>29</v>
      </c>
    </row>
    <row r="79" spans="1:48">
      <c r="A79" s="72">
        <v>10</v>
      </c>
      <c r="B79" s="391" t="s">
        <v>48</v>
      </c>
      <c r="C79" s="72">
        <f t="shared" si="3"/>
        <v>8</v>
      </c>
      <c r="D79" s="72" t="str">
        <f t="shared" si="4"/>
        <v>10-8</v>
      </c>
      <c r="E79" s="72">
        <v>62257</v>
      </c>
      <c r="F79" s="72" t="str">
        <f t="shared" si="5"/>
        <v>10-62257</v>
      </c>
      <c r="G79" s="391" t="s">
        <v>689</v>
      </c>
      <c r="H79" s="331">
        <v>11989.85</v>
      </c>
      <c r="I79" s="331">
        <v>11024.17</v>
      </c>
      <c r="J79" s="331">
        <v>11351.2</v>
      </c>
      <c r="K79" s="331">
        <v>13497.03</v>
      </c>
      <c r="L79" s="491" t="s">
        <v>29</v>
      </c>
      <c r="M79" s="491" t="s">
        <v>29</v>
      </c>
      <c r="N79" s="491" t="s">
        <v>29</v>
      </c>
      <c r="O79" s="491" t="s">
        <v>29</v>
      </c>
      <c r="P79" s="491">
        <v>0</v>
      </c>
      <c r="Q79" s="491">
        <v>0</v>
      </c>
      <c r="R79" s="491">
        <v>0</v>
      </c>
      <c r="S79" s="491">
        <v>0.77</v>
      </c>
      <c r="T79" s="1025" t="b">
        <v>0</v>
      </c>
      <c r="U79" s="491">
        <v>0</v>
      </c>
      <c r="V79" s="491">
        <v>0</v>
      </c>
      <c r="W79" s="491">
        <v>0</v>
      </c>
      <c r="X79" s="491">
        <v>6.83</v>
      </c>
      <c r="Y79" s="1025" t="b">
        <v>0</v>
      </c>
      <c r="Z79" s="331">
        <v>0</v>
      </c>
      <c r="AA79" s="331">
        <v>0</v>
      </c>
      <c r="AB79" s="331">
        <v>0</v>
      </c>
      <c r="AC79" s="331">
        <v>0</v>
      </c>
      <c r="AD79" s="1025" t="b">
        <v>0</v>
      </c>
      <c r="AE79" s="331">
        <v>0</v>
      </c>
      <c r="AF79" s="331">
        <v>0</v>
      </c>
      <c r="AG79" s="331">
        <v>0</v>
      </c>
      <c r="AH79" s="331">
        <v>0.28000000000000003</v>
      </c>
      <c r="AI79" s="1025" t="b">
        <v>0</v>
      </c>
      <c r="AJ79" s="331">
        <v>0</v>
      </c>
      <c r="AK79" s="331">
        <v>0</v>
      </c>
      <c r="AL79" s="331">
        <v>0</v>
      </c>
      <c r="AM79" s="331">
        <v>0</v>
      </c>
      <c r="AN79" s="1025" t="b">
        <v>0</v>
      </c>
      <c r="AO79" s="331">
        <v>0</v>
      </c>
      <c r="AP79" s="331">
        <v>0</v>
      </c>
      <c r="AQ79" s="331">
        <v>0</v>
      </c>
      <c r="AR79" s="331">
        <v>0</v>
      </c>
      <c r="AS79" s="1025" t="b">
        <v>0</v>
      </c>
      <c r="AT79" s="1025" t="b">
        <v>0</v>
      </c>
      <c r="AU79" s="331">
        <v>106357</v>
      </c>
      <c r="AV79" s="491" t="s">
        <v>29</v>
      </c>
    </row>
    <row r="80" spans="1:48">
      <c r="A80" s="72">
        <v>10</v>
      </c>
      <c r="B80" s="391" t="s">
        <v>48</v>
      </c>
      <c r="C80" s="72">
        <f t="shared" si="3"/>
        <v>9</v>
      </c>
      <c r="D80" s="72" t="str">
        <f t="shared" si="4"/>
        <v>10-9</v>
      </c>
      <c r="E80" s="72">
        <v>62265</v>
      </c>
      <c r="F80" s="72" t="str">
        <f t="shared" si="5"/>
        <v>10-62265</v>
      </c>
      <c r="G80" s="391" t="s">
        <v>690</v>
      </c>
      <c r="H80" s="331">
        <v>14067.03</v>
      </c>
      <c r="I80" s="331">
        <v>12934.05</v>
      </c>
      <c r="J80" s="331">
        <v>13317.73</v>
      </c>
      <c r="K80" s="331">
        <v>15835.31</v>
      </c>
      <c r="L80" s="491" t="s">
        <v>29</v>
      </c>
      <c r="M80" s="491" t="s">
        <v>29</v>
      </c>
      <c r="N80" s="491" t="s">
        <v>29</v>
      </c>
      <c r="O80" s="491" t="s">
        <v>29</v>
      </c>
      <c r="P80" s="491">
        <v>0</v>
      </c>
      <c r="Q80" s="491">
        <v>0</v>
      </c>
      <c r="R80" s="491">
        <v>0</v>
      </c>
      <c r="S80" s="491">
        <v>0</v>
      </c>
      <c r="T80" s="1025" t="b">
        <v>0</v>
      </c>
      <c r="U80" s="491">
        <v>18.78</v>
      </c>
      <c r="V80" s="491">
        <v>15.5</v>
      </c>
      <c r="W80" s="491">
        <v>7.04</v>
      </c>
      <c r="X80" s="491">
        <v>24.34</v>
      </c>
      <c r="Y80" s="1025" t="b">
        <v>0</v>
      </c>
      <c r="Z80" s="331">
        <v>0</v>
      </c>
      <c r="AA80" s="331">
        <v>0</v>
      </c>
      <c r="AB80" s="331">
        <v>0</v>
      </c>
      <c r="AC80" s="331">
        <v>0</v>
      </c>
      <c r="AD80" s="1025" t="b">
        <v>0</v>
      </c>
      <c r="AE80" s="331">
        <v>0.67</v>
      </c>
      <c r="AF80" s="331">
        <v>0.95</v>
      </c>
      <c r="AG80" s="331">
        <v>0.49</v>
      </c>
      <c r="AH80" s="331">
        <v>1.54</v>
      </c>
      <c r="AI80" s="1025" t="b">
        <v>0</v>
      </c>
      <c r="AJ80" s="331">
        <v>0</v>
      </c>
      <c r="AK80" s="331">
        <v>0</v>
      </c>
      <c r="AL80" s="331">
        <v>0</v>
      </c>
      <c r="AM80" s="331">
        <v>0</v>
      </c>
      <c r="AN80" s="1025" t="b">
        <v>0</v>
      </c>
      <c r="AO80" s="331">
        <v>0</v>
      </c>
      <c r="AP80" s="331">
        <v>0</v>
      </c>
      <c r="AQ80" s="331">
        <v>0</v>
      </c>
      <c r="AR80" s="331">
        <v>0</v>
      </c>
      <c r="AS80" s="1025" t="b">
        <v>0</v>
      </c>
      <c r="AT80" s="1025" t="b">
        <v>0</v>
      </c>
      <c r="AU80" s="331">
        <v>996470</v>
      </c>
      <c r="AV80" s="491" t="s">
        <v>29</v>
      </c>
    </row>
    <row r="81" spans="1:48">
      <c r="A81" s="72">
        <v>10</v>
      </c>
      <c r="B81" s="391" t="s">
        <v>48</v>
      </c>
      <c r="C81" s="72">
        <f t="shared" si="3"/>
        <v>10</v>
      </c>
      <c r="D81" s="72" t="str">
        <f t="shared" si="4"/>
        <v>10-10</v>
      </c>
      <c r="E81" s="72">
        <v>62281</v>
      </c>
      <c r="F81" s="72" t="str">
        <f t="shared" si="5"/>
        <v>10-62281</v>
      </c>
      <c r="G81" s="391" t="s">
        <v>691</v>
      </c>
      <c r="H81" s="331">
        <v>13822.76</v>
      </c>
      <c r="I81" s="331">
        <v>12709.45</v>
      </c>
      <c r="J81" s="331">
        <v>13086.47</v>
      </c>
      <c r="K81" s="331">
        <v>15560.33</v>
      </c>
      <c r="L81" s="491" t="s">
        <v>29</v>
      </c>
      <c r="M81" s="491" t="s">
        <v>29</v>
      </c>
      <c r="N81" s="491" t="s">
        <v>29</v>
      </c>
      <c r="O81" s="491" t="s">
        <v>29</v>
      </c>
      <c r="P81" s="491">
        <v>0</v>
      </c>
      <c r="Q81" s="491">
        <v>0</v>
      </c>
      <c r="R81" s="491">
        <v>0</v>
      </c>
      <c r="S81" s="491">
        <v>0.71</v>
      </c>
      <c r="T81" s="1025" t="b">
        <v>0</v>
      </c>
      <c r="U81" s="491">
        <v>0.83</v>
      </c>
      <c r="V81" s="491">
        <v>0.79</v>
      </c>
      <c r="W81" s="491">
        <v>0</v>
      </c>
      <c r="X81" s="491">
        <v>2.61</v>
      </c>
      <c r="Y81" s="1025" t="b">
        <v>0</v>
      </c>
      <c r="Z81" s="331">
        <v>0</v>
      </c>
      <c r="AA81" s="331">
        <v>0</v>
      </c>
      <c r="AB81" s="331">
        <v>0</v>
      </c>
      <c r="AC81" s="331">
        <v>0</v>
      </c>
      <c r="AD81" s="1025" t="b">
        <v>0</v>
      </c>
      <c r="AE81" s="331">
        <v>0.1</v>
      </c>
      <c r="AF81" s="331">
        <v>0</v>
      </c>
      <c r="AG81" s="331">
        <v>0</v>
      </c>
      <c r="AH81" s="331">
        <v>0.27</v>
      </c>
      <c r="AI81" s="1025" t="b">
        <v>0</v>
      </c>
      <c r="AJ81" s="331">
        <v>0</v>
      </c>
      <c r="AK81" s="331">
        <v>0</v>
      </c>
      <c r="AL81" s="331">
        <v>0</v>
      </c>
      <c r="AM81" s="331">
        <v>0</v>
      </c>
      <c r="AN81" s="1025" t="b">
        <v>0</v>
      </c>
      <c r="AO81" s="331">
        <v>0</v>
      </c>
      <c r="AP81" s="331">
        <v>0</v>
      </c>
      <c r="AQ81" s="331">
        <v>0</v>
      </c>
      <c r="AR81" s="331">
        <v>0</v>
      </c>
      <c r="AS81" s="1025" t="b">
        <v>0</v>
      </c>
      <c r="AT81" s="1025" t="b">
        <v>0</v>
      </c>
      <c r="AU81" s="331">
        <v>78757</v>
      </c>
      <c r="AV81" s="491" t="s">
        <v>29</v>
      </c>
    </row>
    <row r="82" spans="1:48">
      <c r="A82" s="72">
        <v>10</v>
      </c>
      <c r="B82" s="391" t="s">
        <v>48</v>
      </c>
      <c r="C82" s="72">
        <f t="shared" si="3"/>
        <v>11</v>
      </c>
      <c r="D82" s="72" t="str">
        <f t="shared" si="4"/>
        <v>10-11</v>
      </c>
      <c r="E82" s="72">
        <v>62331</v>
      </c>
      <c r="F82" s="72" t="str">
        <f t="shared" si="5"/>
        <v>10-62331</v>
      </c>
      <c r="G82" s="391" t="s">
        <v>692</v>
      </c>
      <c r="H82" s="331">
        <v>14492.79</v>
      </c>
      <c r="I82" s="331">
        <v>13325.51</v>
      </c>
      <c r="J82" s="331">
        <v>13720.81</v>
      </c>
      <c r="K82" s="331">
        <v>16314.59</v>
      </c>
      <c r="L82" s="491" t="s">
        <v>29</v>
      </c>
      <c r="M82" s="491" t="s">
        <v>29</v>
      </c>
      <c r="N82" s="491" t="s">
        <v>29</v>
      </c>
      <c r="O82" s="491" t="s">
        <v>29</v>
      </c>
      <c r="P82" s="491">
        <v>0</v>
      </c>
      <c r="Q82" s="491">
        <v>0</v>
      </c>
      <c r="R82" s="491">
        <v>0</v>
      </c>
      <c r="S82" s="491">
        <v>0</v>
      </c>
      <c r="T82" s="1025" t="b">
        <v>0</v>
      </c>
      <c r="U82" s="491">
        <v>1.85</v>
      </c>
      <c r="V82" s="491">
        <v>0.86</v>
      </c>
      <c r="W82" s="491">
        <v>0</v>
      </c>
      <c r="X82" s="491">
        <v>0</v>
      </c>
      <c r="Y82" s="1025" t="b">
        <v>0</v>
      </c>
      <c r="Z82" s="331">
        <v>0</v>
      </c>
      <c r="AA82" s="331">
        <v>0</v>
      </c>
      <c r="AB82" s="331">
        <v>0</v>
      </c>
      <c r="AC82" s="331">
        <v>0</v>
      </c>
      <c r="AD82" s="1025" t="b">
        <v>0</v>
      </c>
      <c r="AE82" s="331">
        <v>0</v>
      </c>
      <c r="AF82" s="331">
        <v>0.06</v>
      </c>
      <c r="AG82" s="331">
        <v>0</v>
      </c>
      <c r="AH82" s="331">
        <v>0</v>
      </c>
      <c r="AI82" s="1025" t="b">
        <v>0</v>
      </c>
      <c r="AJ82" s="331">
        <v>0</v>
      </c>
      <c r="AK82" s="331">
        <v>0</v>
      </c>
      <c r="AL82" s="331">
        <v>0</v>
      </c>
      <c r="AM82" s="331">
        <v>0</v>
      </c>
      <c r="AN82" s="1025" t="b">
        <v>0</v>
      </c>
      <c r="AO82" s="331">
        <v>0</v>
      </c>
      <c r="AP82" s="331">
        <v>0</v>
      </c>
      <c r="AQ82" s="331">
        <v>0</v>
      </c>
      <c r="AR82" s="331">
        <v>0</v>
      </c>
      <c r="AS82" s="1025" t="b">
        <v>0</v>
      </c>
      <c r="AT82" s="1025" t="b">
        <v>0</v>
      </c>
      <c r="AU82" s="331">
        <v>39071</v>
      </c>
      <c r="AV82" s="491" t="s">
        <v>29</v>
      </c>
    </row>
    <row r="83" spans="1:48">
      <c r="A83" s="72">
        <v>10</v>
      </c>
      <c r="B83" s="391" t="s">
        <v>48</v>
      </c>
      <c r="C83" s="72">
        <f t="shared" si="3"/>
        <v>12</v>
      </c>
      <c r="D83" s="72" t="str">
        <f t="shared" si="4"/>
        <v>10-12</v>
      </c>
      <c r="E83" s="72">
        <v>62356</v>
      </c>
      <c r="F83" s="72" t="str">
        <f t="shared" si="5"/>
        <v>10-62356</v>
      </c>
      <c r="G83" s="391" t="s">
        <v>693</v>
      </c>
      <c r="H83" s="331">
        <v>14313.88</v>
      </c>
      <c r="I83" s="331">
        <v>13161.02</v>
      </c>
      <c r="J83" s="331">
        <v>13551.44</v>
      </c>
      <c r="K83" s="331">
        <v>16113.2</v>
      </c>
      <c r="L83" s="491" t="s">
        <v>29</v>
      </c>
      <c r="M83" s="491" t="s">
        <v>29</v>
      </c>
      <c r="N83" s="491" t="s">
        <v>29</v>
      </c>
      <c r="O83" s="491" t="s">
        <v>29</v>
      </c>
      <c r="P83" s="491">
        <v>0</v>
      </c>
      <c r="Q83" s="491">
        <v>0</v>
      </c>
      <c r="R83" s="491">
        <v>0</v>
      </c>
      <c r="S83" s="491">
        <v>0</v>
      </c>
      <c r="T83" s="1025" t="b">
        <v>0</v>
      </c>
      <c r="U83" s="491">
        <v>0.91</v>
      </c>
      <c r="V83" s="491">
        <v>1.02</v>
      </c>
      <c r="W83" s="491">
        <v>0.95</v>
      </c>
      <c r="X83" s="491">
        <v>0</v>
      </c>
      <c r="Y83" s="1025" t="b">
        <v>0</v>
      </c>
      <c r="Z83" s="331">
        <v>0</v>
      </c>
      <c r="AA83" s="331">
        <v>0</v>
      </c>
      <c r="AB83" s="331">
        <v>0</v>
      </c>
      <c r="AC83" s="331">
        <v>0</v>
      </c>
      <c r="AD83" s="1025" t="b">
        <v>0</v>
      </c>
      <c r="AE83" s="331">
        <v>0.1</v>
      </c>
      <c r="AF83" s="331">
        <v>0</v>
      </c>
      <c r="AG83" s="331">
        <v>0</v>
      </c>
      <c r="AH83" s="331">
        <v>0</v>
      </c>
      <c r="AI83" s="1025" t="b">
        <v>0</v>
      </c>
      <c r="AJ83" s="331">
        <v>0</v>
      </c>
      <c r="AK83" s="331">
        <v>0</v>
      </c>
      <c r="AL83" s="331">
        <v>0</v>
      </c>
      <c r="AM83" s="331">
        <v>0</v>
      </c>
      <c r="AN83" s="1025" t="b">
        <v>0</v>
      </c>
      <c r="AO83" s="331">
        <v>0</v>
      </c>
      <c r="AP83" s="331">
        <v>0</v>
      </c>
      <c r="AQ83" s="331">
        <v>0</v>
      </c>
      <c r="AR83" s="331">
        <v>0</v>
      </c>
      <c r="AS83" s="1025" t="b">
        <v>0</v>
      </c>
      <c r="AT83" s="1025" t="b">
        <v>0</v>
      </c>
      <c r="AU83" s="331">
        <v>40755</v>
      </c>
      <c r="AV83" s="491" t="s">
        <v>29</v>
      </c>
    </row>
    <row r="84" spans="1:48">
      <c r="A84" s="72">
        <v>10</v>
      </c>
      <c r="B84" s="391" t="s">
        <v>48</v>
      </c>
      <c r="C84" s="72">
        <f t="shared" si="3"/>
        <v>13</v>
      </c>
      <c r="D84" s="72" t="str">
        <f t="shared" si="4"/>
        <v>10-13</v>
      </c>
      <c r="E84" s="72">
        <v>62364</v>
      </c>
      <c r="F84" s="72" t="str">
        <f t="shared" si="5"/>
        <v>10-62364</v>
      </c>
      <c r="G84" s="391" t="s">
        <v>694</v>
      </c>
      <c r="H84" s="331">
        <v>14688.89</v>
      </c>
      <c r="I84" s="331">
        <v>13505.83</v>
      </c>
      <c r="J84" s="331">
        <v>13906.47</v>
      </c>
      <c r="K84" s="331">
        <v>16535.349999999999</v>
      </c>
      <c r="L84" s="491" t="s">
        <v>29</v>
      </c>
      <c r="M84" s="491" t="s">
        <v>29</v>
      </c>
      <c r="N84" s="491" t="s">
        <v>29</v>
      </c>
      <c r="O84" s="491" t="s">
        <v>29</v>
      </c>
      <c r="P84" s="491">
        <v>0</v>
      </c>
      <c r="Q84" s="491">
        <v>0</v>
      </c>
      <c r="R84" s="491">
        <v>0</v>
      </c>
      <c r="S84" s="491">
        <v>0</v>
      </c>
      <c r="T84" s="1025" t="b">
        <v>0</v>
      </c>
      <c r="U84" s="491">
        <v>8.01</v>
      </c>
      <c r="V84" s="491">
        <v>2.93</v>
      </c>
      <c r="W84" s="491">
        <v>1.7</v>
      </c>
      <c r="X84" s="491">
        <v>4.7300000000000004</v>
      </c>
      <c r="Y84" s="1025" t="b">
        <v>0</v>
      </c>
      <c r="Z84" s="331">
        <v>0</v>
      </c>
      <c r="AA84" s="331">
        <v>0</v>
      </c>
      <c r="AB84" s="331">
        <v>0</v>
      </c>
      <c r="AC84" s="331">
        <v>0</v>
      </c>
      <c r="AD84" s="1025" t="b">
        <v>0</v>
      </c>
      <c r="AE84" s="331">
        <v>0.22</v>
      </c>
      <c r="AF84" s="331">
        <v>0</v>
      </c>
      <c r="AG84" s="331">
        <v>0.11</v>
      </c>
      <c r="AH84" s="331">
        <v>0.49</v>
      </c>
      <c r="AI84" s="1025" t="b">
        <v>0</v>
      </c>
      <c r="AJ84" s="331">
        <v>0</v>
      </c>
      <c r="AK84" s="331">
        <v>0</v>
      </c>
      <c r="AL84" s="331">
        <v>0</v>
      </c>
      <c r="AM84" s="331">
        <v>0</v>
      </c>
      <c r="AN84" s="1025" t="b">
        <v>0</v>
      </c>
      <c r="AO84" s="331">
        <v>0</v>
      </c>
      <c r="AP84" s="331">
        <v>0</v>
      </c>
      <c r="AQ84" s="331">
        <v>0</v>
      </c>
      <c r="AR84" s="331">
        <v>0</v>
      </c>
      <c r="AS84" s="1025" t="b">
        <v>0</v>
      </c>
      <c r="AT84" s="1025" t="b">
        <v>0</v>
      </c>
      <c r="AU84" s="331">
        <v>271948</v>
      </c>
      <c r="AV84" s="491" t="s">
        <v>29</v>
      </c>
    </row>
    <row r="85" spans="1:48">
      <c r="A85" s="72">
        <v>10</v>
      </c>
      <c r="B85" s="391" t="s">
        <v>48</v>
      </c>
      <c r="C85" s="72">
        <f t="shared" si="3"/>
        <v>14</v>
      </c>
      <c r="D85" s="72" t="str">
        <f t="shared" si="4"/>
        <v>10-14</v>
      </c>
      <c r="E85" s="72">
        <v>62380</v>
      </c>
      <c r="F85" s="72" t="str">
        <f t="shared" si="5"/>
        <v>10-62380</v>
      </c>
      <c r="G85" s="391" t="s">
        <v>695</v>
      </c>
      <c r="H85" s="331">
        <v>14758.56</v>
      </c>
      <c r="I85" s="331">
        <v>13569.88</v>
      </c>
      <c r="J85" s="331">
        <v>13972.43</v>
      </c>
      <c r="K85" s="331">
        <v>16613.77</v>
      </c>
      <c r="L85" s="491" t="s">
        <v>29</v>
      </c>
      <c r="M85" s="491" t="s">
        <v>29</v>
      </c>
      <c r="N85" s="491" t="s">
        <v>29</v>
      </c>
      <c r="O85" s="491" t="s">
        <v>29</v>
      </c>
      <c r="P85" s="491">
        <v>0</v>
      </c>
      <c r="Q85" s="491">
        <v>0</v>
      </c>
      <c r="R85" s="491">
        <v>0</v>
      </c>
      <c r="S85" s="491">
        <v>0</v>
      </c>
      <c r="T85" s="1025" t="b">
        <v>0</v>
      </c>
      <c r="U85" s="491">
        <v>0</v>
      </c>
      <c r="V85" s="491">
        <v>2.65</v>
      </c>
      <c r="W85" s="491">
        <v>0</v>
      </c>
      <c r="X85" s="491">
        <v>0</v>
      </c>
      <c r="Y85" s="1025" t="b">
        <v>0</v>
      </c>
      <c r="Z85" s="331">
        <v>0</v>
      </c>
      <c r="AA85" s="331">
        <v>0</v>
      </c>
      <c r="AB85" s="331">
        <v>0</v>
      </c>
      <c r="AC85" s="331">
        <v>0</v>
      </c>
      <c r="AD85" s="1025" t="b">
        <v>0</v>
      </c>
      <c r="AE85" s="331">
        <v>0.03</v>
      </c>
      <c r="AF85" s="331">
        <v>0</v>
      </c>
      <c r="AG85" s="331">
        <v>0</v>
      </c>
      <c r="AH85" s="331">
        <v>0</v>
      </c>
      <c r="AI85" s="1025" t="b">
        <v>0</v>
      </c>
      <c r="AJ85" s="331">
        <v>0</v>
      </c>
      <c r="AK85" s="331">
        <v>0</v>
      </c>
      <c r="AL85" s="331">
        <v>0</v>
      </c>
      <c r="AM85" s="331">
        <v>0</v>
      </c>
      <c r="AN85" s="1025" t="b">
        <v>0</v>
      </c>
      <c r="AO85" s="331">
        <v>0</v>
      </c>
      <c r="AP85" s="331">
        <v>0</v>
      </c>
      <c r="AQ85" s="331">
        <v>0</v>
      </c>
      <c r="AR85" s="331">
        <v>0</v>
      </c>
      <c r="AS85" s="1025" t="b">
        <v>0</v>
      </c>
      <c r="AT85" s="1025" t="b">
        <v>0</v>
      </c>
      <c r="AU85" s="331">
        <v>36403</v>
      </c>
      <c r="AV85" s="491" t="s">
        <v>29</v>
      </c>
    </row>
    <row r="86" spans="1:48">
      <c r="A86" s="72">
        <v>10</v>
      </c>
      <c r="B86" s="391" t="s">
        <v>48</v>
      </c>
      <c r="C86" s="72">
        <f t="shared" si="3"/>
        <v>15</v>
      </c>
      <c r="D86" s="72" t="str">
        <f t="shared" si="4"/>
        <v>10-15</v>
      </c>
      <c r="E86" s="72">
        <v>62414</v>
      </c>
      <c r="F86" s="72" t="str">
        <f t="shared" si="5"/>
        <v>10-62414</v>
      </c>
      <c r="G86" s="391" t="s">
        <v>696</v>
      </c>
      <c r="H86" s="331">
        <v>12659.02</v>
      </c>
      <c r="I86" s="331">
        <v>11639.44</v>
      </c>
      <c r="J86" s="331">
        <v>11984.72</v>
      </c>
      <c r="K86" s="331">
        <v>14250.31</v>
      </c>
      <c r="L86" s="491" t="s">
        <v>29</v>
      </c>
      <c r="M86" s="491" t="s">
        <v>29</v>
      </c>
      <c r="N86" s="491" t="s">
        <v>29</v>
      </c>
      <c r="O86" s="491" t="s">
        <v>29</v>
      </c>
      <c r="P86" s="491">
        <v>0</v>
      </c>
      <c r="Q86" s="491">
        <v>0</v>
      </c>
      <c r="R86" s="491">
        <v>0.77</v>
      </c>
      <c r="S86" s="491">
        <v>0.8</v>
      </c>
      <c r="T86" s="1025" t="b">
        <v>0</v>
      </c>
      <c r="U86" s="491">
        <v>16.32</v>
      </c>
      <c r="V86" s="491">
        <v>16.53</v>
      </c>
      <c r="W86" s="491">
        <v>5.48</v>
      </c>
      <c r="X86" s="491">
        <v>20.8</v>
      </c>
      <c r="Y86" s="1025" t="b">
        <v>0</v>
      </c>
      <c r="Z86" s="331">
        <v>0</v>
      </c>
      <c r="AA86" s="331">
        <v>0</v>
      </c>
      <c r="AB86" s="331">
        <v>0</v>
      </c>
      <c r="AC86" s="331">
        <v>0</v>
      </c>
      <c r="AD86" s="1025" t="b">
        <v>0</v>
      </c>
      <c r="AE86" s="331">
        <v>0.42</v>
      </c>
      <c r="AF86" s="331">
        <v>0.6</v>
      </c>
      <c r="AG86" s="331">
        <v>0.41</v>
      </c>
      <c r="AH86" s="331">
        <v>0.95</v>
      </c>
      <c r="AI86" s="1025" t="b">
        <v>0</v>
      </c>
      <c r="AJ86" s="331">
        <v>0</v>
      </c>
      <c r="AK86" s="331">
        <v>0</v>
      </c>
      <c r="AL86" s="331">
        <v>0</v>
      </c>
      <c r="AM86" s="331">
        <v>0</v>
      </c>
      <c r="AN86" s="1025" t="b">
        <v>0</v>
      </c>
      <c r="AO86" s="331">
        <v>0</v>
      </c>
      <c r="AP86" s="331">
        <v>0</v>
      </c>
      <c r="AQ86" s="331">
        <v>0</v>
      </c>
      <c r="AR86" s="331">
        <v>0</v>
      </c>
      <c r="AS86" s="1025" t="b">
        <v>0</v>
      </c>
      <c r="AT86" s="1025" t="b">
        <v>0</v>
      </c>
      <c r="AU86" s="331">
        <v>812458</v>
      </c>
      <c r="AV86" s="491" t="s">
        <v>29</v>
      </c>
    </row>
    <row r="87" spans="1:48">
      <c r="A87" s="72">
        <v>10</v>
      </c>
      <c r="B87" s="391" t="s">
        <v>48</v>
      </c>
      <c r="C87" s="72">
        <f t="shared" si="3"/>
        <v>16</v>
      </c>
      <c r="D87" s="72" t="str">
        <f t="shared" si="4"/>
        <v>10-16</v>
      </c>
      <c r="E87" s="72">
        <v>62430</v>
      </c>
      <c r="F87" s="72" t="str">
        <f t="shared" si="5"/>
        <v>10-62430</v>
      </c>
      <c r="G87" s="391" t="s">
        <v>1742</v>
      </c>
      <c r="H87" s="331">
        <v>14211.53</v>
      </c>
      <c r="I87" s="331">
        <v>13066.91</v>
      </c>
      <c r="J87" s="331">
        <v>13454.54</v>
      </c>
      <c r="K87" s="331">
        <v>15997.98</v>
      </c>
      <c r="L87" s="491" t="s">
        <v>29</v>
      </c>
      <c r="M87" s="491" t="s">
        <v>29</v>
      </c>
      <c r="N87" s="491" t="s">
        <v>29</v>
      </c>
      <c r="O87" s="491" t="s">
        <v>29</v>
      </c>
      <c r="P87" s="491">
        <v>0</v>
      </c>
      <c r="Q87" s="491">
        <v>0</v>
      </c>
      <c r="R87" s="491">
        <v>0.81</v>
      </c>
      <c r="S87" s="491">
        <v>6.03</v>
      </c>
      <c r="T87" s="1025" t="b">
        <v>0</v>
      </c>
      <c r="U87" s="491">
        <v>7.67</v>
      </c>
      <c r="V87" s="491">
        <v>7.03</v>
      </c>
      <c r="W87" s="491">
        <v>7.53</v>
      </c>
      <c r="X87" s="491">
        <v>22.17</v>
      </c>
      <c r="Y87" s="1025" t="b">
        <v>0</v>
      </c>
      <c r="Z87" s="331">
        <v>0</v>
      </c>
      <c r="AA87" s="331">
        <v>0</v>
      </c>
      <c r="AB87" s="331">
        <v>0</v>
      </c>
      <c r="AC87" s="331">
        <v>0</v>
      </c>
      <c r="AD87" s="1025" t="b">
        <v>0</v>
      </c>
      <c r="AE87" s="331">
        <v>0.31</v>
      </c>
      <c r="AF87" s="331">
        <v>0.38</v>
      </c>
      <c r="AG87" s="331">
        <v>0.33</v>
      </c>
      <c r="AH87" s="331">
        <v>1.32</v>
      </c>
      <c r="AI87" s="1025" t="b">
        <v>0</v>
      </c>
      <c r="AJ87" s="331">
        <v>0</v>
      </c>
      <c r="AK87" s="331">
        <v>0</v>
      </c>
      <c r="AL87" s="331">
        <v>0</v>
      </c>
      <c r="AM87" s="331">
        <v>0</v>
      </c>
      <c r="AN87" s="1025" t="b">
        <v>0</v>
      </c>
      <c r="AO87" s="331">
        <v>0</v>
      </c>
      <c r="AP87" s="331">
        <v>0</v>
      </c>
      <c r="AQ87" s="331">
        <v>0</v>
      </c>
      <c r="AR87" s="331">
        <v>0</v>
      </c>
      <c r="AS87" s="1025" t="b">
        <v>0</v>
      </c>
      <c r="AT87" s="1025" t="b">
        <v>0</v>
      </c>
      <c r="AU87" s="331">
        <v>799145</v>
      </c>
      <c r="AV87" s="491" t="s">
        <v>29</v>
      </c>
    </row>
    <row r="88" spans="1:48">
      <c r="A88" s="72">
        <v>10</v>
      </c>
      <c r="B88" s="391" t="s">
        <v>48</v>
      </c>
      <c r="C88" s="72">
        <f t="shared" si="3"/>
        <v>17</v>
      </c>
      <c r="D88" s="72" t="str">
        <f t="shared" si="4"/>
        <v>10-17</v>
      </c>
      <c r="E88" s="72">
        <v>62513</v>
      </c>
      <c r="F88" s="72" t="str">
        <f t="shared" si="5"/>
        <v>10-62513</v>
      </c>
      <c r="G88" s="391" t="s">
        <v>1784</v>
      </c>
      <c r="H88" s="331">
        <v>13452.05</v>
      </c>
      <c r="I88" s="331">
        <v>12368.6</v>
      </c>
      <c r="J88" s="331">
        <v>12735.51</v>
      </c>
      <c r="K88" s="331">
        <v>15143.02</v>
      </c>
      <c r="L88" s="491" t="s">
        <v>29</v>
      </c>
      <c r="M88" s="491" t="s">
        <v>29</v>
      </c>
      <c r="N88" s="491" t="s">
        <v>29</v>
      </c>
      <c r="O88" s="491" t="s">
        <v>29</v>
      </c>
      <c r="P88" s="491">
        <v>0</v>
      </c>
      <c r="Q88" s="491">
        <v>0</v>
      </c>
      <c r="R88" s="491">
        <v>0</v>
      </c>
      <c r="S88" s="491">
        <v>0</v>
      </c>
      <c r="T88" s="1025" t="b">
        <v>0</v>
      </c>
      <c r="U88" s="491">
        <v>0.77</v>
      </c>
      <c r="V88" s="491">
        <v>0</v>
      </c>
      <c r="W88" s="491">
        <v>0.28000000000000003</v>
      </c>
      <c r="X88" s="491">
        <v>0</v>
      </c>
      <c r="Y88" s="1025" t="b">
        <v>0</v>
      </c>
      <c r="Z88" s="331">
        <v>0</v>
      </c>
      <c r="AA88" s="331">
        <v>0</v>
      </c>
      <c r="AB88" s="331">
        <v>0</v>
      </c>
      <c r="AC88" s="331">
        <v>0</v>
      </c>
      <c r="AD88" s="1025" t="b">
        <v>0</v>
      </c>
      <c r="AE88" s="331">
        <v>0</v>
      </c>
      <c r="AF88" s="331">
        <v>0</v>
      </c>
      <c r="AG88" s="331">
        <v>0</v>
      </c>
      <c r="AH88" s="331">
        <v>0</v>
      </c>
      <c r="AI88" s="1025" t="b">
        <v>0</v>
      </c>
      <c r="AJ88" s="331">
        <v>0</v>
      </c>
      <c r="AK88" s="331">
        <v>0</v>
      </c>
      <c r="AL88" s="331">
        <v>0</v>
      </c>
      <c r="AM88" s="331">
        <v>0</v>
      </c>
      <c r="AN88" s="1025" t="b">
        <v>0</v>
      </c>
      <c r="AO88" s="331">
        <v>0</v>
      </c>
      <c r="AP88" s="331">
        <v>0</v>
      </c>
      <c r="AQ88" s="331">
        <v>0</v>
      </c>
      <c r="AR88" s="331">
        <v>0</v>
      </c>
      <c r="AS88" s="1025" t="b">
        <v>0</v>
      </c>
      <c r="AT88" s="1025" t="b">
        <v>0</v>
      </c>
      <c r="AU88" s="331">
        <v>13924</v>
      </c>
      <c r="AV88" s="491" t="s">
        <v>29</v>
      </c>
    </row>
    <row r="89" spans="1:48">
      <c r="A89" s="72">
        <v>10</v>
      </c>
      <c r="B89" s="391" t="s">
        <v>48</v>
      </c>
      <c r="C89" s="72">
        <f t="shared" si="3"/>
        <v>18</v>
      </c>
      <c r="D89" s="72" t="str">
        <f t="shared" si="4"/>
        <v>10-18</v>
      </c>
      <c r="E89" s="72">
        <v>62547</v>
      </c>
      <c r="F89" s="72" t="str">
        <f t="shared" si="5"/>
        <v>10-62547</v>
      </c>
      <c r="G89" s="391" t="s">
        <v>697</v>
      </c>
      <c r="H89" s="331">
        <v>14427.42</v>
      </c>
      <c r="I89" s="331">
        <v>13265.41</v>
      </c>
      <c r="J89" s="331">
        <v>13658.92</v>
      </c>
      <c r="K89" s="331">
        <v>16241</v>
      </c>
      <c r="L89" s="491" t="s">
        <v>29</v>
      </c>
      <c r="M89" s="491" t="s">
        <v>29</v>
      </c>
      <c r="N89" s="491" t="s">
        <v>29</v>
      </c>
      <c r="O89" s="491" t="s">
        <v>29</v>
      </c>
      <c r="P89" s="491">
        <v>0</v>
      </c>
      <c r="Q89" s="491">
        <v>0</v>
      </c>
      <c r="R89" s="491">
        <v>0</v>
      </c>
      <c r="S89" s="491">
        <v>0</v>
      </c>
      <c r="T89" s="1025" t="b">
        <v>0</v>
      </c>
      <c r="U89" s="491">
        <v>0.84</v>
      </c>
      <c r="V89" s="491">
        <v>0</v>
      </c>
      <c r="W89" s="491">
        <v>0</v>
      </c>
      <c r="X89" s="491">
        <v>0</v>
      </c>
      <c r="Y89" s="1025" t="b">
        <v>0</v>
      </c>
      <c r="Z89" s="331">
        <v>0</v>
      </c>
      <c r="AA89" s="331">
        <v>0</v>
      </c>
      <c r="AB89" s="331">
        <v>0</v>
      </c>
      <c r="AC89" s="331">
        <v>0</v>
      </c>
      <c r="AD89" s="1025" t="b">
        <v>0</v>
      </c>
      <c r="AE89" s="331">
        <v>0</v>
      </c>
      <c r="AF89" s="331">
        <v>0</v>
      </c>
      <c r="AG89" s="331">
        <v>0</v>
      </c>
      <c r="AH89" s="331">
        <v>0</v>
      </c>
      <c r="AI89" s="1025" t="b">
        <v>0</v>
      </c>
      <c r="AJ89" s="331">
        <v>0</v>
      </c>
      <c r="AK89" s="331">
        <v>0</v>
      </c>
      <c r="AL89" s="331">
        <v>0</v>
      </c>
      <c r="AM89" s="331">
        <v>0</v>
      </c>
      <c r="AN89" s="1025" t="b">
        <v>0</v>
      </c>
      <c r="AO89" s="331">
        <v>0</v>
      </c>
      <c r="AP89" s="331">
        <v>0</v>
      </c>
      <c r="AQ89" s="331">
        <v>0</v>
      </c>
      <c r="AR89" s="331">
        <v>0</v>
      </c>
      <c r="AS89" s="1025" t="b">
        <v>0</v>
      </c>
      <c r="AT89" s="1025" t="b">
        <v>0</v>
      </c>
      <c r="AU89" s="331">
        <v>12119</v>
      </c>
      <c r="AV89" s="491" t="s">
        <v>29</v>
      </c>
    </row>
    <row r="90" spans="1:48">
      <c r="A90" s="72">
        <v>10</v>
      </c>
      <c r="B90" s="391" t="s">
        <v>48</v>
      </c>
      <c r="C90" s="72">
        <f t="shared" si="3"/>
        <v>19</v>
      </c>
      <c r="D90" s="72" t="str">
        <f t="shared" si="4"/>
        <v>10-19</v>
      </c>
      <c r="E90" s="72">
        <v>73809</v>
      </c>
      <c r="F90" s="72" t="str">
        <f t="shared" si="5"/>
        <v>10-73809</v>
      </c>
      <c r="G90" s="391" t="s">
        <v>698</v>
      </c>
      <c r="H90" s="331">
        <v>14321.62</v>
      </c>
      <c r="I90" s="331">
        <v>13168.14</v>
      </c>
      <c r="J90" s="331">
        <v>13558.77</v>
      </c>
      <c r="K90" s="331">
        <v>16121.91</v>
      </c>
      <c r="L90" s="491" t="s">
        <v>29</v>
      </c>
      <c r="M90" s="491" t="s">
        <v>29</v>
      </c>
      <c r="N90" s="491" t="s">
        <v>29</v>
      </c>
      <c r="O90" s="491" t="s">
        <v>29</v>
      </c>
      <c r="P90" s="491">
        <v>0</v>
      </c>
      <c r="Q90" s="491">
        <v>0</v>
      </c>
      <c r="R90" s="491">
        <v>0</v>
      </c>
      <c r="S90" s="491">
        <v>0</v>
      </c>
      <c r="T90" s="1025" t="b">
        <v>0</v>
      </c>
      <c r="U90" s="491">
        <v>2.62</v>
      </c>
      <c r="V90" s="491">
        <v>1.6</v>
      </c>
      <c r="W90" s="491">
        <v>2.4700000000000002</v>
      </c>
      <c r="X90" s="491">
        <v>3.41</v>
      </c>
      <c r="Y90" s="1025" t="b">
        <v>0</v>
      </c>
      <c r="Z90" s="331">
        <v>0</v>
      </c>
      <c r="AA90" s="331">
        <v>0</v>
      </c>
      <c r="AB90" s="331">
        <v>0</v>
      </c>
      <c r="AC90" s="331">
        <v>0</v>
      </c>
      <c r="AD90" s="1025" t="b">
        <v>0</v>
      </c>
      <c r="AE90" s="331">
        <v>0.27</v>
      </c>
      <c r="AF90" s="331">
        <v>0.1</v>
      </c>
      <c r="AG90" s="331">
        <v>0.1</v>
      </c>
      <c r="AH90" s="331">
        <v>0.08</v>
      </c>
      <c r="AI90" s="1025" t="b">
        <v>0</v>
      </c>
      <c r="AJ90" s="331">
        <v>0</v>
      </c>
      <c r="AK90" s="331">
        <v>0</v>
      </c>
      <c r="AL90" s="331">
        <v>0</v>
      </c>
      <c r="AM90" s="331">
        <v>0</v>
      </c>
      <c r="AN90" s="1025" t="b">
        <v>0</v>
      </c>
      <c r="AO90" s="331">
        <v>0</v>
      </c>
      <c r="AP90" s="331">
        <v>0</v>
      </c>
      <c r="AQ90" s="331">
        <v>0</v>
      </c>
      <c r="AR90" s="331">
        <v>0</v>
      </c>
      <c r="AS90" s="1025" t="b">
        <v>0</v>
      </c>
      <c r="AT90" s="1025" t="b">
        <v>0</v>
      </c>
      <c r="AU90" s="331">
        <v>154886</v>
      </c>
      <c r="AV90" s="491" t="s">
        <v>29</v>
      </c>
    </row>
    <row r="91" spans="1:48">
      <c r="A91" s="72">
        <v>10</v>
      </c>
      <c r="B91" s="391" t="s">
        <v>48</v>
      </c>
      <c r="C91" s="72">
        <f t="shared" si="3"/>
        <v>20</v>
      </c>
      <c r="D91" s="72" t="str">
        <f t="shared" si="4"/>
        <v>10-20</v>
      </c>
      <c r="E91" s="72">
        <v>73965</v>
      </c>
      <c r="F91" s="72" t="str">
        <f t="shared" si="5"/>
        <v>10-73965</v>
      </c>
      <c r="G91" s="391" t="s">
        <v>699</v>
      </c>
      <c r="H91" s="331">
        <v>12721.81</v>
      </c>
      <c r="I91" s="331">
        <v>11697.17</v>
      </c>
      <c r="J91" s="331">
        <v>12044.17</v>
      </c>
      <c r="K91" s="331">
        <v>14320.99</v>
      </c>
      <c r="L91" s="491" t="s">
        <v>29</v>
      </c>
      <c r="M91" s="491" t="s">
        <v>29</v>
      </c>
      <c r="N91" s="491" t="s">
        <v>29</v>
      </c>
      <c r="O91" s="491" t="s">
        <v>29</v>
      </c>
      <c r="P91" s="491">
        <v>0</v>
      </c>
      <c r="Q91" s="491">
        <v>0</v>
      </c>
      <c r="R91" s="491">
        <v>0</v>
      </c>
      <c r="S91" s="491">
        <v>0</v>
      </c>
      <c r="T91" s="1025" t="b">
        <v>0</v>
      </c>
      <c r="U91" s="491">
        <v>20.83</v>
      </c>
      <c r="V91" s="491">
        <v>21.31</v>
      </c>
      <c r="W91" s="491">
        <v>12.5</v>
      </c>
      <c r="X91" s="491">
        <v>53.08</v>
      </c>
      <c r="Y91" s="1025" t="b">
        <v>0</v>
      </c>
      <c r="Z91" s="331">
        <v>0</v>
      </c>
      <c r="AA91" s="331">
        <v>0</v>
      </c>
      <c r="AB91" s="331">
        <v>0</v>
      </c>
      <c r="AC91" s="331">
        <v>0</v>
      </c>
      <c r="AD91" s="1025" t="b">
        <v>0</v>
      </c>
      <c r="AE91" s="331">
        <v>1.22</v>
      </c>
      <c r="AF91" s="331">
        <v>1.23</v>
      </c>
      <c r="AG91" s="331">
        <v>0.35</v>
      </c>
      <c r="AH91" s="331">
        <v>3.16</v>
      </c>
      <c r="AI91" s="1025" t="b">
        <v>0</v>
      </c>
      <c r="AJ91" s="331">
        <v>0</v>
      </c>
      <c r="AK91" s="331">
        <v>0</v>
      </c>
      <c r="AL91" s="331">
        <v>0</v>
      </c>
      <c r="AM91" s="331">
        <v>0</v>
      </c>
      <c r="AN91" s="1025" t="b">
        <v>0</v>
      </c>
      <c r="AO91" s="331">
        <v>0</v>
      </c>
      <c r="AP91" s="331">
        <v>0</v>
      </c>
      <c r="AQ91" s="331">
        <v>0</v>
      </c>
      <c r="AR91" s="331">
        <v>0</v>
      </c>
      <c r="AS91" s="1025" t="b">
        <v>0</v>
      </c>
      <c r="AT91" s="1025" t="b">
        <v>0</v>
      </c>
      <c r="AU91" s="331">
        <v>1504350</v>
      </c>
      <c r="AV91" s="491" t="s">
        <v>29</v>
      </c>
    </row>
    <row r="92" spans="1:48">
      <c r="A92" s="72">
        <v>10</v>
      </c>
      <c r="B92" s="391" t="s">
        <v>48</v>
      </c>
      <c r="C92" s="72">
        <f t="shared" si="3"/>
        <v>21</v>
      </c>
      <c r="D92" s="72" t="str">
        <f t="shared" si="4"/>
        <v>10-21</v>
      </c>
      <c r="E92" s="72">
        <v>73999</v>
      </c>
      <c r="F92" s="72" t="str">
        <f t="shared" si="5"/>
        <v>10-73999</v>
      </c>
      <c r="G92" s="391" t="s">
        <v>700</v>
      </c>
      <c r="H92" s="331">
        <v>14066.17</v>
      </c>
      <c r="I92" s="331">
        <v>12933.26</v>
      </c>
      <c r="J92" s="331">
        <v>13316.92</v>
      </c>
      <c r="K92" s="331">
        <v>15834.34</v>
      </c>
      <c r="L92" s="491" t="s">
        <v>29</v>
      </c>
      <c r="M92" s="491" t="s">
        <v>29</v>
      </c>
      <c r="N92" s="491" t="s">
        <v>29</v>
      </c>
      <c r="O92" s="491" t="s">
        <v>29</v>
      </c>
      <c r="P92" s="491">
        <v>0</v>
      </c>
      <c r="Q92" s="491">
        <v>0</v>
      </c>
      <c r="R92" s="491">
        <v>0</v>
      </c>
      <c r="S92" s="491">
        <v>0</v>
      </c>
      <c r="T92" s="1025" t="b">
        <v>0</v>
      </c>
      <c r="U92" s="491">
        <v>19.510000000000002</v>
      </c>
      <c r="V92" s="491">
        <v>3.62</v>
      </c>
      <c r="W92" s="491">
        <v>5.81</v>
      </c>
      <c r="X92" s="491">
        <v>9.6999999999999993</v>
      </c>
      <c r="Y92" s="1025" t="b">
        <v>0</v>
      </c>
      <c r="Z92" s="331">
        <v>0</v>
      </c>
      <c r="AA92" s="331">
        <v>0</v>
      </c>
      <c r="AB92" s="331">
        <v>0</v>
      </c>
      <c r="AC92" s="331">
        <v>0</v>
      </c>
      <c r="AD92" s="1025" t="b">
        <v>0</v>
      </c>
      <c r="AE92" s="331">
        <v>1.1599999999999999</v>
      </c>
      <c r="AF92" s="331">
        <v>0.5</v>
      </c>
      <c r="AG92" s="331">
        <v>0.22</v>
      </c>
      <c r="AH92" s="331">
        <v>0.93</v>
      </c>
      <c r="AI92" s="1025" t="b">
        <v>0</v>
      </c>
      <c r="AJ92" s="331">
        <v>0</v>
      </c>
      <c r="AK92" s="331">
        <v>0</v>
      </c>
      <c r="AL92" s="331">
        <v>0</v>
      </c>
      <c r="AM92" s="331">
        <v>0</v>
      </c>
      <c r="AN92" s="1025" t="b">
        <v>0</v>
      </c>
      <c r="AO92" s="331">
        <v>0</v>
      </c>
      <c r="AP92" s="331">
        <v>0</v>
      </c>
      <c r="AQ92" s="331">
        <v>0</v>
      </c>
      <c r="AR92" s="331">
        <v>0</v>
      </c>
      <c r="AS92" s="1025" t="b">
        <v>0</v>
      </c>
      <c r="AT92" s="1025" t="b">
        <v>0</v>
      </c>
      <c r="AU92" s="331">
        <v>592653</v>
      </c>
      <c r="AV92" s="491" t="s">
        <v>29</v>
      </c>
    </row>
    <row r="93" spans="1:48">
      <c r="A93" s="72">
        <v>10</v>
      </c>
      <c r="B93" s="391" t="s">
        <v>48</v>
      </c>
      <c r="C93" s="72">
        <f t="shared" si="3"/>
        <v>22</v>
      </c>
      <c r="D93" s="72" t="str">
        <f t="shared" si="4"/>
        <v>10-22</v>
      </c>
      <c r="E93" s="72">
        <v>75127</v>
      </c>
      <c r="F93" s="72" t="str">
        <f t="shared" si="5"/>
        <v>10-75127</v>
      </c>
      <c r="G93" s="391" t="s">
        <v>701</v>
      </c>
      <c r="H93" s="331">
        <v>14931.44</v>
      </c>
      <c r="I93" s="331">
        <v>13728.84</v>
      </c>
      <c r="J93" s="331">
        <v>14136.1</v>
      </c>
      <c r="K93" s="331">
        <v>16808.39</v>
      </c>
      <c r="L93" s="491" t="s">
        <v>29</v>
      </c>
      <c r="M93" s="491" t="s">
        <v>29</v>
      </c>
      <c r="N93" s="491" t="s">
        <v>29</v>
      </c>
      <c r="O93" s="491" t="s">
        <v>29</v>
      </c>
      <c r="P93" s="491">
        <v>0</v>
      </c>
      <c r="Q93" s="491">
        <v>0</v>
      </c>
      <c r="R93" s="491">
        <v>0</v>
      </c>
      <c r="S93" s="491">
        <v>0</v>
      </c>
      <c r="T93" s="1025" t="b">
        <v>0</v>
      </c>
      <c r="U93" s="491">
        <v>5.0199999999999996</v>
      </c>
      <c r="V93" s="491">
        <v>4.28</v>
      </c>
      <c r="W93" s="491">
        <v>0</v>
      </c>
      <c r="X93" s="491">
        <v>3.58</v>
      </c>
      <c r="Y93" s="1025" t="b">
        <v>0</v>
      </c>
      <c r="Z93" s="331">
        <v>0</v>
      </c>
      <c r="AA93" s="331">
        <v>0</v>
      </c>
      <c r="AB93" s="331">
        <v>0</v>
      </c>
      <c r="AC93" s="331">
        <v>0</v>
      </c>
      <c r="AD93" s="1025" t="b">
        <v>0</v>
      </c>
      <c r="AE93" s="331">
        <v>0.28999999999999998</v>
      </c>
      <c r="AF93" s="331">
        <v>0.18</v>
      </c>
      <c r="AG93" s="331">
        <v>0.1</v>
      </c>
      <c r="AH93" s="331">
        <v>0.18</v>
      </c>
      <c r="AI93" s="1025" t="b">
        <v>0</v>
      </c>
      <c r="AJ93" s="331">
        <v>0</v>
      </c>
      <c r="AK93" s="331">
        <v>0</v>
      </c>
      <c r="AL93" s="331">
        <v>0</v>
      </c>
      <c r="AM93" s="331">
        <v>0</v>
      </c>
      <c r="AN93" s="1025" t="b">
        <v>0</v>
      </c>
      <c r="AO93" s="331">
        <v>0</v>
      </c>
      <c r="AP93" s="331">
        <v>0</v>
      </c>
      <c r="AQ93" s="331">
        <v>0</v>
      </c>
      <c r="AR93" s="331">
        <v>0</v>
      </c>
      <c r="AS93" s="1025" t="b">
        <v>0</v>
      </c>
      <c r="AT93" s="1025" t="b">
        <v>0</v>
      </c>
      <c r="AU93" s="331">
        <v>205131</v>
      </c>
      <c r="AV93" s="491" t="s">
        <v>29</v>
      </c>
    </row>
    <row r="94" spans="1:48">
      <c r="A94" s="72">
        <v>10</v>
      </c>
      <c r="B94" s="391" t="s">
        <v>48</v>
      </c>
      <c r="C94" s="72">
        <f t="shared" si="3"/>
        <v>23</v>
      </c>
      <c r="D94" s="72" t="str">
        <f t="shared" si="4"/>
        <v>10-23</v>
      </c>
      <c r="E94" s="72">
        <v>75234</v>
      </c>
      <c r="F94" s="72" t="str">
        <f t="shared" si="5"/>
        <v>10-75234</v>
      </c>
      <c r="G94" s="391" t="s">
        <v>702</v>
      </c>
      <c r="H94" s="331">
        <v>14888.44</v>
      </c>
      <c r="I94" s="331">
        <v>13689.3</v>
      </c>
      <c r="J94" s="331">
        <v>14095.39</v>
      </c>
      <c r="K94" s="331">
        <v>16759.98</v>
      </c>
      <c r="L94" s="491" t="s">
        <v>29</v>
      </c>
      <c r="M94" s="491" t="s">
        <v>29</v>
      </c>
      <c r="N94" s="491" t="s">
        <v>29</v>
      </c>
      <c r="O94" s="491" t="s">
        <v>29</v>
      </c>
      <c r="P94" s="491">
        <v>0</v>
      </c>
      <c r="Q94" s="491">
        <v>0</v>
      </c>
      <c r="R94" s="491">
        <v>0</v>
      </c>
      <c r="S94" s="491">
        <v>0</v>
      </c>
      <c r="T94" s="1025" t="b">
        <v>0</v>
      </c>
      <c r="U94" s="491">
        <v>3.35</v>
      </c>
      <c r="V94" s="491">
        <v>1.9</v>
      </c>
      <c r="W94" s="491">
        <v>2.44</v>
      </c>
      <c r="X94" s="491">
        <v>4.88</v>
      </c>
      <c r="Y94" s="1025" t="b">
        <v>0</v>
      </c>
      <c r="Z94" s="331">
        <v>0</v>
      </c>
      <c r="AA94" s="331">
        <v>0</v>
      </c>
      <c r="AB94" s="331">
        <v>0</v>
      </c>
      <c r="AC94" s="331">
        <v>0</v>
      </c>
      <c r="AD94" s="1025" t="b">
        <v>0</v>
      </c>
      <c r="AE94" s="331">
        <v>0.26</v>
      </c>
      <c r="AF94" s="331">
        <v>0.24</v>
      </c>
      <c r="AG94" s="331">
        <v>0.09</v>
      </c>
      <c r="AH94" s="331">
        <v>0.09</v>
      </c>
      <c r="AI94" s="1025" t="b">
        <v>0</v>
      </c>
      <c r="AJ94" s="331">
        <v>0</v>
      </c>
      <c r="AK94" s="331">
        <v>0</v>
      </c>
      <c r="AL94" s="331">
        <v>0</v>
      </c>
      <c r="AM94" s="331">
        <v>0</v>
      </c>
      <c r="AN94" s="1025" t="b">
        <v>0</v>
      </c>
      <c r="AO94" s="331">
        <v>0</v>
      </c>
      <c r="AP94" s="331">
        <v>0</v>
      </c>
      <c r="AQ94" s="331">
        <v>0</v>
      </c>
      <c r="AR94" s="331">
        <v>0</v>
      </c>
      <c r="AS94" s="1025" t="b">
        <v>0</v>
      </c>
      <c r="AT94" s="1025" t="b">
        <v>0</v>
      </c>
      <c r="AU94" s="331">
        <v>202000</v>
      </c>
      <c r="AV94" s="491" t="s">
        <v>29</v>
      </c>
    </row>
    <row r="95" spans="1:48">
      <c r="A95" s="72">
        <v>10</v>
      </c>
      <c r="B95" s="391" t="s">
        <v>48</v>
      </c>
      <c r="C95" s="72">
        <f t="shared" si="3"/>
        <v>24</v>
      </c>
      <c r="D95" s="72" t="str">
        <f t="shared" si="4"/>
        <v>10-24</v>
      </c>
      <c r="E95" s="72">
        <v>75275</v>
      </c>
      <c r="F95" s="72" t="str">
        <f t="shared" si="5"/>
        <v>10-75275</v>
      </c>
      <c r="G95" s="391" t="s">
        <v>703</v>
      </c>
      <c r="H95" s="331">
        <v>11343.9</v>
      </c>
      <c r="I95" s="331">
        <v>10430.25</v>
      </c>
      <c r="J95" s="331">
        <v>10739.66</v>
      </c>
      <c r="K95" s="331">
        <v>12769.88</v>
      </c>
      <c r="L95" s="491" t="s">
        <v>29</v>
      </c>
      <c r="M95" s="491" t="s">
        <v>29</v>
      </c>
      <c r="N95" s="491" t="s">
        <v>29</v>
      </c>
      <c r="O95" s="491" t="s">
        <v>29</v>
      </c>
      <c r="P95" s="491">
        <v>0</v>
      </c>
      <c r="Q95" s="491">
        <v>0</v>
      </c>
      <c r="R95" s="491">
        <v>0</v>
      </c>
      <c r="S95" s="491">
        <v>0</v>
      </c>
      <c r="T95" s="1025" t="b">
        <v>0</v>
      </c>
      <c r="U95" s="491">
        <v>2.41</v>
      </c>
      <c r="V95" s="491">
        <v>0</v>
      </c>
      <c r="W95" s="491">
        <v>0</v>
      </c>
      <c r="X95" s="491">
        <v>4.93</v>
      </c>
      <c r="Y95" s="1025" t="b">
        <v>0</v>
      </c>
      <c r="Z95" s="331">
        <v>0</v>
      </c>
      <c r="AA95" s="331">
        <v>0</v>
      </c>
      <c r="AB95" s="331">
        <v>0</v>
      </c>
      <c r="AC95" s="331">
        <v>0</v>
      </c>
      <c r="AD95" s="1025" t="b">
        <v>0</v>
      </c>
      <c r="AE95" s="331">
        <v>0.1</v>
      </c>
      <c r="AF95" s="331">
        <v>0</v>
      </c>
      <c r="AG95" s="331">
        <v>0</v>
      </c>
      <c r="AH95" s="331">
        <v>0.16</v>
      </c>
      <c r="AI95" s="1025" t="b">
        <v>0</v>
      </c>
      <c r="AJ95" s="331">
        <v>0</v>
      </c>
      <c r="AK95" s="331">
        <v>0</v>
      </c>
      <c r="AL95" s="331">
        <v>0</v>
      </c>
      <c r="AM95" s="331">
        <v>0</v>
      </c>
      <c r="AN95" s="1025" t="b">
        <v>0</v>
      </c>
      <c r="AO95" s="331">
        <v>0</v>
      </c>
      <c r="AP95" s="331">
        <v>0</v>
      </c>
      <c r="AQ95" s="331">
        <v>0</v>
      </c>
      <c r="AR95" s="331">
        <v>0</v>
      </c>
      <c r="AS95" s="1025" t="b">
        <v>0</v>
      </c>
      <c r="AT95" s="1025" t="b">
        <v>0</v>
      </c>
      <c r="AU95" s="331">
        <v>93472</v>
      </c>
      <c r="AV95" s="491" t="s">
        <v>29</v>
      </c>
    </row>
    <row r="96" spans="1:48">
      <c r="A96" s="72">
        <v>10</v>
      </c>
      <c r="B96" s="391" t="s">
        <v>48</v>
      </c>
      <c r="C96" s="72">
        <f t="shared" si="3"/>
        <v>25</v>
      </c>
      <c r="D96" s="72" t="str">
        <f t="shared" si="4"/>
        <v>10-25</v>
      </c>
      <c r="E96" s="72">
        <v>75408</v>
      </c>
      <c r="F96" s="72" t="str">
        <f t="shared" si="5"/>
        <v>10-75408</v>
      </c>
      <c r="G96" s="391" t="s">
        <v>704</v>
      </c>
      <c r="H96" s="491">
        <v>14042.09</v>
      </c>
      <c r="I96" s="491">
        <v>12911.11</v>
      </c>
      <c r="J96" s="491">
        <v>13294.12</v>
      </c>
      <c r="K96" s="491">
        <v>15807.23</v>
      </c>
      <c r="L96" s="491" t="s">
        <v>29</v>
      </c>
      <c r="M96" s="491" t="s">
        <v>29</v>
      </c>
      <c r="N96" s="491" t="s">
        <v>29</v>
      </c>
      <c r="O96" s="491" t="s">
        <v>29</v>
      </c>
      <c r="P96" s="491">
        <v>0</v>
      </c>
      <c r="Q96" s="491">
        <v>0</v>
      </c>
      <c r="R96" s="491">
        <v>0</v>
      </c>
      <c r="S96" s="491">
        <v>0</v>
      </c>
      <c r="T96" s="1025" t="b">
        <v>0</v>
      </c>
      <c r="U96" s="491">
        <v>5.65</v>
      </c>
      <c r="V96" s="491">
        <v>1.59</v>
      </c>
      <c r="W96" s="491">
        <v>0</v>
      </c>
      <c r="X96" s="491">
        <v>4.6900000000000004</v>
      </c>
      <c r="Y96" s="1025" t="b">
        <v>0</v>
      </c>
      <c r="Z96" s="491">
        <v>0</v>
      </c>
      <c r="AA96" s="491">
        <v>0</v>
      </c>
      <c r="AB96" s="491">
        <v>0</v>
      </c>
      <c r="AC96" s="491">
        <v>0</v>
      </c>
      <c r="AD96" s="1025" t="b">
        <v>0</v>
      </c>
      <c r="AE96" s="491">
        <v>0.28000000000000003</v>
      </c>
      <c r="AF96" s="491">
        <v>0.02</v>
      </c>
      <c r="AG96" s="491">
        <v>0</v>
      </c>
      <c r="AH96" s="491">
        <v>0.22</v>
      </c>
      <c r="AI96" s="1025" t="b">
        <v>0</v>
      </c>
      <c r="AJ96" s="491">
        <v>0</v>
      </c>
      <c r="AK96" s="491">
        <v>0</v>
      </c>
      <c r="AL96" s="491">
        <v>0</v>
      </c>
      <c r="AM96" s="491">
        <v>0</v>
      </c>
      <c r="AN96" s="1025" t="b">
        <v>0</v>
      </c>
      <c r="AO96" s="491">
        <v>0</v>
      </c>
      <c r="AP96" s="491">
        <v>0</v>
      </c>
      <c r="AQ96" s="491">
        <v>0</v>
      </c>
      <c r="AR96" s="491">
        <v>0</v>
      </c>
      <c r="AS96" s="1025" t="b">
        <v>0</v>
      </c>
      <c r="AT96" s="1025" t="b">
        <v>0</v>
      </c>
      <c r="AU96" s="491">
        <v>181670</v>
      </c>
      <c r="AV96" s="491" t="s">
        <v>29</v>
      </c>
    </row>
    <row r="97" spans="1:48">
      <c r="A97" s="72">
        <v>10</v>
      </c>
      <c r="B97" s="391" t="s">
        <v>48</v>
      </c>
      <c r="C97" s="72">
        <f t="shared" si="3"/>
        <v>26</v>
      </c>
      <c r="D97" s="72" t="str">
        <f t="shared" si="4"/>
        <v>10-26</v>
      </c>
      <c r="E97" s="72">
        <v>75598</v>
      </c>
      <c r="F97" s="72" t="str">
        <f t="shared" si="5"/>
        <v>10-75598</v>
      </c>
      <c r="G97" s="391" t="s">
        <v>705</v>
      </c>
      <c r="H97" s="331">
        <v>14147.02</v>
      </c>
      <c r="I97" s="331">
        <v>13007.6</v>
      </c>
      <c r="J97" s="331">
        <v>13393.46</v>
      </c>
      <c r="K97" s="331">
        <v>15925.36</v>
      </c>
      <c r="L97" s="491" t="s">
        <v>29</v>
      </c>
      <c r="M97" s="491" t="s">
        <v>29</v>
      </c>
      <c r="N97" s="491" t="s">
        <v>29</v>
      </c>
      <c r="O97" s="491" t="s">
        <v>29</v>
      </c>
      <c r="P97" s="491">
        <v>0</v>
      </c>
      <c r="Q97" s="491">
        <v>0</v>
      </c>
      <c r="R97" s="491">
        <v>0</v>
      </c>
      <c r="S97" s="491">
        <v>0</v>
      </c>
      <c r="T97" s="1025" t="b">
        <v>0</v>
      </c>
      <c r="U97" s="491">
        <v>9.73</v>
      </c>
      <c r="V97" s="491">
        <v>0.81</v>
      </c>
      <c r="W97" s="491">
        <v>1.61</v>
      </c>
      <c r="X97" s="491">
        <v>3.29</v>
      </c>
      <c r="Y97" s="1025" t="b">
        <v>0</v>
      </c>
      <c r="Z97" s="331">
        <v>0</v>
      </c>
      <c r="AA97" s="331">
        <v>0</v>
      </c>
      <c r="AB97" s="331">
        <v>0</v>
      </c>
      <c r="AC97" s="331">
        <v>0</v>
      </c>
      <c r="AD97" s="1025" t="b">
        <v>0</v>
      </c>
      <c r="AE97" s="331">
        <v>0.59</v>
      </c>
      <c r="AF97" s="331">
        <v>0.1</v>
      </c>
      <c r="AG97" s="331">
        <v>0.02</v>
      </c>
      <c r="AH97" s="331">
        <v>0.28000000000000003</v>
      </c>
      <c r="AI97" s="1025" t="b">
        <v>0</v>
      </c>
      <c r="AJ97" s="331">
        <v>0</v>
      </c>
      <c r="AK97" s="331">
        <v>0</v>
      </c>
      <c r="AL97" s="331">
        <v>0</v>
      </c>
      <c r="AM97" s="331">
        <v>0</v>
      </c>
      <c r="AN97" s="1025" t="b">
        <v>0</v>
      </c>
      <c r="AO97" s="331">
        <v>0</v>
      </c>
      <c r="AP97" s="331">
        <v>0</v>
      </c>
      <c r="AQ97" s="331">
        <v>0</v>
      </c>
      <c r="AR97" s="331">
        <v>0</v>
      </c>
      <c r="AS97" s="1025" t="b">
        <v>0</v>
      </c>
      <c r="AT97" s="1025" t="b">
        <v>0</v>
      </c>
      <c r="AU97" s="331">
        <v>236519</v>
      </c>
      <c r="AV97" s="491" t="s">
        <v>29</v>
      </c>
    </row>
    <row r="98" spans="1:48">
      <c r="A98" s="72">
        <v>10</v>
      </c>
      <c r="B98" s="391" t="s">
        <v>48</v>
      </c>
      <c r="C98" s="72">
        <f t="shared" si="3"/>
        <v>27</v>
      </c>
      <c r="D98" s="72" t="str">
        <f t="shared" si="4"/>
        <v>10-27</v>
      </c>
      <c r="E98" s="72">
        <v>76778</v>
      </c>
      <c r="F98" s="72" t="str">
        <f t="shared" si="5"/>
        <v>10-76778</v>
      </c>
      <c r="G98" s="391" t="s">
        <v>706</v>
      </c>
      <c r="H98" s="331">
        <v>14154.76</v>
      </c>
      <c r="I98" s="331">
        <v>13014.71</v>
      </c>
      <c r="J98" s="331">
        <v>13400.79</v>
      </c>
      <c r="K98" s="331">
        <v>15934.07</v>
      </c>
      <c r="L98" s="491" t="s">
        <v>29</v>
      </c>
      <c r="M98" s="491" t="s">
        <v>29</v>
      </c>
      <c r="N98" s="491" t="s">
        <v>29</v>
      </c>
      <c r="O98" s="491" t="s">
        <v>29</v>
      </c>
      <c r="P98" s="491">
        <v>0</v>
      </c>
      <c r="Q98" s="491">
        <v>0</v>
      </c>
      <c r="R98" s="491">
        <v>0</v>
      </c>
      <c r="S98" s="491">
        <v>0</v>
      </c>
      <c r="T98" s="1025" t="b">
        <v>0</v>
      </c>
      <c r="U98" s="491">
        <v>4.9800000000000004</v>
      </c>
      <c r="V98" s="491">
        <v>4.8600000000000003</v>
      </c>
      <c r="W98" s="491">
        <v>2.41</v>
      </c>
      <c r="X98" s="491">
        <v>13.47</v>
      </c>
      <c r="Y98" s="1025" t="b">
        <v>0</v>
      </c>
      <c r="Z98" s="331">
        <v>0</v>
      </c>
      <c r="AA98" s="331">
        <v>0</v>
      </c>
      <c r="AB98" s="331">
        <v>0</v>
      </c>
      <c r="AC98" s="331">
        <v>0</v>
      </c>
      <c r="AD98" s="1025" t="b">
        <v>0</v>
      </c>
      <c r="AE98" s="331">
        <v>0.44</v>
      </c>
      <c r="AF98" s="331">
        <v>0.11</v>
      </c>
      <c r="AG98" s="331">
        <v>0.05</v>
      </c>
      <c r="AH98" s="331">
        <v>0.74</v>
      </c>
      <c r="AI98" s="1025" t="b">
        <v>0</v>
      </c>
      <c r="AJ98" s="331">
        <v>0</v>
      </c>
      <c r="AK98" s="331">
        <v>0</v>
      </c>
      <c r="AL98" s="331">
        <v>0</v>
      </c>
      <c r="AM98" s="331">
        <v>0</v>
      </c>
      <c r="AN98" s="1025" t="b">
        <v>0</v>
      </c>
      <c r="AO98" s="331">
        <v>0</v>
      </c>
      <c r="AP98" s="331">
        <v>0</v>
      </c>
      <c r="AQ98" s="331">
        <v>0</v>
      </c>
      <c r="AR98" s="331">
        <v>0</v>
      </c>
      <c r="AS98" s="1025" t="b">
        <v>0</v>
      </c>
      <c r="AT98" s="1025" t="b">
        <v>0</v>
      </c>
      <c r="AU98" s="331">
        <v>400791</v>
      </c>
      <c r="AV98" s="491" t="s">
        <v>29</v>
      </c>
    </row>
    <row r="99" spans="1:48">
      <c r="A99" s="72">
        <v>10</v>
      </c>
      <c r="B99" s="391" t="s">
        <v>48</v>
      </c>
      <c r="C99" s="72">
        <f t="shared" si="3"/>
        <v>0</v>
      </c>
      <c r="D99" s="72" t="str">
        <f t="shared" si="4"/>
        <v>10-0</v>
      </c>
      <c r="E99" s="72" t="s">
        <v>29</v>
      </c>
      <c r="F99" s="72" t="str">
        <f t="shared" si="5"/>
        <v>10-N/A</v>
      </c>
      <c r="G99" s="391" t="s">
        <v>29</v>
      </c>
      <c r="H99" s="491" t="s">
        <v>29</v>
      </c>
      <c r="I99" s="491" t="s">
        <v>29</v>
      </c>
      <c r="J99" s="491" t="s">
        <v>29</v>
      </c>
      <c r="K99" s="491" t="s">
        <v>29</v>
      </c>
      <c r="L99" s="491" t="s">
        <v>29</v>
      </c>
      <c r="M99" s="491" t="s">
        <v>29</v>
      </c>
      <c r="N99" s="491" t="s">
        <v>29</v>
      </c>
      <c r="O99" s="491" t="s">
        <v>29</v>
      </c>
      <c r="P99" s="491" t="s">
        <v>29</v>
      </c>
      <c r="Q99" s="491" t="s">
        <v>29</v>
      </c>
      <c r="R99" s="491" t="s">
        <v>29</v>
      </c>
      <c r="S99" s="491" t="s">
        <v>29</v>
      </c>
      <c r="T99" s="1025" t="s">
        <v>29</v>
      </c>
      <c r="U99" s="491" t="s">
        <v>29</v>
      </c>
      <c r="V99" s="491" t="s">
        <v>29</v>
      </c>
      <c r="W99" s="491" t="s">
        <v>29</v>
      </c>
      <c r="X99" s="491" t="s">
        <v>29</v>
      </c>
      <c r="Y99" s="1025" t="s">
        <v>29</v>
      </c>
      <c r="Z99" s="491" t="s">
        <v>29</v>
      </c>
      <c r="AA99" s="491" t="s">
        <v>29</v>
      </c>
      <c r="AB99" s="491" t="s">
        <v>29</v>
      </c>
      <c r="AC99" s="491" t="s">
        <v>29</v>
      </c>
      <c r="AD99" s="1025" t="s">
        <v>29</v>
      </c>
      <c r="AE99" s="491" t="s">
        <v>29</v>
      </c>
      <c r="AF99" s="491" t="s">
        <v>29</v>
      </c>
      <c r="AG99" s="491" t="s">
        <v>29</v>
      </c>
      <c r="AH99" s="491" t="s">
        <v>29</v>
      </c>
      <c r="AI99" s="1025" t="s">
        <v>29</v>
      </c>
      <c r="AJ99" s="491" t="s">
        <v>29</v>
      </c>
      <c r="AK99" s="491" t="s">
        <v>29</v>
      </c>
      <c r="AL99" s="491" t="s">
        <v>29</v>
      </c>
      <c r="AM99" s="491" t="s">
        <v>29</v>
      </c>
      <c r="AN99" s="1025" t="s">
        <v>29</v>
      </c>
      <c r="AO99" s="491" t="s">
        <v>29</v>
      </c>
      <c r="AP99" s="491" t="s">
        <v>29</v>
      </c>
      <c r="AQ99" s="491" t="s">
        <v>29</v>
      </c>
      <c r="AR99" s="491" t="s">
        <v>29</v>
      </c>
      <c r="AS99" s="1025" t="s">
        <v>29</v>
      </c>
      <c r="AT99" s="1025" t="s">
        <v>29</v>
      </c>
      <c r="AU99" s="491" t="s">
        <v>29</v>
      </c>
      <c r="AV99" s="491">
        <v>7218878</v>
      </c>
    </row>
    <row r="100" spans="1:48">
      <c r="A100" s="72">
        <v>11</v>
      </c>
      <c r="B100" s="391" t="s">
        <v>47</v>
      </c>
      <c r="C100" s="72">
        <f t="shared" si="3"/>
        <v>1</v>
      </c>
      <c r="D100" s="72" t="str">
        <f t="shared" si="4"/>
        <v>11-1</v>
      </c>
      <c r="E100" s="72">
        <v>62554</v>
      </c>
      <c r="F100" s="72" t="str">
        <f t="shared" si="5"/>
        <v>11-62554</v>
      </c>
      <c r="G100" s="391" t="s">
        <v>707</v>
      </c>
      <c r="H100" s="331">
        <v>11062.7</v>
      </c>
      <c r="I100" s="331">
        <v>10171.69</v>
      </c>
      <c r="J100" s="331">
        <v>10473.43</v>
      </c>
      <c r="K100" s="331">
        <v>12453.32</v>
      </c>
      <c r="L100" s="491" t="s">
        <v>29</v>
      </c>
      <c r="M100" s="491" t="s">
        <v>29</v>
      </c>
      <c r="N100" s="491" t="s">
        <v>29</v>
      </c>
      <c r="O100" s="491" t="s">
        <v>29</v>
      </c>
      <c r="P100" s="491">
        <v>0</v>
      </c>
      <c r="Q100" s="491">
        <v>0</v>
      </c>
      <c r="R100" s="491">
        <v>0</v>
      </c>
      <c r="S100" s="491">
        <v>0</v>
      </c>
      <c r="T100" s="1025" t="b">
        <v>0</v>
      </c>
      <c r="U100" s="491">
        <v>0</v>
      </c>
      <c r="V100" s="491">
        <v>0.92</v>
      </c>
      <c r="W100" s="491">
        <v>0</v>
      </c>
      <c r="X100" s="491">
        <v>0</v>
      </c>
      <c r="Y100" s="1025" t="b">
        <v>0</v>
      </c>
      <c r="Z100" s="331">
        <v>0</v>
      </c>
      <c r="AA100" s="331">
        <v>0</v>
      </c>
      <c r="AB100" s="331">
        <v>0</v>
      </c>
      <c r="AC100" s="331">
        <v>0</v>
      </c>
      <c r="AD100" s="1025" t="b">
        <v>0</v>
      </c>
      <c r="AE100" s="331">
        <v>0</v>
      </c>
      <c r="AF100" s="331">
        <v>0.04</v>
      </c>
      <c r="AG100" s="331">
        <v>0</v>
      </c>
      <c r="AH100" s="331">
        <v>0</v>
      </c>
      <c r="AI100" s="1025" t="b">
        <v>0</v>
      </c>
      <c r="AJ100" s="331">
        <v>0</v>
      </c>
      <c r="AK100" s="331">
        <v>0</v>
      </c>
      <c r="AL100" s="331">
        <v>0</v>
      </c>
      <c r="AM100" s="331">
        <v>0</v>
      </c>
      <c r="AN100" s="1025" t="b">
        <v>0</v>
      </c>
      <c r="AO100" s="331">
        <v>0</v>
      </c>
      <c r="AP100" s="331">
        <v>0</v>
      </c>
      <c r="AQ100" s="331">
        <v>0</v>
      </c>
      <c r="AR100" s="331">
        <v>0</v>
      </c>
      <c r="AS100" s="1025" t="b">
        <v>0</v>
      </c>
      <c r="AT100" s="1025" t="b">
        <v>0</v>
      </c>
      <c r="AU100" s="331">
        <v>9765</v>
      </c>
      <c r="AV100" s="491" t="s">
        <v>29</v>
      </c>
    </row>
    <row r="101" spans="1:48">
      <c r="A101" s="72">
        <v>11</v>
      </c>
      <c r="B101" s="391" t="s">
        <v>47</v>
      </c>
      <c r="C101" s="72">
        <f t="shared" si="3"/>
        <v>2</v>
      </c>
      <c r="D101" s="72" t="str">
        <f t="shared" si="4"/>
        <v>11-2</v>
      </c>
      <c r="E101" s="72">
        <v>62596</v>
      </c>
      <c r="F101" s="72" t="str">
        <f t="shared" si="5"/>
        <v>11-62596</v>
      </c>
      <c r="G101" s="391" t="s">
        <v>1785</v>
      </c>
      <c r="H101" s="331">
        <v>11031.73</v>
      </c>
      <c r="I101" s="331">
        <v>10143.219999999999</v>
      </c>
      <c r="J101" s="331">
        <v>10444.120000000001</v>
      </c>
      <c r="K101" s="331">
        <v>12418.47</v>
      </c>
      <c r="L101" s="491" t="s">
        <v>29</v>
      </c>
      <c r="M101" s="491" t="s">
        <v>29</v>
      </c>
      <c r="N101" s="491" t="s">
        <v>29</v>
      </c>
      <c r="O101" s="491" t="s">
        <v>29</v>
      </c>
      <c r="P101" s="491">
        <v>0</v>
      </c>
      <c r="Q101" s="491">
        <v>0</v>
      </c>
      <c r="R101" s="491">
        <v>0</v>
      </c>
      <c r="S101" s="491">
        <v>0</v>
      </c>
      <c r="T101" s="1025" t="b">
        <v>0</v>
      </c>
      <c r="U101" s="491">
        <v>0.63</v>
      </c>
      <c r="V101" s="491">
        <v>0</v>
      </c>
      <c r="W101" s="491">
        <v>0</v>
      </c>
      <c r="X101" s="491">
        <v>0</v>
      </c>
      <c r="Y101" s="1025" t="b">
        <v>0</v>
      </c>
      <c r="Z101" s="331">
        <v>0</v>
      </c>
      <c r="AA101" s="331">
        <v>0</v>
      </c>
      <c r="AB101" s="331">
        <v>0</v>
      </c>
      <c r="AC101" s="331">
        <v>0</v>
      </c>
      <c r="AD101" s="1025" t="b">
        <v>0</v>
      </c>
      <c r="AE101" s="331">
        <v>0</v>
      </c>
      <c r="AF101" s="331">
        <v>0</v>
      </c>
      <c r="AG101" s="331">
        <v>0</v>
      </c>
      <c r="AH101" s="331">
        <v>0</v>
      </c>
      <c r="AI101" s="1025" t="b">
        <v>0</v>
      </c>
      <c r="AJ101" s="331">
        <v>0</v>
      </c>
      <c r="AK101" s="331">
        <v>0</v>
      </c>
      <c r="AL101" s="331">
        <v>0</v>
      </c>
      <c r="AM101" s="331">
        <v>0</v>
      </c>
      <c r="AN101" s="1025" t="b">
        <v>0</v>
      </c>
      <c r="AO101" s="331">
        <v>0</v>
      </c>
      <c r="AP101" s="331">
        <v>0</v>
      </c>
      <c r="AQ101" s="331">
        <v>0</v>
      </c>
      <c r="AR101" s="331">
        <v>0</v>
      </c>
      <c r="AS101" s="1025" t="b">
        <v>0</v>
      </c>
      <c r="AT101" s="1025" t="b">
        <v>0</v>
      </c>
      <c r="AU101" s="331">
        <v>6950</v>
      </c>
      <c r="AV101" s="491" t="s">
        <v>29</v>
      </c>
    </row>
    <row r="102" spans="1:48">
      <c r="A102" s="72">
        <v>11</v>
      </c>
      <c r="B102" s="391" t="s">
        <v>47</v>
      </c>
      <c r="C102" s="72">
        <f t="shared" si="3"/>
        <v>3</v>
      </c>
      <c r="D102" s="72" t="str">
        <f t="shared" si="4"/>
        <v>11-3</v>
      </c>
      <c r="E102" s="72">
        <v>62638</v>
      </c>
      <c r="F102" s="72" t="str">
        <f t="shared" si="5"/>
        <v>11-62638</v>
      </c>
      <c r="G102" s="391" t="s">
        <v>708</v>
      </c>
      <c r="H102" s="331">
        <v>11148.51</v>
      </c>
      <c r="I102" s="331">
        <v>10250.59</v>
      </c>
      <c r="J102" s="331">
        <v>10554.67</v>
      </c>
      <c r="K102" s="331">
        <v>12549.92</v>
      </c>
      <c r="L102" s="491" t="s">
        <v>29</v>
      </c>
      <c r="M102" s="491" t="s">
        <v>29</v>
      </c>
      <c r="N102" s="491" t="s">
        <v>29</v>
      </c>
      <c r="O102" s="491" t="s">
        <v>29</v>
      </c>
      <c r="P102" s="491">
        <v>0</v>
      </c>
      <c r="Q102" s="491">
        <v>0</v>
      </c>
      <c r="R102" s="491">
        <v>0</v>
      </c>
      <c r="S102" s="491">
        <v>0</v>
      </c>
      <c r="T102" s="1025" t="b">
        <v>0</v>
      </c>
      <c r="U102" s="491">
        <v>0.67</v>
      </c>
      <c r="V102" s="491">
        <v>0</v>
      </c>
      <c r="W102" s="491">
        <v>0</v>
      </c>
      <c r="X102" s="491">
        <v>0</v>
      </c>
      <c r="Y102" s="1025" t="b">
        <v>0</v>
      </c>
      <c r="Z102" s="331">
        <v>0</v>
      </c>
      <c r="AA102" s="331">
        <v>0</v>
      </c>
      <c r="AB102" s="331">
        <v>0</v>
      </c>
      <c r="AC102" s="331">
        <v>0</v>
      </c>
      <c r="AD102" s="1025" t="b">
        <v>0</v>
      </c>
      <c r="AE102" s="331">
        <v>0</v>
      </c>
      <c r="AF102" s="331">
        <v>0</v>
      </c>
      <c r="AG102" s="331">
        <v>0</v>
      </c>
      <c r="AH102" s="331">
        <v>0</v>
      </c>
      <c r="AI102" s="1025" t="b">
        <v>0</v>
      </c>
      <c r="AJ102" s="331">
        <v>0</v>
      </c>
      <c r="AK102" s="331">
        <v>0</v>
      </c>
      <c r="AL102" s="331">
        <v>0</v>
      </c>
      <c r="AM102" s="331">
        <v>0</v>
      </c>
      <c r="AN102" s="1025" t="b">
        <v>0</v>
      </c>
      <c r="AO102" s="331">
        <v>0</v>
      </c>
      <c r="AP102" s="331">
        <v>0</v>
      </c>
      <c r="AQ102" s="331">
        <v>0</v>
      </c>
      <c r="AR102" s="331">
        <v>0</v>
      </c>
      <c r="AS102" s="1025" t="b">
        <v>0</v>
      </c>
      <c r="AT102" s="1025" t="b">
        <v>0</v>
      </c>
      <c r="AU102" s="331">
        <v>7470</v>
      </c>
      <c r="AV102" s="491" t="s">
        <v>29</v>
      </c>
    </row>
    <row r="103" spans="1:48">
      <c r="A103" s="72">
        <v>11</v>
      </c>
      <c r="B103" s="391" t="s">
        <v>47</v>
      </c>
      <c r="C103" s="72">
        <f t="shared" si="3"/>
        <v>4</v>
      </c>
      <c r="D103" s="72" t="str">
        <f t="shared" si="4"/>
        <v>11-4</v>
      </c>
      <c r="E103" s="72">
        <v>62646</v>
      </c>
      <c r="F103" s="72" t="str">
        <f t="shared" si="5"/>
        <v>11-62646</v>
      </c>
      <c r="G103" s="391" t="s">
        <v>709</v>
      </c>
      <c r="H103" s="331">
        <v>12443.99</v>
      </c>
      <c r="I103" s="331">
        <v>11441.73</v>
      </c>
      <c r="J103" s="331">
        <v>11781.15</v>
      </c>
      <c r="K103" s="331">
        <v>14008.25</v>
      </c>
      <c r="L103" s="491" t="s">
        <v>29</v>
      </c>
      <c r="M103" s="491" t="s">
        <v>29</v>
      </c>
      <c r="N103" s="491" t="s">
        <v>29</v>
      </c>
      <c r="O103" s="491" t="s">
        <v>29</v>
      </c>
      <c r="P103" s="491">
        <v>0</v>
      </c>
      <c r="Q103" s="491">
        <v>0</v>
      </c>
      <c r="R103" s="491">
        <v>0</v>
      </c>
      <c r="S103" s="491">
        <v>0</v>
      </c>
      <c r="T103" s="1025" t="b">
        <v>0</v>
      </c>
      <c r="U103" s="491">
        <v>0</v>
      </c>
      <c r="V103" s="491">
        <v>0</v>
      </c>
      <c r="W103" s="491">
        <v>0</v>
      </c>
      <c r="X103" s="491">
        <v>0.87</v>
      </c>
      <c r="Y103" s="1025" t="b">
        <v>0</v>
      </c>
      <c r="Z103" s="331">
        <v>0</v>
      </c>
      <c r="AA103" s="331">
        <v>0</v>
      </c>
      <c r="AB103" s="331">
        <v>0</v>
      </c>
      <c r="AC103" s="331">
        <v>0</v>
      </c>
      <c r="AD103" s="1025" t="b">
        <v>0</v>
      </c>
      <c r="AE103" s="331">
        <v>0</v>
      </c>
      <c r="AF103" s="331">
        <v>0</v>
      </c>
      <c r="AG103" s="331">
        <v>0</v>
      </c>
      <c r="AH103" s="331">
        <v>0</v>
      </c>
      <c r="AI103" s="1025" t="b">
        <v>0</v>
      </c>
      <c r="AJ103" s="331">
        <v>0</v>
      </c>
      <c r="AK103" s="331">
        <v>0</v>
      </c>
      <c r="AL103" s="331">
        <v>0</v>
      </c>
      <c r="AM103" s="331">
        <v>0</v>
      </c>
      <c r="AN103" s="1025" t="b">
        <v>0</v>
      </c>
      <c r="AO103" s="331">
        <v>0</v>
      </c>
      <c r="AP103" s="331">
        <v>0</v>
      </c>
      <c r="AQ103" s="331">
        <v>0</v>
      </c>
      <c r="AR103" s="331">
        <v>0</v>
      </c>
      <c r="AS103" s="1025" t="b">
        <v>0</v>
      </c>
      <c r="AT103" s="1025" t="b">
        <v>0</v>
      </c>
      <c r="AU103" s="331">
        <v>12187</v>
      </c>
      <c r="AV103" s="491" t="s">
        <v>29</v>
      </c>
    </row>
    <row r="104" spans="1:48">
      <c r="A104" s="72">
        <v>11</v>
      </c>
      <c r="B104" s="391" t="s">
        <v>47</v>
      </c>
      <c r="C104" s="72">
        <f t="shared" si="3"/>
        <v>5</v>
      </c>
      <c r="D104" s="72" t="str">
        <f t="shared" si="4"/>
        <v>11-5</v>
      </c>
      <c r="E104" s="72">
        <v>62661</v>
      </c>
      <c r="F104" s="72" t="str">
        <f t="shared" si="5"/>
        <v>11-62661</v>
      </c>
      <c r="G104" s="391" t="s">
        <v>710</v>
      </c>
      <c r="H104" s="491">
        <v>13503.65</v>
      </c>
      <c r="I104" s="491">
        <v>12416.05</v>
      </c>
      <c r="J104" s="491">
        <v>12784.37</v>
      </c>
      <c r="K104" s="491">
        <v>15201.12</v>
      </c>
      <c r="L104" s="491" t="s">
        <v>29</v>
      </c>
      <c r="M104" s="491" t="s">
        <v>29</v>
      </c>
      <c r="N104" s="491" t="s">
        <v>29</v>
      </c>
      <c r="O104" s="491" t="s">
        <v>29</v>
      </c>
      <c r="P104" s="491">
        <v>0</v>
      </c>
      <c r="Q104" s="491">
        <v>0</v>
      </c>
      <c r="R104" s="491">
        <v>0</v>
      </c>
      <c r="S104" s="491">
        <v>0</v>
      </c>
      <c r="T104" s="1025" t="b">
        <v>0</v>
      </c>
      <c r="U104" s="491">
        <v>3.1</v>
      </c>
      <c r="V104" s="491">
        <v>6.17</v>
      </c>
      <c r="W104" s="491">
        <v>1.37</v>
      </c>
      <c r="X104" s="491">
        <v>11.13</v>
      </c>
      <c r="Y104" s="1025" t="b">
        <v>0</v>
      </c>
      <c r="Z104" s="491">
        <v>0</v>
      </c>
      <c r="AA104" s="491">
        <v>0</v>
      </c>
      <c r="AB104" s="491">
        <v>0</v>
      </c>
      <c r="AC104" s="491">
        <v>0</v>
      </c>
      <c r="AD104" s="1025" t="b">
        <v>0</v>
      </c>
      <c r="AE104" s="491">
        <v>0.26</v>
      </c>
      <c r="AF104" s="491">
        <v>0.49</v>
      </c>
      <c r="AG104" s="491">
        <v>0.08</v>
      </c>
      <c r="AH104" s="491">
        <v>0.21</v>
      </c>
      <c r="AI104" s="1025" t="b">
        <v>0</v>
      </c>
      <c r="AJ104" s="491">
        <v>0</v>
      </c>
      <c r="AK104" s="491">
        <v>0</v>
      </c>
      <c r="AL104" s="491">
        <v>0</v>
      </c>
      <c r="AM104" s="491">
        <v>0</v>
      </c>
      <c r="AN104" s="1025" t="b">
        <v>0</v>
      </c>
      <c r="AO104" s="491">
        <v>0</v>
      </c>
      <c r="AP104" s="491">
        <v>0</v>
      </c>
      <c r="AQ104" s="491">
        <v>0</v>
      </c>
      <c r="AR104" s="491">
        <v>0</v>
      </c>
      <c r="AS104" s="1025" t="b">
        <v>0</v>
      </c>
      <c r="AT104" s="1025" t="b">
        <v>0</v>
      </c>
      <c r="AU104" s="491">
        <v>318981</v>
      </c>
      <c r="AV104" s="491" t="s">
        <v>29</v>
      </c>
    </row>
    <row r="105" spans="1:48">
      <c r="A105" s="72">
        <v>11</v>
      </c>
      <c r="B105" s="391" t="s">
        <v>47</v>
      </c>
      <c r="C105" s="72">
        <f t="shared" si="3"/>
        <v>6</v>
      </c>
      <c r="D105" s="72" t="str">
        <f t="shared" si="4"/>
        <v>11-6</v>
      </c>
      <c r="E105" s="72">
        <v>75481</v>
      </c>
      <c r="F105" s="72" t="str">
        <f t="shared" si="5"/>
        <v>11-75481</v>
      </c>
      <c r="G105" s="391" t="s">
        <v>648</v>
      </c>
      <c r="H105" s="331">
        <v>13635.25</v>
      </c>
      <c r="I105" s="331">
        <v>12537.05</v>
      </c>
      <c r="J105" s="331">
        <v>12908.95</v>
      </c>
      <c r="K105" s="331">
        <v>15349.26</v>
      </c>
      <c r="L105" s="491" t="s">
        <v>29</v>
      </c>
      <c r="M105" s="491" t="s">
        <v>29</v>
      </c>
      <c r="N105" s="491" t="s">
        <v>29</v>
      </c>
      <c r="O105" s="491" t="s">
        <v>29</v>
      </c>
      <c r="P105" s="491">
        <v>0</v>
      </c>
      <c r="Q105" s="491">
        <v>0</v>
      </c>
      <c r="R105" s="491">
        <v>0</v>
      </c>
      <c r="S105" s="491">
        <v>0</v>
      </c>
      <c r="T105" s="1025" t="b">
        <v>0</v>
      </c>
      <c r="U105" s="491">
        <v>7.74</v>
      </c>
      <c r="V105" s="491">
        <v>6</v>
      </c>
      <c r="W105" s="491">
        <v>2.84</v>
      </c>
      <c r="X105" s="491">
        <v>12.22</v>
      </c>
      <c r="Y105" s="1025" t="b">
        <v>0</v>
      </c>
      <c r="Z105" s="331">
        <v>0</v>
      </c>
      <c r="AA105" s="331">
        <v>0</v>
      </c>
      <c r="AB105" s="331">
        <v>0</v>
      </c>
      <c r="AC105" s="331">
        <v>0</v>
      </c>
      <c r="AD105" s="1025" t="b">
        <v>0</v>
      </c>
      <c r="AE105" s="331">
        <v>0.39</v>
      </c>
      <c r="AF105" s="331">
        <v>0.23</v>
      </c>
      <c r="AG105" s="331">
        <v>0.11</v>
      </c>
      <c r="AH105" s="331">
        <v>0.93</v>
      </c>
      <c r="AI105" s="1025" t="b">
        <v>0</v>
      </c>
      <c r="AJ105" s="331">
        <v>0</v>
      </c>
      <c r="AK105" s="331">
        <v>0</v>
      </c>
      <c r="AL105" s="331">
        <v>0</v>
      </c>
      <c r="AM105" s="331">
        <v>0</v>
      </c>
      <c r="AN105" s="1025" t="b">
        <v>0</v>
      </c>
      <c r="AO105" s="331">
        <v>0</v>
      </c>
      <c r="AP105" s="331">
        <v>0</v>
      </c>
      <c r="AQ105" s="331">
        <v>0</v>
      </c>
      <c r="AR105" s="331">
        <v>0</v>
      </c>
      <c r="AS105" s="1025" t="b">
        <v>0</v>
      </c>
      <c r="AT105" s="1025" t="b">
        <v>0</v>
      </c>
      <c r="AU105" s="331">
        <v>428885</v>
      </c>
      <c r="AV105" s="491" t="s">
        <v>29</v>
      </c>
    </row>
    <row r="106" spans="1:48">
      <c r="A106" s="72">
        <v>11</v>
      </c>
      <c r="B106" s="391" t="s">
        <v>47</v>
      </c>
      <c r="C106" s="72">
        <f t="shared" si="3"/>
        <v>7</v>
      </c>
      <c r="D106" s="72" t="str">
        <f t="shared" si="4"/>
        <v>11-7</v>
      </c>
      <c r="E106" s="72">
        <v>76562</v>
      </c>
      <c r="F106" s="72" t="str">
        <f t="shared" si="5"/>
        <v>11-76562</v>
      </c>
      <c r="G106" s="391" t="s">
        <v>711</v>
      </c>
      <c r="H106" s="491">
        <v>13475.27</v>
      </c>
      <c r="I106" s="491">
        <v>12389.95</v>
      </c>
      <c r="J106" s="491">
        <v>12757.49</v>
      </c>
      <c r="K106" s="491">
        <v>15169.17</v>
      </c>
      <c r="L106" s="491" t="s">
        <v>29</v>
      </c>
      <c r="M106" s="491" t="s">
        <v>29</v>
      </c>
      <c r="N106" s="491" t="s">
        <v>29</v>
      </c>
      <c r="O106" s="491" t="s">
        <v>29</v>
      </c>
      <c r="P106" s="491">
        <v>0</v>
      </c>
      <c r="Q106" s="491">
        <v>0</v>
      </c>
      <c r="R106" s="491">
        <v>0</v>
      </c>
      <c r="S106" s="491">
        <v>0</v>
      </c>
      <c r="T106" s="1025" t="b">
        <v>0</v>
      </c>
      <c r="U106" s="491">
        <v>3.11</v>
      </c>
      <c r="V106" s="491">
        <v>0.71</v>
      </c>
      <c r="W106" s="491">
        <v>3.21</v>
      </c>
      <c r="X106" s="491">
        <v>1.41</v>
      </c>
      <c r="Y106" s="1025" t="b">
        <v>0</v>
      </c>
      <c r="Z106" s="491">
        <v>0</v>
      </c>
      <c r="AA106" s="491">
        <v>0</v>
      </c>
      <c r="AB106" s="491">
        <v>0</v>
      </c>
      <c r="AC106" s="491">
        <v>0</v>
      </c>
      <c r="AD106" s="1025" t="b">
        <v>0</v>
      </c>
      <c r="AE106" s="491">
        <v>0.06</v>
      </c>
      <c r="AF106" s="491">
        <v>0.06</v>
      </c>
      <c r="AG106" s="491">
        <v>0.09</v>
      </c>
      <c r="AH106" s="491">
        <v>0</v>
      </c>
      <c r="AI106" s="1025" t="b">
        <v>0</v>
      </c>
      <c r="AJ106" s="491">
        <v>0</v>
      </c>
      <c r="AK106" s="491">
        <v>0</v>
      </c>
      <c r="AL106" s="491">
        <v>0</v>
      </c>
      <c r="AM106" s="491">
        <v>0</v>
      </c>
      <c r="AN106" s="1025" t="b">
        <v>0</v>
      </c>
      <c r="AO106" s="491">
        <v>0</v>
      </c>
      <c r="AP106" s="491">
        <v>0</v>
      </c>
      <c r="AQ106" s="491">
        <v>0</v>
      </c>
      <c r="AR106" s="491">
        <v>0</v>
      </c>
      <c r="AS106" s="1025" t="b">
        <v>0</v>
      </c>
      <c r="AT106" s="1025" t="b">
        <v>0</v>
      </c>
      <c r="AU106" s="491">
        <v>115746</v>
      </c>
      <c r="AV106" s="491" t="s">
        <v>29</v>
      </c>
    </row>
    <row r="107" spans="1:48">
      <c r="A107" s="72">
        <v>11</v>
      </c>
      <c r="B107" s="391" t="s">
        <v>47</v>
      </c>
      <c r="C107" s="72">
        <f t="shared" si="3"/>
        <v>0</v>
      </c>
      <c r="D107" s="72" t="str">
        <f t="shared" si="4"/>
        <v>11-0</v>
      </c>
      <c r="E107" s="72" t="s">
        <v>29</v>
      </c>
      <c r="F107" s="72" t="str">
        <f t="shared" si="5"/>
        <v>11-N/A</v>
      </c>
      <c r="G107" s="391" t="s">
        <v>29</v>
      </c>
      <c r="H107" s="491" t="s">
        <v>29</v>
      </c>
      <c r="I107" s="491" t="s">
        <v>29</v>
      </c>
      <c r="J107" s="491" t="s">
        <v>29</v>
      </c>
      <c r="K107" s="491" t="s">
        <v>29</v>
      </c>
      <c r="L107" s="491" t="s">
        <v>29</v>
      </c>
      <c r="M107" s="491" t="s">
        <v>29</v>
      </c>
      <c r="N107" s="491" t="s">
        <v>29</v>
      </c>
      <c r="O107" s="491" t="s">
        <v>29</v>
      </c>
      <c r="P107" s="491" t="s">
        <v>29</v>
      </c>
      <c r="Q107" s="491" t="s">
        <v>29</v>
      </c>
      <c r="R107" s="491" t="s">
        <v>29</v>
      </c>
      <c r="S107" s="491" t="s">
        <v>29</v>
      </c>
      <c r="T107" s="1025" t="s">
        <v>29</v>
      </c>
      <c r="U107" s="491" t="s">
        <v>29</v>
      </c>
      <c r="V107" s="491" t="s">
        <v>29</v>
      </c>
      <c r="W107" s="491" t="s">
        <v>29</v>
      </c>
      <c r="X107" s="491" t="s">
        <v>29</v>
      </c>
      <c r="Y107" s="1025" t="s">
        <v>29</v>
      </c>
      <c r="Z107" s="491" t="s">
        <v>29</v>
      </c>
      <c r="AA107" s="491" t="s">
        <v>29</v>
      </c>
      <c r="AB107" s="491" t="s">
        <v>29</v>
      </c>
      <c r="AC107" s="491" t="s">
        <v>29</v>
      </c>
      <c r="AD107" s="1025" t="s">
        <v>29</v>
      </c>
      <c r="AE107" s="491" t="s">
        <v>29</v>
      </c>
      <c r="AF107" s="491" t="s">
        <v>29</v>
      </c>
      <c r="AG107" s="491" t="s">
        <v>29</v>
      </c>
      <c r="AH107" s="491" t="s">
        <v>29</v>
      </c>
      <c r="AI107" s="1025" t="s">
        <v>29</v>
      </c>
      <c r="AJ107" s="491" t="s">
        <v>29</v>
      </c>
      <c r="AK107" s="491" t="s">
        <v>29</v>
      </c>
      <c r="AL107" s="491" t="s">
        <v>29</v>
      </c>
      <c r="AM107" s="491" t="s">
        <v>29</v>
      </c>
      <c r="AN107" s="1025" t="s">
        <v>29</v>
      </c>
      <c r="AO107" s="491" t="s">
        <v>29</v>
      </c>
      <c r="AP107" s="491" t="s">
        <v>29</v>
      </c>
      <c r="AQ107" s="491" t="s">
        <v>29</v>
      </c>
      <c r="AR107" s="491" t="s">
        <v>29</v>
      </c>
      <c r="AS107" s="1025" t="s">
        <v>29</v>
      </c>
      <c r="AT107" s="1025" t="s">
        <v>29</v>
      </c>
      <c r="AU107" s="491" t="s">
        <v>29</v>
      </c>
      <c r="AV107" s="491">
        <v>899984</v>
      </c>
    </row>
    <row r="108" spans="1:48">
      <c r="A108" s="72">
        <v>12</v>
      </c>
      <c r="B108" s="391" t="s">
        <v>57</v>
      </c>
      <c r="C108" s="72">
        <f t="shared" si="3"/>
        <v>1</v>
      </c>
      <c r="D108" s="72" t="str">
        <f t="shared" si="4"/>
        <v>12-1</v>
      </c>
      <c r="E108" s="72">
        <v>62679</v>
      </c>
      <c r="F108" s="72" t="str">
        <f t="shared" si="5"/>
        <v>12-62679</v>
      </c>
      <c r="G108" s="391" t="s">
        <v>712</v>
      </c>
      <c r="H108" s="331">
        <v>12386.36</v>
      </c>
      <c r="I108" s="331">
        <v>11388.75</v>
      </c>
      <c r="J108" s="331">
        <v>11726.59</v>
      </c>
      <c r="K108" s="331">
        <v>13943.38</v>
      </c>
      <c r="L108" s="1072">
        <v>0</v>
      </c>
      <c r="M108" s="1072">
        <v>0</v>
      </c>
      <c r="N108" s="1072">
        <v>0</v>
      </c>
      <c r="O108" s="1072">
        <v>0</v>
      </c>
      <c r="P108" s="491">
        <v>0</v>
      </c>
      <c r="Q108" s="491">
        <v>0</v>
      </c>
      <c r="R108" s="491">
        <v>0</v>
      </c>
      <c r="S108" s="491">
        <v>0</v>
      </c>
      <c r="T108" s="1025" t="b">
        <v>0</v>
      </c>
      <c r="U108" s="491">
        <v>2.1800000000000002</v>
      </c>
      <c r="V108" s="491">
        <v>0</v>
      </c>
      <c r="W108" s="491">
        <v>1.79</v>
      </c>
      <c r="X108" s="491">
        <v>0</v>
      </c>
      <c r="Y108" s="1025" t="b">
        <v>1</v>
      </c>
      <c r="Z108" s="331">
        <v>0</v>
      </c>
      <c r="AA108" s="331">
        <v>0</v>
      </c>
      <c r="AB108" s="331">
        <v>0</v>
      </c>
      <c r="AC108" s="331">
        <v>0</v>
      </c>
      <c r="AD108" s="1025" t="b">
        <v>0</v>
      </c>
      <c r="AE108" s="331">
        <v>1.79</v>
      </c>
      <c r="AF108" s="331">
        <v>0.16</v>
      </c>
      <c r="AG108" s="331">
        <v>0</v>
      </c>
      <c r="AH108" s="331">
        <v>0</v>
      </c>
      <c r="AI108" s="1025" t="b">
        <v>1</v>
      </c>
      <c r="AJ108" s="331">
        <v>0</v>
      </c>
      <c r="AK108" s="331">
        <v>0</v>
      </c>
      <c r="AL108" s="331">
        <v>0</v>
      </c>
      <c r="AM108" s="331">
        <v>0</v>
      </c>
      <c r="AN108" s="1025" t="b">
        <v>0</v>
      </c>
      <c r="AO108" s="331">
        <v>0</v>
      </c>
      <c r="AP108" s="331">
        <v>0</v>
      </c>
      <c r="AQ108" s="331">
        <v>0</v>
      </c>
      <c r="AR108" s="331">
        <v>0</v>
      </c>
      <c r="AS108" s="1025" t="b">
        <v>0</v>
      </c>
      <c r="AT108" s="1025" t="b">
        <v>1</v>
      </c>
      <c r="AU108" s="331">
        <v>0</v>
      </c>
      <c r="AV108" s="491" t="s">
        <v>29</v>
      </c>
    </row>
    <row r="109" spans="1:48">
      <c r="A109" s="72">
        <v>12</v>
      </c>
      <c r="B109" s="391" t="s">
        <v>57</v>
      </c>
      <c r="C109" s="72">
        <f t="shared" si="3"/>
        <v>2</v>
      </c>
      <c r="D109" s="72" t="str">
        <f t="shared" si="4"/>
        <v>12-2</v>
      </c>
      <c r="E109" s="72">
        <v>62687</v>
      </c>
      <c r="F109" s="72" t="str">
        <f t="shared" si="5"/>
        <v>12-62687</v>
      </c>
      <c r="G109" s="391" t="s">
        <v>713</v>
      </c>
      <c r="H109" s="331">
        <v>10998.14</v>
      </c>
      <c r="I109" s="331">
        <v>10112.33</v>
      </c>
      <c r="J109" s="331">
        <v>10412.31</v>
      </c>
      <c r="K109" s="331">
        <v>12380.65</v>
      </c>
      <c r="L109" s="1072">
        <v>0</v>
      </c>
      <c r="M109" s="1072">
        <v>0</v>
      </c>
      <c r="N109" s="1072">
        <v>0</v>
      </c>
      <c r="O109" s="1072">
        <v>0</v>
      </c>
      <c r="P109" s="491">
        <v>0</v>
      </c>
      <c r="Q109" s="491">
        <v>0</v>
      </c>
      <c r="R109" s="491">
        <v>0</v>
      </c>
      <c r="S109" s="491">
        <v>0</v>
      </c>
      <c r="T109" s="1025" t="b">
        <v>0</v>
      </c>
      <c r="U109" s="491">
        <v>0</v>
      </c>
      <c r="V109" s="491">
        <v>0</v>
      </c>
      <c r="W109" s="491">
        <v>0</v>
      </c>
      <c r="X109" s="491">
        <v>1.77</v>
      </c>
      <c r="Y109" s="1025" t="b">
        <v>1</v>
      </c>
      <c r="Z109" s="331">
        <v>0</v>
      </c>
      <c r="AA109" s="331">
        <v>0</v>
      </c>
      <c r="AB109" s="331">
        <v>0</v>
      </c>
      <c r="AC109" s="331">
        <v>0</v>
      </c>
      <c r="AD109" s="1025" t="b">
        <v>0</v>
      </c>
      <c r="AE109" s="331">
        <v>0</v>
      </c>
      <c r="AF109" s="331">
        <v>0</v>
      </c>
      <c r="AG109" s="331">
        <v>0</v>
      </c>
      <c r="AH109" s="331">
        <v>0.06</v>
      </c>
      <c r="AI109" s="1025" t="b">
        <v>1</v>
      </c>
      <c r="AJ109" s="331">
        <v>0</v>
      </c>
      <c r="AK109" s="331">
        <v>0</v>
      </c>
      <c r="AL109" s="331">
        <v>0</v>
      </c>
      <c r="AM109" s="331">
        <v>0</v>
      </c>
      <c r="AN109" s="1025" t="b">
        <v>0</v>
      </c>
      <c r="AO109" s="331">
        <v>0</v>
      </c>
      <c r="AP109" s="331">
        <v>0</v>
      </c>
      <c r="AQ109" s="331">
        <v>0</v>
      </c>
      <c r="AR109" s="331">
        <v>0</v>
      </c>
      <c r="AS109" s="1025" t="b">
        <v>0</v>
      </c>
      <c r="AT109" s="1025" t="b">
        <v>1</v>
      </c>
      <c r="AU109" s="331">
        <v>0</v>
      </c>
      <c r="AV109" s="491" t="s">
        <v>29</v>
      </c>
    </row>
    <row r="110" spans="1:48">
      <c r="A110" s="72">
        <v>12</v>
      </c>
      <c r="B110" s="391" t="s">
        <v>57</v>
      </c>
      <c r="C110" s="72">
        <f t="shared" si="3"/>
        <v>3</v>
      </c>
      <c r="D110" s="72" t="str">
        <f t="shared" si="4"/>
        <v>12-3</v>
      </c>
      <c r="E110" s="72">
        <v>62745</v>
      </c>
      <c r="F110" s="72" t="str">
        <f t="shared" si="5"/>
        <v>12-62745</v>
      </c>
      <c r="G110" s="391" t="s">
        <v>714</v>
      </c>
      <c r="H110" s="331">
        <v>11017.77</v>
      </c>
      <c r="I110" s="331">
        <v>10130.379999999999</v>
      </c>
      <c r="J110" s="331">
        <v>10430.9</v>
      </c>
      <c r="K110" s="331">
        <v>12402.75</v>
      </c>
      <c r="L110" s="1072">
        <v>0</v>
      </c>
      <c r="M110" s="1072">
        <v>0</v>
      </c>
      <c r="N110" s="1072">
        <v>0</v>
      </c>
      <c r="O110" s="1072">
        <v>0</v>
      </c>
      <c r="P110" s="491">
        <v>0</v>
      </c>
      <c r="Q110" s="491">
        <v>0</v>
      </c>
      <c r="R110" s="491">
        <v>0</v>
      </c>
      <c r="S110" s="491">
        <v>0</v>
      </c>
      <c r="T110" s="1025" t="b">
        <v>0</v>
      </c>
      <c r="U110" s="491">
        <v>0.99</v>
      </c>
      <c r="V110" s="491">
        <v>1.04</v>
      </c>
      <c r="W110" s="491">
        <v>0</v>
      </c>
      <c r="X110" s="491">
        <v>0</v>
      </c>
      <c r="Y110" s="1025" t="b">
        <v>1</v>
      </c>
      <c r="Z110" s="331">
        <v>0</v>
      </c>
      <c r="AA110" s="331">
        <v>0</v>
      </c>
      <c r="AB110" s="331">
        <v>0</v>
      </c>
      <c r="AC110" s="331">
        <v>0</v>
      </c>
      <c r="AD110" s="1025" t="b">
        <v>0</v>
      </c>
      <c r="AE110" s="331">
        <v>0</v>
      </c>
      <c r="AF110" s="331">
        <v>0.53</v>
      </c>
      <c r="AG110" s="331">
        <v>0</v>
      </c>
      <c r="AH110" s="331">
        <v>0</v>
      </c>
      <c r="AI110" s="1025" t="b">
        <v>1</v>
      </c>
      <c r="AJ110" s="331">
        <v>0</v>
      </c>
      <c r="AK110" s="331">
        <v>0</v>
      </c>
      <c r="AL110" s="331">
        <v>0</v>
      </c>
      <c r="AM110" s="331">
        <v>0</v>
      </c>
      <c r="AN110" s="1025" t="b">
        <v>0</v>
      </c>
      <c r="AO110" s="331">
        <v>0</v>
      </c>
      <c r="AP110" s="331">
        <v>0</v>
      </c>
      <c r="AQ110" s="331">
        <v>0</v>
      </c>
      <c r="AR110" s="331">
        <v>0</v>
      </c>
      <c r="AS110" s="1025" t="b">
        <v>0</v>
      </c>
      <c r="AT110" s="1025" t="b">
        <v>1</v>
      </c>
      <c r="AU110" s="331">
        <v>0</v>
      </c>
      <c r="AV110" s="491" t="s">
        <v>29</v>
      </c>
    </row>
    <row r="111" spans="1:48">
      <c r="A111" s="72">
        <v>12</v>
      </c>
      <c r="B111" s="391" t="s">
        <v>57</v>
      </c>
      <c r="C111" s="72">
        <f t="shared" si="3"/>
        <v>4</v>
      </c>
      <c r="D111" s="72" t="str">
        <f t="shared" si="4"/>
        <v>12-4</v>
      </c>
      <c r="E111" s="72">
        <v>62810</v>
      </c>
      <c r="F111" s="72" t="str">
        <f t="shared" si="5"/>
        <v>12-62810</v>
      </c>
      <c r="G111" s="391" t="s">
        <v>715</v>
      </c>
      <c r="H111" s="331">
        <v>11166.92</v>
      </c>
      <c r="I111" s="331">
        <v>10267.52</v>
      </c>
      <c r="J111" s="331">
        <v>10572.1</v>
      </c>
      <c r="K111" s="331">
        <v>12570.65</v>
      </c>
      <c r="L111" s="1072">
        <v>0</v>
      </c>
      <c r="M111" s="1072">
        <v>0</v>
      </c>
      <c r="N111" s="1072">
        <v>0</v>
      </c>
      <c r="O111" s="1072">
        <v>0</v>
      </c>
      <c r="P111" s="491">
        <v>0</v>
      </c>
      <c r="Q111" s="491">
        <v>0</v>
      </c>
      <c r="R111" s="491">
        <v>0</v>
      </c>
      <c r="S111" s="491">
        <v>12.65</v>
      </c>
      <c r="T111" s="1025" t="b">
        <v>0</v>
      </c>
      <c r="U111" s="491">
        <v>0</v>
      </c>
      <c r="V111" s="491">
        <v>0</v>
      </c>
      <c r="W111" s="491">
        <v>0</v>
      </c>
      <c r="X111" s="491">
        <v>21.2</v>
      </c>
      <c r="Y111" s="1025" t="b">
        <v>1</v>
      </c>
      <c r="Z111" s="331">
        <v>0</v>
      </c>
      <c r="AA111" s="331">
        <v>0</v>
      </c>
      <c r="AB111" s="331">
        <v>0</v>
      </c>
      <c r="AC111" s="331">
        <v>0</v>
      </c>
      <c r="AD111" s="1025" t="b">
        <v>0</v>
      </c>
      <c r="AE111" s="331">
        <v>0</v>
      </c>
      <c r="AF111" s="331">
        <v>0</v>
      </c>
      <c r="AG111" s="331">
        <v>0</v>
      </c>
      <c r="AH111" s="331">
        <v>0.96</v>
      </c>
      <c r="AI111" s="1025" t="b">
        <v>1</v>
      </c>
      <c r="AJ111" s="331">
        <v>0</v>
      </c>
      <c r="AK111" s="331">
        <v>0</v>
      </c>
      <c r="AL111" s="331">
        <v>0</v>
      </c>
      <c r="AM111" s="331">
        <v>0</v>
      </c>
      <c r="AN111" s="1025" t="b">
        <v>0</v>
      </c>
      <c r="AO111" s="331">
        <v>0</v>
      </c>
      <c r="AP111" s="331">
        <v>0</v>
      </c>
      <c r="AQ111" s="331">
        <v>0</v>
      </c>
      <c r="AR111" s="331">
        <v>0</v>
      </c>
      <c r="AS111" s="1025" t="b">
        <v>0</v>
      </c>
      <c r="AT111" s="1025" t="b">
        <v>1</v>
      </c>
      <c r="AU111" s="331">
        <v>159019</v>
      </c>
      <c r="AV111" s="491" t="s">
        <v>29</v>
      </c>
    </row>
    <row r="112" spans="1:48">
      <c r="A112" s="72">
        <v>12</v>
      </c>
      <c r="B112" s="391" t="s">
        <v>57</v>
      </c>
      <c r="C112" s="72">
        <f t="shared" si="3"/>
        <v>5</v>
      </c>
      <c r="D112" s="72" t="str">
        <f t="shared" si="4"/>
        <v>12-5</v>
      </c>
      <c r="E112" s="72">
        <v>62885</v>
      </c>
      <c r="F112" s="72" t="str">
        <f t="shared" si="5"/>
        <v>12-62885</v>
      </c>
      <c r="G112" s="391" t="s">
        <v>716</v>
      </c>
      <c r="H112" s="331">
        <v>10913.14</v>
      </c>
      <c r="I112" s="331">
        <v>10034.18</v>
      </c>
      <c r="J112" s="331">
        <v>10331.84</v>
      </c>
      <c r="K112" s="331">
        <v>12284.97</v>
      </c>
      <c r="L112" s="1072">
        <v>0</v>
      </c>
      <c r="M112" s="1072">
        <v>0</v>
      </c>
      <c r="N112" s="1072">
        <v>0</v>
      </c>
      <c r="O112" s="1072">
        <v>0</v>
      </c>
      <c r="P112" s="491">
        <v>0</v>
      </c>
      <c r="Q112" s="491">
        <v>0</v>
      </c>
      <c r="R112" s="491">
        <v>0.53</v>
      </c>
      <c r="S112" s="491">
        <v>0</v>
      </c>
      <c r="T112" s="1025" t="b">
        <v>0</v>
      </c>
      <c r="U112" s="491">
        <v>0</v>
      </c>
      <c r="V112" s="491">
        <v>0.88</v>
      </c>
      <c r="W112" s="491">
        <v>0.86</v>
      </c>
      <c r="X112" s="491">
        <v>0</v>
      </c>
      <c r="Y112" s="1025" t="b">
        <v>1</v>
      </c>
      <c r="Z112" s="331">
        <v>0</v>
      </c>
      <c r="AA112" s="331">
        <v>0</v>
      </c>
      <c r="AB112" s="331">
        <v>0</v>
      </c>
      <c r="AC112" s="331">
        <v>0</v>
      </c>
      <c r="AD112" s="1025" t="b">
        <v>0</v>
      </c>
      <c r="AE112" s="331">
        <v>0</v>
      </c>
      <c r="AF112" s="331">
        <v>0.22</v>
      </c>
      <c r="AG112" s="331">
        <v>0</v>
      </c>
      <c r="AH112" s="331">
        <v>0</v>
      </c>
      <c r="AI112" s="1025" t="b">
        <v>1</v>
      </c>
      <c r="AJ112" s="331">
        <v>0</v>
      </c>
      <c r="AK112" s="331">
        <v>0</v>
      </c>
      <c r="AL112" s="331">
        <v>0</v>
      </c>
      <c r="AM112" s="331">
        <v>0</v>
      </c>
      <c r="AN112" s="1025" t="b">
        <v>0</v>
      </c>
      <c r="AO112" s="331">
        <v>0</v>
      </c>
      <c r="AP112" s="331">
        <v>0</v>
      </c>
      <c r="AQ112" s="331">
        <v>0</v>
      </c>
      <c r="AR112" s="331">
        <v>0</v>
      </c>
      <c r="AS112" s="1025" t="b">
        <v>0</v>
      </c>
      <c r="AT112" s="1025" t="b">
        <v>1</v>
      </c>
      <c r="AU112" s="331">
        <v>5476</v>
      </c>
      <c r="AV112" s="491" t="s">
        <v>29</v>
      </c>
    </row>
    <row r="113" spans="1:48">
      <c r="A113" s="72">
        <v>12</v>
      </c>
      <c r="B113" s="391" t="s">
        <v>57</v>
      </c>
      <c r="C113" s="72">
        <f t="shared" si="3"/>
        <v>6</v>
      </c>
      <c r="D113" s="72" t="str">
        <f t="shared" si="4"/>
        <v>12-6</v>
      </c>
      <c r="E113" s="72">
        <v>62893</v>
      </c>
      <c r="F113" s="72" t="str">
        <f t="shared" si="5"/>
        <v>12-62893</v>
      </c>
      <c r="G113" s="391" t="s">
        <v>717</v>
      </c>
      <c r="H113" s="331">
        <v>10673.72</v>
      </c>
      <c r="I113" s="331">
        <v>9814.0499999999993</v>
      </c>
      <c r="J113" s="331">
        <v>10105.18</v>
      </c>
      <c r="K113" s="331">
        <v>12015.45</v>
      </c>
      <c r="L113" s="1072">
        <v>0</v>
      </c>
      <c r="M113" s="1072">
        <v>0</v>
      </c>
      <c r="N113" s="1072">
        <v>0</v>
      </c>
      <c r="O113" s="1072">
        <v>0</v>
      </c>
      <c r="P113" s="491">
        <v>0</v>
      </c>
      <c r="Q113" s="491">
        <v>0</v>
      </c>
      <c r="R113" s="491">
        <v>0</v>
      </c>
      <c r="S113" s="491">
        <v>0</v>
      </c>
      <c r="T113" s="1025" t="b">
        <v>0</v>
      </c>
      <c r="U113" s="491">
        <v>0</v>
      </c>
      <c r="V113" s="491">
        <v>0.54</v>
      </c>
      <c r="W113" s="491">
        <v>0</v>
      </c>
      <c r="X113" s="491">
        <v>0</v>
      </c>
      <c r="Y113" s="1025" t="b">
        <v>1</v>
      </c>
      <c r="Z113" s="331">
        <v>0</v>
      </c>
      <c r="AA113" s="331">
        <v>0</v>
      </c>
      <c r="AB113" s="331">
        <v>0</v>
      </c>
      <c r="AC113" s="331">
        <v>0</v>
      </c>
      <c r="AD113" s="1025" t="b">
        <v>0</v>
      </c>
      <c r="AE113" s="331">
        <v>0</v>
      </c>
      <c r="AF113" s="331">
        <v>0</v>
      </c>
      <c r="AG113" s="331">
        <v>0</v>
      </c>
      <c r="AH113" s="331">
        <v>0</v>
      </c>
      <c r="AI113" s="1025" t="b">
        <v>0</v>
      </c>
      <c r="AJ113" s="331">
        <v>0</v>
      </c>
      <c r="AK113" s="331">
        <v>0</v>
      </c>
      <c r="AL113" s="331">
        <v>0</v>
      </c>
      <c r="AM113" s="331">
        <v>0</v>
      </c>
      <c r="AN113" s="1025" t="b">
        <v>0</v>
      </c>
      <c r="AO113" s="331">
        <v>0</v>
      </c>
      <c r="AP113" s="331">
        <v>0</v>
      </c>
      <c r="AQ113" s="331">
        <v>0</v>
      </c>
      <c r="AR113" s="331">
        <v>0</v>
      </c>
      <c r="AS113" s="1025" t="b">
        <v>0</v>
      </c>
      <c r="AT113" s="1025" t="b">
        <v>1</v>
      </c>
      <c r="AU113" s="331">
        <v>0</v>
      </c>
      <c r="AV113" s="491" t="s">
        <v>29</v>
      </c>
    </row>
    <row r="114" spans="1:48">
      <c r="A114" s="72">
        <v>12</v>
      </c>
      <c r="B114" s="391" t="s">
        <v>57</v>
      </c>
      <c r="C114" s="72">
        <f t="shared" si="3"/>
        <v>7</v>
      </c>
      <c r="D114" s="72" t="str">
        <f t="shared" si="4"/>
        <v>12-7</v>
      </c>
      <c r="E114" s="72">
        <v>62901</v>
      </c>
      <c r="F114" s="72" t="str">
        <f t="shared" si="5"/>
        <v>12-62901</v>
      </c>
      <c r="G114" s="391" t="s">
        <v>718</v>
      </c>
      <c r="H114" s="331">
        <v>13166.49</v>
      </c>
      <c r="I114" s="331">
        <v>12106.04</v>
      </c>
      <c r="J114" s="331">
        <v>12465.16</v>
      </c>
      <c r="K114" s="331">
        <v>14821.57</v>
      </c>
      <c r="L114" s="1072">
        <v>0</v>
      </c>
      <c r="M114" s="1072">
        <v>0</v>
      </c>
      <c r="N114" s="1072">
        <v>0</v>
      </c>
      <c r="O114" s="1072">
        <v>0</v>
      </c>
      <c r="P114" s="491">
        <v>0</v>
      </c>
      <c r="Q114" s="491">
        <v>0</v>
      </c>
      <c r="R114" s="491">
        <v>0</v>
      </c>
      <c r="S114" s="491">
        <v>0.73</v>
      </c>
      <c r="T114" s="1025" t="b">
        <v>0</v>
      </c>
      <c r="U114" s="491">
        <v>0.68</v>
      </c>
      <c r="V114" s="491">
        <v>0</v>
      </c>
      <c r="W114" s="491">
        <v>0</v>
      </c>
      <c r="X114" s="491">
        <v>0</v>
      </c>
      <c r="Y114" s="1025" t="b">
        <v>1</v>
      </c>
      <c r="Z114" s="331">
        <v>0</v>
      </c>
      <c r="AA114" s="331">
        <v>0</v>
      </c>
      <c r="AB114" s="331">
        <v>0</v>
      </c>
      <c r="AC114" s="331">
        <v>0</v>
      </c>
      <c r="AD114" s="1025" t="b">
        <v>0</v>
      </c>
      <c r="AE114" s="331">
        <v>0.74</v>
      </c>
      <c r="AF114" s="331">
        <v>0</v>
      </c>
      <c r="AG114" s="331">
        <v>0</v>
      </c>
      <c r="AH114" s="331">
        <v>0</v>
      </c>
      <c r="AI114" s="1025" t="b">
        <v>1</v>
      </c>
      <c r="AJ114" s="331">
        <v>0</v>
      </c>
      <c r="AK114" s="331">
        <v>0</v>
      </c>
      <c r="AL114" s="331">
        <v>0</v>
      </c>
      <c r="AM114" s="331">
        <v>0</v>
      </c>
      <c r="AN114" s="1025" t="b">
        <v>0</v>
      </c>
      <c r="AO114" s="331">
        <v>0</v>
      </c>
      <c r="AP114" s="331">
        <v>0</v>
      </c>
      <c r="AQ114" s="331">
        <v>0</v>
      </c>
      <c r="AR114" s="331">
        <v>0</v>
      </c>
      <c r="AS114" s="1025" t="b">
        <v>0</v>
      </c>
      <c r="AT114" s="1025" t="b">
        <v>1</v>
      </c>
      <c r="AU114" s="331">
        <v>10820</v>
      </c>
      <c r="AV114" s="491" t="s">
        <v>29</v>
      </c>
    </row>
    <row r="115" spans="1:48">
      <c r="A115" s="72">
        <v>12</v>
      </c>
      <c r="B115" s="391" t="s">
        <v>57</v>
      </c>
      <c r="C115" s="72">
        <f t="shared" si="3"/>
        <v>8</v>
      </c>
      <c r="D115" s="72" t="str">
        <f t="shared" si="4"/>
        <v>12-8</v>
      </c>
      <c r="E115" s="72">
        <v>62927</v>
      </c>
      <c r="F115" s="72" t="str">
        <f t="shared" si="5"/>
        <v>12-62927</v>
      </c>
      <c r="G115" s="391" t="s">
        <v>719</v>
      </c>
      <c r="H115" s="331">
        <v>14516.01</v>
      </c>
      <c r="I115" s="331">
        <v>13346.87</v>
      </c>
      <c r="J115" s="331">
        <v>13742.8</v>
      </c>
      <c r="K115" s="331">
        <v>16340.73</v>
      </c>
      <c r="L115" s="1072">
        <v>0</v>
      </c>
      <c r="M115" s="1072">
        <v>0</v>
      </c>
      <c r="N115" s="1072">
        <v>0</v>
      </c>
      <c r="O115" s="1072">
        <v>0</v>
      </c>
      <c r="P115" s="491">
        <v>0</v>
      </c>
      <c r="Q115" s="491">
        <v>0</v>
      </c>
      <c r="R115" s="491">
        <v>0</v>
      </c>
      <c r="S115" s="491">
        <v>0</v>
      </c>
      <c r="T115" s="1025" t="b">
        <v>0</v>
      </c>
      <c r="U115" s="491">
        <v>0.97</v>
      </c>
      <c r="V115" s="491">
        <v>0.63</v>
      </c>
      <c r="W115" s="491">
        <v>0</v>
      </c>
      <c r="X115" s="491">
        <v>0</v>
      </c>
      <c r="Y115" s="1025" t="b">
        <v>1</v>
      </c>
      <c r="Z115" s="331">
        <v>0</v>
      </c>
      <c r="AA115" s="331">
        <v>0</v>
      </c>
      <c r="AB115" s="331">
        <v>0</v>
      </c>
      <c r="AC115" s="331">
        <v>0</v>
      </c>
      <c r="AD115" s="1025" t="b">
        <v>0</v>
      </c>
      <c r="AE115" s="331">
        <v>0.08</v>
      </c>
      <c r="AF115" s="331">
        <v>0</v>
      </c>
      <c r="AG115" s="331">
        <v>0</v>
      </c>
      <c r="AH115" s="331">
        <v>0</v>
      </c>
      <c r="AI115" s="1025" t="b">
        <v>1</v>
      </c>
      <c r="AJ115" s="331">
        <v>0</v>
      </c>
      <c r="AK115" s="331">
        <v>0</v>
      </c>
      <c r="AL115" s="331">
        <v>0</v>
      </c>
      <c r="AM115" s="331">
        <v>0</v>
      </c>
      <c r="AN115" s="1025" t="b">
        <v>0</v>
      </c>
      <c r="AO115" s="331">
        <v>0</v>
      </c>
      <c r="AP115" s="331">
        <v>0</v>
      </c>
      <c r="AQ115" s="331">
        <v>0</v>
      </c>
      <c r="AR115" s="331">
        <v>0</v>
      </c>
      <c r="AS115" s="1025" t="b">
        <v>0</v>
      </c>
      <c r="AT115" s="1025" t="b">
        <v>1</v>
      </c>
      <c r="AU115" s="331">
        <v>0</v>
      </c>
      <c r="AV115" s="491" t="s">
        <v>29</v>
      </c>
    </row>
    <row r="116" spans="1:48">
      <c r="A116" s="72">
        <v>12</v>
      </c>
      <c r="B116" s="391" t="s">
        <v>57</v>
      </c>
      <c r="C116" s="72">
        <f t="shared" si="3"/>
        <v>9</v>
      </c>
      <c r="D116" s="72" t="str">
        <f t="shared" si="4"/>
        <v>12-9</v>
      </c>
      <c r="E116" s="72">
        <v>62950</v>
      </c>
      <c r="F116" s="72" t="str">
        <f t="shared" si="5"/>
        <v>12-62950</v>
      </c>
      <c r="G116" s="391" t="s">
        <v>720</v>
      </c>
      <c r="H116" s="331">
        <v>11592.48</v>
      </c>
      <c r="I116" s="331">
        <v>10658.8</v>
      </c>
      <c r="J116" s="331">
        <v>10974.99</v>
      </c>
      <c r="K116" s="331">
        <v>13049.7</v>
      </c>
      <c r="L116" s="1072">
        <v>0</v>
      </c>
      <c r="M116" s="1072">
        <v>0</v>
      </c>
      <c r="N116" s="1072">
        <v>0</v>
      </c>
      <c r="O116" s="1072">
        <v>0</v>
      </c>
      <c r="P116" s="491">
        <v>0</v>
      </c>
      <c r="Q116" s="491">
        <v>0</v>
      </c>
      <c r="R116" s="491">
        <v>0</v>
      </c>
      <c r="S116" s="491">
        <v>0</v>
      </c>
      <c r="T116" s="1025" t="b">
        <v>0</v>
      </c>
      <c r="U116" s="491">
        <v>4.05</v>
      </c>
      <c r="V116" s="491">
        <v>3.43</v>
      </c>
      <c r="W116" s="491">
        <v>2</v>
      </c>
      <c r="X116" s="491">
        <v>0</v>
      </c>
      <c r="Y116" s="1025" t="b">
        <v>1</v>
      </c>
      <c r="Z116" s="331">
        <v>0</v>
      </c>
      <c r="AA116" s="331">
        <v>0</v>
      </c>
      <c r="AB116" s="331">
        <v>0</v>
      </c>
      <c r="AC116" s="331">
        <v>0</v>
      </c>
      <c r="AD116" s="1025" t="b">
        <v>0</v>
      </c>
      <c r="AE116" s="331">
        <v>0.23</v>
      </c>
      <c r="AF116" s="331">
        <v>0.27</v>
      </c>
      <c r="AG116" s="331">
        <v>0.17</v>
      </c>
      <c r="AH116" s="331">
        <v>0</v>
      </c>
      <c r="AI116" s="1025" t="b">
        <v>1</v>
      </c>
      <c r="AJ116" s="331">
        <v>0</v>
      </c>
      <c r="AK116" s="331">
        <v>0</v>
      </c>
      <c r="AL116" s="331">
        <v>0</v>
      </c>
      <c r="AM116" s="331">
        <v>0</v>
      </c>
      <c r="AN116" s="1025" t="b">
        <v>0</v>
      </c>
      <c r="AO116" s="331">
        <v>0</v>
      </c>
      <c r="AP116" s="331">
        <v>0</v>
      </c>
      <c r="AQ116" s="331">
        <v>0</v>
      </c>
      <c r="AR116" s="331">
        <v>0</v>
      </c>
      <c r="AS116" s="1025" t="b">
        <v>0</v>
      </c>
      <c r="AT116" s="1025" t="b">
        <v>1</v>
      </c>
      <c r="AU116" s="331">
        <v>0</v>
      </c>
      <c r="AV116" s="491" t="s">
        <v>29</v>
      </c>
    </row>
    <row r="117" spans="1:48">
      <c r="A117" s="72">
        <v>12</v>
      </c>
      <c r="B117" s="391" t="s">
        <v>57</v>
      </c>
      <c r="C117" s="72">
        <f t="shared" si="3"/>
        <v>10</v>
      </c>
      <c r="D117" s="72" t="str">
        <f t="shared" si="4"/>
        <v>12-10</v>
      </c>
      <c r="E117" s="72">
        <v>62976</v>
      </c>
      <c r="F117" s="72" t="str">
        <f t="shared" si="5"/>
        <v>12-62976</v>
      </c>
      <c r="G117" s="391" t="s">
        <v>693</v>
      </c>
      <c r="H117" s="331">
        <v>11136.57</v>
      </c>
      <c r="I117" s="331">
        <v>10239.61</v>
      </c>
      <c r="J117" s="331">
        <v>10543.36</v>
      </c>
      <c r="K117" s="331">
        <v>12536.48</v>
      </c>
      <c r="L117" s="1072">
        <v>0</v>
      </c>
      <c r="M117" s="1072">
        <v>0</v>
      </c>
      <c r="N117" s="1072">
        <v>0</v>
      </c>
      <c r="O117" s="1072">
        <v>0</v>
      </c>
      <c r="P117" s="491">
        <v>0</v>
      </c>
      <c r="Q117" s="491">
        <v>0</v>
      </c>
      <c r="R117" s="491">
        <v>0.05</v>
      </c>
      <c r="S117" s="491">
        <v>0</v>
      </c>
      <c r="T117" s="1025" t="b">
        <v>0</v>
      </c>
      <c r="U117" s="491">
        <v>0.62</v>
      </c>
      <c r="V117" s="491">
        <v>0</v>
      </c>
      <c r="W117" s="491">
        <v>0</v>
      </c>
      <c r="X117" s="491">
        <v>0</v>
      </c>
      <c r="Y117" s="1025" t="b">
        <v>1</v>
      </c>
      <c r="Z117" s="331">
        <v>0</v>
      </c>
      <c r="AA117" s="331">
        <v>0</v>
      </c>
      <c r="AB117" s="331">
        <v>0</v>
      </c>
      <c r="AC117" s="331">
        <v>0</v>
      </c>
      <c r="AD117" s="1025" t="b">
        <v>0</v>
      </c>
      <c r="AE117" s="331">
        <v>0</v>
      </c>
      <c r="AF117" s="331">
        <v>0</v>
      </c>
      <c r="AG117" s="331">
        <v>0</v>
      </c>
      <c r="AH117" s="331">
        <v>0</v>
      </c>
      <c r="AI117" s="1025" t="b">
        <v>0</v>
      </c>
      <c r="AJ117" s="331">
        <v>0</v>
      </c>
      <c r="AK117" s="331">
        <v>0</v>
      </c>
      <c r="AL117" s="331">
        <v>0</v>
      </c>
      <c r="AM117" s="331">
        <v>0</v>
      </c>
      <c r="AN117" s="1025" t="b">
        <v>0</v>
      </c>
      <c r="AO117" s="331">
        <v>0</v>
      </c>
      <c r="AP117" s="331">
        <v>0</v>
      </c>
      <c r="AQ117" s="331">
        <v>0</v>
      </c>
      <c r="AR117" s="331">
        <v>0</v>
      </c>
      <c r="AS117" s="1025" t="b">
        <v>0</v>
      </c>
      <c r="AT117" s="1025" t="b">
        <v>1</v>
      </c>
      <c r="AU117" s="331">
        <v>527</v>
      </c>
      <c r="AV117" s="491" t="s">
        <v>29</v>
      </c>
    </row>
    <row r="118" spans="1:48">
      <c r="A118" s="72">
        <v>12</v>
      </c>
      <c r="B118" s="391" t="s">
        <v>57</v>
      </c>
      <c r="C118" s="72">
        <f t="shared" si="3"/>
        <v>11</v>
      </c>
      <c r="D118" s="72" t="str">
        <f t="shared" si="4"/>
        <v>12-11</v>
      </c>
      <c r="E118" s="72">
        <v>63008</v>
      </c>
      <c r="F118" s="72" t="str">
        <f t="shared" si="5"/>
        <v>12-63008</v>
      </c>
      <c r="G118" s="391" t="s">
        <v>721</v>
      </c>
      <c r="H118" s="331">
        <v>13218.96</v>
      </c>
      <c r="I118" s="331">
        <v>12154.28</v>
      </c>
      <c r="J118" s="331">
        <v>12514.83</v>
      </c>
      <c r="K118" s="331">
        <v>14880.63</v>
      </c>
      <c r="L118" s="491" t="s">
        <v>29</v>
      </c>
      <c r="M118" s="491" t="s">
        <v>29</v>
      </c>
      <c r="N118" s="491" t="s">
        <v>29</v>
      </c>
      <c r="O118" s="491" t="s">
        <v>29</v>
      </c>
      <c r="P118" s="491">
        <v>0</v>
      </c>
      <c r="Q118" s="491">
        <v>0</v>
      </c>
      <c r="R118" s="491">
        <v>0.28000000000000003</v>
      </c>
      <c r="S118" s="491">
        <v>0</v>
      </c>
      <c r="T118" s="1025" t="b">
        <v>0</v>
      </c>
      <c r="U118" s="491">
        <v>0</v>
      </c>
      <c r="V118" s="491">
        <v>0</v>
      </c>
      <c r="W118" s="491">
        <v>0</v>
      </c>
      <c r="X118" s="491">
        <v>0</v>
      </c>
      <c r="Y118" s="1025" t="b">
        <v>0</v>
      </c>
      <c r="Z118" s="331">
        <v>0</v>
      </c>
      <c r="AA118" s="331">
        <v>0</v>
      </c>
      <c r="AB118" s="331">
        <v>0</v>
      </c>
      <c r="AC118" s="331">
        <v>0</v>
      </c>
      <c r="AD118" s="1025" t="b">
        <v>0</v>
      </c>
      <c r="AE118" s="331">
        <v>0</v>
      </c>
      <c r="AF118" s="331">
        <v>0</v>
      </c>
      <c r="AG118" s="331">
        <v>0</v>
      </c>
      <c r="AH118" s="331">
        <v>0</v>
      </c>
      <c r="AI118" s="1025" t="b">
        <v>0</v>
      </c>
      <c r="AJ118" s="331">
        <v>0</v>
      </c>
      <c r="AK118" s="331">
        <v>0</v>
      </c>
      <c r="AL118" s="331">
        <v>0</v>
      </c>
      <c r="AM118" s="331">
        <v>0</v>
      </c>
      <c r="AN118" s="1025" t="b">
        <v>0</v>
      </c>
      <c r="AO118" s="331">
        <v>0</v>
      </c>
      <c r="AP118" s="331">
        <v>0</v>
      </c>
      <c r="AQ118" s="331">
        <v>0</v>
      </c>
      <c r="AR118" s="331">
        <v>0</v>
      </c>
      <c r="AS118" s="1025" t="b">
        <v>0</v>
      </c>
      <c r="AT118" s="1025" t="b">
        <v>1</v>
      </c>
      <c r="AU118" s="331">
        <v>3504</v>
      </c>
      <c r="AV118" s="491" t="s">
        <v>29</v>
      </c>
    </row>
    <row r="119" spans="1:48">
      <c r="A119" s="72">
        <v>12</v>
      </c>
      <c r="B119" s="391" t="s">
        <v>57</v>
      </c>
      <c r="C119" s="72">
        <f t="shared" si="3"/>
        <v>12</v>
      </c>
      <c r="D119" s="72" t="str">
        <f t="shared" si="4"/>
        <v>12-12</v>
      </c>
      <c r="E119" s="72">
        <v>63024</v>
      </c>
      <c r="F119" s="72" t="str">
        <f t="shared" si="5"/>
        <v>12-63024</v>
      </c>
      <c r="G119" s="391" t="s">
        <v>722</v>
      </c>
      <c r="H119" s="331">
        <v>12172.2</v>
      </c>
      <c r="I119" s="331">
        <v>11191.83</v>
      </c>
      <c r="J119" s="331">
        <v>11523.83</v>
      </c>
      <c r="K119" s="331">
        <v>13702.29</v>
      </c>
      <c r="L119" s="1072">
        <v>0</v>
      </c>
      <c r="M119" s="1072">
        <v>0</v>
      </c>
      <c r="N119" s="1072">
        <v>0</v>
      </c>
      <c r="O119" s="1072">
        <v>0</v>
      </c>
      <c r="P119" s="491">
        <v>0</v>
      </c>
      <c r="Q119" s="491">
        <v>0</v>
      </c>
      <c r="R119" s="491">
        <v>0</v>
      </c>
      <c r="S119" s="491">
        <v>0</v>
      </c>
      <c r="T119" s="1025" t="b">
        <v>0</v>
      </c>
      <c r="U119" s="491">
        <v>0</v>
      </c>
      <c r="V119" s="491">
        <v>0.79</v>
      </c>
      <c r="W119" s="491">
        <v>0</v>
      </c>
      <c r="X119" s="491">
        <v>0</v>
      </c>
      <c r="Y119" s="1025" t="b">
        <v>1</v>
      </c>
      <c r="Z119" s="331">
        <v>0</v>
      </c>
      <c r="AA119" s="331">
        <v>0</v>
      </c>
      <c r="AB119" s="331">
        <v>0</v>
      </c>
      <c r="AC119" s="331">
        <v>0</v>
      </c>
      <c r="AD119" s="1025" t="b">
        <v>0</v>
      </c>
      <c r="AE119" s="331">
        <v>0</v>
      </c>
      <c r="AF119" s="331">
        <v>0</v>
      </c>
      <c r="AG119" s="331">
        <v>0</v>
      </c>
      <c r="AH119" s="331">
        <v>0</v>
      </c>
      <c r="AI119" s="1025" t="b">
        <v>0</v>
      </c>
      <c r="AJ119" s="331">
        <v>0</v>
      </c>
      <c r="AK119" s="331">
        <v>0</v>
      </c>
      <c r="AL119" s="331">
        <v>0</v>
      </c>
      <c r="AM119" s="331">
        <v>0</v>
      </c>
      <c r="AN119" s="1025" t="b">
        <v>0</v>
      </c>
      <c r="AO119" s="331">
        <v>0</v>
      </c>
      <c r="AP119" s="331">
        <v>0</v>
      </c>
      <c r="AQ119" s="331">
        <v>0</v>
      </c>
      <c r="AR119" s="331">
        <v>0</v>
      </c>
      <c r="AS119" s="1025" t="b">
        <v>0</v>
      </c>
      <c r="AT119" s="1025" t="b">
        <v>1</v>
      </c>
      <c r="AU119" s="331">
        <v>0</v>
      </c>
      <c r="AV119" s="491" t="s">
        <v>29</v>
      </c>
    </row>
    <row r="120" spans="1:48">
      <c r="A120" s="72">
        <v>12</v>
      </c>
      <c r="B120" s="391" t="s">
        <v>57</v>
      </c>
      <c r="C120" s="72">
        <f t="shared" si="3"/>
        <v>13</v>
      </c>
      <c r="D120" s="72" t="str">
        <f t="shared" si="4"/>
        <v>12-13</v>
      </c>
      <c r="E120" s="72">
        <v>63032</v>
      </c>
      <c r="F120" s="72" t="str">
        <f t="shared" si="5"/>
        <v>12-63032</v>
      </c>
      <c r="G120" s="391" t="s">
        <v>723</v>
      </c>
      <c r="H120" s="331">
        <v>12692.57</v>
      </c>
      <c r="I120" s="331">
        <v>11670.29</v>
      </c>
      <c r="J120" s="331">
        <v>12016.48</v>
      </c>
      <c r="K120" s="331">
        <v>14288.07</v>
      </c>
      <c r="L120" s="1072">
        <v>0</v>
      </c>
      <c r="M120" s="1072">
        <v>0</v>
      </c>
      <c r="N120" s="1072">
        <v>0</v>
      </c>
      <c r="O120" s="1072">
        <v>0</v>
      </c>
      <c r="P120" s="491">
        <v>0</v>
      </c>
      <c r="Q120" s="491">
        <v>0</v>
      </c>
      <c r="R120" s="491">
        <v>0</v>
      </c>
      <c r="S120" s="491">
        <v>0</v>
      </c>
      <c r="T120" s="1025" t="b">
        <v>0</v>
      </c>
      <c r="U120" s="491">
        <v>3.34</v>
      </c>
      <c r="V120" s="491">
        <v>1.74</v>
      </c>
      <c r="W120" s="491">
        <v>0</v>
      </c>
      <c r="X120" s="491">
        <v>0</v>
      </c>
      <c r="Y120" s="1025" t="b">
        <v>1</v>
      </c>
      <c r="Z120" s="331">
        <v>0</v>
      </c>
      <c r="AA120" s="331">
        <v>0</v>
      </c>
      <c r="AB120" s="331">
        <v>0</v>
      </c>
      <c r="AC120" s="331">
        <v>0</v>
      </c>
      <c r="AD120" s="1025" t="b">
        <v>0</v>
      </c>
      <c r="AE120" s="331">
        <v>0.25</v>
      </c>
      <c r="AF120" s="331">
        <v>0.1</v>
      </c>
      <c r="AG120" s="331">
        <v>0</v>
      </c>
      <c r="AH120" s="331">
        <v>0</v>
      </c>
      <c r="AI120" s="1025" t="b">
        <v>1</v>
      </c>
      <c r="AJ120" s="331">
        <v>0</v>
      </c>
      <c r="AK120" s="331">
        <v>0</v>
      </c>
      <c r="AL120" s="331">
        <v>0</v>
      </c>
      <c r="AM120" s="331">
        <v>0</v>
      </c>
      <c r="AN120" s="1025" t="b">
        <v>0</v>
      </c>
      <c r="AO120" s="331">
        <v>0</v>
      </c>
      <c r="AP120" s="331">
        <v>0</v>
      </c>
      <c r="AQ120" s="331">
        <v>0</v>
      </c>
      <c r="AR120" s="331">
        <v>0</v>
      </c>
      <c r="AS120" s="1025" t="b">
        <v>0</v>
      </c>
      <c r="AT120" s="1025" t="b">
        <v>1</v>
      </c>
      <c r="AU120" s="331">
        <v>0</v>
      </c>
      <c r="AV120" s="491" t="s">
        <v>29</v>
      </c>
    </row>
    <row r="121" spans="1:48">
      <c r="A121" s="72">
        <v>12</v>
      </c>
      <c r="B121" s="391" t="s">
        <v>57</v>
      </c>
      <c r="C121" s="72">
        <f t="shared" si="3"/>
        <v>14</v>
      </c>
      <c r="D121" s="72" t="str">
        <f t="shared" si="4"/>
        <v>12-14</v>
      </c>
      <c r="E121" s="72">
        <v>63040</v>
      </c>
      <c r="F121" s="72" t="str">
        <f t="shared" si="5"/>
        <v>12-63040</v>
      </c>
      <c r="G121" s="391" t="s">
        <v>724</v>
      </c>
      <c r="H121" s="331">
        <v>11842.77</v>
      </c>
      <c r="I121" s="331">
        <v>10888.94</v>
      </c>
      <c r="J121" s="331">
        <v>11211.95</v>
      </c>
      <c r="K121" s="331">
        <v>13331.46</v>
      </c>
      <c r="L121" s="1072">
        <v>0</v>
      </c>
      <c r="M121" s="1072">
        <v>0</v>
      </c>
      <c r="N121" s="1072">
        <v>0</v>
      </c>
      <c r="O121" s="1072">
        <v>0</v>
      </c>
      <c r="P121" s="491">
        <v>0</v>
      </c>
      <c r="Q121" s="491">
        <v>0</v>
      </c>
      <c r="R121" s="491">
        <v>0</v>
      </c>
      <c r="S121" s="491">
        <v>1.17</v>
      </c>
      <c r="T121" s="1025" t="b">
        <v>0</v>
      </c>
      <c r="U121" s="491">
        <v>0</v>
      </c>
      <c r="V121" s="491">
        <v>0</v>
      </c>
      <c r="W121" s="491">
        <v>0</v>
      </c>
      <c r="X121" s="491">
        <v>0.87</v>
      </c>
      <c r="Y121" s="1025" t="b">
        <v>1</v>
      </c>
      <c r="Z121" s="331">
        <v>0</v>
      </c>
      <c r="AA121" s="331">
        <v>0</v>
      </c>
      <c r="AB121" s="331">
        <v>0</v>
      </c>
      <c r="AC121" s="331">
        <v>0</v>
      </c>
      <c r="AD121" s="1025" t="b">
        <v>0</v>
      </c>
      <c r="AE121" s="331">
        <v>0</v>
      </c>
      <c r="AF121" s="331">
        <v>0</v>
      </c>
      <c r="AG121" s="331">
        <v>0</v>
      </c>
      <c r="AH121" s="331">
        <v>0.63</v>
      </c>
      <c r="AI121" s="1025" t="b">
        <v>1</v>
      </c>
      <c r="AJ121" s="331">
        <v>0</v>
      </c>
      <c r="AK121" s="331">
        <v>0</v>
      </c>
      <c r="AL121" s="331">
        <v>0</v>
      </c>
      <c r="AM121" s="331">
        <v>0</v>
      </c>
      <c r="AN121" s="1025" t="b">
        <v>0</v>
      </c>
      <c r="AO121" s="331">
        <v>0</v>
      </c>
      <c r="AP121" s="331">
        <v>0</v>
      </c>
      <c r="AQ121" s="331">
        <v>0</v>
      </c>
      <c r="AR121" s="331">
        <v>0</v>
      </c>
      <c r="AS121" s="1025" t="b">
        <v>0</v>
      </c>
      <c r="AT121" s="1025" t="b">
        <v>1</v>
      </c>
      <c r="AU121" s="331">
        <v>15598</v>
      </c>
      <c r="AV121" s="491" t="s">
        <v>29</v>
      </c>
    </row>
    <row r="122" spans="1:48">
      <c r="A122" s="72">
        <v>12</v>
      </c>
      <c r="B122" s="391" t="s">
        <v>57</v>
      </c>
      <c r="C122" s="72">
        <f t="shared" si="3"/>
        <v>15</v>
      </c>
      <c r="D122" s="72" t="str">
        <f t="shared" si="4"/>
        <v>12-15</v>
      </c>
      <c r="E122" s="72">
        <v>75374</v>
      </c>
      <c r="F122" s="72" t="str">
        <f t="shared" si="5"/>
        <v>12-75374</v>
      </c>
      <c r="G122" s="391" t="s">
        <v>725</v>
      </c>
      <c r="H122" s="331">
        <v>11197.48</v>
      </c>
      <c r="I122" s="331">
        <v>10295.620000000001</v>
      </c>
      <c r="J122" s="331">
        <v>10601.04</v>
      </c>
      <c r="K122" s="331">
        <v>12605.05</v>
      </c>
      <c r="L122" s="491" t="s">
        <v>29</v>
      </c>
      <c r="M122" s="491" t="s">
        <v>29</v>
      </c>
      <c r="N122" s="491" t="s">
        <v>29</v>
      </c>
      <c r="O122" s="491" t="s">
        <v>29</v>
      </c>
      <c r="P122" s="491">
        <v>0</v>
      </c>
      <c r="Q122" s="491">
        <v>0</v>
      </c>
      <c r="R122" s="491">
        <v>0</v>
      </c>
      <c r="S122" s="491">
        <v>0.95</v>
      </c>
      <c r="T122" s="1025" t="b">
        <v>0</v>
      </c>
      <c r="U122" s="491">
        <v>0</v>
      </c>
      <c r="V122" s="491">
        <v>0</v>
      </c>
      <c r="W122" s="491">
        <v>0</v>
      </c>
      <c r="X122" s="491">
        <v>0</v>
      </c>
      <c r="Y122" s="1025" t="b">
        <v>0</v>
      </c>
      <c r="Z122" s="331">
        <v>0</v>
      </c>
      <c r="AA122" s="331">
        <v>0</v>
      </c>
      <c r="AB122" s="331">
        <v>0</v>
      </c>
      <c r="AC122" s="331">
        <v>0</v>
      </c>
      <c r="AD122" s="1025" t="b">
        <v>0</v>
      </c>
      <c r="AE122" s="331">
        <v>0</v>
      </c>
      <c r="AF122" s="331">
        <v>0</v>
      </c>
      <c r="AG122" s="331">
        <v>0</v>
      </c>
      <c r="AH122" s="331">
        <v>0</v>
      </c>
      <c r="AI122" s="1025" t="b">
        <v>0</v>
      </c>
      <c r="AJ122" s="331">
        <v>0</v>
      </c>
      <c r="AK122" s="331">
        <v>0</v>
      </c>
      <c r="AL122" s="331">
        <v>0</v>
      </c>
      <c r="AM122" s="331">
        <v>0</v>
      </c>
      <c r="AN122" s="1025" t="b">
        <v>0</v>
      </c>
      <c r="AO122" s="331">
        <v>0</v>
      </c>
      <c r="AP122" s="331">
        <v>0</v>
      </c>
      <c r="AQ122" s="331">
        <v>0</v>
      </c>
      <c r="AR122" s="331">
        <v>0</v>
      </c>
      <c r="AS122" s="1025" t="b">
        <v>0</v>
      </c>
      <c r="AT122" s="1025" t="b">
        <v>1</v>
      </c>
      <c r="AU122" s="331">
        <v>11975</v>
      </c>
      <c r="AV122" s="491" t="s">
        <v>29</v>
      </c>
    </row>
    <row r="123" spans="1:48">
      <c r="A123" s="72">
        <v>12</v>
      </c>
      <c r="B123" s="391" t="s">
        <v>57</v>
      </c>
      <c r="C123" s="72">
        <f t="shared" si="3"/>
        <v>16</v>
      </c>
      <c r="D123" s="72" t="str">
        <f t="shared" si="4"/>
        <v>12-16</v>
      </c>
      <c r="E123" s="72">
        <v>75515</v>
      </c>
      <c r="F123" s="72" t="str">
        <f t="shared" si="5"/>
        <v>12-75515</v>
      </c>
      <c r="G123" s="391" t="s">
        <v>726</v>
      </c>
      <c r="H123" s="331">
        <v>12673.64</v>
      </c>
      <c r="I123" s="331">
        <v>11652.89</v>
      </c>
      <c r="J123" s="331">
        <v>11998.57</v>
      </c>
      <c r="K123" s="331">
        <v>14266.77</v>
      </c>
      <c r="L123" s="1072">
        <v>0</v>
      </c>
      <c r="M123" s="1072">
        <v>0</v>
      </c>
      <c r="N123" s="1072">
        <v>0</v>
      </c>
      <c r="O123" s="1072">
        <v>0</v>
      </c>
      <c r="P123" s="491">
        <v>0</v>
      </c>
      <c r="Q123" s="491">
        <v>0</v>
      </c>
      <c r="R123" s="491">
        <v>0.73</v>
      </c>
      <c r="S123" s="491">
        <v>19.18</v>
      </c>
      <c r="T123" s="1025" t="b">
        <v>0</v>
      </c>
      <c r="U123" s="491">
        <v>10.46</v>
      </c>
      <c r="V123" s="491">
        <v>7.65</v>
      </c>
      <c r="W123" s="491">
        <v>2.82</v>
      </c>
      <c r="X123" s="491">
        <v>14.21</v>
      </c>
      <c r="Y123" s="1025" t="b">
        <v>1</v>
      </c>
      <c r="Z123" s="331">
        <v>0</v>
      </c>
      <c r="AA123" s="331">
        <v>0</v>
      </c>
      <c r="AB123" s="331">
        <v>0</v>
      </c>
      <c r="AC123" s="331">
        <v>0</v>
      </c>
      <c r="AD123" s="1025" t="b">
        <v>0</v>
      </c>
      <c r="AE123" s="331">
        <v>1.74</v>
      </c>
      <c r="AF123" s="331">
        <v>0.41</v>
      </c>
      <c r="AG123" s="331">
        <v>0.28000000000000003</v>
      </c>
      <c r="AH123" s="331">
        <v>0.95</v>
      </c>
      <c r="AI123" s="1025" t="b">
        <v>1</v>
      </c>
      <c r="AJ123" s="331">
        <v>0</v>
      </c>
      <c r="AK123" s="331">
        <v>0</v>
      </c>
      <c r="AL123" s="331">
        <v>0</v>
      </c>
      <c r="AM123" s="331">
        <v>0</v>
      </c>
      <c r="AN123" s="1025" t="b">
        <v>0</v>
      </c>
      <c r="AO123" s="331">
        <v>0</v>
      </c>
      <c r="AP123" s="331">
        <v>0</v>
      </c>
      <c r="AQ123" s="331">
        <v>0</v>
      </c>
      <c r="AR123" s="331">
        <v>0</v>
      </c>
      <c r="AS123" s="1025" t="b">
        <v>0</v>
      </c>
      <c r="AT123" s="1025" t="b">
        <v>1</v>
      </c>
      <c r="AU123" s="331">
        <v>282396</v>
      </c>
      <c r="AV123" s="491" t="s">
        <v>29</v>
      </c>
    </row>
    <row r="124" spans="1:48">
      <c r="A124" s="72">
        <v>12</v>
      </c>
      <c r="B124" s="391" t="s">
        <v>57</v>
      </c>
      <c r="C124" s="72">
        <f t="shared" si="3"/>
        <v>17</v>
      </c>
      <c r="D124" s="72" t="str">
        <f t="shared" si="4"/>
        <v>12-17</v>
      </c>
      <c r="E124" s="72">
        <v>76802</v>
      </c>
      <c r="F124" s="72" t="str">
        <f t="shared" si="5"/>
        <v>12-76802</v>
      </c>
      <c r="G124" s="391" t="s">
        <v>727</v>
      </c>
      <c r="H124" s="331">
        <v>13402.16</v>
      </c>
      <c r="I124" s="331">
        <v>12322.73</v>
      </c>
      <c r="J124" s="331">
        <v>12688.28</v>
      </c>
      <c r="K124" s="331">
        <v>15086.87</v>
      </c>
      <c r="L124" s="1072">
        <v>0</v>
      </c>
      <c r="M124" s="1072">
        <v>0</v>
      </c>
      <c r="N124" s="1072">
        <v>0</v>
      </c>
      <c r="O124" s="1072">
        <v>0</v>
      </c>
      <c r="P124" s="491">
        <v>0</v>
      </c>
      <c r="Q124" s="491">
        <v>0</v>
      </c>
      <c r="R124" s="491">
        <v>3.63</v>
      </c>
      <c r="S124" s="491">
        <v>0</v>
      </c>
      <c r="T124" s="1025" t="b">
        <v>0</v>
      </c>
      <c r="U124" s="491">
        <v>3.91</v>
      </c>
      <c r="V124" s="491">
        <v>6.87</v>
      </c>
      <c r="W124" s="491">
        <v>3.07</v>
      </c>
      <c r="X124" s="491">
        <v>0</v>
      </c>
      <c r="Y124" s="1025" t="b">
        <v>1</v>
      </c>
      <c r="Z124" s="331">
        <v>0</v>
      </c>
      <c r="AA124" s="331">
        <v>0</v>
      </c>
      <c r="AB124" s="331">
        <v>0</v>
      </c>
      <c r="AC124" s="331">
        <v>0</v>
      </c>
      <c r="AD124" s="1025" t="b">
        <v>0</v>
      </c>
      <c r="AE124" s="331">
        <v>0.04</v>
      </c>
      <c r="AF124" s="331">
        <v>0.66</v>
      </c>
      <c r="AG124" s="331">
        <v>0.37</v>
      </c>
      <c r="AH124" s="331">
        <v>0</v>
      </c>
      <c r="AI124" s="1025" t="b">
        <v>1</v>
      </c>
      <c r="AJ124" s="331">
        <v>0</v>
      </c>
      <c r="AK124" s="331">
        <v>0</v>
      </c>
      <c r="AL124" s="331">
        <v>0</v>
      </c>
      <c r="AM124" s="331">
        <v>0</v>
      </c>
      <c r="AN124" s="1025" t="b">
        <v>0</v>
      </c>
      <c r="AO124" s="331">
        <v>0</v>
      </c>
      <c r="AP124" s="331">
        <v>0</v>
      </c>
      <c r="AQ124" s="331">
        <v>0</v>
      </c>
      <c r="AR124" s="331">
        <v>0</v>
      </c>
      <c r="AS124" s="1025" t="b">
        <v>0</v>
      </c>
      <c r="AT124" s="1025" t="b">
        <v>1</v>
      </c>
      <c r="AU124" s="331">
        <v>46058</v>
      </c>
      <c r="AV124" s="491" t="s">
        <v>29</v>
      </c>
    </row>
    <row r="125" spans="1:48">
      <c r="A125" s="72">
        <v>12</v>
      </c>
      <c r="B125" s="391" t="s">
        <v>57</v>
      </c>
      <c r="C125" s="72">
        <f t="shared" si="3"/>
        <v>0</v>
      </c>
      <c r="D125" s="72" t="str">
        <f t="shared" si="4"/>
        <v>12-0</v>
      </c>
      <c r="E125" s="72" t="s">
        <v>29</v>
      </c>
      <c r="F125" s="72" t="str">
        <f t="shared" si="5"/>
        <v>12-N/A</v>
      </c>
      <c r="G125" s="391" t="s">
        <v>29</v>
      </c>
      <c r="H125" s="491" t="s">
        <v>29</v>
      </c>
      <c r="I125" s="491" t="s">
        <v>29</v>
      </c>
      <c r="J125" s="491" t="s">
        <v>29</v>
      </c>
      <c r="K125" s="491" t="s">
        <v>29</v>
      </c>
      <c r="L125" s="491" t="s">
        <v>29</v>
      </c>
      <c r="M125" s="491" t="s">
        <v>29</v>
      </c>
      <c r="N125" s="491" t="s">
        <v>29</v>
      </c>
      <c r="O125" s="491" t="s">
        <v>29</v>
      </c>
      <c r="P125" s="491" t="s">
        <v>29</v>
      </c>
      <c r="Q125" s="491" t="s">
        <v>29</v>
      </c>
      <c r="R125" s="491" t="s">
        <v>29</v>
      </c>
      <c r="S125" s="491" t="s">
        <v>29</v>
      </c>
      <c r="T125" s="1025" t="s">
        <v>29</v>
      </c>
      <c r="U125" s="491" t="s">
        <v>29</v>
      </c>
      <c r="V125" s="491" t="s">
        <v>29</v>
      </c>
      <c r="W125" s="491" t="s">
        <v>29</v>
      </c>
      <c r="X125" s="491" t="s">
        <v>29</v>
      </c>
      <c r="Y125" s="1025" t="s">
        <v>29</v>
      </c>
      <c r="Z125" s="491" t="s">
        <v>29</v>
      </c>
      <c r="AA125" s="491" t="s">
        <v>29</v>
      </c>
      <c r="AB125" s="491" t="s">
        <v>29</v>
      </c>
      <c r="AC125" s="491" t="s">
        <v>29</v>
      </c>
      <c r="AD125" s="1025" t="s">
        <v>29</v>
      </c>
      <c r="AE125" s="491" t="s">
        <v>29</v>
      </c>
      <c r="AF125" s="491" t="s">
        <v>29</v>
      </c>
      <c r="AG125" s="491" t="s">
        <v>29</v>
      </c>
      <c r="AH125" s="491" t="s">
        <v>29</v>
      </c>
      <c r="AI125" s="1025" t="s">
        <v>29</v>
      </c>
      <c r="AJ125" s="491" t="s">
        <v>29</v>
      </c>
      <c r="AK125" s="491" t="s">
        <v>29</v>
      </c>
      <c r="AL125" s="491" t="s">
        <v>29</v>
      </c>
      <c r="AM125" s="491" t="s">
        <v>29</v>
      </c>
      <c r="AN125" s="1025" t="s">
        <v>29</v>
      </c>
      <c r="AO125" s="491" t="s">
        <v>29</v>
      </c>
      <c r="AP125" s="491" t="s">
        <v>29</v>
      </c>
      <c r="AQ125" s="491" t="s">
        <v>29</v>
      </c>
      <c r="AR125" s="491" t="s">
        <v>29</v>
      </c>
      <c r="AS125" s="1025" t="s">
        <v>29</v>
      </c>
      <c r="AT125" s="1025" t="s">
        <v>29</v>
      </c>
      <c r="AU125" s="491" t="s">
        <v>29</v>
      </c>
      <c r="AV125" s="491">
        <v>535373</v>
      </c>
    </row>
    <row r="126" spans="1:48">
      <c r="A126" s="72">
        <v>13</v>
      </c>
      <c r="B126" s="391" t="s">
        <v>58</v>
      </c>
      <c r="C126" s="72">
        <f t="shared" si="3"/>
        <v>1</v>
      </c>
      <c r="D126" s="72" t="str">
        <f t="shared" si="4"/>
        <v>13-1</v>
      </c>
      <c r="E126" s="72">
        <v>63073</v>
      </c>
      <c r="F126" s="72" t="str">
        <f t="shared" si="5"/>
        <v>13-63073</v>
      </c>
      <c r="G126" s="391" t="s">
        <v>728</v>
      </c>
      <c r="H126" s="491">
        <v>14141.86</v>
      </c>
      <c r="I126" s="491">
        <v>13002.85</v>
      </c>
      <c r="J126" s="491">
        <v>13388.58</v>
      </c>
      <c r="K126" s="491">
        <v>15919.55</v>
      </c>
      <c r="L126" s="491" t="s">
        <v>29</v>
      </c>
      <c r="M126" s="491" t="s">
        <v>29</v>
      </c>
      <c r="N126" s="491" t="s">
        <v>29</v>
      </c>
      <c r="O126" s="491" t="s">
        <v>29</v>
      </c>
      <c r="P126" s="491">
        <v>0</v>
      </c>
      <c r="Q126" s="491">
        <v>0</v>
      </c>
      <c r="R126" s="491">
        <v>0.87</v>
      </c>
      <c r="S126" s="491">
        <v>0</v>
      </c>
      <c r="T126" s="1025" t="b">
        <v>0</v>
      </c>
      <c r="U126" s="491">
        <v>20.59</v>
      </c>
      <c r="V126" s="491">
        <v>8.25</v>
      </c>
      <c r="W126" s="491">
        <v>10.42</v>
      </c>
      <c r="X126" s="491">
        <v>0</v>
      </c>
      <c r="Y126" s="1025" t="b">
        <v>0</v>
      </c>
      <c r="Z126" s="491">
        <v>0</v>
      </c>
      <c r="AA126" s="491">
        <v>0</v>
      </c>
      <c r="AB126" s="491">
        <v>0</v>
      </c>
      <c r="AC126" s="491">
        <v>0</v>
      </c>
      <c r="AD126" s="1025" t="b">
        <v>0</v>
      </c>
      <c r="AE126" s="491">
        <v>1.0900000000000001</v>
      </c>
      <c r="AF126" s="491">
        <v>0.74</v>
      </c>
      <c r="AG126" s="491">
        <v>0.19</v>
      </c>
      <c r="AH126" s="491">
        <v>0</v>
      </c>
      <c r="AI126" s="1025" t="b">
        <v>0</v>
      </c>
      <c r="AJ126" s="491">
        <v>0</v>
      </c>
      <c r="AK126" s="491">
        <v>0</v>
      </c>
      <c r="AL126" s="491">
        <v>0</v>
      </c>
      <c r="AM126" s="491">
        <v>0</v>
      </c>
      <c r="AN126" s="1025" t="b">
        <v>0</v>
      </c>
      <c r="AO126" s="491">
        <v>0</v>
      </c>
      <c r="AP126" s="491">
        <v>0</v>
      </c>
      <c r="AQ126" s="491">
        <v>0</v>
      </c>
      <c r="AR126" s="491">
        <v>0</v>
      </c>
      <c r="AS126" s="1025" t="b">
        <v>0</v>
      </c>
      <c r="AT126" s="1025" t="b">
        <v>0</v>
      </c>
      <c r="AU126" s="491">
        <v>577193</v>
      </c>
      <c r="AV126" s="491" t="s">
        <v>29</v>
      </c>
    </row>
    <row r="127" spans="1:48">
      <c r="A127" s="72">
        <v>13</v>
      </c>
      <c r="B127" s="391" t="s">
        <v>58</v>
      </c>
      <c r="C127" s="72">
        <f t="shared" si="3"/>
        <v>2</v>
      </c>
      <c r="D127" s="72" t="str">
        <f t="shared" si="4"/>
        <v>13-2</v>
      </c>
      <c r="E127" s="72">
        <v>63081</v>
      </c>
      <c r="F127" s="72" t="str">
        <f t="shared" si="5"/>
        <v>13-63081</v>
      </c>
      <c r="G127" s="391" t="s">
        <v>729</v>
      </c>
      <c r="H127" s="491">
        <v>13190.57</v>
      </c>
      <c r="I127" s="491">
        <v>12128.18</v>
      </c>
      <c r="J127" s="491">
        <v>12487.96</v>
      </c>
      <c r="K127" s="491">
        <v>14848.68</v>
      </c>
      <c r="L127" s="491" t="s">
        <v>29</v>
      </c>
      <c r="M127" s="491" t="s">
        <v>29</v>
      </c>
      <c r="N127" s="491" t="s">
        <v>29</v>
      </c>
      <c r="O127" s="491" t="s">
        <v>29</v>
      </c>
      <c r="P127" s="491">
        <v>0</v>
      </c>
      <c r="Q127" s="491">
        <v>0</v>
      </c>
      <c r="R127" s="491">
        <v>0</v>
      </c>
      <c r="S127" s="491">
        <v>6.69</v>
      </c>
      <c r="T127" s="1025" t="b">
        <v>0</v>
      </c>
      <c r="U127" s="491">
        <v>0</v>
      </c>
      <c r="V127" s="491">
        <v>0</v>
      </c>
      <c r="W127" s="491">
        <v>0</v>
      </c>
      <c r="X127" s="491">
        <v>27.67</v>
      </c>
      <c r="Y127" s="1025" t="b">
        <v>0</v>
      </c>
      <c r="Z127" s="491">
        <v>0</v>
      </c>
      <c r="AA127" s="491">
        <v>0</v>
      </c>
      <c r="AB127" s="491">
        <v>0</v>
      </c>
      <c r="AC127" s="491">
        <v>0</v>
      </c>
      <c r="AD127" s="1025" t="b">
        <v>0</v>
      </c>
      <c r="AE127" s="491">
        <v>0</v>
      </c>
      <c r="AF127" s="491">
        <v>0</v>
      </c>
      <c r="AG127" s="491">
        <v>0</v>
      </c>
      <c r="AH127" s="491">
        <v>1.21</v>
      </c>
      <c r="AI127" s="1025" t="b">
        <v>0</v>
      </c>
      <c r="AJ127" s="491">
        <v>0</v>
      </c>
      <c r="AK127" s="491">
        <v>0</v>
      </c>
      <c r="AL127" s="491">
        <v>0</v>
      </c>
      <c r="AM127" s="491">
        <v>0</v>
      </c>
      <c r="AN127" s="1025" t="b">
        <v>0</v>
      </c>
      <c r="AO127" s="491">
        <v>0</v>
      </c>
      <c r="AP127" s="491">
        <v>0</v>
      </c>
      <c r="AQ127" s="491">
        <v>0</v>
      </c>
      <c r="AR127" s="491">
        <v>0</v>
      </c>
      <c r="AS127" s="1025" t="b">
        <v>0</v>
      </c>
      <c r="AT127" s="1025" t="b">
        <v>0</v>
      </c>
      <c r="AU127" s="491">
        <v>528168</v>
      </c>
      <c r="AV127" s="491" t="s">
        <v>29</v>
      </c>
    </row>
    <row r="128" spans="1:48">
      <c r="A128" s="72">
        <v>13</v>
      </c>
      <c r="B128" s="391" t="s">
        <v>58</v>
      </c>
      <c r="C128" s="72">
        <f t="shared" si="3"/>
        <v>3</v>
      </c>
      <c r="D128" s="72" t="str">
        <f t="shared" si="4"/>
        <v>13-3</v>
      </c>
      <c r="E128" s="72">
        <v>63099</v>
      </c>
      <c r="F128" s="72" t="str">
        <f t="shared" si="5"/>
        <v>13-63099</v>
      </c>
      <c r="G128" s="391" t="s">
        <v>730</v>
      </c>
      <c r="H128" s="331">
        <v>14366.35</v>
      </c>
      <c r="I128" s="331">
        <v>13209.26</v>
      </c>
      <c r="J128" s="331">
        <v>13601.11</v>
      </c>
      <c r="K128" s="331">
        <v>16172.26</v>
      </c>
      <c r="L128" s="491" t="s">
        <v>29</v>
      </c>
      <c r="M128" s="491" t="s">
        <v>29</v>
      </c>
      <c r="N128" s="491" t="s">
        <v>29</v>
      </c>
      <c r="O128" s="491" t="s">
        <v>29</v>
      </c>
      <c r="P128" s="491">
        <v>0</v>
      </c>
      <c r="Q128" s="491">
        <v>0</v>
      </c>
      <c r="R128" s="491">
        <v>0.91</v>
      </c>
      <c r="S128" s="491">
        <v>5.57</v>
      </c>
      <c r="T128" s="1025" t="b">
        <v>0</v>
      </c>
      <c r="U128" s="491">
        <v>24.2</v>
      </c>
      <c r="V128" s="491">
        <v>16.350000000000001</v>
      </c>
      <c r="W128" s="491">
        <v>13.68</v>
      </c>
      <c r="X128" s="491">
        <v>52.35</v>
      </c>
      <c r="Y128" s="1025" t="b">
        <v>0</v>
      </c>
      <c r="Z128" s="331">
        <v>0</v>
      </c>
      <c r="AA128" s="331">
        <v>0</v>
      </c>
      <c r="AB128" s="331">
        <v>0</v>
      </c>
      <c r="AC128" s="331">
        <v>0</v>
      </c>
      <c r="AD128" s="1025" t="b">
        <v>0</v>
      </c>
      <c r="AE128" s="331">
        <v>1.22</v>
      </c>
      <c r="AF128" s="331">
        <v>0.49</v>
      </c>
      <c r="AG128" s="331">
        <v>0.01</v>
      </c>
      <c r="AH128" s="331">
        <v>2.42</v>
      </c>
      <c r="AI128" s="1025" t="b">
        <v>0</v>
      </c>
      <c r="AJ128" s="331">
        <v>0</v>
      </c>
      <c r="AK128" s="331">
        <v>0</v>
      </c>
      <c r="AL128" s="331">
        <v>0</v>
      </c>
      <c r="AM128" s="331">
        <v>0</v>
      </c>
      <c r="AN128" s="1025" t="b">
        <v>0</v>
      </c>
      <c r="AO128" s="331">
        <v>0</v>
      </c>
      <c r="AP128" s="331">
        <v>0</v>
      </c>
      <c r="AQ128" s="331">
        <v>0</v>
      </c>
      <c r="AR128" s="331">
        <v>0</v>
      </c>
      <c r="AS128" s="1025" t="b">
        <v>0</v>
      </c>
      <c r="AT128" s="1025" t="b">
        <v>0</v>
      </c>
      <c r="AU128" s="331">
        <v>1762047</v>
      </c>
      <c r="AV128" s="491" t="s">
        <v>29</v>
      </c>
    </row>
    <row r="129" spans="1:48">
      <c r="A129" s="72">
        <v>13</v>
      </c>
      <c r="B129" s="391" t="s">
        <v>58</v>
      </c>
      <c r="C129" s="72">
        <f t="shared" si="3"/>
        <v>4</v>
      </c>
      <c r="D129" s="72" t="str">
        <f t="shared" si="4"/>
        <v>13-4</v>
      </c>
      <c r="E129" s="72">
        <v>63107</v>
      </c>
      <c r="F129" s="72" t="str">
        <f t="shared" si="5"/>
        <v>13-63107</v>
      </c>
      <c r="G129" s="391" t="s">
        <v>731</v>
      </c>
      <c r="H129" s="331">
        <v>14180.56</v>
      </c>
      <c r="I129" s="331">
        <v>13038.44</v>
      </c>
      <c r="J129" s="331">
        <v>13425.22</v>
      </c>
      <c r="K129" s="331">
        <v>15963.12</v>
      </c>
      <c r="L129" s="491" t="s">
        <v>29</v>
      </c>
      <c r="M129" s="491" t="s">
        <v>29</v>
      </c>
      <c r="N129" s="491" t="s">
        <v>29</v>
      </c>
      <c r="O129" s="491" t="s">
        <v>29</v>
      </c>
      <c r="P129" s="491">
        <v>0</v>
      </c>
      <c r="Q129" s="491">
        <v>0</v>
      </c>
      <c r="R129" s="491">
        <v>0</v>
      </c>
      <c r="S129" s="491">
        <v>1.19</v>
      </c>
      <c r="T129" s="1025" t="b">
        <v>0</v>
      </c>
      <c r="U129" s="491">
        <v>2.21</v>
      </c>
      <c r="V129" s="491">
        <v>1.44</v>
      </c>
      <c r="W129" s="491">
        <v>0.56000000000000005</v>
      </c>
      <c r="X129" s="491">
        <v>1.9</v>
      </c>
      <c r="Y129" s="1025" t="b">
        <v>0</v>
      </c>
      <c r="Z129" s="331">
        <v>0</v>
      </c>
      <c r="AA129" s="331">
        <v>0</v>
      </c>
      <c r="AB129" s="331">
        <v>0</v>
      </c>
      <c r="AC129" s="331">
        <v>0</v>
      </c>
      <c r="AD129" s="1025" t="b">
        <v>0</v>
      </c>
      <c r="AE129" s="331">
        <v>0.14000000000000001</v>
      </c>
      <c r="AF129" s="331">
        <v>0</v>
      </c>
      <c r="AG129" s="331">
        <v>0</v>
      </c>
      <c r="AH129" s="331">
        <v>0.15</v>
      </c>
      <c r="AI129" s="1025" t="b">
        <v>0</v>
      </c>
      <c r="AJ129" s="331">
        <v>0</v>
      </c>
      <c r="AK129" s="331">
        <v>0</v>
      </c>
      <c r="AL129" s="331">
        <v>0</v>
      </c>
      <c r="AM129" s="331">
        <v>0</v>
      </c>
      <c r="AN129" s="1025" t="b">
        <v>0</v>
      </c>
      <c r="AO129" s="331">
        <v>0</v>
      </c>
      <c r="AP129" s="331">
        <v>0</v>
      </c>
      <c r="AQ129" s="331">
        <v>0</v>
      </c>
      <c r="AR129" s="331">
        <v>0</v>
      </c>
      <c r="AS129" s="1025" t="b">
        <v>0</v>
      </c>
      <c r="AT129" s="1025" t="b">
        <v>0</v>
      </c>
      <c r="AU129" s="331">
        <v>111338</v>
      </c>
      <c r="AV129" s="491" t="s">
        <v>29</v>
      </c>
    </row>
    <row r="130" spans="1:48">
      <c r="A130" s="72">
        <v>13</v>
      </c>
      <c r="B130" s="391" t="s">
        <v>58</v>
      </c>
      <c r="C130" s="72">
        <f t="shared" si="3"/>
        <v>5</v>
      </c>
      <c r="D130" s="72" t="str">
        <f t="shared" si="4"/>
        <v>13-5</v>
      </c>
      <c r="E130" s="72">
        <v>63115</v>
      </c>
      <c r="F130" s="72" t="str">
        <f t="shared" si="5"/>
        <v>13-63115</v>
      </c>
      <c r="G130" s="391" t="s">
        <v>732</v>
      </c>
      <c r="H130" s="331">
        <v>13206.05</v>
      </c>
      <c r="I130" s="331">
        <v>12142.42</v>
      </c>
      <c r="J130" s="331">
        <v>12502.62</v>
      </c>
      <c r="K130" s="331">
        <v>14866.11</v>
      </c>
      <c r="L130" s="491" t="s">
        <v>29</v>
      </c>
      <c r="M130" s="491" t="s">
        <v>29</v>
      </c>
      <c r="N130" s="491" t="s">
        <v>29</v>
      </c>
      <c r="O130" s="491" t="s">
        <v>29</v>
      </c>
      <c r="P130" s="491">
        <v>0</v>
      </c>
      <c r="Q130" s="491">
        <v>0</v>
      </c>
      <c r="R130" s="491">
        <v>0</v>
      </c>
      <c r="S130" s="491">
        <v>3.74</v>
      </c>
      <c r="T130" s="1025" t="b">
        <v>0</v>
      </c>
      <c r="U130" s="491">
        <v>0</v>
      </c>
      <c r="V130" s="491">
        <v>0</v>
      </c>
      <c r="W130" s="491">
        <v>0</v>
      </c>
      <c r="X130" s="491">
        <v>50.77</v>
      </c>
      <c r="Y130" s="1025" t="b">
        <v>0</v>
      </c>
      <c r="Z130" s="331">
        <v>0</v>
      </c>
      <c r="AA130" s="331">
        <v>0</v>
      </c>
      <c r="AB130" s="331">
        <v>0</v>
      </c>
      <c r="AC130" s="331">
        <v>0</v>
      </c>
      <c r="AD130" s="1025" t="b">
        <v>0</v>
      </c>
      <c r="AE130" s="331">
        <v>0</v>
      </c>
      <c r="AF130" s="331">
        <v>0</v>
      </c>
      <c r="AG130" s="331">
        <v>0</v>
      </c>
      <c r="AH130" s="331">
        <v>3.14</v>
      </c>
      <c r="AI130" s="1025" t="b">
        <v>0</v>
      </c>
      <c r="AJ130" s="331">
        <v>0</v>
      </c>
      <c r="AK130" s="331">
        <v>0</v>
      </c>
      <c r="AL130" s="331">
        <v>0</v>
      </c>
      <c r="AM130" s="331">
        <v>0</v>
      </c>
      <c r="AN130" s="1025" t="b">
        <v>0</v>
      </c>
      <c r="AO130" s="331">
        <v>0</v>
      </c>
      <c r="AP130" s="331">
        <v>0</v>
      </c>
      <c r="AQ130" s="331">
        <v>0</v>
      </c>
      <c r="AR130" s="331">
        <v>0</v>
      </c>
      <c r="AS130" s="1025" t="b">
        <v>0</v>
      </c>
      <c r="AT130" s="1025" t="b">
        <v>0</v>
      </c>
      <c r="AU130" s="331">
        <v>857031</v>
      </c>
      <c r="AV130" s="491" t="s">
        <v>29</v>
      </c>
    </row>
    <row r="131" spans="1:48">
      <c r="A131" s="72">
        <v>13</v>
      </c>
      <c r="B131" s="391" t="s">
        <v>58</v>
      </c>
      <c r="C131" s="72">
        <f t="shared" si="3"/>
        <v>6</v>
      </c>
      <c r="D131" s="72" t="str">
        <f t="shared" si="4"/>
        <v>13-6</v>
      </c>
      <c r="E131" s="72">
        <v>63123</v>
      </c>
      <c r="F131" s="72" t="str">
        <f t="shared" si="5"/>
        <v>13-63123</v>
      </c>
      <c r="G131" s="391" t="s">
        <v>733</v>
      </c>
      <c r="H131" s="331">
        <v>14058.43</v>
      </c>
      <c r="I131" s="331">
        <v>12926.14</v>
      </c>
      <c r="J131" s="331">
        <v>13309.59</v>
      </c>
      <c r="K131" s="331">
        <v>15825.63</v>
      </c>
      <c r="L131" s="491" t="s">
        <v>29</v>
      </c>
      <c r="M131" s="491" t="s">
        <v>29</v>
      </c>
      <c r="N131" s="491" t="s">
        <v>29</v>
      </c>
      <c r="O131" s="491" t="s">
        <v>29</v>
      </c>
      <c r="P131" s="491">
        <v>0</v>
      </c>
      <c r="Q131" s="491">
        <v>0</v>
      </c>
      <c r="R131" s="491">
        <v>0.17</v>
      </c>
      <c r="S131" s="491">
        <v>0</v>
      </c>
      <c r="T131" s="1025" t="b">
        <v>0</v>
      </c>
      <c r="U131" s="491">
        <v>31.98</v>
      </c>
      <c r="V131" s="491">
        <v>25.79</v>
      </c>
      <c r="W131" s="491">
        <v>12.92</v>
      </c>
      <c r="X131" s="491">
        <v>0</v>
      </c>
      <c r="Y131" s="1025" t="b">
        <v>0</v>
      </c>
      <c r="Z131" s="331">
        <v>0</v>
      </c>
      <c r="AA131" s="331">
        <v>0</v>
      </c>
      <c r="AB131" s="331">
        <v>0</v>
      </c>
      <c r="AC131" s="331">
        <v>0</v>
      </c>
      <c r="AD131" s="1025" t="b">
        <v>0</v>
      </c>
      <c r="AE131" s="331">
        <v>1.85</v>
      </c>
      <c r="AF131" s="331">
        <v>1.3</v>
      </c>
      <c r="AG131" s="331">
        <v>0.39</v>
      </c>
      <c r="AH131" s="331">
        <v>0</v>
      </c>
      <c r="AI131" s="1025" t="b">
        <v>0</v>
      </c>
      <c r="AJ131" s="331">
        <v>0</v>
      </c>
      <c r="AK131" s="331">
        <v>0</v>
      </c>
      <c r="AL131" s="331">
        <v>0</v>
      </c>
      <c r="AM131" s="331">
        <v>0</v>
      </c>
      <c r="AN131" s="1025" t="b">
        <v>0</v>
      </c>
      <c r="AO131" s="331">
        <v>0</v>
      </c>
      <c r="AP131" s="331">
        <v>0</v>
      </c>
      <c r="AQ131" s="331">
        <v>0</v>
      </c>
      <c r="AR131" s="331">
        <v>0</v>
      </c>
      <c r="AS131" s="1025" t="b">
        <v>0</v>
      </c>
      <c r="AT131" s="1025" t="b">
        <v>0</v>
      </c>
      <c r="AU131" s="331">
        <v>1005179</v>
      </c>
      <c r="AV131" s="491" t="s">
        <v>29</v>
      </c>
    </row>
    <row r="132" spans="1:48">
      <c r="A132" s="72">
        <v>13</v>
      </c>
      <c r="B132" s="391" t="s">
        <v>58</v>
      </c>
      <c r="C132" s="72">
        <f t="shared" si="3"/>
        <v>7</v>
      </c>
      <c r="D132" s="72" t="str">
        <f t="shared" si="4"/>
        <v>13-7</v>
      </c>
      <c r="E132" s="72">
        <v>63131</v>
      </c>
      <c r="F132" s="72" t="str">
        <f t="shared" si="5"/>
        <v>13-63131</v>
      </c>
      <c r="G132" s="391" t="s">
        <v>734</v>
      </c>
      <c r="H132" s="331">
        <v>13581.92</v>
      </c>
      <c r="I132" s="331">
        <v>12488.01</v>
      </c>
      <c r="J132" s="331">
        <v>12858.47</v>
      </c>
      <c r="K132" s="331">
        <v>15289.23</v>
      </c>
      <c r="L132" s="491" t="s">
        <v>29</v>
      </c>
      <c r="M132" s="491" t="s">
        <v>29</v>
      </c>
      <c r="N132" s="491" t="s">
        <v>29</v>
      </c>
      <c r="O132" s="491" t="s">
        <v>29</v>
      </c>
      <c r="P132" s="491">
        <v>0</v>
      </c>
      <c r="Q132" s="491">
        <v>0</v>
      </c>
      <c r="R132" s="491">
        <v>0</v>
      </c>
      <c r="S132" s="491">
        <v>0</v>
      </c>
      <c r="T132" s="1025" t="b">
        <v>0</v>
      </c>
      <c r="U132" s="491">
        <v>5.21</v>
      </c>
      <c r="V132" s="491">
        <v>0.97</v>
      </c>
      <c r="W132" s="491">
        <v>0.87</v>
      </c>
      <c r="X132" s="491">
        <v>0</v>
      </c>
      <c r="Y132" s="1025" t="b">
        <v>0</v>
      </c>
      <c r="Z132" s="331">
        <v>0</v>
      </c>
      <c r="AA132" s="331">
        <v>0</v>
      </c>
      <c r="AB132" s="331">
        <v>0</v>
      </c>
      <c r="AC132" s="331">
        <v>0</v>
      </c>
      <c r="AD132" s="1025" t="b">
        <v>0</v>
      </c>
      <c r="AE132" s="331">
        <v>0.35</v>
      </c>
      <c r="AF132" s="331">
        <v>0</v>
      </c>
      <c r="AG132" s="331">
        <v>0</v>
      </c>
      <c r="AH132" s="331">
        <v>0</v>
      </c>
      <c r="AI132" s="1025" t="b">
        <v>0</v>
      </c>
      <c r="AJ132" s="331">
        <v>0</v>
      </c>
      <c r="AK132" s="331">
        <v>0</v>
      </c>
      <c r="AL132" s="331">
        <v>0</v>
      </c>
      <c r="AM132" s="331">
        <v>0</v>
      </c>
      <c r="AN132" s="1025" t="b">
        <v>0</v>
      </c>
      <c r="AO132" s="331">
        <v>0</v>
      </c>
      <c r="AP132" s="331">
        <v>0</v>
      </c>
      <c r="AQ132" s="331">
        <v>0</v>
      </c>
      <c r="AR132" s="331">
        <v>0</v>
      </c>
      <c r="AS132" s="1025" t="b">
        <v>0</v>
      </c>
      <c r="AT132" s="1025" t="b">
        <v>0</v>
      </c>
      <c r="AU132" s="331">
        <v>98815</v>
      </c>
      <c r="AV132" s="491" t="s">
        <v>29</v>
      </c>
    </row>
    <row r="133" spans="1:48">
      <c r="A133" s="72">
        <v>13</v>
      </c>
      <c r="B133" s="391" t="s">
        <v>58</v>
      </c>
      <c r="C133" s="72">
        <f t="shared" si="3"/>
        <v>8</v>
      </c>
      <c r="D133" s="72" t="str">
        <f t="shared" si="4"/>
        <v>13-8</v>
      </c>
      <c r="E133" s="72">
        <v>63149</v>
      </c>
      <c r="F133" s="72" t="str">
        <f t="shared" si="5"/>
        <v>13-63149</v>
      </c>
      <c r="G133" s="391" t="s">
        <v>735</v>
      </c>
      <c r="H133" s="331">
        <v>13470.11</v>
      </c>
      <c r="I133" s="331">
        <v>12385.21</v>
      </c>
      <c r="J133" s="331">
        <v>12752.61</v>
      </c>
      <c r="K133" s="331">
        <v>15163.36</v>
      </c>
      <c r="L133" s="491" t="s">
        <v>29</v>
      </c>
      <c r="M133" s="491" t="s">
        <v>29</v>
      </c>
      <c r="N133" s="491" t="s">
        <v>29</v>
      </c>
      <c r="O133" s="491" t="s">
        <v>29</v>
      </c>
      <c r="P133" s="491">
        <v>0</v>
      </c>
      <c r="Q133" s="491">
        <v>0</v>
      </c>
      <c r="R133" s="491">
        <v>0.97</v>
      </c>
      <c r="S133" s="491">
        <v>3.8</v>
      </c>
      <c r="T133" s="1025" t="b">
        <v>0</v>
      </c>
      <c r="U133" s="491">
        <v>2.59</v>
      </c>
      <c r="V133" s="491">
        <v>1.67</v>
      </c>
      <c r="W133" s="491">
        <v>1.79</v>
      </c>
      <c r="X133" s="491">
        <v>1.97</v>
      </c>
      <c r="Y133" s="1025" t="b">
        <v>0</v>
      </c>
      <c r="Z133" s="331">
        <v>0</v>
      </c>
      <c r="AA133" s="331">
        <v>0</v>
      </c>
      <c r="AB133" s="331">
        <v>0</v>
      </c>
      <c r="AC133" s="331">
        <v>0</v>
      </c>
      <c r="AD133" s="1025" t="b">
        <v>0</v>
      </c>
      <c r="AE133" s="331">
        <v>0.1</v>
      </c>
      <c r="AF133" s="331">
        <v>0.28999999999999998</v>
      </c>
      <c r="AG133" s="331">
        <v>0.08</v>
      </c>
      <c r="AH133" s="331">
        <v>0</v>
      </c>
      <c r="AI133" s="1025" t="b">
        <v>0</v>
      </c>
      <c r="AJ133" s="331">
        <v>0</v>
      </c>
      <c r="AK133" s="331">
        <v>0</v>
      </c>
      <c r="AL133" s="331">
        <v>0</v>
      </c>
      <c r="AM133" s="331">
        <v>0</v>
      </c>
      <c r="AN133" s="1025" t="b">
        <v>0</v>
      </c>
      <c r="AO133" s="331">
        <v>0</v>
      </c>
      <c r="AP133" s="331">
        <v>0</v>
      </c>
      <c r="AQ133" s="331">
        <v>0</v>
      </c>
      <c r="AR133" s="331">
        <v>0</v>
      </c>
      <c r="AS133" s="1025" t="b">
        <v>0</v>
      </c>
      <c r="AT133" s="1025" t="b">
        <v>0</v>
      </c>
      <c r="AU133" s="331">
        <v>184220</v>
      </c>
      <c r="AV133" s="491" t="s">
        <v>29</v>
      </c>
    </row>
    <row r="134" spans="1:48">
      <c r="A134" s="72">
        <v>13</v>
      </c>
      <c r="B134" s="391" t="s">
        <v>58</v>
      </c>
      <c r="C134" s="72">
        <f t="shared" ref="C134:C197" si="6">IF(E134="N/A",0,IF(A133&lt;&gt;A134,1,C133+1))</f>
        <v>9</v>
      </c>
      <c r="D134" s="72" t="str">
        <f t="shared" ref="D134:D197" si="7">A134&amp;"-"&amp;C134</f>
        <v>13-9</v>
      </c>
      <c r="E134" s="72">
        <v>63164</v>
      </c>
      <c r="F134" s="72" t="str">
        <f t="shared" si="5"/>
        <v>13-63164</v>
      </c>
      <c r="G134" s="391" t="s">
        <v>736</v>
      </c>
      <c r="H134" s="331">
        <v>11837.61</v>
      </c>
      <c r="I134" s="331">
        <v>10884.19</v>
      </c>
      <c r="J134" s="331">
        <v>11207.07</v>
      </c>
      <c r="K134" s="331">
        <v>13325.65</v>
      </c>
      <c r="L134" s="491" t="s">
        <v>29</v>
      </c>
      <c r="M134" s="491" t="s">
        <v>29</v>
      </c>
      <c r="N134" s="491" t="s">
        <v>29</v>
      </c>
      <c r="O134" s="491" t="s">
        <v>29</v>
      </c>
      <c r="P134" s="491">
        <v>0</v>
      </c>
      <c r="Q134" s="491">
        <v>0</v>
      </c>
      <c r="R134" s="491">
        <v>0.97</v>
      </c>
      <c r="S134" s="491">
        <v>0.11</v>
      </c>
      <c r="T134" s="1025" t="b">
        <v>0</v>
      </c>
      <c r="U134" s="491">
        <v>19.91</v>
      </c>
      <c r="V134" s="491">
        <v>10.76</v>
      </c>
      <c r="W134" s="491">
        <v>8.5399999999999991</v>
      </c>
      <c r="X134" s="491">
        <v>19.34</v>
      </c>
      <c r="Y134" s="1025" t="b">
        <v>0</v>
      </c>
      <c r="Z134" s="331">
        <v>0</v>
      </c>
      <c r="AA134" s="331">
        <v>0</v>
      </c>
      <c r="AB134" s="331">
        <v>0</v>
      </c>
      <c r="AC134" s="331">
        <v>0</v>
      </c>
      <c r="AD134" s="1025" t="b">
        <v>0</v>
      </c>
      <c r="AE134" s="331">
        <v>1.01</v>
      </c>
      <c r="AF134" s="331">
        <v>0.44</v>
      </c>
      <c r="AG134" s="331">
        <v>0.3</v>
      </c>
      <c r="AH134" s="331">
        <v>0.97</v>
      </c>
      <c r="AI134" s="1025" t="b">
        <v>0</v>
      </c>
      <c r="AJ134" s="331">
        <v>0</v>
      </c>
      <c r="AK134" s="331">
        <v>0</v>
      </c>
      <c r="AL134" s="331">
        <v>0</v>
      </c>
      <c r="AM134" s="331">
        <v>0</v>
      </c>
      <c r="AN134" s="1025" t="b">
        <v>0</v>
      </c>
      <c r="AO134" s="331">
        <v>0</v>
      </c>
      <c r="AP134" s="331">
        <v>0</v>
      </c>
      <c r="AQ134" s="331">
        <v>0</v>
      </c>
      <c r="AR134" s="331">
        <v>0</v>
      </c>
      <c r="AS134" s="1025" t="b">
        <v>0</v>
      </c>
      <c r="AT134" s="1025" t="b">
        <v>0</v>
      </c>
      <c r="AU134" s="331">
        <v>751597</v>
      </c>
      <c r="AV134" s="491" t="s">
        <v>29</v>
      </c>
    </row>
    <row r="135" spans="1:48">
      <c r="A135" s="72">
        <v>13</v>
      </c>
      <c r="B135" s="391" t="s">
        <v>58</v>
      </c>
      <c r="C135" s="72">
        <f t="shared" si="6"/>
        <v>10</v>
      </c>
      <c r="D135" s="72" t="str">
        <f t="shared" si="7"/>
        <v>13-10</v>
      </c>
      <c r="E135" s="72">
        <v>63180</v>
      </c>
      <c r="F135" s="72" t="str">
        <f t="shared" ref="F135:F198" si="8">A135&amp;"-"&amp;E135</f>
        <v>13-63180</v>
      </c>
      <c r="G135" s="391" t="s">
        <v>737</v>
      </c>
      <c r="H135" s="331">
        <v>10959.48</v>
      </c>
      <c r="I135" s="331">
        <v>10076.790000000001</v>
      </c>
      <c r="J135" s="331">
        <v>10375.709999999999</v>
      </c>
      <c r="K135" s="331">
        <v>12337.14</v>
      </c>
      <c r="L135" s="491" t="s">
        <v>29</v>
      </c>
      <c r="M135" s="491" t="s">
        <v>29</v>
      </c>
      <c r="N135" s="491" t="s">
        <v>29</v>
      </c>
      <c r="O135" s="491" t="s">
        <v>29</v>
      </c>
      <c r="P135" s="491">
        <v>0</v>
      </c>
      <c r="Q135" s="491">
        <v>0</v>
      </c>
      <c r="R135" s="491">
        <v>0</v>
      </c>
      <c r="S135" s="491">
        <v>0</v>
      </c>
      <c r="T135" s="1025" t="b">
        <v>0</v>
      </c>
      <c r="U135" s="491">
        <v>2.37</v>
      </c>
      <c r="V135" s="491">
        <v>3.85</v>
      </c>
      <c r="W135" s="491">
        <v>2.76</v>
      </c>
      <c r="X135" s="491">
        <v>0</v>
      </c>
      <c r="Y135" s="1025" t="b">
        <v>0</v>
      </c>
      <c r="Z135" s="331">
        <v>0</v>
      </c>
      <c r="AA135" s="331">
        <v>0</v>
      </c>
      <c r="AB135" s="331">
        <v>0</v>
      </c>
      <c r="AC135" s="331">
        <v>0</v>
      </c>
      <c r="AD135" s="1025" t="b">
        <v>0</v>
      </c>
      <c r="AE135" s="331">
        <v>0.17</v>
      </c>
      <c r="AF135" s="331">
        <v>0.11</v>
      </c>
      <c r="AG135" s="331">
        <v>0.21</v>
      </c>
      <c r="AH135" s="331">
        <v>0</v>
      </c>
      <c r="AI135" s="1025" t="b">
        <v>0</v>
      </c>
      <c r="AJ135" s="331">
        <v>0</v>
      </c>
      <c r="AK135" s="331">
        <v>0</v>
      </c>
      <c r="AL135" s="331">
        <v>0</v>
      </c>
      <c r="AM135" s="331">
        <v>0</v>
      </c>
      <c r="AN135" s="1025" t="b">
        <v>0</v>
      </c>
      <c r="AO135" s="331">
        <v>0</v>
      </c>
      <c r="AP135" s="331">
        <v>0</v>
      </c>
      <c r="AQ135" s="331">
        <v>0</v>
      </c>
      <c r="AR135" s="331">
        <v>0</v>
      </c>
      <c r="AS135" s="1025" t="b">
        <v>0</v>
      </c>
      <c r="AT135" s="1025" t="b">
        <v>0</v>
      </c>
      <c r="AU135" s="331">
        <v>98557</v>
      </c>
      <c r="AV135" s="491" t="s">
        <v>29</v>
      </c>
    </row>
    <row r="136" spans="1:48">
      <c r="A136" s="72">
        <v>13</v>
      </c>
      <c r="B136" s="391" t="s">
        <v>58</v>
      </c>
      <c r="C136" s="72">
        <f t="shared" si="6"/>
        <v>11</v>
      </c>
      <c r="D136" s="72" t="str">
        <f t="shared" si="7"/>
        <v>13-11</v>
      </c>
      <c r="E136" s="72">
        <v>63198</v>
      </c>
      <c r="F136" s="72" t="str">
        <f t="shared" si="8"/>
        <v>13-63198</v>
      </c>
      <c r="G136" s="391" t="s">
        <v>738</v>
      </c>
      <c r="H136" s="331">
        <v>13917.37</v>
      </c>
      <c r="I136" s="331">
        <v>12796.44</v>
      </c>
      <c r="J136" s="331">
        <v>13176.04</v>
      </c>
      <c r="K136" s="331">
        <v>15666.84</v>
      </c>
      <c r="L136" s="491" t="s">
        <v>29</v>
      </c>
      <c r="M136" s="491" t="s">
        <v>29</v>
      </c>
      <c r="N136" s="491" t="s">
        <v>29</v>
      </c>
      <c r="O136" s="491" t="s">
        <v>29</v>
      </c>
      <c r="P136" s="491">
        <v>0</v>
      </c>
      <c r="Q136" s="491">
        <v>0</v>
      </c>
      <c r="R136" s="491">
        <v>0.47</v>
      </c>
      <c r="S136" s="491">
        <v>0</v>
      </c>
      <c r="T136" s="1025" t="b">
        <v>0</v>
      </c>
      <c r="U136" s="491">
        <v>1.65</v>
      </c>
      <c r="V136" s="491">
        <v>0.97</v>
      </c>
      <c r="W136" s="491">
        <v>0.82</v>
      </c>
      <c r="X136" s="491">
        <v>0</v>
      </c>
      <c r="Y136" s="1025" t="b">
        <v>0</v>
      </c>
      <c r="Z136" s="331">
        <v>0</v>
      </c>
      <c r="AA136" s="331">
        <v>0</v>
      </c>
      <c r="AB136" s="331">
        <v>0</v>
      </c>
      <c r="AC136" s="331">
        <v>0</v>
      </c>
      <c r="AD136" s="1025" t="b">
        <v>0</v>
      </c>
      <c r="AE136" s="331">
        <v>7.0000000000000007E-2</v>
      </c>
      <c r="AF136" s="331">
        <v>0.11</v>
      </c>
      <c r="AG136" s="331">
        <v>0</v>
      </c>
      <c r="AH136" s="331">
        <v>0</v>
      </c>
      <c r="AI136" s="1025" t="b">
        <v>0</v>
      </c>
      <c r="AJ136" s="331">
        <v>0</v>
      </c>
      <c r="AK136" s="331">
        <v>0</v>
      </c>
      <c r="AL136" s="331">
        <v>0</v>
      </c>
      <c r="AM136" s="331">
        <v>0</v>
      </c>
      <c r="AN136" s="1025" t="b">
        <v>0</v>
      </c>
      <c r="AO136" s="331">
        <v>0</v>
      </c>
      <c r="AP136" s="331">
        <v>0</v>
      </c>
      <c r="AQ136" s="331">
        <v>0</v>
      </c>
      <c r="AR136" s="331">
        <v>0</v>
      </c>
      <c r="AS136" s="1025" t="b">
        <v>0</v>
      </c>
      <c r="AT136" s="1025" t="b">
        <v>0</v>
      </c>
      <c r="AU136" s="331">
        <v>54755</v>
      </c>
      <c r="AV136" s="491" t="s">
        <v>29</v>
      </c>
    </row>
    <row r="137" spans="1:48">
      <c r="A137" s="72">
        <v>13</v>
      </c>
      <c r="B137" s="391" t="s">
        <v>58</v>
      </c>
      <c r="C137" s="72">
        <f t="shared" si="6"/>
        <v>12</v>
      </c>
      <c r="D137" s="72" t="str">
        <f t="shared" si="7"/>
        <v>13-12</v>
      </c>
      <c r="E137" s="72">
        <v>63214</v>
      </c>
      <c r="F137" s="72" t="str">
        <f t="shared" si="8"/>
        <v>13-63214</v>
      </c>
      <c r="G137" s="391" t="s">
        <v>739</v>
      </c>
      <c r="H137" s="331">
        <v>14426.56</v>
      </c>
      <c r="I137" s="331">
        <v>13264.62</v>
      </c>
      <c r="J137" s="331">
        <v>13658.11</v>
      </c>
      <c r="K137" s="331">
        <v>16240.03</v>
      </c>
      <c r="L137" s="491" t="s">
        <v>29</v>
      </c>
      <c r="M137" s="491" t="s">
        <v>29</v>
      </c>
      <c r="N137" s="491" t="s">
        <v>29</v>
      </c>
      <c r="O137" s="491" t="s">
        <v>29</v>
      </c>
      <c r="P137" s="491">
        <v>0</v>
      </c>
      <c r="Q137" s="491">
        <v>0</v>
      </c>
      <c r="R137" s="491">
        <v>0</v>
      </c>
      <c r="S137" s="491">
        <v>0</v>
      </c>
      <c r="T137" s="1025" t="b">
        <v>0</v>
      </c>
      <c r="U137" s="491">
        <v>0</v>
      </c>
      <c r="V137" s="491">
        <v>0</v>
      </c>
      <c r="W137" s="491">
        <v>0</v>
      </c>
      <c r="X137" s="491">
        <v>0.75</v>
      </c>
      <c r="Y137" s="1025" t="b">
        <v>0</v>
      </c>
      <c r="Z137" s="331">
        <v>0</v>
      </c>
      <c r="AA137" s="331">
        <v>0</v>
      </c>
      <c r="AB137" s="331">
        <v>0</v>
      </c>
      <c r="AC137" s="331">
        <v>0</v>
      </c>
      <c r="AD137" s="1025" t="b">
        <v>0</v>
      </c>
      <c r="AE137" s="331">
        <v>0</v>
      </c>
      <c r="AF137" s="331">
        <v>0</v>
      </c>
      <c r="AG137" s="331">
        <v>0</v>
      </c>
      <c r="AH137" s="331">
        <v>0.1</v>
      </c>
      <c r="AI137" s="1025" t="b">
        <v>0</v>
      </c>
      <c r="AJ137" s="331">
        <v>0</v>
      </c>
      <c r="AK137" s="331">
        <v>0</v>
      </c>
      <c r="AL137" s="331">
        <v>0</v>
      </c>
      <c r="AM137" s="331">
        <v>0</v>
      </c>
      <c r="AN137" s="1025" t="b">
        <v>0</v>
      </c>
      <c r="AO137" s="331">
        <v>0</v>
      </c>
      <c r="AP137" s="331">
        <v>0</v>
      </c>
      <c r="AQ137" s="331">
        <v>0</v>
      </c>
      <c r="AR137" s="331">
        <v>0</v>
      </c>
      <c r="AS137" s="1025" t="b">
        <v>0</v>
      </c>
      <c r="AT137" s="1025" t="b">
        <v>0</v>
      </c>
      <c r="AU137" s="331">
        <v>13804</v>
      </c>
      <c r="AV137" s="491" t="s">
        <v>29</v>
      </c>
    </row>
    <row r="138" spans="1:48">
      <c r="A138" s="72">
        <v>13</v>
      </c>
      <c r="B138" s="391" t="s">
        <v>58</v>
      </c>
      <c r="C138" s="72">
        <f t="shared" si="6"/>
        <v>13</v>
      </c>
      <c r="D138" s="72" t="str">
        <f t="shared" si="7"/>
        <v>13-13</v>
      </c>
      <c r="E138" s="72">
        <v>63222</v>
      </c>
      <c r="F138" s="72" t="str">
        <f t="shared" si="8"/>
        <v>13-63222</v>
      </c>
      <c r="G138" s="391" t="s">
        <v>740</v>
      </c>
      <c r="H138" s="331">
        <v>14629.54</v>
      </c>
      <c r="I138" s="331">
        <v>13451.26</v>
      </c>
      <c r="J138" s="331">
        <v>13850.29</v>
      </c>
      <c r="K138" s="331">
        <v>16468.54</v>
      </c>
      <c r="L138" s="491" t="s">
        <v>29</v>
      </c>
      <c r="M138" s="491" t="s">
        <v>29</v>
      </c>
      <c r="N138" s="491" t="s">
        <v>29</v>
      </c>
      <c r="O138" s="491" t="s">
        <v>29</v>
      </c>
      <c r="P138" s="491">
        <v>0</v>
      </c>
      <c r="Q138" s="491">
        <v>0</v>
      </c>
      <c r="R138" s="491">
        <v>0</v>
      </c>
      <c r="S138" s="491">
        <v>0</v>
      </c>
      <c r="T138" s="1025" t="b">
        <v>0</v>
      </c>
      <c r="U138" s="491">
        <v>3.64</v>
      </c>
      <c r="V138" s="491">
        <v>0.95</v>
      </c>
      <c r="W138" s="491">
        <v>0</v>
      </c>
      <c r="X138" s="491">
        <v>0</v>
      </c>
      <c r="Y138" s="1025" t="b">
        <v>0</v>
      </c>
      <c r="Z138" s="331">
        <v>0</v>
      </c>
      <c r="AA138" s="331">
        <v>0</v>
      </c>
      <c r="AB138" s="331">
        <v>0</v>
      </c>
      <c r="AC138" s="331">
        <v>0</v>
      </c>
      <c r="AD138" s="1025" t="b">
        <v>0</v>
      </c>
      <c r="AE138" s="331">
        <v>0.21</v>
      </c>
      <c r="AF138" s="331">
        <v>0</v>
      </c>
      <c r="AG138" s="331">
        <v>0</v>
      </c>
      <c r="AH138" s="331">
        <v>0</v>
      </c>
      <c r="AI138" s="1025" t="b">
        <v>0</v>
      </c>
      <c r="AJ138" s="331">
        <v>0</v>
      </c>
      <c r="AK138" s="331">
        <v>0</v>
      </c>
      <c r="AL138" s="331">
        <v>0</v>
      </c>
      <c r="AM138" s="331">
        <v>0</v>
      </c>
      <c r="AN138" s="1025" t="b">
        <v>0</v>
      </c>
      <c r="AO138" s="331">
        <v>0</v>
      </c>
      <c r="AP138" s="331">
        <v>0</v>
      </c>
      <c r="AQ138" s="331">
        <v>0</v>
      </c>
      <c r="AR138" s="331">
        <v>0</v>
      </c>
      <c r="AS138" s="1025" t="b">
        <v>0</v>
      </c>
      <c r="AT138" s="1025" t="b">
        <v>0</v>
      </c>
      <c r="AU138" s="331">
        <v>69103</v>
      </c>
      <c r="AV138" s="491" t="s">
        <v>29</v>
      </c>
    </row>
    <row r="139" spans="1:48">
      <c r="A139" s="72">
        <v>13</v>
      </c>
      <c r="B139" s="391" t="s">
        <v>58</v>
      </c>
      <c r="C139" s="72">
        <f t="shared" si="6"/>
        <v>14</v>
      </c>
      <c r="D139" s="72" t="str">
        <f t="shared" si="7"/>
        <v>13-14</v>
      </c>
      <c r="E139" s="72">
        <v>63230</v>
      </c>
      <c r="F139" s="72" t="str">
        <f t="shared" si="8"/>
        <v>13-63230</v>
      </c>
      <c r="G139" s="391" t="s">
        <v>741</v>
      </c>
      <c r="H139" s="331">
        <v>14821.35</v>
      </c>
      <c r="I139" s="331">
        <v>13627.62</v>
      </c>
      <c r="J139" s="331">
        <v>14031.87</v>
      </c>
      <c r="K139" s="331">
        <v>16684.45</v>
      </c>
      <c r="L139" s="491" t="s">
        <v>29</v>
      </c>
      <c r="M139" s="491" t="s">
        <v>29</v>
      </c>
      <c r="N139" s="491" t="s">
        <v>29</v>
      </c>
      <c r="O139" s="491" t="s">
        <v>29</v>
      </c>
      <c r="P139" s="491">
        <v>0</v>
      </c>
      <c r="Q139" s="491">
        <v>0</v>
      </c>
      <c r="R139" s="491">
        <v>0</v>
      </c>
      <c r="S139" s="491">
        <v>0</v>
      </c>
      <c r="T139" s="1025" t="b">
        <v>0</v>
      </c>
      <c r="U139" s="491">
        <v>0.39</v>
      </c>
      <c r="V139" s="491">
        <v>0.83</v>
      </c>
      <c r="W139" s="491">
        <v>0.16</v>
      </c>
      <c r="X139" s="491">
        <v>0</v>
      </c>
      <c r="Y139" s="1025" t="b">
        <v>0</v>
      </c>
      <c r="Z139" s="331">
        <v>0</v>
      </c>
      <c r="AA139" s="331">
        <v>0</v>
      </c>
      <c r="AB139" s="331">
        <v>0</v>
      </c>
      <c r="AC139" s="331">
        <v>0</v>
      </c>
      <c r="AD139" s="1025" t="b">
        <v>0</v>
      </c>
      <c r="AE139" s="331">
        <v>0.11</v>
      </c>
      <c r="AF139" s="331">
        <v>7.0000000000000007E-2</v>
      </c>
      <c r="AG139" s="331">
        <v>0.2</v>
      </c>
      <c r="AH139" s="331">
        <v>0</v>
      </c>
      <c r="AI139" s="1025" t="b">
        <v>0</v>
      </c>
      <c r="AJ139" s="331">
        <v>0</v>
      </c>
      <c r="AK139" s="331">
        <v>0</v>
      </c>
      <c r="AL139" s="331">
        <v>0</v>
      </c>
      <c r="AM139" s="331">
        <v>0</v>
      </c>
      <c r="AN139" s="1025" t="b">
        <v>0</v>
      </c>
      <c r="AO139" s="331">
        <v>0</v>
      </c>
      <c r="AP139" s="331">
        <v>0</v>
      </c>
      <c r="AQ139" s="331">
        <v>0</v>
      </c>
      <c r="AR139" s="331">
        <v>0</v>
      </c>
      <c r="AS139" s="1025" t="b">
        <v>0</v>
      </c>
      <c r="AT139" s="1025" t="b">
        <v>0</v>
      </c>
      <c r="AU139" s="331">
        <v>24727</v>
      </c>
      <c r="AV139" s="491" t="s">
        <v>29</v>
      </c>
    </row>
    <row r="140" spans="1:48">
      <c r="A140" s="72">
        <v>13</v>
      </c>
      <c r="B140" s="391" t="s">
        <v>58</v>
      </c>
      <c r="C140" s="72">
        <f t="shared" si="6"/>
        <v>0</v>
      </c>
      <c r="D140" s="72" t="str">
        <f t="shared" si="7"/>
        <v>13-0</v>
      </c>
      <c r="E140" s="72" t="s">
        <v>29</v>
      </c>
      <c r="F140" s="72" t="str">
        <f t="shared" si="8"/>
        <v>13-N/A</v>
      </c>
      <c r="G140" s="391" t="s">
        <v>29</v>
      </c>
      <c r="H140" s="491" t="s">
        <v>29</v>
      </c>
      <c r="I140" s="491" t="s">
        <v>29</v>
      </c>
      <c r="J140" s="491" t="s">
        <v>29</v>
      </c>
      <c r="K140" s="491" t="s">
        <v>29</v>
      </c>
      <c r="L140" s="491" t="s">
        <v>29</v>
      </c>
      <c r="M140" s="491" t="s">
        <v>29</v>
      </c>
      <c r="N140" s="491" t="s">
        <v>29</v>
      </c>
      <c r="O140" s="491" t="s">
        <v>29</v>
      </c>
      <c r="P140" s="491" t="s">
        <v>29</v>
      </c>
      <c r="Q140" s="491" t="s">
        <v>29</v>
      </c>
      <c r="R140" s="491" t="s">
        <v>29</v>
      </c>
      <c r="S140" s="491" t="s">
        <v>29</v>
      </c>
      <c r="T140" s="1025" t="s">
        <v>29</v>
      </c>
      <c r="U140" s="491" t="s">
        <v>29</v>
      </c>
      <c r="V140" s="491" t="s">
        <v>29</v>
      </c>
      <c r="W140" s="491" t="s">
        <v>29</v>
      </c>
      <c r="X140" s="491" t="s">
        <v>29</v>
      </c>
      <c r="Y140" s="1025" t="s">
        <v>29</v>
      </c>
      <c r="Z140" s="491" t="s">
        <v>29</v>
      </c>
      <c r="AA140" s="491" t="s">
        <v>29</v>
      </c>
      <c r="AB140" s="491" t="s">
        <v>29</v>
      </c>
      <c r="AC140" s="491" t="s">
        <v>29</v>
      </c>
      <c r="AD140" s="1025" t="s">
        <v>29</v>
      </c>
      <c r="AE140" s="491" t="s">
        <v>29</v>
      </c>
      <c r="AF140" s="491" t="s">
        <v>29</v>
      </c>
      <c r="AG140" s="491" t="s">
        <v>29</v>
      </c>
      <c r="AH140" s="491" t="s">
        <v>29</v>
      </c>
      <c r="AI140" s="1025" t="s">
        <v>29</v>
      </c>
      <c r="AJ140" s="491" t="s">
        <v>29</v>
      </c>
      <c r="AK140" s="491" t="s">
        <v>29</v>
      </c>
      <c r="AL140" s="491" t="s">
        <v>29</v>
      </c>
      <c r="AM140" s="491" t="s">
        <v>29</v>
      </c>
      <c r="AN140" s="1025" t="s">
        <v>29</v>
      </c>
      <c r="AO140" s="491" t="s">
        <v>29</v>
      </c>
      <c r="AP140" s="491" t="s">
        <v>29</v>
      </c>
      <c r="AQ140" s="491" t="s">
        <v>29</v>
      </c>
      <c r="AR140" s="491" t="s">
        <v>29</v>
      </c>
      <c r="AS140" s="1025" t="s">
        <v>29</v>
      </c>
      <c r="AT140" s="1025" t="s">
        <v>29</v>
      </c>
      <c r="AU140" s="491" t="s">
        <v>29</v>
      </c>
      <c r="AV140" s="491">
        <v>6136534</v>
      </c>
    </row>
    <row r="141" spans="1:48">
      <c r="A141" s="72">
        <v>14</v>
      </c>
      <c r="B141" s="391" t="s">
        <v>36</v>
      </c>
      <c r="C141" s="72">
        <f t="shared" si="6"/>
        <v>1</v>
      </c>
      <c r="D141" s="72" t="str">
        <f t="shared" si="7"/>
        <v>14-1</v>
      </c>
      <c r="E141" s="72">
        <v>76687</v>
      </c>
      <c r="F141" s="72" t="str">
        <f t="shared" si="8"/>
        <v>14-76687</v>
      </c>
      <c r="G141" s="391" t="s">
        <v>742</v>
      </c>
      <c r="H141" s="491">
        <v>11446.26</v>
      </c>
      <c r="I141" s="491">
        <v>10524.36</v>
      </c>
      <c r="J141" s="491">
        <v>10836.56</v>
      </c>
      <c r="K141" s="491">
        <v>12885.1</v>
      </c>
      <c r="L141" s="491" t="s">
        <v>29</v>
      </c>
      <c r="M141" s="491" t="s">
        <v>29</v>
      </c>
      <c r="N141" s="491" t="s">
        <v>29</v>
      </c>
      <c r="O141" s="491" t="s">
        <v>29</v>
      </c>
      <c r="P141" s="491">
        <v>0</v>
      </c>
      <c r="Q141" s="491">
        <v>0</v>
      </c>
      <c r="R141" s="491">
        <v>0.24</v>
      </c>
      <c r="S141" s="491">
        <v>0</v>
      </c>
      <c r="T141" s="1025" t="b">
        <v>0</v>
      </c>
      <c r="U141" s="491">
        <v>0</v>
      </c>
      <c r="V141" s="491">
        <v>0</v>
      </c>
      <c r="W141" s="491">
        <v>0</v>
      </c>
      <c r="X141" s="491">
        <v>0</v>
      </c>
      <c r="Y141" s="1025" t="b">
        <v>0</v>
      </c>
      <c r="Z141" s="491">
        <v>0</v>
      </c>
      <c r="AA141" s="491">
        <v>0</v>
      </c>
      <c r="AB141" s="491">
        <v>0</v>
      </c>
      <c r="AC141" s="491">
        <v>0</v>
      </c>
      <c r="AD141" s="1025" t="b">
        <v>0</v>
      </c>
      <c r="AE141" s="491">
        <v>0</v>
      </c>
      <c r="AF141" s="491">
        <v>0</v>
      </c>
      <c r="AG141" s="491">
        <v>0</v>
      </c>
      <c r="AH141" s="491">
        <v>0</v>
      </c>
      <c r="AI141" s="1025" t="b">
        <v>0</v>
      </c>
      <c r="AJ141" s="491">
        <v>0</v>
      </c>
      <c r="AK141" s="491">
        <v>0</v>
      </c>
      <c r="AL141" s="491">
        <v>0</v>
      </c>
      <c r="AM141" s="491">
        <v>0</v>
      </c>
      <c r="AN141" s="1025" t="b">
        <v>0</v>
      </c>
      <c r="AO141" s="491">
        <v>0</v>
      </c>
      <c r="AP141" s="491">
        <v>0</v>
      </c>
      <c r="AQ141" s="491">
        <v>0</v>
      </c>
      <c r="AR141" s="491">
        <v>0</v>
      </c>
      <c r="AS141" s="1025" t="b">
        <v>0</v>
      </c>
      <c r="AT141" s="1025" t="b">
        <v>0</v>
      </c>
      <c r="AU141" s="491">
        <v>2601</v>
      </c>
      <c r="AV141" s="491" t="s">
        <v>29</v>
      </c>
    </row>
    <row r="142" spans="1:48">
      <c r="A142" s="72">
        <v>14</v>
      </c>
      <c r="B142" s="391" t="s">
        <v>36</v>
      </c>
      <c r="C142" s="72">
        <f t="shared" si="6"/>
        <v>0</v>
      </c>
      <c r="D142" s="72" t="str">
        <f t="shared" si="7"/>
        <v>14-0</v>
      </c>
      <c r="E142" s="72" t="s">
        <v>29</v>
      </c>
      <c r="F142" s="72" t="str">
        <f t="shared" si="8"/>
        <v>14-N/A</v>
      </c>
      <c r="G142" s="391" t="s">
        <v>29</v>
      </c>
      <c r="H142" s="491" t="s">
        <v>29</v>
      </c>
      <c r="I142" s="491" t="s">
        <v>29</v>
      </c>
      <c r="J142" s="491" t="s">
        <v>29</v>
      </c>
      <c r="K142" s="491" t="s">
        <v>29</v>
      </c>
      <c r="L142" s="491" t="s">
        <v>29</v>
      </c>
      <c r="M142" s="491" t="s">
        <v>29</v>
      </c>
      <c r="N142" s="491" t="s">
        <v>29</v>
      </c>
      <c r="O142" s="491" t="s">
        <v>29</v>
      </c>
      <c r="P142" s="491" t="s">
        <v>29</v>
      </c>
      <c r="Q142" s="491" t="s">
        <v>29</v>
      </c>
      <c r="R142" s="491" t="s">
        <v>29</v>
      </c>
      <c r="S142" s="491" t="s">
        <v>29</v>
      </c>
      <c r="T142" s="1025" t="s">
        <v>29</v>
      </c>
      <c r="U142" s="491" t="s">
        <v>29</v>
      </c>
      <c r="V142" s="491" t="s">
        <v>29</v>
      </c>
      <c r="W142" s="491" t="s">
        <v>29</v>
      </c>
      <c r="X142" s="491" t="s">
        <v>29</v>
      </c>
      <c r="Y142" s="1025" t="s">
        <v>29</v>
      </c>
      <c r="Z142" s="491" t="s">
        <v>29</v>
      </c>
      <c r="AA142" s="491" t="s">
        <v>29</v>
      </c>
      <c r="AB142" s="491" t="s">
        <v>29</v>
      </c>
      <c r="AC142" s="491" t="s">
        <v>29</v>
      </c>
      <c r="AD142" s="1025" t="s">
        <v>29</v>
      </c>
      <c r="AE142" s="491" t="s">
        <v>29</v>
      </c>
      <c r="AF142" s="491" t="s">
        <v>29</v>
      </c>
      <c r="AG142" s="491" t="s">
        <v>29</v>
      </c>
      <c r="AH142" s="491" t="s">
        <v>29</v>
      </c>
      <c r="AI142" s="1025" t="s">
        <v>29</v>
      </c>
      <c r="AJ142" s="491" t="s">
        <v>29</v>
      </c>
      <c r="AK142" s="491" t="s">
        <v>29</v>
      </c>
      <c r="AL142" s="491" t="s">
        <v>29</v>
      </c>
      <c r="AM142" s="491" t="s">
        <v>29</v>
      </c>
      <c r="AN142" s="1025" t="s">
        <v>29</v>
      </c>
      <c r="AO142" s="491" t="s">
        <v>29</v>
      </c>
      <c r="AP142" s="491" t="s">
        <v>29</v>
      </c>
      <c r="AQ142" s="491" t="s">
        <v>29</v>
      </c>
      <c r="AR142" s="491" t="s">
        <v>29</v>
      </c>
      <c r="AS142" s="1025" t="s">
        <v>29</v>
      </c>
      <c r="AT142" s="1025" t="s">
        <v>29</v>
      </c>
      <c r="AU142" s="491" t="s">
        <v>29</v>
      </c>
      <c r="AV142" s="491">
        <v>2601</v>
      </c>
    </row>
    <row r="143" spans="1:48">
      <c r="A143" s="72">
        <v>15</v>
      </c>
      <c r="B143" s="391" t="s">
        <v>46</v>
      </c>
      <c r="C143" s="72">
        <f t="shared" si="6"/>
        <v>1</v>
      </c>
      <c r="D143" s="72" t="str">
        <f t="shared" si="7"/>
        <v>15-1</v>
      </c>
      <c r="E143" s="72">
        <v>63313</v>
      </c>
      <c r="F143" s="72" t="str">
        <f t="shared" si="8"/>
        <v>15-63313</v>
      </c>
      <c r="G143" s="391" t="s">
        <v>743</v>
      </c>
      <c r="H143" s="491">
        <v>14790.39</v>
      </c>
      <c r="I143" s="491">
        <v>13599.15</v>
      </c>
      <c r="J143" s="491">
        <v>14002.56</v>
      </c>
      <c r="K143" s="491">
        <v>16649.599999999999</v>
      </c>
      <c r="L143" s="1072">
        <v>0</v>
      </c>
      <c r="M143" s="1072">
        <v>0</v>
      </c>
      <c r="N143" s="1072">
        <v>0</v>
      </c>
      <c r="O143" s="1072">
        <v>0</v>
      </c>
      <c r="P143" s="491">
        <v>0</v>
      </c>
      <c r="Q143" s="491">
        <v>0</v>
      </c>
      <c r="R143" s="491">
        <v>0</v>
      </c>
      <c r="S143" s="491">
        <v>0</v>
      </c>
      <c r="T143" s="1025" t="b">
        <v>0</v>
      </c>
      <c r="U143" s="491">
        <v>1.82</v>
      </c>
      <c r="V143" s="491">
        <v>4.3</v>
      </c>
      <c r="W143" s="491">
        <v>2.91</v>
      </c>
      <c r="X143" s="491">
        <v>0</v>
      </c>
      <c r="Y143" s="1025" t="b">
        <v>1</v>
      </c>
      <c r="Z143" s="491">
        <v>0</v>
      </c>
      <c r="AA143" s="491">
        <v>0</v>
      </c>
      <c r="AB143" s="491">
        <v>0</v>
      </c>
      <c r="AC143" s="491">
        <v>0</v>
      </c>
      <c r="AD143" s="1025" t="b">
        <v>0</v>
      </c>
      <c r="AE143" s="491">
        <v>0.15</v>
      </c>
      <c r="AF143" s="491">
        <v>0.33</v>
      </c>
      <c r="AG143" s="491">
        <v>0.3</v>
      </c>
      <c r="AH143" s="491">
        <v>0</v>
      </c>
      <c r="AI143" s="1025" t="b">
        <v>1</v>
      </c>
      <c r="AJ143" s="491">
        <v>0</v>
      </c>
      <c r="AK143" s="491">
        <v>0</v>
      </c>
      <c r="AL143" s="491">
        <v>0</v>
      </c>
      <c r="AM143" s="491">
        <v>0</v>
      </c>
      <c r="AN143" s="1025" t="b">
        <v>0</v>
      </c>
      <c r="AO143" s="491">
        <v>0</v>
      </c>
      <c r="AP143" s="491">
        <v>0</v>
      </c>
      <c r="AQ143" s="491">
        <v>0</v>
      </c>
      <c r="AR143" s="491">
        <v>0</v>
      </c>
      <c r="AS143" s="1025" t="b">
        <v>0</v>
      </c>
      <c r="AT143" s="1025" t="b">
        <v>1</v>
      </c>
      <c r="AU143" s="491">
        <v>0</v>
      </c>
      <c r="AV143" s="491" t="s">
        <v>29</v>
      </c>
    </row>
    <row r="144" spans="1:48">
      <c r="A144" s="72">
        <v>15</v>
      </c>
      <c r="B144" s="391" t="s">
        <v>46</v>
      </c>
      <c r="C144" s="72">
        <f t="shared" si="6"/>
        <v>2</v>
      </c>
      <c r="D144" s="72" t="str">
        <f t="shared" si="7"/>
        <v>15-2</v>
      </c>
      <c r="E144" s="72">
        <v>63321</v>
      </c>
      <c r="F144" s="72" t="str">
        <f t="shared" si="8"/>
        <v>15-63321</v>
      </c>
      <c r="G144" s="391" t="s">
        <v>744</v>
      </c>
      <c r="H144" s="491">
        <v>14241.63</v>
      </c>
      <c r="I144" s="491">
        <v>13094.59</v>
      </c>
      <c r="J144" s="491">
        <v>13483.04</v>
      </c>
      <c r="K144" s="491">
        <v>16031.86</v>
      </c>
      <c r="L144" s="1072">
        <v>0</v>
      </c>
      <c r="M144" s="1072">
        <v>0</v>
      </c>
      <c r="N144" s="1072">
        <v>0</v>
      </c>
      <c r="O144" s="1072">
        <v>0</v>
      </c>
      <c r="P144" s="491">
        <v>0</v>
      </c>
      <c r="Q144" s="491">
        <v>0.33</v>
      </c>
      <c r="R144" s="491">
        <v>0</v>
      </c>
      <c r="S144" s="491">
        <v>0</v>
      </c>
      <c r="T144" s="1025" t="b">
        <v>1</v>
      </c>
      <c r="U144" s="491">
        <v>1.0900000000000001</v>
      </c>
      <c r="V144" s="491">
        <v>0.83</v>
      </c>
      <c r="W144" s="491">
        <v>1.83</v>
      </c>
      <c r="X144" s="491">
        <v>0</v>
      </c>
      <c r="Y144" s="1025" t="b">
        <v>1</v>
      </c>
      <c r="Z144" s="491">
        <v>0</v>
      </c>
      <c r="AA144" s="491">
        <v>0</v>
      </c>
      <c r="AB144" s="491">
        <v>0</v>
      </c>
      <c r="AC144" s="491">
        <v>0</v>
      </c>
      <c r="AD144" s="1025" t="b">
        <v>0</v>
      </c>
      <c r="AE144" s="491">
        <v>0.14000000000000001</v>
      </c>
      <c r="AF144" s="491">
        <v>0.11</v>
      </c>
      <c r="AG144" s="491">
        <v>0.14000000000000001</v>
      </c>
      <c r="AH144" s="491">
        <v>0</v>
      </c>
      <c r="AI144" s="1025" t="b">
        <v>1</v>
      </c>
      <c r="AJ144" s="491">
        <v>0</v>
      </c>
      <c r="AK144" s="491">
        <v>0</v>
      </c>
      <c r="AL144" s="491">
        <v>0</v>
      </c>
      <c r="AM144" s="491">
        <v>0</v>
      </c>
      <c r="AN144" s="1025" t="b">
        <v>0</v>
      </c>
      <c r="AO144" s="491">
        <v>0</v>
      </c>
      <c r="AP144" s="491">
        <v>0</v>
      </c>
      <c r="AQ144" s="491">
        <v>0</v>
      </c>
      <c r="AR144" s="491">
        <v>0</v>
      </c>
      <c r="AS144" s="1025" t="b">
        <v>0</v>
      </c>
      <c r="AT144" s="1025" t="b">
        <v>1</v>
      </c>
      <c r="AU144" s="491">
        <v>0</v>
      </c>
      <c r="AV144" s="491" t="s">
        <v>29</v>
      </c>
    </row>
    <row r="145" spans="1:48">
      <c r="A145" s="72">
        <v>15</v>
      </c>
      <c r="B145" s="391" t="s">
        <v>46</v>
      </c>
      <c r="C145" s="72">
        <f t="shared" si="6"/>
        <v>3</v>
      </c>
      <c r="D145" s="72" t="str">
        <f t="shared" si="7"/>
        <v>15-3</v>
      </c>
      <c r="E145" s="72">
        <v>63339</v>
      </c>
      <c r="F145" s="72" t="str">
        <f t="shared" si="8"/>
        <v>15-63339</v>
      </c>
      <c r="G145" s="391" t="s">
        <v>745</v>
      </c>
      <c r="H145" s="331">
        <v>14623.52</v>
      </c>
      <c r="I145" s="331">
        <v>13445.72</v>
      </c>
      <c r="J145" s="331">
        <v>13844.58</v>
      </c>
      <c r="K145" s="331">
        <v>16461.759999999998</v>
      </c>
      <c r="L145" s="1072">
        <v>0</v>
      </c>
      <c r="M145" s="1072">
        <v>0</v>
      </c>
      <c r="N145" s="1072">
        <v>0</v>
      </c>
      <c r="O145" s="1072">
        <v>0</v>
      </c>
      <c r="P145" s="491">
        <v>0</v>
      </c>
      <c r="Q145" s="491">
        <v>0</v>
      </c>
      <c r="R145" s="491">
        <v>0.6</v>
      </c>
      <c r="S145" s="491">
        <v>0</v>
      </c>
      <c r="T145" s="1025" t="b">
        <v>1</v>
      </c>
      <c r="U145" s="491">
        <v>13.89</v>
      </c>
      <c r="V145" s="491">
        <v>2.86</v>
      </c>
      <c r="W145" s="491">
        <v>1.93</v>
      </c>
      <c r="X145" s="491">
        <v>0</v>
      </c>
      <c r="Y145" s="1025" t="b">
        <v>1</v>
      </c>
      <c r="Z145" s="331">
        <v>0</v>
      </c>
      <c r="AA145" s="331">
        <v>0</v>
      </c>
      <c r="AB145" s="331">
        <v>0</v>
      </c>
      <c r="AC145" s="331">
        <v>0</v>
      </c>
      <c r="AD145" s="1025" t="b">
        <v>0</v>
      </c>
      <c r="AE145" s="331">
        <v>1.21</v>
      </c>
      <c r="AF145" s="331">
        <v>0.19</v>
      </c>
      <c r="AG145" s="331">
        <v>0.36</v>
      </c>
      <c r="AH145" s="331">
        <v>0</v>
      </c>
      <c r="AI145" s="1025" t="b">
        <v>1</v>
      </c>
      <c r="AJ145" s="331">
        <v>0</v>
      </c>
      <c r="AK145" s="331">
        <v>0</v>
      </c>
      <c r="AL145" s="331">
        <v>0</v>
      </c>
      <c r="AM145" s="331">
        <v>0</v>
      </c>
      <c r="AN145" s="1025" t="b">
        <v>0</v>
      </c>
      <c r="AO145" s="331">
        <v>0</v>
      </c>
      <c r="AP145" s="331">
        <v>0</v>
      </c>
      <c r="AQ145" s="331">
        <v>0</v>
      </c>
      <c r="AR145" s="331">
        <v>0</v>
      </c>
      <c r="AS145" s="1025" t="b">
        <v>0</v>
      </c>
      <c r="AT145" s="1025" t="b">
        <v>1</v>
      </c>
      <c r="AU145" s="331">
        <v>0</v>
      </c>
      <c r="AV145" s="491" t="s">
        <v>29</v>
      </c>
    </row>
    <row r="146" spans="1:48">
      <c r="A146" s="72">
        <v>15</v>
      </c>
      <c r="B146" s="391" t="s">
        <v>46</v>
      </c>
      <c r="C146" s="72">
        <f t="shared" si="6"/>
        <v>4</v>
      </c>
      <c r="D146" s="72" t="str">
        <f t="shared" si="7"/>
        <v>15-4</v>
      </c>
      <c r="E146" s="72">
        <v>63362</v>
      </c>
      <c r="F146" s="72" t="str">
        <f t="shared" si="8"/>
        <v>15-63362</v>
      </c>
      <c r="G146" s="391" t="s">
        <v>746</v>
      </c>
      <c r="H146" s="331">
        <v>12940.28</v>
      </c>
      <c r="I146" s="331">
        <v>11898.05</v>
      </c>
      <c r="J146" s="331">
        <v>12251</v>
      </c>
      <c r="K146" s="331">
        <v>14566.92</v>
      </c>
      <c r="L146" s="1072">
        <v>0</v>
      </c>
      <c r="M146" s="1072">
        <v>0</v>
      </c>
      <c r="N146" s="1072">
        <v>0</v>
      </c>
      <c r="O146" s="1072">
        <v>0</v>
      </c>
      <c r="P146" s="491">
        <v>0</v>
      </c>
      <c r="Q146" s="491">
        <v>0</v>
      </c>
      <c r="R146" s="491">
        <v>0</v>
      </c>
      <c r="S146" s="491">
        <v>0</v>
      </c>
      <c r="T146" s="1025" t="b">
        <v>0</v>
      </c>
      <c r="U146" s="491">
        <v>2.38</v>
      </c>
      <c r="V146" s="491">
        <v>0</v>
      </c>
      <c r="W146" s="491">
        <v>4.2300000000000004</v>
      </c>
      <c r="X146" s="491">
        <v>0</v>
      </c>
      <c r="Y146" s="1025" t="b">
        <v>1</v>
      </c>
      <c r="Z146" s="331">
        <v>0</v>
      </c>
      <c r="AA146" s="331">
        <v>0</v>
      </c>
      <c r="AB146" s="331">
        <v>0</v>
      </c>
      <c r="AC146" s="331">
        <v>0</v>
      </c>
      <c r="AD146" s="1025" t="b">
        <v>0</v>
      </c>
      <c r="AE146" s="331">
        <v>0.19</v>
      </c>
      <c r="AF146" s="331">
        <v>0.08</v>
      </c>
      <c r="AG146" s="331">
        <v>0.01</v>
      </c>
      <c r="AH146" s="331">
        <v>0</v>
      </c>
      <c r="AI146" s="1025" t="b">
        <v>1</v>
      </c>
      <c r="AJ146" s="331">
        <v>0</v>
      </c>
      <c r="AK146" s="331">
        <v>0</v>
      </c>
      <c r="AL146" s="331">
        <v>0</v>
      </c>
      <c r="AM146" s="331">
        <v>0</v>
      </c>
      <c r="AN146" s="1025" t="b">
        <v>0</v>
      </c>
      <c r="AO146" s="331">
        <v>0</v>
      </c>
      <c r="AP146" s="331">
        <v>0</v>
      </c>
      <c r="AQ146" s="331">
        <v>0</v>
      </c>
      <c r="AR146" s="331">
        <v>0</v>
      </c>
      <c r="AS146" s="1025" t="b">
        <v>0</v>
      </c>
      <c r="AT146" s="1025" t="b">
        <v>1</v>
      </c>
      <c r="AU146" s="331">
        <v>0</v>
      </c>
      <c r="AV146" s="491" t="s">
        <v>29</v>
      </c>
    </row>
    <row r="147" spans="1:48">
      <c r="A147" s="72">
        <v>15</v>
      </c>
      <c r="B147" s="391" t="s">
        <v>46</v>
      </c>
      <c r="C147" s="72">
        <f t="shared" si="6"/>
        <v>5</v>
      </c>
      <c r="D147" s="72" t="str">
        <f t="shared" si="7"/>
        <v>15-5</v>
      </c>
      <c r="E147" s="72">
        <v>63370</v>
      </c>
      <c r="F147" s="72" t="str">
        <f t="shared" si="8"/>
        <v>15-63370</v>
      </c>
      <c r="G147" s="391" t="s">
        <v>1786</v>
      </c>
      <c r="H147" s="331">
        <v>14854.03</v>
      </c>
      <c r="I147" s="331">
        <v>13657.67</v>
      </c>
      <c r="J147" s="331">
        <v>14062.82</v>
      </c>
      <c r="K147" s="331">
        <v>16721.25</v>
      </c>
      <c r="L147" s="1072">
        <v>0</v>
      </c>
      <c r="M147" s="1072">
        <v>0</v>
      </c>
      <c r="N147" s="1072">
        <v>0</v>
      </c>
      <c r="O147" s="1072">
        <v>0</v>
      </c>
      <c r="P147" s="491">
        <v>0</v>
      </c>
      <c r="Q147" s="491">
        <v>0</v>
      </c>
      <c r="R147" s="491">
        <v>0</v>
      </c>
      <c r="S147" s="491">
        <v>0</v>
      </c>
      <c r="T147" s="1025" t="b">
        <v>0</v>
      </c>
      <c r="U147" s="491">
        <v>0</v>
      </c>
      <c r="V147" s="491">
        <v>0</v>
      </c>
      <c r="W147" s="491">
        <v>0.42</v>
      </c>
      <c r="X147" s="491">
        <v>0</v>
      </c>
      <c r="Y147" s="1025" t="b">
        <v>1</v>
      </c>
      <c r="Z147" s="331">
        <v>0</v>
      </c>
      <c r="AA147" s="331">
        <v>0</v>
      </c>
      <c r="AB147" s="331">
        <v>0</v>
      </c>
      <c r="AC147" s="331">
        <v>0</v>
      </c>
      <c r="AD147" s="1025" t="b">
        <v>0</v>
      </c>
      <c r="AE147" s="331">
        <v>0</v>
      </c>
      <c r="AF147" s="331">
        <v>0</v>
      </c>
      <c r="AG147" s="331">
        <v>0</v>
      </c>
      <c r="AH147" s="331">
        <v>0</v>
      </c>
      <c r="AI147" s="1025" t="b">
        <v>0</v>
      </c>
      <c r="AJ147" s="331">
        <v>0</v>
      </c>
      <c r="AK147" s="331">
        <v>0</v>
      </c>
      <c r="AL147" s="331">
        <v>0</v>
      </c>
      <c r="AM147" s="331">
        <v>0</v>
      </c>
      <c r="AN147" s="1025" t="b">
        <v>0</v>
      </c>
      <c r="AO147" s="331">
        <v>0</v>
      </c>
      <c r="AP147" s="331">
        <v>0</v>
      </c>
      <c r="AQ147" s="331">
        <v>0</v>
      </c>
      <c r="AR147" s="331">
        <v>0</v>
      </c>
      <c r="AS147" s="1025" t="b">
        <v>0</v>
      </c>
      <c r="AT147" s="1025" t="b">
        <v>1</v>
      </c>
      <c r="AU147" s="331">
        <v>0</v>
      </c>
      <c r="AV147" s="491" t="s">
        <v>29</v>
      </c>
    </row>
    <row r="148" spans="1:48">
      <c r="A148" s="72">
        <v>15</v>
      </c>
      <c r="B148" s="391" t="s">
        <v>46</v>
      </c>
      <c r="C148" s="72">
        <f t="shared" si="6"/>
        <v>6</v>
      </c>
      <c r="D148" s="72" t="str">
        <f t="shared" si="7"/>
        <v>15-6</v>
      </c>
      <c r="E148" s="72">
        <v>63404</v>
      </c>
      <c r="F148" s="72" t="str">
        <f t="shared" si="8"/>
        <v>15-63404</v>
      </c>
      <c r="G148" s="391" t="s">
        <v>747</v>
      </c>
      <c r="H148" s="331">
        <v>13662.77</v>
      </c>
      <c r="I148" s="331">
        <v>12562.35</v>
      </c>
      <c r="J148" s="331">
        <v>12935.01</v>
      </c>
      <c r="K148" s="331">
        <v>15380.24</v>
      </c>
      <c r="L148" s="1072">
        <v>0</v>
      </c>
      <c r="M148" s="1072">
        <v>0</v>
      </c>
      <c r="N148" s="1072">
        <v>0</v>
      </c>
      <c r="O148" s="1072">
        <v>0</v>
      </c>
      <c r="P148" s="491">
        <v>0</v>
      </c>
      <c r="Q148" s="491">
        <v>0</v>
      </c>
      <c r="R148" s="491">
        <v>0</v>
      </c>
      <c r="S148" s="491">
        <v>0</v>
      </c>
      <c r="T148" s="1025" t="b">
        <v>0</v>
      </c>
      <c r="U148" s="491">
        <v>5.62</v>
      </c>
      <c r="V148" s="491">
        <v>10.81</v>
      </c>
      <c r="W148" s="491">
        <v>8.92</v>
      </c>
      <c r="X148" s="491">
        <v>0</v>
      </c>
      <c r="Y148" s="1025" t="b">
        <v>1</v>
      </c>
      <c r="Z148" s="331">
        <v>0</v>
      </c>
      <c r="AA148" s="331">
        <v>0</v>
      </c>
      <c r="AB148" s="331">
        <v>0</v>
      </c>
      <c r="AC148" s="331">
        <v>0</v>
      </c>
      <c r="AD148" s="1025" t="b">
        <v>0</v>
      </c>
      <c r="AE148" s="331">
        <v>0.64</v>
      </c>
      <c r="AF148" s="331">
        <v>1.06</v>
      </c>
      <c r="AG148" s="331">
        <v>0.38</v>
      </c>
      <c r="AH148" s="331">
        <v>0</v>
      </c>
      <c r="AI148" s="1025" t="b">
        <v>1</v>
      </c>
      <c r="AJ148" s="331">
        <v>0</v>
      </c>
      <c r="AK148" s="331">
        <v>0</v>
      </c>
      <c r="AL148" s="331">
        <v>0</v>
      </c>
      <c r="AM148" s="331">
        <v>0</v>
      </c>
      <c r="AN148" s="1025" t="b">
        <v>0</v>
      </c>
      <c r="AO148" s="331">
        <v>0</v>
      </c>
      <c r="AP148" s="331">
        <v>0</v>
      </c>
      <c r="AQ148" s="331">
        <v>0</v>
      </c>
      <c r="AR148" s="331">
        <v>0</v>
      </c>
      <c r="AS148" s="1025" t="b">
        <v>0</v>
      </c>
      <c r="AT148" s="1025" t="b">
        <v>1</v>
      </c>
      <c r="AU148" s="331">
        <v>0</v>
      </c>
      <c r="AV148" s="491" t="s">
        <v>29</v>
      </c>
    </row>
    <row r="149" spans="1:48">
      <c r="A149" s="72">
        <v>15</v>
      </c>
      <c r="B149" s="391" t="s">
        <v>46</v>
      </c>
      <c r="C149" s="72">
        <f t="shared" si="6"/>
        <v>7</v>
      </c>
      <c r="D149" s="72" t="str">
        <f t="shared" si="7"/>
        <v>15-7</v>
      </c>
      <c r="E149" s="72">
        <v>63412</v>
      </c>
      <c r="F149" s="72" t="str">
        <f t="shared" si="8"/>
        <v>15-63412</v>
      </c>
      <c r="G149" s="391" t="s">
        <v>748</v>
      </c>
      <c r="H149" s="331">
        <v>14353.45</v>
      </c>
      <c r="I149" s="331">
        <v>13197.4</v>
      </c>
      <c r="J149" s="331">
        <v>13588.89</v>
      </c>
      <c r="K149" s="331">
        <v>16157.73</v>
      </c>
      <c r="L149" s="1072">
        <v>0</v>
      </c>
      <c r="M149" s="1072">
        <v>0</v>
      </c>
      <c r="N149" s="1072">
        <v>0</v>
      </c>
      <c r="O149" s="1072">
        <v>0</v>
      </c>
      <c r="P149" s="491">
        <v>0</v>
      </c>
      <c r="Q149" s="491">
        <v>0</v>
      </c>
      <c r="R149" s="491">
        <v>0</v>
      </c>
      <c r="S149" s="491">
        <v>20.100000000000001</v>
      </c>
      <c r="T149" s="1025" t="b">
        <v>1</v>
      </c>
      <c r="U149" s="491">
        <v>0</v>
      </c>
      <c r="V149" s="491">
        <v>0</v>
      </c>
      <c r="W149" s="491">
        <v>0</v>
      </c>
      <c r="X149" s="491">
        <v>0</v>
      </c>
      <c r="Y149" s="1025" t="b">
        <v>0</v>
      </c>
      <c r="Z149" s="331">
        <v>0</v>
      </c>
      <c r="AA149" s="331">
        <v>0</v>
      </c>
      <c r="AB149" s="331">
        <v>0</v>
      </c>
      <c r="AC149" s="331">
        <v>0</v>
      </c>
      <c r="AD149" s="1025" t="b">
        <v>0</v>
      </c>
      <c r="AE149" s="331">
        <v>0</v>
      </c>
      <c r="AF149" s="331">
        <v>0</v>
      </c>
      <c r="AG149" s="331">
        <v>0</v>
      </c>
      <c r="AH149" s="331">
        <v>0</v>
      </c>
      <c r="AI149" s="1025" t="b">
        <v>0</v>
      </c>
      <c r="AJ149" s="331">
        <v>0</v>
      </c>
      <c r="AK149" s="331">
        <v>0</v>
      </c>
      <c r="AL149" s="331">
        <v>0</v>
      </c>
      <c r="AM149" s="331">
        <v>0</v>
      </c>
      <c r="AN149" s="1025" t="b">
        <v>0</v>
      </c>
      <c r="AO149" s="331">
        <v>0</v>
      </c>
      <c r="AP149" s="331">
        <v>0</v>
      </c>
      <c r="AQ149" s="331">
        <v>0</v>
      </c>
      <c r="AR149" s="331">
        <v>0</v>
      </c>
      <c r="AS149" s="1025" t="b">
        <v>0</v>
      </c>
      <c r="AT149" s="1025" t="b">
        <v>1</v>
      </c>
      <c r="AU149" s="331">
        <v>0</v>
      </c>
      <c r="AV149" s="491" t="s">
        <v>29</v>
      </c>
    </row>
    <row r="150" spans="1:48">
      <c r="A150" s="72">
        <v>15</v>
      </c>
      <c r="B150" s="391" t="s">
        <v>46</v>
      </c>
      <c r="C150" s="72">
        <f t="shared" si="6"/>
        <v>8</v>
      </c>
      <c r="D150" s="72" t="str">
        <f t="shared" si="7"/>
        <v>15-8</v>
      </c>
      <c r="E150" s="72">
        <v>63420</v>
      </c>
      <c r="F150" s="72" t="str">
        <f t="shared" si="8"/>
        <v>15-63420</v>
      </c>
      <c r="G150" s="391" t="s">
        <v>749</v>
      </c>
      <c r="H150" s="331">
        <v>15088.85</v>
      </c>
      <c r="I150" s="331">
        <v>13873.57</v>
      </c>
      <c r="J150" s="331">
        <v>14285.12</v>
      </c>
      <c r="K150" s="331">
        <v>16985.580000000002</v>
      </c>
      <c r="L150" s="1072">
        <v>0</v>
      </c>
      <c r="M150" s="1072">
        <v>0</v>
      </c>
      <c r="N150" s="1072">
        <v>0</v>
      </c>
      <c r="O150" s="1072">
        <v>0</v>
      </c>
      <c r="P150" s="491">
        <v>0</v>
      </c>
      <c r="Q150" s="491">
        <v>0</v>
      </c>
      <c r="R150" s="491">
        <v>0</v>
      </c>
      <c r="S150" s="491">
        <v>0</v>
      </c>
      <c r="T150" s="1025" t="b">
        <v>0</v>
      </c>
      <c r="U150" s="491">
        <v>1.71</v>
      </c>
      <c r="V150" s="491">
        <v>0.85</v>
      </c>
      <c r="W150" s="491">
        <v>0</v>
      </c>
      <c r="X150" s="491">
        <v>0</v>
      </c>
      <c r="Y150" s="1025" t="b">
        <v>1</v>
      </c>
      <c r="Z150" s="331">
        <v>0</v>
      </c>
      <c r="AA150" s="331">
        <v>0</v>
      </c>
      <c r="AB150" s="331">
        <v>0</v>
      </c>
      <c r="AC150" s="331">
        <v>0</v>
      </c>
      <c r="AD150" s="1025" t="b">
        <v>0</v>
      </c>
      <c r="AE150" s="331">
        <v>0.05</v>
      </c>
      <c r="AF150" s="331">
        <v>0</v>
      </c>
      <c r="AG150" s="331">
        <v>0.11</v>
      </c>
      <c r="AH150" s="331">
        <v>0</v>
      </c>
      <c r="AI150" s="1025" t="b">
        <v>1</v>
      </c>
      <c r="AJ150" s="331">
        <v>0</v>
      </c>
      <c r="AK150" s="331">
        <v>0</v>
      </c>
      <c r="AL150" s="331">
        <v>0</v>
      </c>
      <c r="AM150" s="331">
        <v>0</v>
      </c>
      <c r="AN150" s="1025" t="b">
        <v>0</v>
      </c>
      <c r="AO150" s="331">
        <v>0</v>
      </c>
      <c r="AP150" s="331">
        <v>0</v>
      </c>
      <c r="AQ150" s="331">
        <v>0</v>
      </c>
      <c r="AR150" s="331">
        <v>0</v>
      </c>
      <c r="AS150" s="1025" t="b">
        <v>0</v>
      </c>
      <c r="AT150" s="1025" t="b">
        <v>1</v>
      </c>
      <c r="AU150" s="331">
        <v>0</v>
      </c>
      <c r="AV150" s="491" t="s">
        <v>29</v>
      </c>
    </row>
    <row r="151" spans="1:48">
      <c r="A151" s="72">
        <v>15</v>
      </c>
      <c r="B151" s="391" t="s">
        <v>46</v>
      </c>
      <c r="C151" s="72">
        <f t="shared" si="6"/>
        <v>9</v>
      </c>
      <c r="D151" s="72" t="str">
        <f t="shared" si="7"/>
        <v>15-9</v>
      </c>
      <c r="E151" s="72">
        <v>63438</v>
      </c>
      <c r="F151" s="72" t="str">
        <f t="shared" si="8"/>
        <v>15-63438</v>
      </c>
      <c r="G151" s="391" t="s">
        <v>750</v>
      </c>
      <c r="H151" s="331">
        <v>14236.47</v>
      </c>
      <c r="I151" s="331">
        <v>13089.84</v>
      </c>
      <c r="J151" s="331">
        <v>13478.15</v>
      </c>
      <c r="K151" s="331">
        <v>16026.05</v>
      </c>
      <c r="L151" s="1072">
        <v>0</v>
      </c>
      <c r="M151" s="1072">
        <v>0</v>
      </c>
      <c r="N151" s="1072">
        <v>0</v>
      </c>
      <c r="O151" s="1072">
        <v>0</v>
      </c>
      <c r="P151" s="491">
        <v>0</v>
      </c>
      <c r="Q151" s="491">
        <v>0</v>
      </c>
      <c r="R151" s="491">
        <v>0</v>
      </c>
      <c r="S151" s="491">
        <v>0</v>
      </c>
      <c r="T151" s="1025" t="b">
        <v>0</v>
      </c>
      <c r="U151" s="491">
        <v>1.7</v>
      </c>
      <c r="V151" s="491">
        <v>0.57999999999999996</v>
      </c>
      <c r="W151" s="491">
        <v>2.8</v>
      </c>
      <c r="X151" s="491">
        <v>0</v>
      </c>
      <c r="Y151" s="1025" t="b">
        <v>1</v>
      </c>
      <c r="Z151" s="331">
        <v>0</v>
      </c>
      <c r="AA151" s="331">
        <v>0</v>
      </c>
      <c r="AB151" s="331">
        <v>0</v>
      </c>
      <c r="AC151" s="331">
        <v>0</v>
      </c>
      <c r="AD151" s="1025" t="b">
        <v>0</v>
      </c>
      <c r="AE151" s="331">
        <v>0.11</v>
      </c>
      <c r="AF151" s="331">
        <v>0.09</v>
      </c>
      <c r="AG151" s="331">
        <v>0.27</v>
      </c>
      <c r="AH151" s="331">
        <v>0</v>
      </c>
      <c r="AI151" s="1025" t="b">
        <v>1</v>
      </c>
      <c r="AJ151" s="331">
        <v>0</v>
      </c>
      <c r="AK151" s="331">
        <v>0</v>
      </c>
      <c r="AL151" s="331">
        <v>0</v>
      </c>
      <c r="AM151" s="331">
        <v>0</v>
      </c>
      <c r="AN151" s="1025" t="b">
        <v>0</v>
      </c>
      <c r="AO151" s="331">
        <v>0</v>
      </c>
      <c r="AP151" s="331">
        <v>0</v>
      </c>
      <c r="AQ151" s="331">
        <v>0</v>
      </c>
      <c r="AR151" s="331">
        <v>0</v>
      </c>
      <c r="AS151" s="1025" t="b">
        <v>0</v>
      </c>
      <c r="AT151" s="1025" t="b">
        <v>1</v>
      </c>
      <c r="AU151" s="331">
        <v>0</v>
      </c>
      <c r="AV151" s="491" t="s">
        <v>29</v>
      </c>
    </row>
    <row r="152" spans="1:48">
      <c r="A152" s="72">
        <v>15</v>
      </c>
      <c r="B152" s="391" t="s">
        <v>46</v>
      </c>
      <c r="C152" s="72">
        <f t="shared" si="6"/>
        <v>10</v>
      </c>
      <c r="D152" s="72" t="str">
        <f t="shared" si="7"/>
        <v>15-10</v>
      </c>
      <c r="E152" s="72">
        <v>63461</v>
      </c>
      <c r="F152" s="72" t="str">
        <f t="shared" si="8"/>
        <v>15-63461</v>
      </c>
      <c r="G152" s="391" t="s">
        <v>751</v>
      </c>
      <c r="H152" s="331">
        <v>14096.27</v>
      </c>
      <c r="I152" s="331">
        <v>12960.94</v>
      </c>
      <c r="J152" s="331">
        <v>13345.42</v>
      </c>
      <c r="K152" s="331">
        <v>15868.23</v>
      </c>
      <c r="L152" s="1072">
        <v>0</v>
      </c>
      <c r="M152" s="1072">
        <v>0</v>
      </c>
      <c r="N152" s="1072">
        <v>0</v>
      </c>
      <c r="O152" s="1072">
        <v>0</v>
      </c>
      <c r="P152" s="491">
        <v>0</v>
      </c>
      <c r="Q152" s="491">
        <v>0</v>
      </c>
      <c r="R152" s="491">
        <v>0</v>
      </c>
      <c r="S152" s="491">
        <v>0</v>
      </c>
      <c r="T152" s="1025" t="b">
        <v>0</v>
      </c>
      <c r="U152" s="491">
        <v>2.84</v>
      </c>
      <c r="V152" s="491">
        <v>4.6399999999999997</v>
      </c>
      <c r="W152" s="491">
        <v>0</v>
      </c>
      <c r="X152" s="491">
        <v>0</v>
      </c>
      <c r="Y152" s="1025" t="b">
        <v>1</v>
      </c>
      <c r="Z152" s="331">
        <v>0</v>
      </c>
      <c r="AA152" s="331">
        <v>0</v>
      </c>
      <c r="AB152" s="331">
        <v>0</v>
      </c>
      <c r="AC152" s="331">
        <v>0</v>
      </c>
      <c r="AD152" s="1025" t="b">
        <v>0</v>
      </c>
      <c r="AE152" s="331">
        <v>0.34</v>
      </c>
      <c r="AF152" s="331">
        <v>0.27</v>
      </c>
      <c r="AG152" s="331">
        <v>0.06</v>
      </c>
      <c r="AH152" s="331">
        <v>0</v>
      </c>
      <c r="AI152" s="1025" t="b">
        <v>1</v>
      </c>
      <c r="AJ152" s="331">
        <v>0</v>
      </c>
      <c r="AK152" s="331">
        <v>0</v>
      </c>
      <c r="AL152" s="331">
        <v>0</v>
      </c>
      <c r="AM152" s="331">
        <v>0</v>
      </c>
      <c r="AN152" s="1025" t="b">
        <v>0</v>
      </c>
      <c r="AO152" s="331">
        <v>0</v>
      </c>
      <c r="AP152" s="331">
        <v>0</v>
      </c>
      <c r="AQ152" s="331">
        <v>0</v>
      </c>
      <c r="AR152" s="331">
        <v>0</v>
      </c>
      <c r="AS152" s="1025" t="b">
        <v>0</v>
      </c>
      <c r="AT152" s="1025" t="b">
        <v>1</v>
      </c>
      <c r="AU152" s="331">
        <v>0</v>
      </c>
      <c r="AV152" s="491" t="s">
        <v>29</v>
      </c>
    </row>
    <row r="153" spans="1:48">
      <c r="A153" s="72">
        <v>15</v>
      </c>
      <c r="B153" s="391" t="s">
        <v>46</v>
      </c>
      <c r="C153" s="72">
        <f t="shared" si="6"/>
        <v>11</v>
      </c>
      <c r="D153" s="72" t="str">
        <f t="shared" si="7"/>
        <v>15-11</v>
      </c>
      <c r="E153" s="72">
        <v>63479</v>
      </c>
      <c r="F153" s="72" t="str">
        <f t="shared" si="8"/>
        <v>15-63479</v>
      </c>
      <c r="G153" s="391" t="s">
        <v>752</v>
      </c>
      <c r="H153" s="331">
        <v>11536.57</v>
      </c>
      <c r="I153" s="331">
        <v>10607.4</v>
      </c>
      <c r="J153" s="331">
        <v>10922.06</v>
      </c>
      <c r="K153" s="331">
        <v>12986.77</v>
      </c>
      <c r="L153" s="1072">
        <v>0</v>
      </c>
      <c r="M153" s="1072">
        <v>0</v>
      </c>
      <c r="N153" s="1072">
        <v>0</v>
      </c>
      <c r="O153" s="1072">
        <v>0</v>
      </c>
      <c r="P153" s="491">
        <v>0</v>
      </c>
      <c r="Q153" s="491">
        <v>0</v>
      </c>
      <c r="R153" s="491">
        <v>0</v>
      </c>
      <c r="S153" s="491">
        <v>0</v>
      </c>
      <c r="T153" s="1025" t="b">
        <v>0</v>
      </c>
      <c r="U153" s="491">
        <v>4.91</v>
      </c>
      <c r="V153" s="491">
        <v>1.52</v>
      </c>
      <c r="W153" s="491">
        <v>2.48</v>
      </c>
      <c r="X153" s="491">
        <v>0</v>
      </c>
      <c r="Y153" s="1025" t="b">
        <v>1</v>
      </c>
      <c r="Z153" s="331">
        <v>0</v>
      </c>
      <c r="AA153" s="331">
        <v>0</v>
      </c>
      <c r="AB153" s="331">
        <v>0</v>
      </c>
      <c r="AC153" s="331">
        <v>0</v>
      </c>
      <c r="AD153" s="1025" t="b">
        <v>0</v>
      </c>
      <c r="AE153" s="331">
        <v>0.3</v>
      </c>
      <c r="AF153" s="331">
        <v>0.1</v>
      </c>
      <c r="AG153" s="331">
        <v>0.03</v>
      </c>
      <c r="AH153" s="331">
        <v>0</v>
      </c>
      <c r="AI153" s="1025" t="b">
        <v>1</v>
      </c>
      <c r="AJ153" s="331">
        <v>0</v>
      </c>
      <c r="AK153" s="331">
        <v>0</v>
      </c>
      <c r="AL153" s="331">
        <v>0</v>
      </c>
      <c r="AM153" s="331">
        <v>0</v>
      </c>
      <c r="AN153" s="1025" t="b">
        <v>0</v>
      </c>
      <c r="AO153" s="331">
        <v>0</v>
      </c>
      <c r="AP153" s="331">
        <v>0</v>
      </c>
      <c r="AQ153" s="331">
        <v>0</v>
      </c>
      <c r="AR153" s="331">
        <v>0</v>
      </c>
      <c r="AS153" s="1025" t="b">
        <v>0</v>
      </c>
      <c r="AT153" s="1025" t="b">
        <v>1</v>
      </c>
      <c r="AU153" s="331">
        <v>0</v>
      </c>
      <c r="AV153" s="491" t="s">
        <v>29</v>
      </c>
    </row>
    <row r="154" spans="1:48">
      <c r="A154" s="72">
        <v>15</v>
      </c>
      <c r="B154" s="391" t="s">
        <v>46</v>
      </c>
      <c r="C154" s="72">
        <f t="shared" si="6"/>
        <v>12</v>
      </c>
      <c r="D154" s="72" t="str">
        <f t="shared" si="7"/>
        <v>15-12</v>
      </c>
      <c r="E154" s="72">
        <v>63487</v>
      </c>
      <c r="F154" s="72" t="str">
        <f t="shared" si="8"/>
        <v>15-63487</v>
      </c>
      <c r="G154" s="391" t="s">
        <v>753</v>
      </c>
      <c r="H154" s="331">
        <v>12172.2</v>
      </c>
      <c r="I154" s="331">
        <v>11191.83</v>
      </c>
      <c r="J154" s="331">
        <v>11523.83</v>
      </c>
      <c r="K154" s="331">
        <v>13702.29</v>
      </c>
      <c r="L154" s="1072">
        <v>0</v>
      </c>
      <c r="M154" s="1072">
        <v>0</v>
      </c>
      <c r="N154" s="1072">
        <v>0</v>
      </c>
      <c r="O154" s="1072">
        <v>0</v>
      </c>
      <c r="P154" s="491">
        <v>0</v>
      </c>
      <c r="Q154" s="491">
        <v>0</v>
      </c>
      <c r="R154" s="491">
        <v>0</v>
      </c>
      <c r="S154" s="491">
        <v>0</v>
      </c>
      <c r="T154" s="1025" t="b">
        <v>0</v>
      </c>
      <c r="U154" s="491">
        <v>0.24</v>
      </c>
      <c r="V154" s="491">
        <v>0.28000000000000003</v>
      </c>
      <c r="W154" s="491">
        <v>1</v>
      </c>
      <c r="X154" s="491">
        <v>0</v>
      </c>
      <c r="Y154" s="1025" t="b">
        <v>1</v>
      </c>
      <c r="Z154" s="331">
        <v>0</v>
      </c>
      <c r="AA154" s="331">
        <v>0</v>
      </c>
      <c r="AB154" s="331">
        <v>0</v>
      </c>
      <c r="AC154" s="331">
        <v>0</v>
      </c>
      <c r="AD154" s="1025" t="b">
        <v>0</v>
      </c>
      <c r="AE154" s="331">
        <v>0</v>
      </c>
      <c r="AF154" s="331">
        <v>0</v>
      </c>
      <c r="AG154" s="331">
        <v>0.11</v>
      </c>
      <c r="AH154" s="331">
        <v>0</v>
      </c>
      <c r="AI154" s="1025" t="b">
        <v>1</v>
      </c>
      <c r="AJ154" s="331">
        <v>0</v>
      </c>
      <c r="AK154" s="331">
        <v>0</v>
      </c>
      <c r="AL154" s="331">
        <v>0</v>
      </c>
      <c r="AM154" s="331">
        <v>0</v>
      </c>
      <c r="AN154" s="1025" t="b">
        <v>0</v>
      </c>
      <c r="AO154" s="331">
        <v>0</v>
      </c>
      <c r="AP154" s="331">
        <v>0</v>
      </c>
      <c r="AQ154" s="331">
        <v>0</v>
      </c>
      <c r="AR154" s="331">
        <v>0</v>
      </c>
      <c r="AS154" s="1025" t="b">
        <v>0</v>
      </c>
      <c r="AT154" s="1025" t="b">
        <v>1</v>
      </c>
      <c r="AU154" s="331">
        <v>0</v>
      </c>
      <c r="AV154" s="491" t="s">
        <v>29</v>
      </c>
    </row>
    <row r="155" spans="1:48">
      <c r="A155" s="72">
        <v>15</v>
      </c>
      <c r="B155" s="391" t="s">
        <v>46</v>
      </c>
      <c r="C155" s="72">
        <f t="shared" si="6"/>
        <v>13</v>
      </c>
      <c r="D155" s="72" t="str">
        <f t="shared" si="7"/>
        <v>15-13</v>
      </c>
      <c r="E155" s="72">
        <v>63503</v>
      </c>
      <c r="F155" s="72" t="str">
        <f t="shared" si="8"/>
        <v>15-63503</v>
      </c>
      <c r="G155" s="391" t="s">
        <v>754</v>
      </c>
      <c r="H155" s="331">
        <v>14470.42</v>
      </c>
      <c r="I155" s="331">
        <v>13304.95</v>
      </c>
      <c r="J155" s="331">
        <v>13699.64</v>
      </c>
      <c r="K155" s="331">
        <v>16289.41</v>
      </c>
      <c r="L155" s="1072">
        <v>0</v>
      </c>
      <c r="M155" s="1072">
        <v>0</v>
      </c>
      <c r="N155" s="1072">
        <v>0</v>
      </c>
      <c r="O155" s="1072">
        <v>0</v>
      </c>
      <c r="P155" s="491">
        <v>0</v>
      </c>
      <c r="Q155" s="491">
        <v>0</v>
      </c>
      <c r="R155" s="491">
        <v>0</v>
      </c>
      <c r="S155" s="491">
        <v>0</v>
      </c>
      <c r="T155" s="1025" t="b">
        <v>0</v>
      </c>
      <c r="U155" s="491">
        <v>19.14</v>
      </c>
      <c r="V155" s="491">
        <v>16.57</v>
      </c>
      <c r="W155" s="491">
        <v>13.44</v>
      </c>
      <c r="X155" s="491">
        <v>0</v>
      </c>
      <c r="Y155" s="1025" t="b">
        <v>1</v>
      </c>
      <c r="Z155" s="331">
        <v>0</v>
      </c>
      <c r="AA155" s="331">
        <v>0</v>
      </c>
      <c r="AB155" s="331">
        <v>0</v>
      </c>
      <c r="AC155" s="331">
        <v>0</v>
      </c>
      <c r="AD155" s="1025" t="b">
        <v>0</v>
      </c>
      <c r="AE155" s="331">
        <v>1.44</v>
      </c>
      <c r="AF155" s="331">
        <v>1.08</v>
      </c>
      <c r="AG155" s="331">
        <v>0.39</v>
      </c>
      <c r="AH155" s="331">
        <v>0</v>
      </c>
      <c r="AI155" s="1025" t="b">
        <v>1</v>
      </c>
      <c r="AJ155" s="331">
        <v>0</v>
      </c>
      <c r="AK155" s="331">
        <v>0</v>
      </c>
      <c r="AL155" s="331">
        <v>0</v>
      </c>
      <c r="AM155" s="331">
        <v>0</v>
      </c>
      <c r="AN155" s="1025" t="b">
        <v>0</v>
      </c>
      <c r="AO155" s="331">
        <v>0</v>
      </c>
      <c r="AP155" s="331">
        <v>0</v>
      </c>
      <c r="AQ155" s="331">
        <v>0</v>
      </c>
      <c r="AR155" s="331">
        <v>0</v>
      </c>
      <c r="AS155" s="1025" t="b">
        <v>0</v>
      </c>
      <c r="AT155" s="1025" t="b">
        <v>1</v>
      </c>
      <c r="AU155" s="331">
        <v>0</v>
      </c>
      <c r="AV155" s="491" t="s">
        <v>29</v>
      </c>
    </row>
    <row r="156" spans="1:48">
      <c r="A156" s="72">
        <v>15</v>
      </c>
      <c r="B156" s="391" t="s">
        <v>46</v>
      </c>
      <c r="C156" s="72">
        <f t="shared" si="6"/>
        <v>14</v>
      </c>
      <c r="D156" s="72" t="str">
        <f t="shared" si="7"/>
        <v>15-14</v>
      </c>
      <c r="E156" s="72">
        <v>63529</v>
      </c>
      <c r="F156" s="72" t="str">
        <f t="shared" si="8"/>
        <v>15-63529</v>
      </c>
      <c r="G156" s="391" t="s">
        <v>755</v>
      </c>
      <c r="H156" s="331">
        <v>12820.72</v>
      </c>
      <c r="I156" s="331">
        <v>11788.12</v>
      </c>
      <c r="J156" s="331">
        <v>12137.81</v>
      </c>
      <c r="K156" s="331">
        <v>14432.34</v>
      </c>
      <c r="L156" s="1072">
        <v>0</v>
      </c>
      <c r="M156" s="1072">
        <v>0</v>
      </c>
      <c r="N156" s="1072">
        <v>0</v>
      </c>
      <c r="O156" s="1072">
        <v>0</v>
      </c>
      <c r="P156" s="491">
        <v>0</v>
      </c>
      <c r="Q156" s="491">
        <v>0</v>
      </c>
      <c r="R156" s="491">
        <v>0</v>
      </c>
      <c r="S156" s="491">
        <v>9.33</v>
      </c>
      <c r="T156" s="1025" t="b">
        <v>1</v>
      </c>
      <c r="U156" s="491">
        <v>0</v>
      </c>
      <c r="V156" s="491">
        <v>0</v>
      </c>
      <c r="W156" s="491">
        <v>0</v>
      </c>
      <c r="X156" s="491">
        <v>3.58</v>
      </c>
      <c r="Y156" s="1025" t="b">
        <v>1</v>
      </c>
      <c r="Z156" s="331">
        <v>0</v>
      </c>
      <c r="AA156" s="331">
        <v>0</v>
      </c>
      <c r="AB156" s="331">
        <v>0</v>
      </c>
      <c r="AC156" s="331">
        <v>0</v>
      </c>
      <c r="AD156" s="1025" t="b">
        <v>0</v>
      </c>
      <c r="AE156" s="331">
        <v>0</v>
      </c>
      <c r="AF156" s="331">
        <v>0</v>
      </c>
      <c r="AG156" s="331">
        <v>0</v>
      </c>
      <c r="AH156" s="331">
        <v>0.33</v>
      </c>
      <c r="AI156" s="1025" t="b">
        <v>1</v>
      </c>
      <c r="AJ156" s="331">
        <v>0</v>
      </c>
      <c r="AK156" s="331">
        <v>0</v>
      </c>
      <c r="AL156" s="331">
        <v>0</v>
      </c>
      <c r="AM156" s="331">
        <v>0</v>
      </c>
      <c r="AN156" s="1025" t="b">
        <v>0</v>
      </c>
      <c r="AO156" s="331">
        <v>0</v>
      </c>
      <c r="AP156" s="331">
        <v>0</v>
      </c>
      <c r="AQ156" s="331">
        <v>0</v>
      </c>
      <c r="AR156" s="331">
        <v>0</v>
      </c>
      <c r="AS156" s="1025" t="b">
        <v>0</v>
      </c>
      <c r="AT156" s="1025" t="b">
        <v>1</v>
      </c>
      <c r="AU156" s="331">
        <v>0</v>
      </c>
      <c r="AV156" s="491" t="s">
        <v>29</v>
      </c>
    </row>
    <row r="157" spans="1:48">
      <c r="A157" s="72">
        <v>15</v>
      </c>
      <c r="B157" s="391" t="s">
        <v>46</v>
      </c>
      <c r="C157" s="72">
        <f t="shared" si="6"/>
        <v>15</v>
      </c>
      <c r="D157" s="72" t="str">
        <f t="shared" si="7"/>
        <v>15-15</v>
      </c>
      <c r="E157" s="72">
        <v>63545</v>
      </c>
      <c r="F157" s="72" t="str">
        <f t="shared" si="8"/>
        <v>15-63545</v>
      </c>
      <c r="G157" s="391" t="s">
        <v>1787</v>
      </c>
      <c r="H157" s="331">
        <v>13610.31</v>
      </c>
      <c r="I157" s="331">
        <v>12514.11</v>
      </c>
      <c r="J157" s="331">
        <v>12885.34</v>
      </c>
      <c r="K157" s="331">
        <v>15321.18</v>
      </c>
      <c r="L157" s="1072">
        <v>0</v>
      </c>
      <c r="M157" s="1072">
        <v>0</v>
      </c>
      <c r="N157" s="1072">
        <v>0</v>
      </c>
      <c r="O157" s="1072">
        <v>0</v>
      </c>
      <c r="P157" s="491">
        <v>0</v>
      </c>
      <c r="Q157" s="491">
        <v>0.1</v>
      </c>
      <c r="R157" s="491">
        <v>0</v>
      </c>
      <c r="S157" s="491">
        <v>0</v>
      </c>
      <c r="T157" s="1025" t="b">
        <v>1</v>
      </c>
      <c r="U157" s="491">
        <v>0</v>
      </c>
      <c r="V157" s="491">
        <v>0</v>
      </c>
      <c r="W157" s="491">
        <v>0</v>
      </c>
      <c r="X157" s="491">
        <v>0</v>
      </c>
      <c r="Y157" s="1025" t="b">
        <v>0</v>
      </c>
      <c r="Z157" s="331">
        <v>0</v>
      </c>
      <c r="AA157" s="331">
        <v>0</v>
      </c>
      <c r="AB157" s="331">
        <v>0</v>
      </c>
      <c r="AC157" s="331">
        <v>0</v>
      </c>
      <c r="AD157" s="1025" t="b">
        <v>0</v>
      </c>
      <c r="AE157" s="331">
        <v>0</v>
      </c>
      <c r="AF157" s="331">
        <v>0</v>
      </c>
      <c r="AG157" s="331">
        <v>0</v>
      </c>
      <c r="AH157" s="331">
        <v>0</v>
      </c>
      <c r="AI157" s="1025" t="b">
        <v>0</v>
      </c>
      <c r="AJ157" s="331">
        <v>0</v>
      </c>
      <c r="AK157" s="331">
        <v>0</v>
      </c>
      <c r="AL157" s="331">
        <v>0</v>
      </c>
      <c r="AM157" s="331">
        <v>0</v>
      </c>
      <c r="AN157" s="1025" t="b">
        <v>0</v>
      </c>
      <c r="AO157" s="331">
        <v>0</v>
      </c>
      <c r="AP157" s="331">
        <v>0</v>
      </c>
      <c r="AQ157" s="331">
        <v>0</v>
      </c>
      <c r="AR157" s="331">
        <v>0</v>
      </c>
      <c r="AS157" s="1025" t="b">
        <v>0</v>
      </c>
      <c r="AT157" s="1025" t="b">
        <v>1</v>
      </c>
      <c r="AU157" s="331">
        <v>0</v>
      </c>
      <c r="AV157" s="491" t="s">
        <v>29</v>
      </c>
    </row>
    <row r="158" spans="1:48">
      <c r="A158" s="72">
        <v>15</v>
      </c>
      <c r="B158" s="391" t="s">
        <v>46</v>
      </c>
      <c r="C158" s="72">
        <f t="shared" si="6"/>
        <v>16</v>
      </c>
      <c r="D158" s="72" t="str">
        <f t="shared" si="7"/>
        <v>15-16</v>
      </c>
      <c r="E158" s="72">
        <v>63552</v>
      </c>
      <c r="F158" s="72" t="str">
        <f t="shared" si="8"/>
        <v>15-63552</v>
      </c>
      <c r="G158" s="391" t="s">
        <v>756</v>
      </c>
      <c r="H158" s="331">
        <v>12049.2</v>
      </c>
      <c r="I158" s="331">
        <v>11078.74</v>
      </c>
      <c r="J158" s="331">
        <v>11407.39</v>
      </c>
      <c r="K158" s="331">
        <v>13563.83</v>
      </c>
      <c r="L158" s="1072">
        <v>0</v>
      </c>
      <c r="M158" s="1072">
        <v>0</v>
      </c>
      <c r="N158" s="1072">
        <v>0</v>
      </c>
      <c r="O158" s="1072">
        <v>0</v>
      </c>
      <c r="P158" s="491">
        <v>0</v>
      </c>
      <c r="Q158" s="491">
        <v>0</v>
      </c>
      <c r="R158" s="491">
        <v>0</v>
      </c>
      <c r="S158" s="491">
        <v>0</v>
      </c>
      <c r="T158" s="1025" t="b">
        <v>0</v>
      </c>
      <c r="U158" s="491">
        <v>8.69</v>
      </c>
      <c r="V158" s="491">
        <v>11.13</v>
      </c>
      <c r="W158" s="491">
        <v>3.66</v>
      </c>
      <c r="X158" s="491">
        <v>0</v>
      </c>
      <c r="Y158" s="1025" t="b">
        <v>1</v>
      </c>
      <c r="Z158" s="331">
        <v>0</v>
      </c>
      <c r="AA158" s="331">
        <v>0</v>
      </c>
      <c r="AB158" s="331">
        <v>0</v>
      </c>
      <c r="AC158" s="331">
        <v>0</v>
      </c>
      <c r="AD158" s="1025" t="b">
        <v>0</v>
      </c>
      <c r="AE158" s="331">
        <v>0.87</v>
      </c>
      <c r="AF158" s="331">
        <v>0.98</v>
      </c>
      <c r="AG158" s="331">
        <v>0.28000000000000003</v>
      </c>
      <c r="AH158" s="331">
        <v>0</v>
      </c>
      <c r="AI158" s="1025" t="b">
        <v>1</v>
      </c>
      <c r="AJ158" s="331">
        <v>0</v>
      </c>
      <c r="AK158" s="331">
        <v>0</v>
      </c>
      <c r="AL158" s="331">
        <v>0</v>
      </c>
      <c r="AM158" s="331">
        <v>0</v>
      </c>
      <c r="AN158" s="1025" t="b">
        <v>0</v>
      </c>
      <c r="AO158" s="331">
        <v>0</v>
      </c>
      <c r="AP158" s="331">
        <v>0</v>
      </c>
      <c r="AQ158" s="331">
        <v>0</v>
      </c>
      <c r="AR158" s="331">
        <v>0</v>
      </c>
      <c r="AS158" s="1025" t="b">
        <v>0</v>
      </c>
      <c r="AT158" s="1025" t="b">
        <v>1</v>
      </c>
      <c r="AU158" s="331">
        <v>0</v>
      </c>
      <c r="AV158" s="491" t="s">
        <v>29</v>
      </c>
    </row>
    <row r="159" spans="1:48">
      <c r="A159" s="72">
        <v>15</v>
      </c>
      <c r="B159" s="391" t="s">
        <v>46</v>
      </c>
      <c r="C159" s="72">
        <f t="shared" si="6"/>
        <v>17</v>
      </c>
      <c r="D159" s="72" t="str">
        <f t="shared" si="7"/>
        <v>15-17</v>
      </c>
      <c r="E159" s="72">
        <v>63560</v>
      </c>
      <c r="F159" s="72" t="str">
        <f t="shared" si="8"/>
        <v>15-63560</v>
      </c>
      <c r="G159" s="391" t="s">
        <v>757</v>
      </c>
      <c r="H159" s="331">
        <v>14509.13</v>
      </c>
      <c r="I159" s="331">
        <v>13340.54</v>
      </c>
      <c r="J159" s="331">
        <v>13736.28</v>
      </c>
      <c r="K159" s="331">
        <v>16332.99</v>
      </c>
      <c r="L159" s="1072">
        <v>0</v>
      </c>
      <c r="M159" s="1072">
        <v>0</v>
      </c>
      <c r="N159" s="1072">
        <v>0</v>
      </c>
      <c r="O159" s="1072">
        <v>0</v>
      </c>
      <c r="P159" s="491">
        <v>0</v>
      </c>
      <c r="Q159" s="491">
        <v>0</v>
      </c>
      <c r="R159" s="491">
        <v>0</v>
      </c>
      <c r="S159" s="491">
        <v>0</v>
      </c>
      <c r="T159" s="1025" t="b">
        <v>0</v>
      </c>
      <c r="U159" s="491">
        <v>3.55</v>
      </c>
      <c r="V159" s="491">
        <v>1.52</v>
      </c>
      <c r="W159" s="491">
        <v>0.94</v>
      </c>
      <c r="X159" s="491">
        <v>0</v>
      </c>
      <c r="Y159" s="1025" t="b">
        <v>1</v>
      </c>
      <c r="Z159" s="331">
        <v>0</v>
      </c>
      <c r="AA159" s="331">
        <v>0</v>
      </c>
      <c r="AB159" s="331">
        <v>0</v>
      </c>
      <c r="AC159" s="331">
        <v>0</v>
      </c>
      <c r="AD159" s="1025" t="b">
        <v>0</v>
      </c>
      <c r="AE159" s="331">
        <v>0.15</v>
      </c>
      <c r="AF159" s="331">
        <v>0.19</v>
      </c>
      <c r="AG159" s="331">
        <v>0.16</v>
      </c>
      <c r="AH159" s="331">
        <v>0</v>
      </c>
      <c r="AI159" s="1025" t="b">
        <v>1</v>
      </c>
      <c r="AJ159" s="331">
        <v>0</v>
      </c>
      <c r="AK159" s="331">
        <v>0</v>
      </c>
      <c r="AL159" s="331">
        <v>0</v>
      </c>
      <c r="AM159" s="331">
        <v>0</v>
      </c>
      <c r="AN159" s="1025" t="b">
        <v>0</v>
      </c>
      <c r="AO159" s="331">
        <v>0</v>
      </c>
      <c r="AP159" s="331">
        <v>0</v>
      </c>
      <c r="AQ159" s="331">
        <v>0</v>
      </c>
      <c r="AR159" s="331">
        <v>0</v>
      </c>
      <c r="AS159" s="1025" t="b">
        <v>0</v>
      </c>
      <c r="AT159" s="1025" t="b">
        <v>1</v>
      </c>
      <c r="AU159" s="331">
        <v>0</v>
      </c>
      <c r="AV159" s="491" t="s">
        <v>29</v>
      </c>
    </row>
    <row r="160" spans="1:48">
      <c r="A160" s="72">
        <v>15</v>
      </c>
      <c r="B160" s="391" t="s">
        <v>46</v>
      </c>
      <c r="C160" s="72">
        <f t="shared" si="6"/>
        <v>18</v>
      </c>
      <c r="D160" s="72" t="str">
        <f t="shared" si="7"/>
        <v>15-18</v>
      </c>
      <c r="E160" s="72">
        <v>63578</v>
      </c>
      <c r="F160" s="72" t="str">
        <f t="shared" si="8"/>
        <v>15-63578</v>
      </c>
      <c r="G160" s="391" t="s">
        <v>758</v>
      </c>
      <c r="H160" s="331">
        <v>14088.53</v>
      </c>
      <c r="I160" s="331">
        <v>12953.82</v>
      </c>
      <c r="J160" s="331">
        <v>13338.09</v>
      </c>
      <c r="K160" s="331">
        <v>15859.52</v>
      </c>
      <c r="L160" s="1072">
        <v>0</v>
      </c>
      <c r="M160" s="1072">
        <v>0</v>
      </c>
      <c r="N160" s="1072">
        <v>0</v>
      </c>
      <c r="O160" s="1072">
        <v>0</v>
      </c>
      <c r="P160" s="491">
        <v>0</v>
      </c>
      <c r="Q160" s="491">
        <v>0</v>
      </c>
      <c r="R160" s="491">
        <v>0</v>
      </c>
      <c r="S160" s="491">
        <v>0</v>
      </c>
      <c r="T160" s="1025" t="b">
        <v>0</v>
      </c>
      <c r="U160" s="491">
        <v>1.51</v>
      </c>
      <c r="V160" s="491">
        <v>1.8</v>
      </c>
      <c r="W160" s="491">
        <v>1.86</v>
      </c>
      <c r="X160" s="491">
        <v>0</v>
      </c>
      <c r="Y160" s="1025" t="b">
        <v>1</v>
      </c>
      <c r="Z160" s="331">
        <v>0</v>
      </c>
      <c r="AA160" s="331">
        <v>0</v>
      </c>
      <c r="AB160" s="331">
        <v>0</v>
      </c>
      <c r="AC160" s="331">
        <v>0</v>
      </c>
      <c r="AD160" s="1025" t="b">
        <v>0</v>
      </c>
      <c r="AE160" s="331">
        <v>0.35</v>
      </c>
      <c r="AF160" s="331">
        <v>0.14000000000000001</v>
      </c>
      <c r="AG160" s="331">
        <v>0</v>
      </c>
      <c r="AH160" s="331">
        <v>0</v>
      </c>
      <c r="AI160" s="1025" t="b">
        <v>1</v>
      </c>
      <c r="AJ160" s="331">
        <v>0</v>
      </c>
      <c r="AK160" s="331">
        <v>0</v>
      </c>
      <c r="AL160" s="331">
        <v>0</v>
      </c>
      <c r="AM160" s="331">
        <v>0</v>
      </c>
      <c r="AN160" s="1025" t="b">
        <v>0</v>
      </c>
      <c r="AO160" s="331">
        <v>0</v>
      </c>
      <c r="AP160" s="331">
        <v>0</v>
      </c>
      <c r="AQ160" s="331">
        <v>0</v>
      </c>
      <c r="AR160" s="331">
        <v>0</v>
      </c>
      <c r="AS160" s="1025" t="b">
        <v>0</v>
      </c>
      <c r="AT160" s="1025" t="b">
        <v>1</v>
      </c>
      <c r="AU160" s="331">
        <v>0</v>
      </c>
      <c r="AV160" s="491" t="s">
        <v>29</v>
      </c>
    </row>
    <row r="161" spans="1:48">
      <c r="A161" s="72">
        <v>15</v>
      </c>
      <c r="B161" s="391" t="s">
        <v>46</v>
      </c>
      <c r="C161" s="72">
        <f t="shared" si="6"/>
        <v>19</v>
      </c>
      <c r="D161" s="72" t="str">
        <f t="shared" si="7"/>
        <v>15-19</v>
      </c>
      <c r="E161" s="72">
        <v>63586</v>
      </c>
      <c r="F161" s="72" t="str">
        <f t="shared" si="8"/>
        <v>15-63586</v>
      </c>
      <c r="G161" s="391" t="s">
        <v>759</v>
      </c>
      <c r="H161" s="331">
        <v>11375.73</v>
      </c>
      <c r="I161" s="331">
        <v>10459.51</v>
      </c>
      <c r="J161" s="331">
        <v>10769.79</v>
      </c>
      <c r="K161" s="331">
        <v>12805.71</v>
      </c>
      <c r="L161" s="1072">
        <v>0</v>
      </c>
      <c r="M161" s="1072">
        <v>0</v>
      </c>
      <c r="N161" s="1072">
        <v>0</v>
      </c>
      <c r="O161" s="1072">
        <v>0</v>
      </c>
      <c r="P161" s="491">
        <v>0</v>
      </c>
      <c r="Q161" s="491">
        <v>0</v>
      </c>
      <c r="R161" s="491">
        <v>0</v>
      </c>
      <c r="S161" s="491">
        <v>0</v>
      </c>
      <c r="T161" s="1025" t="b">
        <v>0</v>
      </c>
      <c r="U161" s="491">
        <v>0.74</v>
      </c>
      <c r="V161" s="491">
        <v>0</v>
      </c>
      <c r="W161" s="491">
        <v>0</v>
      </c>
      <c r="X161" s="491">
        <v>0</v>
      </c>
      <c r="Y161" s="1025" t="b">
        <v>1</v>
      </c>
      <c r="Z161" s="331">
        <v>0</v>
      </c>
      <c r="AA161" s="331">
        <v>0</v>
      </c>
      <c r="AB161" s="331">
        <v>0</v>
      </c>
      <c r="AC161" s="331">
        <v>0</v>
      </c>
      <c r="AD161" s="1025" t="b">
        <v>0</v>
      </c>
      <c r="AE161" s="331">
        <v>0.1</v>
      </c>
      <c r="AF161" s="331">
        <v>0</v>
      </c>
      <c r="AG161" s="331">
        <v>0</v>
      </c>
      <c r="AH161" s="331">
        <v>0</v>
      </c>
      <c r="AI161" s="1025" t="b">
        <v>1</v>
      </c>
      <c r="AJ161" s="331">
        <v>0</v>
      </c>
      <c r="AK161" s="331">
        <v>0</v>
      </c>
      <c r="AL161" s="331">
        <v>0</v>
      </c>
      <c r="AM161" s="331">
        <v>0</v>
      </c>
      <c r="AN161" s="1025" t="b">
        <v>0</v>
      </c>
      <c r="AO161" s="331">
        <v>0</v>
      </c>
      <c r="AP161" s="331">
        <v>0</v>
      </c>
      <c r="AQ161" s="331">
        <v>0</v>
      </c>
      <c r="AR161" s="331">
        <v>0</v>
      </c>
      <c r="AS161" s="1025" t="b">
        <v>0</v>
      </c>
      <c r="AT161" s="1025" t="b">
        <v>1</v>
      </c>
      <c r="AU161" s="331">
        <v>0</v>
      </c>
      <c r="AV161" s="491" t="s">
        <v>29</v>
      </c>
    </row>
    <row r="162" spans="1:48">
      <c r="A162" s="72">
        <v>15</v>
      </c>
      <c r="B162" s="391" t="s">
        <v>46</v>
      </c>
      <c r="C162" s="72">
        <f t="shared" si="6"/>
        <v>20</v>
      </c>
      <c r="D162" s="72" t="str">
        <f t="shared" si="7"/>
        <v>15-20</v>
      </c>
      <c r="E162" s="72">
        <v>63594</v>
      </c>
      <c r="F162" s="72" t="str">
        <f t="shared" si="8"/>
        <v>15-63594</v>
      </c>
      <c r="G162" s="391" t="s">
        <v>760</v>
      </c>
      <c r="H162" s="331">
        <v>14557.29</v>
      </c>
      <c r="I162" s="331">
        <v>13384.83</v>
      </c>
      <c r="J162" s="331">
        <v>13781.88</v>
      </c>
      <c r="K162" s="331">
        <v>16387.21</v>
      </c>
      <c r="L162" s="1072">
        <v>0</v>
      </c>
      <c r="M162" s="1072">
        <v>0</v>
      </c>
      <c r="N162" s="1072">
        <v>0</v>
      </c>
      <c r="O162" s="1072">
        <v>0</v>
      </c>
      <c r="P162" s="491">
        <v>0</v>
      </c>
      <c r="Q162" s="491">
        <v>0</v>
      </c>
      <c r="R162" s="491">
        <v>0</v>
      </c>
      <c r="S162" s="491">
        <v>0</v>
      </c>
      <c r="T162" s="1025" t="b">
        <v>0</v>
      </c>
      <c r="U162" s="491">
        <v>0</v>
      </c>
      <c r="V162" s="491">
        <v>2.62</v>
      </c>
      <c r="W162" s="491">
        <v>0</v>
      </c>
      <c r="X162" s="491">
        <v>0</v>
      </c>
      <c r="Y162" s="1025" t="b">
        <v>1</v>
      </c>
      <c r="Z162" s="331">
        <v>0</v>
      </c>
      <c r="AA162" s="331">
        <v>0</v>
      </c>
      <c r="AB162" s="331">
        <v>0</v>
      </c>
      <c r="AC162" s="331">
        <v>0</v>
      </c>
      <c r="AD162" s="1025" t="b">
        <v>0</v>
      </c>
      <c r="AE162" s="331">
        <v>0.1</v>
      </c>
      <c r="AF162" s="331">
        <v>0.22</v>
      </c>
      <c r="AG162" s="331">
        <v>0</v>
      </c>
      <c r="AH162" s="331">
        <v>0</v>
      </c>
      <c r="AI162" s="1025" t="b">
        <v>1</v>
      </c>
      <c r="AJ162" s="331">
        <v>0</v>
      </c>
      <c r="AK162" s="331">
        <v>0</v>
      </c>
      <c r="AL162" s="331">
        <v>0</v>
      </c>
      <c r="AM162" s="331">
        <v>0</v>
      </c>
      <c r="AN162" s="1025" t="b">
        <v>0</v>
      </c>
      <c r="AO162" s="331">
        <v>0</v>
      </c>
      <c r="AP162" s="331">
        <v>0</v>
      </c>
      <c r="AQ162" s="331">
        <v>0</v>
      </c>
      <c r="AR162" s="331">
        <v>0</v>
      </c>
      <c r="AS162" s="1025" t="b">
        <v>0</v>
      </c>
      <c r="AT162" s="1025" t="b">
        <v>1</v>
      </c>
      <c r="AU162" s="331">
        <v>0</v>
      </c>
      <c r="AV162" s="491" t="s">
        <v>29</v>
      </c>
    </row>
    <row r="163" spans="1:48">
      <c r="A163" s="72">
        <v>15</v>
      </c>
      <c r="B163" s="391" t="s">
        <v>46</v>
      </c>
      <c r="C163" s="72">
        <f t="shared" si="6"/>
        <v>21</v>
      </c>
      <c r="D163" s="72" t="str">
        <f t="shared" si="7"/>
        <v>15-21</v>
      </c>
      <c r="E163" s="72">
        <v>63628</v>
      </c>
      <c r="F163" s="72" t="str">
        <f t="shared" si="8"/>
        <v>15-63628</v>
      </c>
      <c r="G163" s="391" t="s">
        <v>761</v>
      </c>
      <c r="H163" s="331">
        <v>14726.74</v>
      </c>
      <c r="I163" s="331">
        <v>13540.62</v>
      </c>
      <c r="J163" s="331">
        <v>13942.3</v>
      </c>
      <c r="K163" s="331">
        <v>16577.95</v>
      </c>
      <c r="L163" s="1072">
        <v>0</v>
      </c>
      <c r="M163" s="1072">
        <v>0</v>
      </c>
      <c r="N163" s="1072">
        <v>0</v>
      </c>
      <c r="O163" s="1072">
        <v>0</v>
      </c>
      <c r="P163" s="491">
        <v>0</v>
      </c>
      <c r="Q163" s="491">
        <v>0</v>
      </c>
      <c r="R163" s="491">
        <v>0</v>
      </c>
      <c r="S163" s="491">
        <v>1.44</v>
      </c>
      <c r="T163" s="1025" t="b">
        <v>1</v>
      </c>
      <c r="U163" s="491">
        <v>0</v>
      </c>
      <c r="V163" s="491">
        <v>0</v>
      </c>
      <c r="W163" s="491">
        <v>0</v>
      </c>
      <c r="X163" s="491">
        <v>0</v>
      </c>
      <c r="Y163" s="1025" t="b">
        <v>0</v>
      </c>
      <c r="Z163" s="331">
        <v>0</v>
      </c>
      <c r="AA163" s="331">
        <v>0</v>
      </c>
      <c r="AB163" s="331">
        <v>0</v>
      </c>
      <c r="AC163" s="331">
        <v>0</v>
      </c>
      <c r="AD163" s="1025" t="b">
        <v>0</v>
      </c>
      <c r="AE163" s="331">
        <v>0</v>
      </c>
      <c r="AF163" s="331">
        <v>0</v>
      </c>
      <c r="AG163" s="331">
        <v>0</v>
      </c>
      <c r="AH163" s="331">
        <v>0</v>
      </c>
      <c r="AI163" s="1025" t="b">
        <v>0</v>
      </c>
      <c r="AJ163" s="331">
        <v>0</v>
      </c>
      <c r="AK163" s="331">
        <v>0</v>
      </c>
      <c r="AL163" s="331">
        <v>0</v>
      </c>
      <c r="AM163" s="331">
        <v>0</v>
      </c>
      <c r="AN163" s="1025" t="b">
        <v>0</v>
      </c>
      <c r="AO163" s="331">
        <v>0</v>
      </c>
      <c r="AP163" s="331">
        <v>0</v>
      </c>
      <c r="AQ163" s="331">
        <v>0</v>
      </c>
      <c r="AR163" s="331">
        <v>0</v>
      </c>
      <c r="AS163" s="1025" t="b">
        <v>0</v>
      </c>
      <c r="AT163" s="1025" t="b">
        <v>1</v>
      </c>
      <c r="AU163" s="331">
        <v>0</v>
      </c>
      <c r="AV163" s="491" t="s">
        <v>29</v>
      </c>
    </row>
    <row r="164" spans="1:48">
      <c r="A164" s="72">
        <v>15</v>
      </c>
      <c r="B164" s="391" t="s">
        <v>46</v>
      </c>
      <c r="C164" s="72">
        <f t="shared" si="6"/>
        <v>22</v>
      </c>
      <c r="D164" s="72" t="str">
        <f t="shared" si="7"/>
        <v>15-22</v>
      </c>
      <c r="E164" s="72">
        <v>63677</v>
      </c>
      <c r="F164" s="72" t="str">
        <f t="shared" si="8"/>
        <v>15-63677</v>
      </c>
      <c r="G164" s="391" t="s">
        <v>762</v>
      </c>
      <c r="H164" s="331">
        <v>14041.23</v>
      </c>
      <c r="I164" s="331">
        <v>12910.32</v>
      </c>
      <c r="J164" s="331">
        <v>13293.3</v>
      </c>
      <c r="K164" s="331">
        <v>15806.27</v>
      </c>
      <c r="L164" s="1072">
        <v>0</v>
      </c>
      <c r="M164" s="1072">
        <v>0</v>
      </c>
      <c r="N164" s="1072">
        <v>0</v>
      </c>
      <c r="O164" s="1072">
        <v>0</v>
      </c>
      <c r="P164" s="491">
        <v>0</v>
      </c>
      <c r="Q164" s="491">
        <v>0</v>
      </c>
      <c r="R164" s="491">
        <v>0</v>
      </c>
      <c r="S164" s="491">
        <v>1.1100000000000001</v>
      </c>
      <c r="T164" s="1025" t="b">
        <v>1</v>
      </c>
      <c r="U164" s="491">
        <v>0.69</v>
      </c>
      <c r="V164" s="491">
        <v>0</v>
      </c>
      <c r="W164" s="491">
        <v>0</v>
      </c>
      <c r="X164" s="491">
        <v>0</v>
      </c>
      <c r="Y164" s="1025" t="b">
        <v>1</v>
      </c>
      <c r="Z164" s="331">
        <v>0</v>
      </c>
      <c r="AA164" s="331">
        <v>0</v>
      </c>
      <c r="AB164" s="331">
        <v>0</v>
      </c>
      <c r="AC164" s="331">
        <v>0</v>
      </c>
      <c r="AD164" s="1025" t="b">
        <v>0</v>
      </c>
      <c r="AE164" s="331">
        <v>7.0000000000000007E-2</v>
      </c>
      <c r="AF164" s="331">
        <v>0</v>
      </c>
      <c r="AG164" s="331">
        <v>0</v>
      </c>
      <c r="AH164" s="331">
        <v>0</v>
      </c>
      <c r="AI164" s="1025" t="b">
        <v>1</v>
      </c>
      <c r="AJ164" s="331">
        <v>0</v>
      </c>
      <c r="AK164" s="331">
        <v>0</v>
      </c>
      <c r="AL164" s="331">
        <v>0</v>
      </c>
      <c r="AM164" s="331">
        <v>0</v>
      </c>
      <c r="AN164" s="1025" t="b">
        <v>0</v>
      </c>
      <c r="AO164" s="331">
        <v>0</v>
      </c>
      <c r="AP164" s="331">
        <v>0</v>
      </c>
      <c r="AQ164" s="331">
        <v>0</v>
      </c>
      <c r="AR164" s="331">
        <v>0</v>
      </c>
      <c r="AS164" s="1025" t="b">
        <v>0</v>
      </c>
      <c r="AT164" s="1025" t="b">
        <v>1</v>
      </c>
      <c r="AU164" s="331">
        <v>0</v>
      </c>
      <c r="AV164" s="491" t="s">
        <v>29</v>
      </c>
    </row>
    <row r="165" spans="1:48">
      <c r="A165" s="72">
        <v>15</v>
      </c>
      <c r="B165" s="391" t="s">
        <v>46</v>
      </c>
      <c r="C165" s="72">
        <f t="shared" si="6"/>
        <v>23</v>
      </c>
      <c r="D165" s="72" t="str">
        <f t="shared" si="7"/>
        <v>15-23</v>
      </c>
      <c r="E165" s="72">
        <v>63685</v>
      </c>
      <c r="F165" s="72" t="str">
        <f t="shared" si="8"/>
        <v>15-63685</v>
      </c>
      <c r="G165" s="391" t="s">
        <v>763</v>
      </c>
      <c r="H165" s="331">
        <v>10677.77</v>
      </c>
      <c r="I165" s="331">
        <v>9817.77</v>
      </c>
      <c r="J165" s="331">
        <v>10109.01</v>
      </c>
      <c r="K165" s="331">
        <v>12020.01</v>
      </c>
      <c r="L165" s="1072">
        <v>0</v>
      </c>
      <c r="M165" s="1072">
        <v>0</v>
      </c>
      <c r="N165" s="1072">
        <v>0</v>
      </c>
      <c r="O165" s="1072">
        <v>0</v>
      </c>
      <c r="P165" s="491">
        <v>0</v>
      </c>
      <c r="Q165" s="491">
        <v>0</v>
      </c>
      <c r="R165" s="491">
        <v>0.59</v>
      </c>
      <c r="S165" s="491">
        <v>2.1</v>
      </c>
      <c r="T165" s="1025" t="b">
        <v>1</v>
      </c>
      <c r="U165" s="491">
        <v>0</v>
      </c>
      <c r="V165" s="491">
        <v>0</v>
      </c>
      <c r="W165" s="491">
        <v>0.27</v>
      </c>
      <c r="X165" s="491">
        <v>0</v>
      </c>
      <c r="Y165" s="1025" t="b">
        <v>1</v>
      </c>
      <c r="Z165" s="331">
        <v>0</v>
      </c>
      <c r="AA165" s="331">
        <v>0</v>
      </c>
      <c r="AB165" s="331">
        <v>0</v>
      </c>
      <c r="AC165" s="331">
        <v>0</v>
      </c>
      <c r="AD165" s="1025" t="b">
        <v>0</v>
      </c>
      <c r="AE165" s="331">
        <v>0</v>
      </c>
      <c r="AF165" s="331">
        <v>0</v>
      </c>
      <c r="AG165" s="331">
        <v>0</v>
      </c>
      <c r="AH165" s="331">
        <v>0</v>
      </c>
      <c r="AI165" s="1025" t="b">
        <v>0</v>
      </c>
      <c r="AJ165" s="331">
        <v>0</v>
      </c>
      <c r="AK165" s="331">
        <v>0</v>
      </c>
      <c r="AL165" s="331">
        <v>0</v>
      </c>
      <c r="AM165" s="331">
        <v>0</v>
      </c>
      <c r="AN165" s="1025" t="b">
        <v>0</v>
      </c>
      <c r="AO165" s="331">
        <v>0</v>
      </c>
      <c r="AP165" s="331">
        <v>0</v>
      </c>
      <c r="AQ165" s="331">
        <v>0</v>
      </c>
      <c r="AR165" s="331">
        <v>0</v>
      </c>
      <c r="AS165" s="1025" t="b">
        <v>0</v>
      </c>
      <c r="AT165" s="1025" t="b">
        <v>1</v>
      </c>
      <c r="AU165" s="331">
        <v>0</v>
      </c>
      <c r="AV165" s="491" t="s">
        <v>29</v>
      </c>
    </row>
    <row r="166" spans="1:48">
      <c r="A166" s="72">
        <v>15</v>
      </c>
      <c r="B166" s="391" t="s">
        <v>46</v>
      </c>
      <c r="C166" s="72">
        <f t="shared" si="6"/>
        <v>24</v>
      </c>
      <c r="D166" s="72" t="str">
        <f t="shared" si="7"/>
        <v>15-24</v>
      </c>
      <c r="E166" s="72">
        <v>63693</v>
      </c>
      <c r="F166" s="72" t="str">
        <f t="shared" si="8"/>
        <v>15-63693</v>
      </c>
      <c r="G166" s="391" t="s">
        <v>764</v>
      </c>
      <c r="H166" s="331">
        <v>10778.35</v>
      </c>
      <c r="I166" s="331">
        <v>9910.25</v>
      </c>
      <c r="J166" s="331">
        <v>10204.23</v>
      </c>
      <c r="K166" s="331">
        <v>12133.24</v>
      </c>
      <c r="L166" s="1072">
        <v>0</v>
      </c>
      <c r="M166" s="1072">
        <v>0</v>
      </c>
      <c r="N166" s="1072">
        <v>0</v>
      </c>
      <c r="O166" s="1072">
        <v>0</v>
      </c>
      <c r="P166" s="491">
        <v>0</v>
      </c>
      <c r="Q166" s="491">
        <v>0</v>
      </c>
      <c r="R166" s="491">
        <v>0</v>
      </c>
      <c r="S166" s="491">
        <v>0</v>
      </c>
      <c r="T166" s="1025" t="b">
        <v>0</v>
      </c>
      <c r="U166" s="491">
        <v>17.899999999999999</v>
      </c>
      <c r="V166" s="491">
        <v>12.58</v>
      </c>
      <c r="W166" s="491">
        <v>2.67</v>
      </c>
      <c r="X166" s="491">
        <v>0</v>
      </c>
      <c r="Y166" s="1025" t="b">
        <v>1</v>
      </c>
      <c r="Z166" s="331">
        <v>0</v>
      </c>
      <c r="AA166" s="331">
        <v>0</v>
      </c>
      <c r="AB166" s="331">
        <v>0</v>
      </c>
      <c r="AC166" s="331">
        <v>0</v>
      </c>
      <c r="AD166" s="1025" t="b">
        <v>0</v>
      </c>
      <c r="AE166" s="331">
        <v>1.61</v>
      </c>
      <c r="AF166" s="331">
        <v>0.91</v>
      </c>
      <c r="AG166" s="331">
        <v>0.38</v>
      </c>
      <c r="AH166" s="331">
        <v>0</v>
      </c>
      <c r="AI166" s="1025" t="b">
        <v>1</v>
      </c>
      <c r="AJ166" s="331">
        <v>0</v>
      </c>
      <c r="AK166" s="331">
        <v>0</v>
      </c>
      <c r="AL166" s="331">
        <v>0</v>
      </c>
      <c r="AM166" s="331">
        <v>0</v>
      </c>
      <c r="AN166" s="1025" t="b">
        <v>0</v>
      </c>
      <c r="AO166" s="331">
        <v>0</v>
      </c>
      <c r="AP166" s="331">
        <v>0</v>
      </c>
      <c r="AQ166" s="331">
        <v>0</v>
      </c>
      <c r="AR166" s="331">
        <v>0</v>
      </c>
      <c r="AS166" s="1025" t="b">
        <v>0</v>
      </c>
      <c r="AT166" s="1025" t="b">
        <v>1</v>
      </c>
      <c r="AU166" s="331">
        <v>0</v>
      </c>
      <c r="AV166" s="491" t="s">
        <v>29</v>
      </c>
    </row>
    <row r="167" spans="1:48">
      <c r="A167" s="72">
        <v>15</v>
      </c>
      <c r="B167" s="391" t="s">
        <v>46</v>
      </c>
      <c r="C167" s="72">
        <f t="shared" si="6"/>
        <v>25</v>
      </c>
      <c r="D167" s="72" t="str">
        <f t="shared" si="7"/>
        <v>15-25</v>
      </c>
      <c r="E167" s="72">
        <v>63750</v>
      </c>
      <c r="F167" s="72" t="str">
        <f t="shared" si="8"/>
        <v>15-63750</v>
      </c>
      <c r="G167" s="391" t="s">
        <v>765</v>
      </c>
      <c r="H167" s="331">
        <v>10807.5</v>
      </c>
      <c r="I167" s="331">
        <v>9937.0400000000009</v>
      </c>
      <c r="J167" s="331">
        <v>10231.82</v>
      </c>
      <c r="K167" s="331">
        <v>12166.04</v>
      </c>
      <c r="L167" s="1072">
        <v>0</v>
      </c>
      <c r="M167" s="1072">
        <v>0</v>
      </c>
      <c r="N167" s="1072">
        <v>0</v>
      </c>
      <c r="O167" s="1072">
        <v>0</v>
      </c>
      <c r="P167" s="491">
        <v>0</v>
      </c>
      <c r="Q167" s="491">
        <v>0</v>
      </c>
      <c r="R167" s="491">
        <v>0</v>
      </c>
      <c r="S167" s="491">
        <v>0</v>
      </c>
      <c r="T167" s="1025" t="b">
        <v>0</v>
      </c>
      <c r="U167" s="491">
        <v>15.72</v>
      </c>
      <c r="V167" s="491">
        <v>11.75</v>
      </c>
      <c r="W167" s="491">
        <v>7.91</v>
      </c>
      <c r="X167" s="491">
        <v>0</v>
      </c>
      <c r="Y167" s="1025" t="b">
        <v>1</v>
      </c>
      <c r="Z167" s="331">
        <v>0</v>
      </c>
      <c r="AA167" s="331">
        <v>0</v>
      </c>
      <c r="AB167" s="331">
        <v>0</v>
      </c>
      <c r="AC167" s="331">
        <v>0</v>
      </c>
      <c r="AD167" s="1025" t="b">
        <v>0</v>
      </c>
      <c r="AE167" s="331">
        <v>1.23</v>
      </c>
      <c r="AF167" s="331">
        <v>1</v>
      </c>
      <c r="AG167" s="331">
        <v>0.77</v>
      </c>
      <c r="AH167" s="331">
        <v>0</v>
      </c>
      <c r="AI167" s="1025" t="b">
        <v>1</v>
      </c>
      <c r="AJ167" s="331">
        <v>0</v>
      </c>
      <c r="AK167" s="331">
        <v>0</v>
      </c>
      <c r="AL167" s="331">
        <v>0</v>
      </c>
      <c r="AM167" s="331">
        <v>0</v>
      </c>
      <c r="AN167" s="1025" t="b">
        <v>0</v>
      </c>
      <c r="AO167" s="331">
        <v>0</v>
      </c>
      <c r="AP167" s="331">
        <v>0</v>
      </c>
      <c r="AQ167" s="331">
        <v>0</v>
      </c>
      <c r="AR167" s="331">
        <v>0</v>
      </c>
      <c r="AS167" s="1025" t="b">
        <v>0</v>
      </c>
      <c r="AT167" s="1025" t="b">
        <v>1</v>
      </c>
      <c r="AU167" s="331">
        <v>0</v>
      </c>
      <c r="AV167" s="491" t="s">
        <v>29</v>
      </c>
    </row>
    <row r="168" spans="1:48">
      <c r="A168" s="72">
        <v>15</v>
      </c>
      <c r="B168" s="391" t="s">
        <v>46</v>
      </c>
      <c r="C168" s="72">
        <f t="shared" si="6"/>
        <v>26</v>
      </c>
      <c r="D168" s="72" t="str">
        <f t="shared" si="7"/>
        <v>15-26</v>
      </c>
      <c r="E168" s="72">
        <v>63776</v>
      </c>
      <c r="F168" s="72" t="str">
        <f t="shared" si="8"/>
        <v>15-63776</v>
      </c>
      <c r="G168" s="391" t="s">
        <v>766</v>
      </c>
      <c r="H168" s="331">
        <v>13708.36</v>
      </c>
      <c r="I168" s="331">
        <v>12604.27</v>
      </c>
      <c r="J168" s="331">
        <v>12978.17</v>
      </c>
      <c r="K168" s="331">
        <v>15431.56</v>
      </c>
      <c r="L168" s="1072">
        <v>0</v>
      </c>
      <c r="M168" s="1072">
        <v>0</v>
      </c>
      <c r="N168" s="1072">
        <v>0</v>
      </c>
      <c r="O168" s="1072">
        <v>0</v>
      </c>
      <c r="P168" s="491">
        <v>0</v>
      </c>
      <c r="Q168" s="491">
        <v>0.21</v>
      </c>
      <c r="R168" s="491">
        <v>0</v>
      </c>
      <c r="S168" s="491">
        <v>0</v>
      </c>
      <c r="T168" s="1025" t="b">
        <v>1</v>
      </c>
      <c r="U168" s="491">
        <v>0</v>
      </c>
      <c r="V168" s="491">
        <v>0</v>
      </c>
      <c r="W168" s="491">
        <v>0</v>
      </c>
      <c r="X168" s="491">
        <v>0</v>
      </c>
      <c r="Y168" s="1025" t="b">
        <v>0</v>
      </c>
      <c r="Z168" s="331">
        <v>0</v>
      </c>
      <c r="AA168" s="331">
        <v>0</v>
      </c>
      <c r="AB168" s="331">
        <v>0</v>
      </c>
      <c r="AC168" s="331">
        <v>0</v>
      </c>
      <c r="AD168" s="1025" t="b">
        <v>0</v>
      </c>
      <c r="AE168" s="331">
        <v>0</v>
      </c>
      <c r="AF168" s="331">
        <v>0</v>
      </c>
      <c r="AG168" s="331">
        <v>0</v>
      </c>
      <c r="AH168" s="331">
        <v>0</v>
      </c>
      <c r="AI168" s="1025" t="b">
        <v>0</v>
      </c>
      <c r="AJ168" s="331">
        <v>0</v>
      </c>
      <c r="AK168" s="331">
        <v>0</v>
      </c>
      <c r="AL168" s="331">
        <v>0</v>
      </c>
      <c r="AM168" s="331">
        <v>0</v>
      </c>
      <c r="AN168" s="1025" t="b">
        <v>0</v>
      </c>
      <c r="AO168" s="331">
        <v>0</v>
      </c>
      <c r="AP168" s="331">
        <v>0</v>
      </c>
      <c r="AQ168" s="331">
        <v>0</v>
      </c>
      <c r="AR168" s="331">
        <v>0</v>
      </c>
      <c r="AS168" s="1025" t="b">
        <v>0</v>
      </c>
      <c r="AT168" s="1025" t="b">
        <v>1</v>
      </c>
      <c r="AU168" s="331">
        <v>0</v>
      </c>
      <c r="AV168" s="491" t="s">
        <v>29</v>
      </c>
    </row>
    <row r="169" spans="1:48">
      <c r="A169" s="72">
        <v>15</v>
      </c>
      <c r="B169" s="391" t="s">
        <v>46</v>
      </c>
      <c r="C169" s="72">
        <f t="shared" si="6"/>
        <v>27</v>
      </c>
      <c r="D169" s="72" t="str">
        <f t="shared" si="7"/>
        <v>15-27</v>
      </c>
      <c r="E169" s="72">
        <v>63792</v>
      </c>
      <c r="F169" s="72" t="str">
        <f t="shared" si="8"/>
        <v>15-63792</v>
      </c>
      <c r="G169" s="391" t="s">
        <v>767</v>
      </c>
      <c r="H169" s="331">
        <v>14103.15</v>
      </c>
      <c r="I169" s="331">
        <v>12967.26</v>
      </c>
      <c r="J169" s="331">
        <v>13351.93</v>
      </c>
      <c r="K169" s="331">
        <v>15875.98</v>
      </c>
      <c r="L169" s="1072">
        <v>0</v>
      </c>
      <c r="M169" s="1072">
        <v>0</v>
      </c>
      <c r="N169" s="1072">
        <v>0</v>
      </c>
      <c r="O169" s="1072">
        <v>0</v>
      </c>
      <c r="P169" s="491">
        <v>0</v>
      </c>
      <c r="Q169" s="491">
        <v>0</v>
      </c>
      <c r="R169" s="491">
        <v>0</v>
      </c>
      <c r="S169" s="491">
        <v>0</v>
      </c>
      <c r="T169" s="1025" t="b">
        <v>0</v>
      </c>
      <c r="U169" s="491">
        <v>3.4</v>
      </c>
      <c r="V169" s="491">
        <v>4.28</v>
      </c>
      <c r="W169" s="491">
        <v>2.41</v>
      </c>
      <c r="X169" s="491">
        <v>0</v>
      </c>
      <c r="Y169" s="1025" t="b">
        <v>1</v>
      </c>
      <c r="Z169" s="331">
        <v>0</v>
      </c>
      <c r="AA169" s="331">
        <v>0</v>
      </c>
      <c r="AB169" s="331">
        <v>0</v>
      </c>
      <c r="AC169" s="331">
        <v>0</v>
      </c>
      <c r="AD169" s="1025" t="b">
        <v>0</v>
      </c>
      <c r="AE169" s="331">
        <v>0.23</v>
      </c>
      <c r="AF169" s="331">
        <v>0.27</v>
      </c>
      <c r="AG169" s="331">
        <v>0.01</v>
      </c>
      <c r="AH169" s="331">
        <v>0</v>
      </c>
      <c r="AI169" s="1025" t="b">
        <v>1</v>
      </c>
      <c r="AJ169" s="331">
        <v>0</v>
      </c>
      <c r="AK169" s="331">
        <v>0</v>
      </c>
      <c r="AL169" s="331">
        <v>0</v>
      </c>
      <c r="AM169" s="331">
        <v>0</v>
      </c>
      <c r="AN169" s="1025" t="b">
        <v>0</v>
      </c>
      <c r="AO169" s="331">
        <v>0</v>
      </c>
      <c r="AP169" s="331">
        <v>0</v>
      </c>
      <c r="AQ169" s="331">
        <v>0</v>
      </c>
      <c r="AR169" s="331">
        <v>0</v>
      </c>
      <c r="AS169" s="1025" t="b">
        <v>0</v>
      </c>
      <c r="AT169" s="1025" t="b">
        <v>1</v>
      </c>
      <c r="AU169" s="331">
        <v>0</v>
      </c>
      <c r="AV169" s="491" t="s">
        <v>29</v>
      </c>
    </row>
    <row r="170" spans="1:48">
      <c r="A170" s="72">
        <v>15</v>
      </c>
      <c r="B170" s="391" t="s">
        <v>46</v>
      </c>
      <c r="C170" s="72">
        <f t="shared" si="6"/>
        <v>28</v>
      </c>
      <c r="D170" s="72" t="str">
        <f t="shared" si="7"/>
        <v>15-28</v>
      </c>
      <c r="E170" s="72">
        <v>63800</v>
      </c>
      <c r="F170" s="72" t="str">
        <f t="shared" si="8"/>
        <v>15-63800</v>
      </c>
      <c r="G170" s="391" t="s">
        <v>768</v>
      </c>
      <c r="H170" s="331">
        <v>14196.05</v>
      </c>
      <c r="I170" s="331">
        <v>13052.67</v>
      </c>
      <c r="J170" s="331">
        <v>13439.88</v>
      </c>
      <c r="K170" s="331">
        <v>15980.55</v>
      </c>
      <c r="L170" s="1072">
        <v>0</v>
      </c>
      <c r="M170" s="1072">
        <v>0</v>
      </c>
      <c r="N170" s="1072">
        <v>0</v>
      </c>
      <c r="O170" s="1072">
        <v>0</v>
      </c>
      <c r="P170" s="491">
        <v>0</v>
      </c>
      <c r="Q170" s="491">
        <v>0</v>
      </c>
      <c r="R170" s="491">
        <v>0</v>
      </c>
      <c r="S170" s="491">
        <v>0</v>
      </c>
      <c r="T170" s="1025" t="b">
        <v>0</v>
      </c>
      <c r="U170" s="491">
        <v>5.55</v>
      </c>
      <c r="V170" s="491">
        <v>9.01</v>
      </c>
      <c r="W170" s="491">
        <v>1.44</v>
      </c>
      <c r="X170" s="491">
        <v>0</v>
      </c>
      <c r="Y170" s="1025" t="b">
        <v>1</v>
      </c>
      <c r="Z170" s="331">
        <v>0</v>
      </c>
      <c r="AA170" s="331">
        <v>0</v>
      </c>
      <c r="AB170" s="331">
        <v>0</v>
      </c>
      <c r="AC170" s="331">
        <v>0</v>
      </c>
      <c r="AD170" s="1025" t="b">
        <v>0</v>
      </c>
      <c r="AE170" s="331">
        <v>0.7</v>
      </c>
      <c r="AF170" s="331">
        <v>0.37</v>
      </c>
      <c r="AG170" s="331">
        <v>0</v>
      </c>
      <c r="AH170" s="331">
        <v>0</v>
      </c>
      <c r="AI170" s="1025" t="b">
        <v>1</v>
      </c>
      <c r="AJ170" s="331">
        <v>0</v>
      </c>
      <c r="AK170" s="331">
        <v>0</v>
      </c>
      <c r="AL170" s="331">
        <v>0</v>
      </c>
      <c r="AM170" s="331">
        <v>0</v>
      </c>
      <c r="AN170" s="1025" t="b">
        <v>0</v>
      </c>
      <c r="AO170" s="331">
        <v>0</v>
      </c>
      <c r="AP170" s="331">
        <v>0</v>
      </c>
      <c r="AQ170" s="331">
        <v>0</v>
      </c>
      <c r="AR170" s="331">
        <v>0</v>
      </c>
      <c r="AS170" s="1025" t="b">
        <v>0</v>
      </c>
      <c r="AT170" s="1025" t="b">
        <v>1</v>
      </c>
      <c r="AU170" s="331">
        <v>0</v>
      </c>
      <c r="AV170" s="491" t="s">
        <v>29</v>
      </c>
    </row>
    <row r="171" spans="1:48">
      <c r="A171" s="72">
        <v>15</v>
      </c>
      <c r="B171" s="391" t="s">
        <v>46</v>
      </c>
      <c r="C171" s="72">
        <f t="shared" si="6"/>
        <v>29</v>
      </c>
      <c r="D171" s="72" t="str">
        <f t="shared" si="7"/>
        <v>15-29</v>
      </c>
      <c r="E171" s="72">
        <v>63818</v>
      </c>
      <c r="F171" s="72" t="str">
        <f t="shared" si="8"/>
        <v>15-63818</v>
      </c>
      <c r="G171" s="391" t="s">
        <v>769</v>
      </c>
      <c r="H171" s="331">
        <v>13085.64</v>
      </c>
      <c r="I171" s="331">
        <v>12031.7</v>
      </c>
      <c r="J171" s="331">
        <v>12388.62</v>
      </c>
      <c r="K171" s="331">
        <v>14730.56</v>
      </c>
      <c r="L171" s="1072">
        <v>0</v>
      </c>
      <c r="M171" s="1072">
        <v>0</v>
      </c>
      <c r="N171" s="1072">
        <v>0</v>
      </c>
      <c r="O171" s="1072">
        <v>0</v>
      </c>
      <c r="P171" s="491">
        <v>0</v>
      </c>
      <c r="Q171" s="491">
        <v>0</v>
      </c>
      <c r="R171" s="491">
        <v>0</v>
      </c>
      <c r="S171" s="491">
        <v>11.31</v>
      </c>
      <c r="T171" s="1025" t="b">
        <v>1</v>
      </c>
      <c r="U171" s="491">
        <v>0</v>
      </c>
      <c r="V171" s="491">
        <v>0</v>
      </c>
      <c r="W171" s="491">
        <v>0</v>
      </c>
      <c r="X171" s="491">
        <v>1.26</v>
      </c>
      <c r="Y171" s="1025" t="b">
        <v>1</v>
      </c>
      <c r="Z171" s="331">
        <v>0</v>
      </c>
      <c r="AA171" s="331">
        <v>0</v>
      </c>
      <c r="AB171" s="331">
        <v>0</v>
      </c>
      <c r="AC171" s="331">
        <v>0</v>
      </c>
      <c r="AD171" s="1025" t="b">
        <v>0</v>
      </c>
      <c r="AE171" s="331">
        <v>0</v>
      </c>
      <c r="AF171" s="331">
        <v>0</v>
      </c>
      <c r="AG171" s="331">
        <v>0</v>
      </c>
      <c r="AH171" s="331">
        <v>0.2</v>
      </c>
      <c r="AI171" s="1025" t="b">
        <v>1</v>
      </c>
      <c r="AJ171" s="331">
        <v>0</v>
      </c>
      <c r="AK171" s="331">
        <v>0</v>
      </c>
      <c r="AL171" s="331">
        <v>0</v>
      </c>
      <c r="AM171" s="331">
        <v>0</v>
      </c>
      <c r="AN171" s="1025" t="b">
        <v>0</v>
      </c>
      <c r="AO171" s="331">
        <v>0</v>
      </c>
      <c r="AP171" s="331">
        <v>0</v>
      </c>
      <c r="AQ171" s="331">
        <v>0</v>
      </c>
      <c r="AR171" s="331">
        <v>0</v>
      </c>
      <c r="AS171" s="1025" t="b">
        <v>0</v>
      </c>
      <c r="AT171" s="1025" t="b">
        <v>1</v>
      </c>
      <c r="AU171" s="331">
        <v>0</v>
      </c>
      <c r="AV171" s="491" t="s">
        <v>29</v>
      </c>
    </row>
    <row r="172" spans="1:48">
      <c r="A172" s="72">
        <v>15</v>
      </c>
      <c r="B172" s="391" t="s">
        <v>46</v>
      </c>
      <c r="C172" s="72">
        <f t="shared" si="6"/>
        <v>30</v>
      </c>
      <c r="D172" s="72" t="str">
        <f t="shared" si="7"/>
        <v>15-30</v>
      </c>
      <c r="E172" s="72">
        <v>63826</v>
      </c>
      <c r="F172" s="72" t="str">
        <f t="shared" si="8"/>
        <v>15-63826</v>
      </c>
      <c r="G172" s="391" t="s">
        <v>770</v>
      </c>
      <c r="H172" s="331">
        <v>10940.46</v>
      </c>
      <c r="I172" s="331">
        <v>10059.299999999999</v>
      </c>
      <c r="J172" s="331">
        <v>10357.700000000001</v>
      </c>
      <c r="K172" s="331">
        <v>12315.72</v>
      </c>
      <c r="L172" s="1072">
        <v>0</v>
      </c>
      <c r="M172" s="1072">
        <v>0</v>
      </c>
      <c r="N172" s="1072">
        <v>0</v>
      </c>
      <c r="O172" s="1072">
        <v>0</v>
      </c>
      <c r="P172" s="491">
        <v>0</v>
      </c>
      <c r="Q172" s="491">
        <v>0</v>
      </c>
      <c r="R172" s="491">
        <v>0</v>
      </c>
      <c r="S172" s="491">
        <v>0</v>
      </c>
      <c r="T172" s="1025" t="b">
        <v>0</v>
      </c>
      <c r="U172" s="491">
        <v>0</v>
      </c>
      <c r="V172" s="491">
        <v>0</v>
      </c>
      <c r="W172" s="491">
        <v>0.8</v>
      </c>
      <c r="X172" s="491">
        <v>0.94</v>
      </c>
      <c r="Y172" s="1025" t="b">
        <v>1</v>
      </c>
      <c r="Z172" s="331">
        <v>0</v>
      </c>
      <c r="AA172" s="331">
        <v>0</v>
      </c>
      <c r="AB172" s="331">
        <v>0</v>
      </c>
      <c r="AC172" s="331">
        <v>0</v>
      </c>
      <c r="AD172" s="1025" t="b">
        <v>0</v>
      </c>
      <c r="AE172" s="331">
        <v>0</v>
      </c>
      <c r="AF172" s="331">
        <v>0</v>
      </c>
      <c r="AG172" s="331">
        <v>0</v>
      </c>
      <c r="AH172" s="331">
        <v>0.11</v>
      </c>
      <c r="AI172" s="1025" t="b">
        <v>1</v>
      </c>
      <c r="AJ172" s="331">
        <v>0</v>
      </c>
      <c r="AK172" s="331">
        <v>0</v>
      </c>
      <c r="AL172" s="331">
        <v>0</v>
      </c>
      <c r="AM172" s="331">
        <v>0</v>
      </c>
      <c r="AN172" s="1025" t="b">
        <v>0</v>
      </c>
      <c r="AO172" s="331">
        <v>0</v>
      </c>
      <c r="AP172" s="331">
        <v>0</v>
      </c>
      <c r="AQ172" s="331">
        <v>0</v>
      </c>
      <c r="AR172" s="331">
        <v>0</v>
      </c>
      <c r="AS172" s="1025" t="b">
        <v>0</v>
      </c>
      <c r="AT172" s="1025" t="b">
        <v>1</v>
      </c>
      <c r="AU172" s="331">
        <v>0</v>
      </c>
      <c r="AV172" s="491" t="s">
        <v>29</v>
      </c>
    </row>
    <row r="173" spans="1:48">
      <c r="A173" s="72">
        <v>15</v>
      </c>
      <c r="B173" s="391" t="s">
        <v>46</v>
      </c>
      <c r="C173" s="72">
        <f t="shared" si="6"/>
        <v>31</v>
      </c>
      <c r="D173" s="72" t="str">
        <f t="shared" si="7"/>
        <v>15-31</v>
      </c>
      <c r="E173" s="72">
        <v>63834</v>
      </c>
      <c r="F173" s="72" t="str">
        <f t="shared" si="8"/>
        <v>15-63834</v>
      </c>
      <c r="G173" s="391" t="s">
        <v>771</v>
      </c>
      <c r="H173" s="331">
        <v>15048.42</v>
      </c>
      <c r="I173" s="331">
        <v>13836.4</v>
      </c>
      <c r="J173" s="331">
        <v>14246.85</v>
      </c>
      <c r="K173" s="331">
        <v>16940.07</v>
      </c>
      <c r="L173" s="1072">
        <v>0</v>
      </c>
      <c r="M173" s="1072">
        <v>0</v>
      </c>
      <c r="N173" s="1072">
        <v>0</v>
      </c>
      <c r="O173" s="1072">
        <v>0</v>
      </c>
      <c r="P173" s="491">
        <v>0</v>
      </c>
      <c r="Q173" s="491">
        <v>0</v>
      </c>
      <c r="R173" s="491">
        <v>0</v>
      </c>
      <c r="S173" s="491">
        <v>0</v>
      </c>
      <c r="T173" s="1025" t="b">
        <v>0</v>
      </c>
      <c r="U173" s="491">
        <v>4.2</v>
      </c>
      <c r="V173" s="491">
        <v>1.23</v>
      </c>
      <c r="W173" s="491">
        <v>1.95</v>
      </c>
      <c r="X173" s="491">
        <v>0</v>
      </c>
      <c r="Y173" s="1025" t="b">
        <v>1</v>
      </c>
      <c r="Z173" s="331">
        <v>0</v>
      </c>
      <c r="AA173" s="331">
        <v>0</v>
      </c>
      <c r="AB173" s="331">
        <v>0</v>
      </c>
      <c r="AC173" s="331">
        <v>0</v>
      </c>
      <c r="AD173" s="1025" t="b">
        <v>0</v>
      </c>
      <c r="AE173" s="331">
        <v>0.28000000000000003</v>
      </c>
      <c r="AF173" s="331">
        <v>0.36</v>
      </c>
      <c r="AG173" s="331">
        <v>0</v>
      </c>
      <c r="AH173" s="331">
        <v>0</v>
      </c>
      <c r="AI173" s="1025" t="b">
        <v>1</v>
      </c>
      <c r="AJ173" s="331">
        <v>0</v>
      </c>
      <c r="AK173" s="331">
        <v>0</v>
      </c>
      <c r="AL173" s="331">
        <v>0</v>
      </c>
      <c r="AM173" s="331">
        <v>0</v>
      </c>
      <c r="AN173" s="1025" t="b">
        <v>0</v>
      </c>
      <c r="AO173" s="331">
        <v>0</v>
      </c>
      <c r="AP173" s="331">
        <v>0</v>
      </c>
      <c r="AQ173" s="331">
        <v>0</v>
      </c>
      <c r="AR173" s="331">
        <v>0</v>
      </c>
      <c r="AS173" s="1025" t="b">
        <v>0</v>
      </c>
      <c r="AT173" s="1025" t="b">
        <v>1</v>
      </c>
      <c r="AU173" s="331">
        <v>0</v>
      </c>
      <c r="AV173" s="491" t="s">
        <v>29</v>
      </c>
    </row>
    <row r="174" spans="1:48">
      <c r="A174" s="72">
        <v>15</v>
      </c>
      <c r="B174" s="391" t="s">
        <v>46</v>
      </c>
      <c r="C174" s="72">
        <f t="shared" si="6"/>
        <v>32</v>
      </c>
      <c r="D174" s="72" t="str">
        <f t="shared" si="7"/>
        <v>15-32</v>
      </c>
      <c r="E174" s="72">
        <v>63842</v>
      </c>
      <c r="F174" s="72" t="str">
        <f t="shared" si="8"/>
        <v>15-63842</v>
      </c>
      <c r="G174" s="391" t="s">
        <v>772</v>
      </c>
      <c r="H174" s="331">
        <v>14436.88</v>
      </c>
      <c r="I174" s="331">
        <v>13274.11</v>
      </c>
      <c r="J174" s="331">
        <v>13667.88</v>
      </c>
      <c r="K174" s="331">
        <v>16251.65</v>
      </c>
      <c r="L174" s="1072">
        <v>0</v>
      </c>
      <c r="M174" s="1072">
        <v>0</v>
      </c>
      <c r="N174" s="1072">
        <v>0</v>
      </c>
      <c r="O174" s="1072">
        <v>0</v>
      </c>
      <c r="P174" s="491">
        <v>0</v>
      </c>
      <c r="Q174" s="491">
        <v>0</v>
      </c>
      <c r="R174" s="491">
        <v>0</v>
      </c>
      <c r="S174" s="491">
        <v>0</v>
      </c>
      <c r="T174" s="1025" t="b">
        <v>0</v>
      </c>
      <c r="U174" s="491">
        <v>9.9499999999999993</v>
      </c>
      <c r="V174" s="491">
        <v>4.9800000000000004</v>
      </c>
      <c r="W174" s="491">
        <v>2.98</v>
      </c>
      <c r="X174" s="491">
        <v>0</v>
      </c>
      <c r="Y174" s="1025" t="b">
        <v>1</v>
      </c>
      <c r="Z174" s="331">
        <v>0</v>
      </c>
      <c r="AA174" s="331">
        <v>0</v>
      </c>
      <c r="AB174" s="331">
        <v>0</v>
      </c>
      <c r="AC174" s="331">
        <v>0</v>
      </c>
      <c r="AD174" s="1025" t="b">
        <v>0</v>
      </c>
      <c r="AE174" s="331">
        <v>0.67</v>
      </c>
      <c r="AF174" s="331">
        <v>0.14000000000000001</v>
      </c>
      <c r="AG174" s="331">
        <v>0.12</v>
      </c>
      <c r="AH174" s="331">
        <v>0</v>
      </c>
      <c r="AI174" s="1025" t="b">
        <v>1</v>
      </c>
      <c r="AJ174" s="331">
        <v>0</v>
      </c>
      <c r="AK174" s="331">
        <v>0</v>
      </c>
      <c r="AL174" s="331">
        <v>0</v>
      </c>
      <c r="AM174" s="331">
        <v>0</v>
      </c>
      <c r="AN174" s="1025" t="b">
        <v>0</v>
      </c>
      <c r="AO174" s="331">
        <v>0</v>
      </c>
      <c r="AP174" s="331">
        <v>0</v>
      </c>
      <c r="AQ174" s="331">
        <v>0</v>
      </c>
      <c r="AR174" s="331">
        <v>0</v>
      </c>
      <c r="AS174" s="1025" t="b">
        <v>0</v>
      </c>
      <c r="AT174" s="1025" t="b">
        <v>1</v>
      </c>
      <c r="AU174" s="331">
        <v>0</v>
      </c>
      <c r="AV174" s="491" t="s">
        <v>29</v>
      </c>
    </row>
    <row r="175" spans="1:48">
      <c r="A175" s="72">
        <v>15</v>
      </c>
      <c r="B175" s="391" t="s">
        <v>46</v>
      </c>
      <c r="C175" s="72">
        <f t="shared" si="6"/>
        <v>33</v>
      </c>
      <c r="D175" s="72" t="str">
        <f t="shared" si="7"/>
        <v>15-33</v>
      </c>
      <c r="E175" s="72">
        <v>63859</v>
      </c>
      <c r="F175" s="72" t="str">
        <f t="shared" si="8"/>
        <v>15-63859</v>
      </c>
      <c r="G175" s="391" t="s">
        <v>773</v>
      </c>
      <c r="H175" s="331">
        <v>13948.33</v>
      </c>
      <c r="I175" s="331">
        <v>12824.91</v>
      </c>
      <c r="J175" s="331">
        <v>13205.36</v>
      </c>
      <c r="K175" s="331">
        <v>15701.7</v>
      </c>
      <c r="L175" s="1072">
        <v>0</v>
      </c>
      <c r="M175" s="1072">
        <v>0</v>
      </c>
      <c r="N175" s="1072">
        <v>0</v>
      </c>
      <c r="O175" s="1072">
        <v>0</v>
      </c>
      <c r="P175" s="491">
        <v>0</v>
      </c>
      <c r="Q175" s="491">
        <v>0</v>
      </c>
      <c r="R175" s="491">
        <v>0</v>
      </c>
      <c r="S175" s="491">
        <v>5.31</v>
      </c>
      <c r="T175" s="1025" t="b">
        <v>1</v>
      </c>
      <c r="U175" s="491">
        <v>0</v>
      </c>
      <c r="V175" s="491">
        <v>0</v>
      </c>
      <c r="W175" s="491">
        <v>0</v>
      </c>
      <c r="X175" s="491">
        <v>19.8</v>
      </c>
      <c r="Y175" s="1025" t="b">
        <v>1</v>
      </c>
      <c r="Z175" s="331">
        <v>0</v>
      </c>
      <c r="AA175" s="331">
        <v>0</v>
      </c>
      <c r="AB175" s="331">
        <v>0</v>
      </c>
      <c r="AC175" s="331">
        <v>0</v>
      </c>
      <c r="AD175" s="1025" t="b">
        <v>0</v>
      </c>
      <c r="AE175" s="331">
        <v>0</v>
      </c>
      <c r="AF175" s="331">
        <v>0</v>
      </c>
      <c r="AG175" s="331">
        <v>0</v>
      </c>
      <c r="AH175" s="331">
        <v>1.71</v>
      </c>
      <c r="AI175" s="1025" t="b">
        <v>1</v>
      </c>
      <c r="AJ175" s="331">
        <v>0</v>
      </c>
      <c r="AK175" s="331">
        <v>0</v>
      </c>
      <c r="AL175" s="331">
        <v>0</v>
      </c>
      <c r="AM175" s="331">
        <v>0</v>
      </c>
      <c r="AN175" s="1025" t="b">
        <v>0</v>
      </c>
      <c r="AO175" s="331">
        <v>0</v>
      </c>
      <c r="AP175" s="331">
        <v>0</v>
      </c>
      <c r="AQ175" s="331">
        <v>0</v>
      </c>
      <c r="AR175" s="331">
        <v>0</v>
      </c>
      <c r="AS175" s="1025" t="b">
        <v>0</v>
      </c>
      <c r="AT175" s="1025" t="b">
        <v>1</v>
      </c>
      <c r="AU175" s="331">
        <v>0</v>
      </c>
      <c r="AV175" s="491" t="s">
        <v>29</v>
      </c>
    </row>
    <row r="176" spans="1:48">
      <c r="A176" s="72">
        <v>15</v>
      </c>
      <c r="B176" s="391" t="s">
        <v>46</v>
      </c>
      <c r="C176" s="72">
        <f t="shared" si="6"/>
        <v>34</v>
      </c>
      <c r="D176" s="72" t="str">
        <f t="shared" si="7"/>
        <v>15-34</v>
      </c>
      <c r="E176" s="72">
        <v>73544</v>
      </c>
      <c r="F176" s="72" t="str">
        <f t="shared" si="8"/>
        <v>15-73544</v>
      </c>
      <c r="G176" s="391" t="s">
        <v>774</v>
      </c>
      <c r="H176" s="331">
        <v>11106.21</v>
      </c>
      <c r="I176" s="331">
        <v>10211.700000000001</v>
      </c>
      <c r="J176" s="331">
        <v>10514.62</v>
      </c>
      <c r="K176" s="331">
        <v>12502.31</v>
      </c>
      <c r="L176" s="1072">
        <v>0</v>
      </c>
      <c r="M176" s="1072">
        <v>0</v>
      </c>
      <c r="N176" s="1072">
        <v>0</v>
      </c>
      <c r="O176" s="1072">
        <v>0</v>
      </c>
      <c r="P176" s="491">
        <v>0</v>
      </c>
      <c r="Q176" s="491">
        <v>0</v>
      </c>
      <c r="R176" s="491">
        <v>0</v>
      </c>
      <c r="S176" s="491">
        <v>0</v>
      </c>
      <c r="T176" s="1025" t="b">
        <v>0</v>
      </c>
      <c r="U176" s="491">
        <v>0.2</v>
      </c>
      <c r="V176" s="491">
        <v>0.85</v>
      </c>
      <c r="W176" s="491">
        <v>0</v>
      </c>
      <c r="X176" s="491">
        <v>0</v>
      </c>
      <c r="Y176" s="1025" t="b">
        <v>1</v>
      </c>
      <c r="Z176" s="331">
        <v>0</v>
      </c>
      <c r="AA176" s="331">
        <v>0</v>
      </c>
      <c r="AB176" s="331">
        <v>0</v>
      </c>
      <c r="AC176" s="331">
        <v>0</v>
      </c>
      <c r="AD176" s="1025" t="b">
        <v>0</v>
      </c>
      <c r="AE176" s="331">
        <v>0</v>
      </c>
      <c r="AF176" s="331">
        <v>0.1</v>
      </c>
      <c r="AG176" s="331">
        <v>0</v>
      </c>
      <c r="AH176" s="331">
        <v>0</v>
      </c>
      <c r="AI176" s="1025" t="b">
        <v>1</v>
      </c>
      <c r="AJ176" s="331">
        <v>0</v>
      </c>
      <c r="AK176" s="331">
        <v>0</v>
      </c>
      <c r="AL176" s="331">
        <v>0</v>
      </c>
      <c r="AM176" s="331">
        <v>0</v>
      </c>
      <c r="AN176" s="1025" t="b">
        <v>0</v>
      </c>
      <c r="AO176" s="331">
        <v>0</v>
      </c>
      <c r="AP176" s="331">
        <v>0</v>
      </c>
      <c r="AQ176" s="331">
        <v>0</v>
      </c>
      <c r="AR176" s="331">
        <v>0</v>
      </c>
      <c r="AS176" s="1025" t="b">
        <v>0</v>
      </c>
      <c r="AT176" s="1025" t="b">
        <v>1</v>
      </c>
      <c r="AU176" s="331">
        <v>0</v>
      </c>
      <c r="AV176" s="491" t="s">
        <v>29</v>
      </c>
    </row>
    <row r="177" spans="1:48">
      <c r="A177" s="72">
        <v>15</v>
      </c>
      <c r="B177" s="391" t="s">
        <v>46</v>
      </c>
      <c r="C177" s="72">
        <f t="shared" si="6"/>
        <v>35</v>
      </c>
      <c r="D177" s="72" t="str">
        <f t="shared" si="7"/>
        <v>15-35</v>
      </c>
      <c r="E177" s="72">
        <v>73742</v>
      </c>
      <c r="F177" s="72" t="str">
        <f t="shared" si="8"/>
        <v>15-73742</v>
      </c>
      <c r="G177" s="391" t="s">
        <v>1788</v>
      </c>
      <c r="H177" s="331">
        <v>11222.98</v>
      </c>
      <c r="I177" s="331">
        <v>10319.07</v>
      </c>
      <c r="J177" s="331">
        <v>10625.18</v>
      </c>
      <c r="K177" s="331">
        <v>12633.76</v>
      </c>
      <c r="L177" s="1072">
        <v>0</v>
      </c>
      <c r="M177" s="1072">
        <v>0</v>
      </c>
      <c r="N177" s="1072">
        <v>0</v>
      </c>
      <c r="O177" s="1072">
        <v>0</v>
      </c>
      <c r="P177" s="491">
        <v>0</v>
      </c>
      <c r="Q177" s="491">
        <v>0.26</v>
      </c>
      <c r="R177" s="491">
        <v>0</v>
      </c>
      <c r="S177" s="491">
        <v>0</v>
      </c>
      <c r="T177" s="1025" t="b">
        <v>1</v>
      </c>
      <c r="U177" s="491">
        <v>0</v>
      </c>
      <c r="V177" s="491">
        <v>0</v>
      </c>
      <c r="W177" s="491">
        <v>0</v>
      </c>
      <c r="X177" s="491">
        <v>0</v>
      </c>
      <c r="Y177" s="1025" t="b">
        <v>0</v>
      </c>
      <c r="Z177" s="331">
        <v>0</v>
      </c>
      <c r="AA177" s="331">
        <v>0</v>
      </c>
      <c r="AB177" s="331">
        <v>0</v>
      </c>
      <c r="AC177" s="331">
        <v>0</v>
      </c>
      <c r="AD177" s="1025" t="b">
        <v>0</v>
      </c>
      <c r="AE177" s="331">
        <v>0</v>
      </c>
      <c r="AF177" s="331">
        <v>0</v>
      </c>
      <c r="AG177" s="331">
        <v>0</v>
      </c>
      <c r="AH177" s="331">
        <v>0</v>
      </c>
      <c r="AI177" s="1025" t="b">
        <v>0</v>
      </c>
      <c r="AJ177" s="331">
        <v>0</v>
      </c>
      <c r="AK177" s="331">
        <v>0</v>
      </c>
      <c r="AL177" s="331">
        <v>0</v>
      </c>
      <c r="AM177" s="331">
        <v>0</v>
      </c>
      <c r="AN177" s="1025" t="b">
        <v>0</v>
      </c>
      <c r="AO177" s="331">
        <v>0</v>
      </c>
      <c r="AP177" s="331">
        <v>0</v>
      </c>
      <c r="AQ177" s="331">
        <v>0</v>
      </c>
      <c r="AR177" s="331">
        <v>0</v>
      </c>
      <c r="AS177" s="1025" t="b">
        <v>0</v>
      </c>
      <c r="AT177" s="1025" t="b">
        <v>1</v>
      </c>
      <c r="AU177" s="331">
        <v>0</v>
      </c>
      <c r="AV177" s="491" t="s">
        <v>29</v>
      </c>
    </row>
    <row r="178" spans="1:48">
      <c r="A178" s="72">
        <v>15</v>
      </c>
      <c r="B178" s="391" t="s">
        <v>46</v>
      </c>
      <c r="C178" s="72">
        <f t="shared" si="6"/>
        <v>36</v>
      </c>
      <c r="D178" s="72" t="str">
        <f t="shared" si="7"/>
        <v>15-36</v>
      </c>
      <c r="E178" s="72">
        <v>73908</v>
      </c>
      <c r="F178" s="72" t="str">
        <f t="shared" si="8"/>
        <v>15-73908</v>
      </c>
      <c r="G178" s="391" t="s">
        <v>775</v>
      </c>
      <c r="H178" s="331">
        <v>14202.07</v>
      </c>
      <c r="I178" s="331">
        <v>13058.21</v>
      </c>
      <c r="J178" s="331">
        <v>13445.58</v>
      </c>
      <c r="K178" s="331">
        <v>15987.33</v>
      </c>
      <c r="L178" s="1072">
        <v>0</v>
      </c>
      <c r="M178" s="1072">
        <v>0</v>
      </c>
      <c r="N178" s="1072">
        <v>0</v>
      </c>
      <c r="O178" s="1072">
        <v>0</v>
      </c>
      <c r="P178" s="491">
        <v>0</v>
      </c>
      <c r="Q178" s="491">
        <v>0</v>
      </c>
      <c r="R178" s="491">
        <v>0</v>
      </c>
      <c r="S178" s="491">
        <v>0.27</v>
      </c>
      <c r="T178" s="1025" t="b">
        <v>1</v>
      </c>
      <c r="U178" s="491">
        <v>0.76</v>
      </c>
      <c r="V178" s="491">
        <v>0.96</v>
      </c>
      <c r="W178" s="491">
        <v>0.65</v>
      </c>
      <c r="X178" s="491">
        <v>10.130000000000001</v>
      </c>
      <c r="Y178" s="1025" t="b">
        <v>1</v>
      </c>
      <c r="Z178" s="331">
        <v>0</v>
      </c>
      <c r="AA178" s="331">
        <v>0</v>
      </c>
      <c r="AB178" s="331">
        <v>0</v>
      </c>
      <c r="AC178" s="331">
        <v>0</v>
      </c>
      <c r="AD178" s="1025" t="b">
        <v>0</v>
      </c>
      <c r="AE178" s="331">
        <v>0.11</v>
      </c>
      <c r="AF178" s="331">
        <v>0.09</v>
      </c>
      <c r="AG178" s="331">
        <v>0</v>
      </c>
      <c r="AH178" s="331">
        <v>1.3</v>
      </c>
      <c r="AI178" s="1025" t="b">
        <v>1</v>
      </c>
      <c r="AJ178" s="331">
        <v>0</v>
      </c>
      <c r="AK178" s="331">
        <v>0</v>
      </c>
      <c r="AL178" s="331">
        <v>0</v>
      </c>
      <c r="AM178" s="331">
        <v>0</v>
      </c>
      <c r="AN178" s="1025" t="b">
        <v>0</v>
      </c>
      <c r="AO178" s="331">
        <v>0</v>
      </c>
      <c r="AP178" s="331">
        <v>0</v>
      </c>
      <c r="AQ178" s="331">
        <v>0</v>
      </c>
      <c r="AR178" s="331">
        <v>0</v>
      </c>
      <c r="AS178" s="1025" t="b">
        <v>0</v>
      </c>
      <c r="AT178" s="1025" t="b">
        <v>1</v>
      </c>
      <c r="AU178" s="331">
        <v>0</v>
      </c>
      <c r="AV178" s="491" t="s">
        <v>29</v>
      </c>
    </row>
    <row r="179" spans="1:48">
      <c r="A179" s="72">
        <v>15</v>
      </c>
      <c r="B179" s="391" t="s">
        <v>46</v>
      </c>
      <c r="C179" s="72">
        <f t="shared" si="6"/>
        <v>37</v>
      </c>
      <c r="D179" s="72" t="str">
        <f t="shared" si="7"/>
        <v>15-37</v>
      </c>
      <c r="E179" s="72">
        <v>75168</v>
      </c>
      <c r="F179" s="72" t="str">
        <f t="shared" si="8"/>
        <v>15-75168</v>
      </c>
      <c r="G179" s="391" t="s">
        <v>776</v>
      </c>
      <c r="H179" s="331">
        <v>12764.81</v>
      </c>
      <c r="I179" s="331">
        <v>11736.72</v>
      </c>
      <c r="J179" s="331">
        <v>12084.88</v>
      </c>
      <c r="K179" s="331">
        <v>14369.4</v>
      </c>
      <c r="L179" s="1072">
        <v>0</v>
      </c>
      <c r="M179" s="1072">
        <v>0</v>
      </c>
      <c r="N179" s="1072">
        <v>0</v>
      </c>
      <c r="O179" s="1072">
        <v>0</v>
      </c>
      <c r="P179" s="491">
        <v>0</v>
      </c>
      <c r="Q179" s="491">
        <v>0</v>
      </c>
      <c r="R179" s="491">
        <v>0</v>
      </c>
      <c r="S179" s="491">
        <v>0</v>
      </c>
      <c r="T179" s="1025" t="b">
        <v>0</v>
      </c>
      <c r="U179" s="491">
        <v>0</v>
      </c>
      <c r="V179" s="491">
        <v>0.85</v>
      </c>
      <c r="W179" s="491">
        <v>1.64</v>
      </c>
      <c r="X179" s="491">
        <v>0.87</v>
      </c>
      <c r="Y179" s="1025" t="b">
        <v>1</v>
      </c>
      <c r="Z179" s="331">
        <v>0</v>
      </c>
      <c r="AA179" s="331">
        <v>0</v>
      </c>
      <c r="AB179" s="331">
        <v>0</v>
      </c>
      <c r="AC179" s="331">
        <v>0</v>
      </c>
      <c r="AD179" s="1025" t="b">
        <v>0</v>
      </c>
      <c r="AE179" s="331">
        <v>0</v>
      </c>
      <c r="AF179" s="331">
        <v>0.15</v>
      </c>
      <c r="AG179" s="331">
        <v>0.1</v>
      </c>
      <c r="AH179" s="331">
        <v>0.1</v>
      </c>
      <c r="AI179" s="1025" t="b">
        <v>1</v>
      </c>
      <c r="AJ179" s="331">
        <v>0</v>
      </c>
      <c r="AK179" s="331">
        <v>0</v>
      </c>
      <c r="AL179" s="331">
        <v>0</v>
      </c>
      <c r="AM179" s="331">
        <v>0</v>
      </c>
      <c r="AN179" s="1025" t="b">
        <v>0</v>
      </c>
      <c r="AO179" s="331">
        <v>0</v>
      </c>
      <c r="AP179" s="331">
        <v>0</v>
      </c>
      <c r="AQ179" s="331">
        <v>0</v>
      </c>
      <c r="AR179" s="331">
        <v>0</v>
      </c>
      <c r="AS179" s="1025" t="b">
        <v>0</v>
      </c>
      <c r="AT179" s="1025" t="b">
        <v>1</v>
      </c>
      <c r="AU179" s="331">
        <v>0</v>
      </c>
      <c r="AV179" s="491" t="s">
        <v>29</v>
      </c>
    </row>
    <row r="180" spans="1:48">
      <c r="A180" s="72">
        <v>15</v>
      </c>
      <c r="B180" s="391" t="s">
        <v>46</v>
      </c>
      <c r="C180" s="72">
        <f t="shared" si="6"/>
        <v>0</v>
      </c>
      <c r="D180" s="72" t="str">
        <f t="shared" si="7"/>
        <v>15-0</v>
      </c>
      <c r="E180" s="72" t="s">
        <v>29</v>
      </c>
      <c r="F180" s="72" t="str">
        <f t="shared" si="8"/>
        <v>15-N/A</v>
      </c>
      <c r="G180" s="391" t="s">
        <v>29</v>
      </c>
      <c r="H180" s="491" t="s">
        <v>29</v>
      </c>
      <c r="I180" s="491" t="s">
        <v>29</v>
      </c>
      <c r="J180" s="491" t="s">
        <v>29</v>
      </c>
      <c r="K180" s="491" t="s">
        <v>29</v>
      </c>
      <c r="L180" s="491" t="s">
        <v>29</v>
      </c>
      <c r="M180" s="491" t="s">
        <v>29</v>
      </c>
      <c r="N180" s="491" t="s">
        <v>29</v>
      </c>
      <c r="O180" s="491" t="s">
        <v>29</v>
      </c>
      <c r="P180" s="491" t="s">
        <v>29</v>
      </c>
      <c r="Q180" s="491" t="s">
        <v>29</v>
      </c>
      <c r="R180" s="491" t="s">
        <v>29</v>
      </c>
      <c r="S180" s="491" t="s">
        <v>29</v>
      </c>
      <c r="T180" s="1025" t="s">
        <v>29</v>
      </c>
      <c r="U180" s="491" t="s">
        <v>29</v>
      </c>
      <c r="V180" s="491" t="s">
        <v>29</v>
      </c>
      <c r="W180" s="491" t="s">
        <v>29</v>
      </c>
      <c r="X180" s="491" t="s">
        <v>29</v>
      </c>
      <c r="Y180" s="1025" t="s">
        <v>29</v>
      </c>
      <c r="Z180" s="491" t="s">
        <v>29</v>
      </c>
      <c r="AA180" s="491" t="s">
        <v>29</v>
      </c>
      <c r="AB180" s="491" t="s">
        <v>29</v>
      </c>
      <c r="AC180" s="491" t="s">
        <v>29</v>
      </c>
      <c r="AD180" s="1025" t="s">
        <v>29</v>
      </c>
      <c r="AE180" s="491" t="s">
        <v>29</v>
      </c>
      <c r="AF180" s="491" t="s">
        <v>29</v>
      </c>
      <c r="AG180" s="491" t="s">
        <v>29</v>
      </c>
      <c r="AH180" s="491" t="s">
        <v>29</v>
      </c>
      <c r="AI180" s="1025" t="s">
        <v>29</v>
      </c>
      <c r="AJ180" s="491" t="s">
        <v>29</v>
      </c>
      <c r="AK180" s="491" t="s">
        <v>29</v>
      </c>
      <c r="AL180" s="491" t="s">
        <v>29</v>
      </c>
      <c r="AM180" s="491" t="s">
        <v>29</v>
      </c>
      <c r="AN180" s="1025" t="s">
        <v>29</v>
      </c>
      <c r="AO180" s="491" t="s">
        <v>29</v>
      </c>
      <c r="AP180" s="491" t="s">
        <v>29</v>
      </c>
      <c r="AQ180" s="491" t="s">
        <v>29</v>
      </c>
      <c r="AR180" s="491" t="s">
        <v>29</v>
      </c>
      <c r="AS180" s="1025" t="s">
        <v>29</v>
      </c>
      <c r="AT180" s="1025" t="s">
        <v>29</v>
      </c>
      <c r="AU180" s="491" t="s">
        <v>29</v>
      </c>
      <c r="AV180" s="491">
        <v>0</v>
      </c>
    </row>
    <row r="181" spans="1:48">
      <c r="A181" s="72">
        <v>16</v>
      </c>
      <c r="B181" s="391" t="s">
        <v>59</v>
      </c>
      <c r="C181" s="72">
        <f t="shared" si="6"/>
        <v>1</v>
      </c>
      <c r="D181" s="72" t="str">
        <f t="shared" si="7"/>
        <v>16-1</v>
      </c>
      <c r="E181" s="72">
        <v>63875</v>
      </c>
      <c r="F181" s="72" t="str">
        <f t="shared" si="8"/>
        <v>16-63875</v>
      </c>
      <c r="G181" s="391" t="s">
        <v>777</v>
      </c>
      <c r="H181" s="331">
        <v>14391.29</v>
      </c>
      <c r="I181" s="331">
        <v>13232.2</v>
      </c>
      <c r="J181" s="331">
        <v>13624.72</v>
      </c>
      <c r="K181" s="331">
        <v>16200.34</v>
      </c>
      <c r="L181" s="1072">
        <v>0</v>
      </c>
      <c r="M181" s="1072">
        <v>0</v>
      </c>
      <c r="N181" s="1072">
        <v>0</v>
      </c>
      <c r="O181" s="1072">
        <v>0</v>
      </c>
      <c r="P181" s="491">
        <v>0</v>
      </c>
      <c r="Q181" s="491">
        <v>0</v>
      </c>
      <c r="R181" s="491">
        <v>0</v>
      </c>
      <c r="S181" s="491">
        <v>0</v>
      </c>
      <c r="T181" s="1025" t="b">
        <v>0</v>
      </c>
      <c r="U181" s="491">
        <v>11.4</v>
      </c>
      <c r="V181" s="491">
        <v>2.35</v>
      </c>
      <c r="W181" s="491">
        <v>2.38</v>
      </c>
      <c r="X181" s="491">
        <v>0</v>
      </c>
      <c r="Y181" s="1025" t="b">
        <v>1</v>
      </c>
      <c r="Z181" s="331">
        <v>0</v>
      </c>
      <c r="AA181" s="331">
        <v>0</v>
      </c>
      <c r="AB181" s="331">
        <v>0</v>
      </c>
      <c r="AC181" s="331">
        <v>0</v>
      </c>
      <c r="AD181" s="1025" t="b">
        <v>0</v>
      </c>
      <c r="AE181" s="331">
        <v>0.33</v>
      </c>
      <c r="AF181" s="331">
        <v>0</v>
      </c>
      <c r="AG181" s="331">
        <v>0.1</v>
      </c>
      <c r="AH181" s="331">
        <v>0</v>
      </c>
      <c r="AI181" s="1025" t="b">
        <v>1</v>
      </c>
      <c r="AJ181" s="331">
        <v>0</v>
      </c>
      <c r="AK181" s="331">
        <v>0</v>
      </c>
      <c r="AL181" s="331">
        <v>0</v>
      </c>
      <c r="AM181" s="331">
        <v>0</v>
      </c>
      <c r="AN181" s="1025" t="b">
        <v>0</v>
      </c>
      <c r="AO181" s="331">
        <v>0</v>
      </c>
      <c r="AP181" s="331">
        <v>0</v>
      </c>
      <c r="AQ181" s="331">
        <v>0</v>
      </c>
      <c r="AR181" s="331">
        <v>0</v>
      </c>
      <c r="AS181" s="1025" t="b">
        <v>0</v>
      </c>
      <c r="AT181" s="1025" t="b">
        <v>1</v>
      </c>
      <c r="AU181" s="331">
        <v>0</v>
      </c>
      <c r="AV181" s="491" t="s">
        <v>29</v>
      </c>
    </row>
    <row r="182" spans="1:48">
      <c r="A182" s="72">
        <v>16</v>
      </c>
      <c r="B182" s="391" t="s">
        <v>59</v>
      </c>
      <c r="C182" s="72">
        <f t="shared" si="6"/>
        <v>2</v>
      </c>
      <c r="D182" s="72" t="str">
        <f t="shared" si="7"/>
        <v>16-2</v>
      </c>
      <c r="E182" s="72">
        <v>63883</v>
      </c>
      <c r="F182" s="72" t="str">
        <f t="shared" si="8"/>
        <v>16-63883</v>
      </c>
      <c r="G182" s="391" t="s">
        <v>778</v>
      </c>
      <c r="H182" s="491">
        <v>11063.31</v>
      </c>
      <c r="I182" s="491">
        <v>10172.25</v>
      </c>
      <c r="J182" s="491">
        <v>10474.01</v>
      </c>
      <c r="K182" s="491">
        <v>12454.01</v>
      </c>
      <c r="L182" s="1072">
        <v>0</v>
      </c>
      <c r="M182" s="1072">
        <v>0</v>
      </c>
      <c r="N182" s="1072">
        <v>0</v>
      </c>
      <c r="O182" s="1072">
        <v>0</v>
      </c>
      <c r="P182" s="491">
        <v>0</v>
      </c>
      <c r="Q182" s="491">
        <v>0</v>
      </c>
      <c r="R182" s="491">
        <v>0</v>
      </c>
      <c r="S182" s="491">
        <v>0</v>
      </c>
      <c r="T182" s="1025" t="b">
        <v>0</v>
      </c>
      <c r="U182" s="491">
        <v>6.65</v>
      </c>
      <c r="V182" s="491">
        <v>1.73</v>
      </c>
      <c r="W182" s="491">
        <v>0</v>
      </c>
      <c r="X182" s="491">
        <v>0</v>
      </c>
      <c r="Y182" s="1025" t="b">
        <v>1</v>
      </c>
      <c r="Z182" s="491">
        <v>0</v>
      </c>
      <c r="AA182" s="491">
        <v>0</v>
      </c>
      <c r="AB182" s="491">
        <v>0</v>
      </c>
      <c r="AC182" s="491">
        <v>0</v>
      </c>
      <c r="AD182" s="1025" t="b">
        <v>0</v>
      </c>
      <c r="AE182" s="491">
        <v>0.09</v>
      </c>
      <c r="AF182" s="491">
        <v>0</v>
      </c>
      <c r="AG182" s="491">
        <v>0</v>
      </c>
      <c r="AH182" s="491">
        <v>0</v>
      </c>
      <c r="AI182" s="1025" t="b">
        <v>1</v>
      </c>
      <c r="AJ182" s="491">
        <v>0</v>
      </c>
      <c r="AK182" s="491">
        <v>0</v>
      </c>
      <c r="AL182" s="491">
        <v>0</v>
      </c>
      <c r="AM182" s="491">
        <v>0</v>
      </c>
      <c r="AN182" s="1025" t="b">
        <v>0</v>
      </c>
      <c r="AO182" s="491">
        <v>0</v>
      </c>
      <c r="AP182" s="491">
        <v>0</v>
      </c>
      <c r="AQ182" s="491">
        <v>0</v>
      </c>
      <c r="AR182" s="491">
        <v>0</v>
      </c>
      <c r="AS182" s="1025" t="b">
        <v>0</v>
      </c>
      <c r="AT182" s="1025" t="b">
        <v>1</v>
      </c>
      <c r="AU182" s="491">
        <v>0</v>
      </c>
      <c r="AV182" s="491" t="s">
        <v>29</v>
      </c>
    </row>
    <row r="183" spans="1:48">
      <c r="A183" s="72">
        <v>16</v>
      </c>
      <c r="B183" s="391" t="s">
        <v>59</v>
      </c>
      <c r="C183" s="72">
        <f t="shared" si="6"/>
        <v>3</v>
      </c>
      <c r="D183" s="72" t="str">
        <f t="shared" si="7"/>
        <v>16-3</v>
      </c>
      <c r="E183" s="72">
        <v>63891</v>
      </c>
      <c r="F183" s="72" t="str">
        <f t="shared" si="8"/>
        <v>16-63891</v>
      </c>
      <c r="G183" s="391" t="s">
        <v>779</v>
      </c>
      <c r="H183" s="331">
        <v>14225.29</v>
      </c>
      <c r="I183" s="331">
        <v>13079.56</v>
      </c>
      <c r="J183" s="331">
        <v>13467.56</v>
      </c>
      <c r="K183" s="331">
        <v>16013.47</v>
      </c>
      <c r="L183" s="1072">
        <v>0</v>
      </c>
      <c r="M183" s="1072">
        <v>0</v>
      </c>
      <c r="N183" s="1072">
        <v>0</v>
      </c>
      <c r="O183" s="1072">
        <v>0</v>
      </c>
      <c r="P183" s="491">
        <v>0</v>
      </c>
      <c r="Q183" s="491">
        <v>0</v>
      </c>
      <c r="R183" s="491">
        <v>0</v>
      </c>
      <c r="S183" s="491">
        <v>0</v>
      </c>
      <c r="T183" s="1025" t="b">
        <v>0</v>
      </c>
      <c r="U183" s="491">
        <v>10.210000000000001</v>
      </c>
      <c r="V183" s="491">
        <v>4.18</v>
      </c>
      <c r="W183" s="491">
        <v>1.8</v>
      </c>
      <c r="X183" s="491">
        <v>11.73</v>
      </c>
      <c r="Y183" s="1025" t="b">
        <v>1</v>
      </c>
      <c r="Z183" s="331">
        <v>0</v>
      </c>
      <c r="AA183" s="331">
        <v>0</v>
      </c>
      <c r="AB183" s="331">
        <v>0</v>
      </c>
      <c r="AC183" s="331">
        <v>0</v>
      </c>
      <c r="AD183" s="1025" t="b">
        <v>0</v>
      </c>
      <c r="AE183" s="331">
        <v>0.11</v>
      </c>
      <c r="AF183" s="331">
        <v>0</v>
      </c>
      <c r="AG183" s="331">
        <v>0</v>
      </c>
      <c r="AH183" s="331">
        <v>0.09</v>
      </c>
      <c r="AI183" s="1025" t="b">
        <v>1</v>
      </c>
      <c r="AJ183" s="331">
        <v>0</v>
      </c>
      <c r="AK183" s="331">
        <v>0</v>
      </c>
      <c r="AL183" s="331">
        <v>0</v>
      </c>
      <c r="AM183" s="331">
        <v>0</v>
      </c>
      <c r="AN183" s="1025" t="b">
        <v>0</v>
      </c>
      <c r="AO183" s="331">
        <v>0</v>
      </c>
      <c r="AP183" s="331">
        <v>0</v>
      </c>
      <c r="AQ183" s="331">
        <v>0</v>
      </c>
      <c r="AR183" s="331">
        <v>0</v>
      </c>
      <c r="AS183" s="1025" t="b">
        <v>0</v>
      </c>
      <c r="AT183" s="1025" t="b">
        <v>1</v>
      </c>
      <c r="AU183" s="331">
        <v>0</v>
      </c>
      <c r="AV183" s="491" t="s">
        <v>29</v>
      </c>
    </row>
    <row r="184" spans="1:48">
      <c r="A184" s="72">
        <v>16</v>
      </c>
      <c r="B184" s="391" t="s">
        <v>59</v>
      </c>
      <c r="C184" s="72">
        <f t="shared" si="6"/>
        <v>4</v>
      </c>
      <c r="D184" s="72" t="str">
        <f t="shared" si="7"/>
        <v>16-4</v>
      </c>
      <c r="E184" s="72">
        <v>63917</v>
      </c>
      <c r="F184" s="72" t="str">
        <f t="shared" si="8"/>
        <v>16-63917</v>
      </c>
      <c r="G184" s="391" t="s">
        <v>780</v>
      </c>
      <c r="H184" s="331">
        <v>13385.82</v>
      </c>
      <c r="I184" s="331">
        <v>12307.7</v>
      </c>
      <c r="J184" s="331">
        <v>12672.81</v>
      </c>
      <c r="K184" s="331">
        <v>15068.47</v>
      </c>
      <c r="L184" s="1072">
        <v>0</v>
      </c>
      <c r="M184" s="1072">
        <v>0</v>
      </c>
      <c r="N184" s="1072">
        <v>0</v>
      </c>
      <c r="O184" s="1072">
        <v>0</v>
      </c>
      <c r="P184" s="491">
        <v>0</v>
      </c>
      <c r="Q184" s="491">
        <v>0</v>
      </c>
      <c r="R184" s="491">
        <v>0</v>
      </c>
      <c r="S184" s="491">
        <v>0</v>
      </c>
      <c r="T184" s="1025" t="b">
        <v>0</v>
      </c>
      <c r="U184" s="491">
        <v>32.450000000000003</v>
      </c>
      <c r="V184" s="491">
        <v>20.010000000000002</v>
      </c>
      <c r="W184" s="491">
        <v>10.32</v>
      </c>
      <c r="X184" s="491">
        <v>0</v>
      </c>
      <c r="Y184" s="1025" t="b">
        <v>1</v>
      </c>
      <c r="Z184" s="331">
        <v>0</v>
      </c>
      <c r="AA184" s="331">
        <v>0</v>
      </c>
      <c r="AB184" s="331">
        <v>0</v>
      </c>
      <c r="AC184" s="331">
        <v>0</v>
      </c>
      <c r="AD184" s="1025" t="b">
        <v>0</v>
      </c>
      <c r="AE184" s="331">
        <v>0.94</v>
      </c>
      <c r="AF184" s="331">
        <v>0.89</v>
      </c>
      <c r="AG184" s="331">
        <v>0.69</v>
      </c>
      <c r="AH184" s="331">
        <v>0</v>
      </c>
      <c r="AI184" s="1025" t="b">
        <v>1</v>
      </c>
      <c r="AJ184" s="331">
        <v>0</v>
      </c>
      <c r="AK184" s="331">
        <v>0</v>
      </c>
      <c r="AL184" s="331">
        <v>0</v>
      </c>
      <c r="AM184" s="331">
        <v>0</v>
      </c>
      <c r="AN184" s="1025" t="b">
        <v>0</v>
      </c>
      <c r="AO184" s="331">
        <v>0</v>
      </c>
      <c r="AP184" s="331">
        <v>0</v>
      </c>
      <c r="AQ184" s="331">
        <v>0</v>
      </c>
      <c r="AR184" s="331">
        <v>0</v>
      </c>
      <c r="AS184" s="1025" t="b">
        <v>0</v>
      </c>
      <c r="AT184" s="1025" t="b">
        <v>1</v>
      </c>
      <c r="AU184" s="331">
        <v>0</v>
      </c>
      <c r="AV184" s="491" t="s">
        <v>29</v>
      </c>
    </row>
    <row r="185" spans="1:48">
      <c r="A185" s="72">
        <v>16</v>
      </c>
      <c r="B185" s="391" t="s">
        <v>59</v>
      </c>
      <c r="C185" s="72">
        <f t="shared" si="6"/>
        <v>5</v>
      </c>
      <c r="D185" s="72" t="str">
        <f t="shared" si="7"/>
        <v>16-5</v>
      </c>
      <c r="E185" s="72">
        <v>63925</v>
      </c>
      <c r="F185" s="72" t="str">
        <f t="shared" si="8"/>
        <v>16-63925</v>
      </c>
      <c r="G185" s="391" t="s">
        <v>781</v>
      </c>
      <c r="H185" s="331">
        <v>12512.8</v>
      </c>
      <c r="I185" s="331">
        <v>11505</v>
      </c>
      <c r="J185" s="331">
        <v>11846.29</v>
      </c>
      <c r="K185" s="331">
        <v>14085.71</v>
      </c>
      <c r="L185" s="1072">
        <v>0</v>
      </c>
      <c r="M185" s="1072">
        <v>0</v>
      </c>
      <c r="N185" s="1072">
        <v>0</v>
      </c>
      <c r="O185" s="1072">
        <v>0</v>
      </c>
      <c r="P185" s="491">
        <v>0</v>
      </c>
      <c r="Q185" s="491">
        <v>0</v>
      </c>
      <c r="R185" s="491">
        <v>0</v>
      </c>
      <c r="S185" s="491">
        <v>0</v>
      </c>
      <c r="T185" s="1025" t="b">
        <v>0</v>
      </c>
      <c r="U185" s="491">
        <v>0</v>
      </c>
      <c r="V185" s="491">
        <v>0</v>
      </c>
      <c r="W185" s="491">
        <v>0</v>
      </c>
      <c r="X185" s="491">
        <v>68.72</v>
      </c>
      <c r="Y185" s="1025" t="b">
        <v>1</v>
      </c>
      <c r="Z185" s="331">
        <v>0</v>
      </c>
      <c r="AA185" s="331">
        <v>0</v>
      </c>
      <c r="AB185" s="331">
        <v>0</v>
      </c>
      <c r="AC185" s="331">
        <v>0</v>
      </c>
      <c r="AD185" s="1025" t="b">
        <v>0</v>
      </c>
      <c r="AE185" s="331">
        <v>0</v>
      </c>
      <c r="AF185" s="331">
        <v>0</v>
      </c>
      <c r="AG185" s="331">
        <v>0</v>
      </c>
      <c r="AH185" s="331">
        <v>2.15</v>
      </c>
      <c r="AI185" s="1025" t="b">
        <v>1</v>
      </c>
      <c r="AJ185" s="331">
        <v>0</v>
      </c>
      <c r="AK185" s="331">
        <v>0</v>
      </c>
      <c r="AL185" s="331">
        <v>0</v>
      </c>
      <c r="AM185" s="331">
        <v>0</v>
      </c>
      <c r="AN185" s="1025" t="b">
        <v>0</v>
      </c>
      <c r="AO185" s="331">
        <v>0</v>
      </c>
      <c r="AP185" s="331">
        <v>0</v>
      </c>
      <c r="AQ185" s="331">
        <v>0</v>
      </c>
      <c r="AR185" s="331">
        <v>0</v>
      </c>
      <c r="AS185" s="1025" t="b">
        <v>0</v>
      </c>
      <c r="AT185" s="1025" t="b">
        <v>1</v>
      </c>
      <c r="AU185" s="331">
        <v>0</v>
      </c>
      <c r="AV185" s="491" t="s">
        <v>29</v>
      </c>
    </row>
    <row r="186" spans="1:48" ht="26.4">
      <c r="A186" s="72">
        <v>16</v>
      </c>
      <c r="B186" s="391" t="s">
        <v>59</v>
      </c>
      <c r="C186" s="72">
        <f t="shared" si="6"/>
        <v>6</v>
      </c>
      <c r="D186" s="72" t="str">
        <f t="shared" si="7"/>
        <v>16-6</v>
      </c>
      <c r="E186" s="72">
        <v>63941</v>
      </c>
      <c r="F186" s="72" t="str">
        <f t="shared" si="8"/>
        <v>16-63941</v>
      </c>
      <c r="G186" s="391" t="s">
        <v>782</v>
      </c>
      <c r="H186" s="331">
        <v>10646</v>
      </c>
      <c r="I186" s="331">
        <v>9788.5499999999993</v>
      </c>
      <c r="J186" s="331">
        <v>10078.93</v>
      </c>
      <c r="K186" s="331">
        <v>11984.24</v>
      </c>
      <c r="L186" s="1072">
        <v>0</v>
      </c>
      <c r="M186" s="1072">
        <v>0</v>
      </c>
      <c r="N186" s="1072">
        <v>0</v>
      </c>
      <c r="O186" s="1072">
        <v>0</v>
      </c>
      <c r="P186" s="491">
        <v>0</v>
      </c>
      <c r="Q186" s="491">
        <v>0</v>
      </c>
      <c r="R186" s="491">
        <v>0</v>
      </c>
      <c r="S186" s="491">
        <v>0</v>
      </c>
      <c r="T186" s="1025" t="b">
        <v>0</v>
      </c>
      <c r="U186" s="491">
        <v>1.65</v>
      </c>
      <c r="V186" s="491">
        <v>0.54</v>
      </c>
      <c r="W186" s="491">
        <v>0</v>
      </c>
      <c r="X186" s="491">
        <v>0</v>
      </c>
      <c r="Y186" s="1025" t="b">
        <v>1</v>
      </c>
      <c r="Z186" s="331">
        <v>0</v>
      </c>
      <c r="AA186" s="331">
        <v>0</v>
      </c>
      <c r="AB186" s="331">
        <v>0</v>
      </c>
      <c r="AC186" s="331">
        <v>0</v>
      </c>
      <c r="AD186" s="1025" t="b">
        <v>0</v>
      </c>
      <c r="AE186" s="331">
        <v>0.06</v>
      </c>
      <c r="AF186" s="331">
        <v>0</v>
      </c>
      <c r="AG186" s="331">
        <v>0.1</v>
      </c>
      <c r="AH186" s="331">
        <v>0</v>
      </c>
      <c r="AI186" s="1025" t="b">
        <v>1</v>
      </c>
      <c r="AJ186" s="331">
        <v>0</v>
      </c>
      <c r="AK186" s="331">
        <v>0</v>
      </c>
      <c r="AL186" s="331">
        <v>0</v>
      </c>
      <c r="AM186" s="331">
        <v>0</v>
      </c>
      <c r="AN186" s="1025" t="b">
        <v>0</v>
      </c>
      <c r="AO186" s="331">
        <v>0</v>
      </c>
      <c r="AP186" s="331">
        <v>0</v>
      </c>
      <c r="AQ186" s="331">
        <v>0</v>
      </c>
      <c r="AR186" s="331">
        <v>0</v>
      </c>
      <c r="AS186" s="1025" t="b">
        <v>0</v>
      </c>
      <c r="AT186" s="1025" t="b">
        <v>1</v>
      </c>
      <c r="AU186" s="331">
        <v>0</v>
      </c>
      <c r="AV186" s="491" t="s">
        <v>29</v>
      </c>
    </row>
    <row r="187" spans="1:48">
      <c r="A187" s="72">
        <v>16</v>
      </c>
      <c r="B187" s="391" t="s">
        <v>59</v>
      </c>
      <c r="C187" s="72">
        <f t="shared" si="6"/>
        <v>7</v>
      </c>
      <c r="D187" s="72" t="str">
        <f t="shared" si="7"/>
        <v>16-7</v>
      </c>
      <c r="E187" s="72">
        <v>63958</v>
      </c>
      <c r="F187" s="72" t="str">
        <f t="shared" si="8"/>
        <v>16-63958</v>
      </c>
      <c r="G187" s="391" t="s">
        <v>1645</v>
      </c>
      <c r="H187" s="331">
        <v>13025.43</v>
      </c>
      <c r="I187" s="331">
        <v>11976.34</v>
      </c>
      <c r="J187" s="331">
        <v>12331.62</v>
      </c>
      <c r="K187" s="331">
        <v>14662.78</v>
      </c>
      <c r="L187" s="1072">
        <v>0</v>
      </c>
      <c r="M187" s="1072">
        <v>0</v>
      </c>
      <c r="N187" s="1072">
        <v>0</v>
      </c>
      <c r="O187" s="1072">
        <v>0</v>
      </c>
      <c r="P187" s="491">
        <v>0</v>
      </c>
      <c r="Q187" s="491">
        <v>0</v>
      </c>
      <c r="R187" s="491">
        <v>0</v>
      </c>
      <c r="S187" s="491">
        <v>0</v>
      </c>
      <c r="T187" s="1025" t="b">
        <v>0</v>
      </c>
      <c r="U187" s="491">
        <v>0</v>
      </c>
      <c r="V187" s="491">
        <v>0</v>
      </c>
      <c r="W187" s="491">
        <v>1</v>
      </c>
      <c r="X187" s="491">
        <v>0</v>
      </c>
      <c r="Y187" s="1025" t="b">
        <v>1</v>
      </c>
      <c r="Z187" s="331">
        <v>0</v>
      </c>
      <c r="AA187" s="331">
        <v>0</v>
      </c>
      <c r="AB187" s="331">
        <v>0</v>
      </c>
      <c r="AC187" s="331">
        <v>0</v>
      </c>
      <c r="AD187" s="1025" t="b">
        <v>0</v>
      </c>
      <c r="AE187" s="331">
        <v>0</v>
      </c>
      <c r="AF187" s="331">
        <v>0.11</v>
      </c>
      <c r="AG187" s="331">
        <v>0</v>
      </c>
      <c r="AH187" s="331">
        <v>0</v>
      </c>
      <c r="AI187" s="1025" t="b">
        <v>1</v>
      </c>
      <c r="AJ187" s="331">
        <v>0</v>
      </c>
      <c r="AK187" s="331">
        <v>0</v>
      </c>
      <c r="AL187" s="331">
        <v>0</v>
      </c>
      <c r="AM187" s="331">
        <v>0</v>
      </c>
      <c r="AN187" s="1025" t="b">
        <v>0</v>
      </c>
      <c r="AO187" s="331">
        <v>0</v>
      </c>
      <c r="AP187" s="331">
        <v>0</v>
      </c>
      <c r="AQ187" s="331">
        <v>0</v>
      </c>
      <c r="AR187" s="331">
        <v>0</v>
      </c>
      <c r="AS187" s="1025" t="b">
        <v>0</v>
      </c>
      <c r="AT187" s="1025" t="b">
        <v>1</v>
      </c>
      <c r="AU187" s="331">
        <v>0</v>
      </c>
      <c r="AV187" s="491" t="s">
        <v>29</v>
      </c>
    </row>
    <row r="188" spans="1:48">
      <c r="A188" s="72">
        <v>16</v>
      </c>
      <c r="B188" s="391" t="s">
        <v>59</v>
      </c>
      <c r="C188" s="72">
        <f t="shared" si="6"/>
        <v>8</v>
      </c>
      <c r="D188" s="72" t="str">
        <f t="shared" si="7"/>
        <v>16-8</v>
      </c>
      <c r="E188" s="72">
        <v>63966</v>
      </c>
      <c r="F188" s="72" t="str">
        <f t="shared" si="8"/>
        <v>16-63966</v>
      </c>
      <c r="G188" s="391" t="s">
        <v>783</v>
      </c>
      <c r="H188" s="331">
        <v>14670.83</v>
      </c>
      <c r="I188" s="331">
        <v>13489.22</v>
      </c>
      <c r="J188" s="331">
        <v>13889.37</v>
      </c>
      <c r="K188" s="331">
        <v>16515.009999999998</v>
      </c>
      <c r="L188" s="1072">
        <v>0</v>
      </c>
      <c r="M188" s="1072">
        <v>0</v>
      </c>
      <c r="N188" s="1072">
        <v>0</v>
      </c>
      <c r="O188" s="1072">
        <v>0</v>
      </c>
      <c r="P188" s="491">
        <v>0</v>
      </c>
      <c r="Q188" s="491">
        <v>0</v>
      </c>
      <c r="R188" s="491">
        <v>0</v>
      </c>
      <c r="S188" s="491">
        <v>0</v>
      </c>
      <c r="T188" s="1025" t="b">
        <v>0</v>
      </c>
      <c r="U188" s="491">
        <v>4.01</v>
      </c>
      <c r="V188" s="491">
        <v>0.88</v>
      </c>
      <c r="W188" s="491">
        <v>0.79</v>
      </c>
      <c r="X188" s="491">
        <v>0</v>
      </c>
      <c r="Y188" s="1025" t="b">
        <v>1</v>
      </c>
      <c r="Z188" s="331">
        <v>0</v>
      </c>
      <c r="AA188" s="331">
        <v>0</v>
      </c>
      <c r="AB188" s="331">
        <v>0</v>
      </c>
      <c r="AC188" s="331">
        <v>0</v>
      </c>
      <c r="AD188" s="1025" t="b">
        <v>0</v>
      </c>
      <c r="AE188" s="331">
        <v>0.22</v>
      </c>
      <c r="AF188" s="331">
        <v>0.09</v>
      </c>
      <c r="AG188" s="331">
        <v>0.09</v>
      </c>
      <c r="AH188" s="331">
        <v>0</v>
      </c>
      <c r="AI188" s="1025" t="b">
        <v>1</v>
      </c>
      <c r="AJ188" s="331">
        <v>0</v>
      </c>
      <c r="AK188" s="331">
        <v>0</v>
      </c>
      <c r="AL188" s="331">
        <v>0</v>
      </c>
      <c r="AM188" s="331">
        <v>0</v>
      </c>
      <c r="AN188" s="1025" t="b">
        <v>0</v>
      </c>
      <c r="AO188" s="331">
        <v>0</v>
      </c>
      <c r="AP188" s="331">
        <v>0</v>
      </c>
      <c r="AQ188" s="331">
        <v>0</v>
      </c>
      <c r="AR188" s="331">
        <v>0</v>
      </c>
      <c r="AS188" s="1025" t="b">
        <v>0</v>
      </c>
      <c r="AT188" s="1025" t="b">
        <v>1</v>
      </c>
      <c r="AU188" s="331">
        <v>0</v>
      </c>
      <c r="AV188" s="491" t="s">
        <v>29</v>
      </c>
    </row>
    <row r="189" spans="1:48">
      <c r="A189" s="72">
        <v>16</v>
      </c>
      <c r="B189" s="391" t="s">
        <v>59</v>
      </c>
      <c r="C189" s="72">
        <f t="shared" si="6"/>
        <v>9</v>
      </c>
      <c r="D189" s="72" t="str">
        <f t="shared" si="7"/>
        <v>16-9</v>
      </c>
      <c r="E189" s="72">
        <v>63974</v>
      </c>
      <c r="F189" s="72" t="str">
        <f t="shared" si="8"/>
        <v>16-63974</v>
      </c>
      <c r="G189" s="391" t="s">
        <v>784</v>
      </c>
      <c r="H189" s="331">
        <v>13009.95</v>
      </c>
      <c r="I189" s="331">
        <v>11962.11</v>
      </c>
      <c r="J189" s="331">
        <v>12316.96</v>
      </c>
      <c r="K189" s="331">
        <v>14645.35</v>
      </c>
      <c r="L189" s="1072">
        <v>0</v>
      </c>
      <c r="M189" s="1072">
        <v>0</v>
      </c>
      <c r="N189" s="1072">
        <v>0</v>
      </c>
      <c r="O189" s="1072">
        <v>0</v>
      </c>
      <c r="P189" s="491">
        <v>0</v>
      </c>
      <c r="Q189" s="491">
        <v>0</v>
      </c>
      <c r="R189" s="491">
        <v>0</v>
      </c>
      <c r="S189" s="491">
        <v>0</v>
      </c>
      <c r="T189" s="1025" t="b">
        <v>0</v>
      </c>
      <c r="U189" s="491">
        <v>8.91</v>
      </c>
      <c r="V189" s="491">
        <v>5.99</v>
      </c>
      <c r="W189" s="491">
        <v>3.4</v>
      </c>
      <c r="X189" s="491">
        <v>0</v>
      </c>
      <c r="Y189" s="1025" t="b">
        <v>1</v>
      </c>
      <c r="Z189" s="331">
        <v>0</v>
      </c>
      <c r="AA189" s="331">
        <v>0</v>
      </c>
      <c r="AB189" s="331">
        <v>0</v>
      </c>
      <c r="AC189" s="331">
        <v>0</v>
      </c>
      <c r="AD189" s="1025" t="b">
        <v>0</v>
      </c>
      <c r="AE189" s="331">
        <v>0.38</v>
      </c>
      <c r="AF189" s="331">
        <v>0.23</v>
      </c>
      <c r="AG189" s="331">
        <v>0.09</v>
      </c>
      <c r="AH189" s="331">
        <v>0</v>
      </c>
      <c r="AI189" s="1025" t="b">
        <v>1</v>
      </c>
      <c r="AJ189" s="331">
        <v>0</v>
      </c>
      <c r="AK189" s="331">
        <v>0</v>
      </c>
      <c r="AL189" s="331">
        <v>0</v>
      </c>
      <c r="AM189" s="331">
        <v>0</v>
      </c>
      <c r="AN189" s="1025" t="b">
        <v>0</v>
      </c>
      <c r="AO189" s="331">
        <v>0</v>
      </c>
      <c r="AP189" s="331">
        <v>0</v>
      </c>
      <c r="AQ189" s="331">
        <v>0</v>
      </c>
      <c r="AR189" s="331">
        <v>0</v>
      </c>
      <c r="AS189" s="1025" t="b">
        <v>0</v>
      </c>
      <c r="AT189" s="1025" t="b">
        <v>1</v>
      </c>
      <c r="AU189" s="331">
        <v>0</v>
      </c>
      <c r="AV189" s="491" t="s">
        <v>29</v>
      </c>
    </row>
    <row r="190" spans="1:48">
      <c r="A190" s="72">
        <v>16</v>
      </c>
      <c r="B190" s="391" t="s">
        <v>59</v>
      </c>
      <c r="C190" s="72">
        <f t="shared" si="6"/>
        <v>10</v>
      </c>
      <c r="D190" s="72" t="str">
        <f t="shared" si="7"/>
        <v>16-10</v>
      </c>
      <c r="E190" s="72">
        <v>63982</v>
      </c>
      <c r="F190" s="72" t="str">
        <f t="shared" si="8"/>
        <v>16-63982</v>
      </c>
      <c r="G190" s="391" t="s">
        <v>785</v>
      </c>
      <c r="H190" s="331">
        <v>11573.56</v>
      </c>
      <c r="I190" s="331">
        <v>10641.4</v>
      </c>
      <c r="J190" s="331">
        <v>10957.08</v>
      </c>
      <c r="K190" s="331">
        <v>13028.4</v>
      </c>
      <c r="L190" s="1072">
        <v>0</v>
      </c>
      <c r="M190" s="1072">
        <v>0</v>
      </c>
      <c r="N190" s="1072">
        <v>0</v>
      </c>
      <c r="O190" s="1072">
        <v>0</v>
      </c>
      <c r="P190" s="491">
        <v>0</v>
      </c>
      <c r="Q190" s="491">
        <v>0</v>
      </c>
      <c r="R190" s="491">
        <v>0</v>
      </c>
      <c r="S190" s="491">
        <v>0</v>
      </c>
      <c r="T190" s="1025" t="b">
        <v>0</v>
      </c>
      <c r="U190" s="491">
        <v>0</v>
      </c>
      <c r="V190" s="491">
        <v>0</v>
      </c>
      <c r="W190" s="491">
        <v>0</v>
      </c>
      <c r="X190" s="491">
        <v>21.67</v>
      </c>
      <c r="Y190" s="1025" t="b">
        <v>1</v>
      </c>
      <c r="Z190" s="331">
        <v>0</v>
      </c>
      <c r="AA190" s="331">
        <v>0</v>
      </c>
      <c r="AB190" s="331">
        <v>0</v>
      </c>
      <c r="AC190" s="331">
        <v>0</v>
      </c>
      <c r="AD190" s="1025" t="b">
        <v>0</v>
      </c>
      <c r="AE190" s="331">
        <v>0</v>
      </c>
      <c r="AF190" s="331">
        <v>0</v>
      </c>
      <c r="AG190" s="331">
        <v>0</v>
      </c>
      <c r="AH190" s="331">
        <v>0.63</v>
      </c>
      <c r="AI190" s="1025" t="b">
        <v>1</v>
      </c>
      <c r="AJ190" s="331">
        <v>0</v>
      </c>
      <c r="AK190" s="331">
        <v>0</v>
      </c>
      <c r="AL190" s="331">
        <v>0</v>
      </c>
      <c r="AM190" s="331">
        <v>0</v>
      </c>
      <c r="AN190" s="1025" t="b">
        <v>0</v>
      </c>
      <c r="AO190" s="331">
        <v>0</v>
      </c>
      <c r="AP190" s="331">
        <v>0</v>
      </c>
      <c r="AQ190" s="331">
        <v>0</v>
      </c>
      <c r="AR190" s="331">
        <v>0</v>
      </c>
      <c r="AS190" s="1025" t="b">
        <v>0</v>
      </c>
      <c r="AT190" s="1025" t="b">
        <v>1</v>
      </c>
      <c r="AU190" s="331">
        <v>0</v>
      </c>
      <c r="AV190" s="491" t="s">
        <v>29</v>
      </c>
    </row>
    <row r="191" spans="1:48">
      <c r="A191" s="72">
        <v>16</v>
      </c>
      <c r="B191" s="391" t="s">
        <v>59</v>
      </c>
      <c r="C191" s="72">
        <f t="shared" si="6"/>
        <v>11</v>
      </c>
      <c r="D191" s="72" t="str">
        <f t="shared" si="7"/>
        <v>16-11</v>
      </c>
      <c r="E191" s="72">
        <v>63990</v>
      </c>
      <c r="F191" s="72" t="str">
        <f t="shared" si="8"/>
        <v>16-63990</v>
      </c>
      <c r="G191" s="391" t="s">
        <v>646</v>
      </c>
      <c r="H191" s="331">
        <v>11058.25</v>
      </c>
      <c r="I191" s="331">
        <v>10167.6</v>
      </c>
      <c r="J191" s="331">
        <v>10469.219999999999</v>
      </c>
      <c r="K191" s="331">
        <v>12448.31</v>
      </c>
      <c r="L191" s="1072">
        <v>0</v>
      </c>
      <c r="M191" s="1072">
        <v>0</v>
      </c>
      <c r="N191" s="1072">
        <v>0</v>
      </c>
      <c r="O191" s="1072">
        <v>0</v>
      </c>
      <c r="P191" s="491">
        <v>0</v>
      </c>
      <c r="Q191" s="491">
        <v>0</v>
      </c>
      <c r="R191" s="491">
        <v>0</v>
      </c>
      <c r="S191" s="491">
        <v>0</v>
      </c>
      <c r="T191" s="1025" t="b">
        <v>0</v>
      </c>
      <c r="U191" s="491">
        <v>6.34</v>
      </c>
      <c r="V191" s="491">
        <v>4.7300000000000004</v>
      </c>
      <c r="W191" s="491">
        <v>5.67</v>
      </c>
      <c r="X191" s="491">
        <v>0</v>
      </c>
      <c r="Y191" s="1025" t="b">
        <v>1</v>
      </c>
      <c r="Z191" s="331">
        <v>0</v>
      </c>
      <c r="AA191" s="331">
        <v>0</v>
      </c>
      <c r="AB191" s="331">
        <v>0</v>
      </c>
      <c r="AC191" s="331">
        <v>0</v>
      </c>
      <c r="AD191" s="1025" t="b">
        <v>0</v>
      </c>
      <c r="AE191" s="331">
        <v>0.43</v>
      </c>
      <c r="AF191" s="331">
        <v>0.64</v>
      </c>
      <c r="AG191" s="331">
        <v>0.22</v>
      </c>
      <c r="AH191" s="331">
        <v>0</v>
      </c>
      <c r="AI191" s="1025" t="b">
        <v>1</v>
      </c>
      <c r="AJ191" s="331">
        <v>0</v>
      </c>
      <c r="AK191" s="331">
        <v>0</v>
      </c>
      <c r="AL191" s="331">
        <v>0</v>
      </c>
      <c r="AM191" s="331">
        <v>0</v>
      </c>
      <c r="AN191" s="1025" t="b">
        <v>0</v>
      </c>
      <c r="AO191" s="331">
        <v>0</v>
      </c>
      <c r="AP191" s="331">
        <v>0</v>
      </c>
      <c r="AQ191" s="331">
        <v>0</v>
      </c>
      <c r="AR191" s="331">
        <v>0</v>
      </c>
      <c r="AS191" s="1025" t="b">
        <v>0</v>
      </c>
      <c r="AT191" s="1025" t="b">
        <v>1</v>
      </c>
      <c r="AU191" s="331">
        <v>0</v>
      </c>
      <c r="AV191" s="491" t="s">
        <v>29</v>
      </c>
    </row>
    <row r="192" spans="1:48">
      <c r="A192" s="72">
        <v>16</v>
      </c>
      <c r="B192" s="391" t="s">
        <v>59</v>
      </c>
      <c r="C192" s="72">
        <f t="shared" si="6"/>
        <v>12</v>
      </c>
      <c r="D192" s="72" t="str">
        <f t="shared" si="7"/>
        <v>16-12</v>
      </c>
      <c r="E192" s="72">
        <v>73932</v>
      </c>
      <c r="F192" s="72" t="str">
        <f t="shared" si="8"/>
        <v>16-73932</v>
      </c>
      <c r="G192" s="391" t="s">
        <v>786</v>
      </c>
      <c r="H192" s="331">
        <v>14791.25</v>
      </c>
      <c r="I192" s="331">
        <v>13599.94</v>
      </c>
      <c r="J192" s="331">
        <v>14003.37</v>
      </c>
      <c r="K192" s="331">
        <v>16650.57</v>
      </c>
      <c r="L192" s="1072">
        <v>0</v>
      </c>
      <c r="M192" s="1072">
        <v>0</v>
      </c>
      <c r="N192" s="1072">
        <v>0</v>
      </c>
      <c r="O192" s="1072">
        <v>0</v>
      </c>
      <c r="P192" s="491">
        <v>0</v>
      </c>
      <c r="Q192" s="491">
        <v>0</v>
      </c>
      <c r="R192" s="491">
        <v>0</v>
      </c>
      <c r="S192" s="491">
        <v>0</v>
      </c>
      <c r="T192" s="1025" t="b">
        <v>0</v>
      </c>
      <c r="U192" s="491">
        <v>4.72</v>
      </c>
      <c r="V192" s="491">
        <v>3.36</v>
      </c>
      <c r="W192" s="491">
        <v>4.12</v>
      </c>
      <c r="X192" s="491">
        <v>4.41</v>
      </c>
      <c r="Y192" s="1025" t="b">
        <v>1</v>
      </c>
      <c r="Z192" s="331">
        <v>0</v>
      </c>
      <c r="AA192" s="331">
        <v>0</v>
      </c>
      <c r="AB192" s="331">
        <v>0</v>
      </c>
      <c r="AC192" s="331">
        <v>0</v>
      </c>
      <c r="AD192" s="1025" t="b">
        <v>0</v>
      </c>
      <c r="AE192" s="331">
        <v>0.25</v>
      </c>
      <c r="AF192" s="331">
        <v>0.16</v>
      </c>
      <c r="AG192" s="331">
        <v>0.53</v>
      </c>
      <c r="AH192" s="331">
        <v>0.28999999999999998</v>
      </c>
      <c r="AI192" s="1025" t="b">
        <v>1</v>
      </c>
      <c r="AJ192" s="331">
        <v>0</v>
      </c>
      <c r="AK192" s="331">
        <v>0</v>
      </c>
      <c r="AL192" s="331">
        <v>0</v>
      </c>
      <c r="AM192" s="331">
        <v>0</v>
      </c>
      <c r="AN192" s="1025" t="b">
        <v>0</v>
      </c>
      <c r="AO192" s="331">
        <v>0</v>
      </c>
      <c r="AP192" s="331">
        <v>0</v>
      </c>
      <c r="AQ192" s="331">
        <v>0</v>
      </c>
      <c r="AR192" s="331">
        <v>0</v>
      </c>
      <c r="AS192" s="1025" t="b">
        <v>0</v>
      </c>
      <c r="AT192" s="1025" t="b">
        <v>1</v>
      </c>
      <c r="AU192" s="331">
        <v>0</v>
      </c>
      <c r="AV192" s="491" t="s">
        <v>29</v>
      </c>
    </row>
    <row r="193" spans="1:48">
      <c r="A193" s="72">
        <v>16</v>
      </c>
      <c r="B193" s="391" t="s">
        <v>59</v>
      </c>
      <c r="C193" s="72">
        <f t="shared" si="6"/>
        <v>0</v>
      </c>
      <c r="D193" s="72" t="str">
        <f t="shared" si="7"/>
        <v>16-0</v>
      </c>
      <c r="E193" s="72" t="s">
        <v>29</v>
      </c>
      <c r="F193" s="72" t="str">
        <f t="shared" si="8"/>
        <v>16-N/A</v>
      </c>
      <c r="G193" s="391" t="s">
        <v>29</v>
      </c>
      <c r="H193" s="491" t="s">
        <v>29</v>
      </c>
      <c r="I193" s="491" t="s">
        <v>29</v>
      </c>
      <c r="J193" s="491" t="s">
        <v>29</v>
      </c>
      <c r="K193" s="491" t="s">
        <v>29</v>
      </c>
      <c r="L193" s="491" t="s">
        <v>29</v>
      </c>
      <c r="M193" s="491" t="s">
        <v>29</v>
      </c>
      <c r="N193" s="491" t="s">
        <v>29</v>
      </c>
      <c r="O193" s="491" t="s">
        <v>29</v>
      </c>
      <c r="P193" s="491" t="s">
        <v>29</v>
      </c>
      <c r="Q193" s="491" t="s">
        <v>29</v>
      </c>
      <c r="R193" s="491" t="s">
        <v>29</v>
      </c>
      <c r="S193" s="491" t="s">
        <v>29</v>
      </c>
      <c r="T193" s="1025" t="s">
        <v>29</v>
      </c>
      <c r="U193" s="491" t="s">
        <v>29</v>
      </c>
      <c r="V193" s="491" t="s">
        <v>29</v>
      </c>
      <c r="W193" s="491" t="s">
        <v>29</v>
      </c>
      <c r="X193" s="491" t="s">
        <v>29</v>
      </c>
      <c r="Y193" s="1025" t="s">
        <v>29</v>
      </c>
      <c r="Z193" s="491" t="s">
        <v>29</v>
      </c>
      <c r="AA193" s="491" t="s">
        <v>29</v>
      </c>
      <c r="AB193" s="491" t="s">
        <v>29</v>
      </c>
      <c r="AC193" s="491" t="s">
        <v>29</v>
      </c>
      <c r="AD193" s="1025" t="s">
        <v>29</v>
      </c>
      <c r="AE193" s="491" t="s">
        <v>29</v>
      </c>
      <c r="AF193" s="491" t="s">
        <v>29</v>
      </c>
      <c r="AG193" s="491" t="s">
        <v>29</v>
      </c>
      <c r="AH193" s="491" t="s">
        <v>29</v>
      </c>
      <c r="AI193" s="1025" t="s">
        <v>29</v>
      </c>
      <c r="AJ193" s="491" t="s">
        <v>29</v>
      </c>
      <c r="AK193" s="491" t="s">
        <v>29</v>
      </c>
      <c r="AL193" s="491" t="s">
        <v>29</v>
      </c>
      <c r="AM193" s="491" t="s">
        <v>29</v>
      </c>
      <c r="AN193" s="1025" t="s">
        <v>29</v>
      </c>
      <c r="AO193" s="491" t="s">
        <v>29</v>
      </c>
      <c r="AP193" s="491" t="s">
        <v>29</v>
      </c>
      <c r="AQ193" s="491" t="s">
        <v>29</v>
      </c>
      <c r="AR193" s="491" t="s">
        <v>29</v>
      </c>
      <c r="AS193" s="1025" t="s">
        <v>29</v>
      </c>
      <c r="AT193" s="1025" t="s">
        <v>29</v>
      </c>
      <c r="AU193" s="491" t="s">
        <v>29</v>
      </c>
      <c r="AV193" s="491">
        <v>0</v>
      </c>
    </row>
    <row r="194" spans="1:48">
      <c r="A194" s="72">
        <v>17</v>
      </c>
      <c r="B194" s="391" t="s">
        <v>60</v>
      </c>
      <c r="C194" s="72">
        <f t="shared" si="6"/>
        <v>1</v>
      </c>
      <c r="D194" s="72" t="str">
        <f t="shared" si="7"/>
        <v>17-1</v>
      </c>
      <c r="E194" s="72">
        <v>64014</v>
      </c>
      <c r="F194" s="72" t="str">
        <f t="shared" si="8"/>
        <v>17-64014</v>
      </c>
      <c r="G194" s="391" t="s">
        <v>787</v>
      </c>
      <c r="H194" s="331">
        <v>12585.05</v>
      </c>
      <c r="I194" s="331">
        <v>11571.43</v>
      </c>
      <c r="J194" s="331">
        <v>11914.69</v>
      </c>
      <c r="K194" s="331">
        <v>14167.04</v>
      </c>
      <c r="L194" s="491" t="s">
        <v>29</v>
      </c>
      <c r="M194" s="491" t="s">
        <v>29</v>
      </c>
      <c r="N194" s="491" t="s">
        <v>29</v>
      </c>
      <c r="O194" s="491" t="s">
        <v>29</v>
      </c>
      <c r="P194" s="491">
        <v>0</v>
      </c>
      <c r="Q194" s="491">
        <v>0</v>
      </c>
      <c r="R194" s="491">
        <v>0</v>
      </c>
      <c r="S194" s="491">
        <v>0.74</v>
      </c>
      <c r="T194" s="1025" t="b">
        <v>0</v>
      </c>
      <c r="U194" s="491">
        <v>0.82</v>
      </c>
      <c r="V194" s="491">
        <v>0.87</v>
      </c>
      <c r="W194" s="491">
        <v>0</v>
      </c>
      <c r="X194" s="491">
        <v>1.61</v>
      </c>
      <c r="Y194" s="1025" t="b">
        <v>0</v>
      </c>
      <c r="Z194" s="331">
        <v>0</v>
      </c>
      <c r="AA194" s="331">
        <v>0</v>
      </c>
      <c r="AB194" s="331">
        <v>0</v>
      </c>
      <c r="AC194" s="331">
        <v>0</v>
      </c>
      <c r="AD194" s="1025" t="b">
        <v>0</v>
      </c>
      <c r="AE194" s="331">
        <v>7.0000000000000007E-2</v>
      </c>
      <c r="AF194" s="331">
        <v>0.04</v>
      </c>
      <c r="AG194" s="331">
        <v>0.15</v>
      </c>
      <c r="AH194" s="331">
        <v>0</v>
      </c>
      <c r="AI194" s="1025" t="b">
        <v>0</v>
      </c>
      <c r="AJ194" s="331">
        <v>0</v>
      </c>
      <c r="AK194" s="331">
        <v>0</v>
      </c>
      <c r="AL194" s="331">
        <v>0</v>
      </c>
      <c r="AM194" s="331">
        <v>0</v>
      </c>
      <c r="AN194" s="1025" t="b">
        <v>0</v>
      </c>
      <c r="AO194" s="331">
        <v>0</v>
      </c>
      <c r="AP194" s="331">
        <v>0</v>
      </c>
      <c r="AQ194" s="331">
        <v>0</v>
      </c>
      <c r="AR194" s="331">
        <v>0</v>
      </c>
      <c r="AS194" s="1025" t="b">
        <v>0</v>
      </c>
      <c r="AT194" s="1025" t="b">
        <v>0</v>
      </c>
      <c r="AU194" s="331">
        <v>56811</v>
      </c>
      <c r="AV194" s="491" t="s">
        <v>29</v>
      </c>
    </row>
    <row r="195" spans="1:48">
      <c r="A195" s="72">
        <v>17</v>
      </c>
      <c r="B195" s="391" t="s">
        <v>60</v>
      </c>
      <c r="C195" s="72">
        <f t="shared" si="6"/>
        <v>2</v>
      </c>
      <c r="D195" s="72" t="str">
        <f t="shared" si="7"/>
        <v>17-2</v>
      </c>
      <c r="E195" s="72">
        <v>64022</v>
      </c>
      <c r="F195" s="72" t="str">
        <f t="shared" si="8"/>
        <v>17-64022</v>
      </c>
      <c r="G195" s="391" t="s">
        <v>788</v>
      </c>
      <c r="H195" s="491">
        <v>13927.69</v>
      </c>
      <c r="I195" s="491">
        <v>12805.93</v>
      </c>
      <c r="J195" s="491">
        <v>13185.82</v>
      </c>
      <c r="K195" s="491">
        <v>15678.46</v>
      </c>
      <c r="L195" s="491" t="s">
        <v>29</v>
      </c>
      <c r="M195" s="491" t="s">
        <v>29</v>
      </c>
      <c r="N195" s="491" t="s">
        <v>29</v>
      </c>
      <c r="O195" s="491" t="s">
        <v>29</v>
      </c>
      <c r="P195" s="491">
        <v>0</v>
      </c>
      <c r="Q195" s="491">
        <v>0</v>
      </c>
      <c r="R195" s="491">
        <v>0</v>
      </c>
      <c r="S195" s="491">
        <v>0</v>
      </c>
      <c r="T195" s="1025" t="b">
        <v>0</v>
      </c>
      <c r="U195" s="491">
        <v>0.34</v>
      </c>
      <c r="V195" s="491">
        <v>2.64</v>
      </c>
      <c r="W195" s="491">
        <v>0.8</v>
      </c>
      <c r="X195" s="491">
        <v>2.04</v>
      </c>
      <c r="Y195" s="1025" t="b">
        <v>0</v>
      </c>
      <c r="Z195" s="491">
        <v>0</v>
      </c>
      <c r="AA195" s="491">
        <v>0</v>
      </c>
      <c r="AB195" s="491">
        <v>0</v>
      </c>
      <c r="AC195" s="491">
        <v>0</v>
      </c>
      <c r="AD195" s="1025" t="b">
        <v>0</v>
      </c>
      <c r="AE195" s="491">
        <v>0.06</v>
      </c>
      <c r="AF195" s="491">
        <v>0.06</v>
      </c>
      <c r="AG195" s="491">
        <v>0.08</v>
      </c>
      <c r="AH195" s="491">
        <v>7.0000000000000007E-2</v>
      </c>
      <c r="AI195" s="1025" t="b">
        <v>0</v>
      </c>
      <c r="AJ195" s="491">
        <v>0</v>
      </c>
      <c r="AK195" s="491">
        <v>0</v>
      </c>
      <c r="AL195" s="491">
        <v>0</v>
      </c>
      <c r="AM195" s="491">
        <v>0</v>
      </c>
      <c r="AN195" s="1025" t="b">
        <v>0</v>
      </c>
      <c r="AO195" s="491">
        <v>0</v>
      </c>
      <c r="AP195" s="491">
        <v>0</v>
      </c>
      <c r="AQ195" s="491">
        <v>0</v>
      </c>
      <c r="AR195" s="491">
        <v>0</v>
      </c>
      <c r="AS195" s="1025" t="b">
        <v>0</v>
      </c>
      <c r="AT195" s="1025" t="b">
        <v>0</v>
      </c>
      <c r="AU195" s="491">
        <v>84833</v>
      </c>
      <c r="AV195" s="491" t="s">
        <v>29</v>
      </c>
    </row>
    <row r="196" spans="1:48">
      <c r="A196" s="72">
        <v>17</v>
      </c>
      <c r="B196" s="391" t="s">
        <v>60</v>
      </c>
      <c r="C196" s="72">
        <f t="shared" si="6"/>
        <v>3</v>
      </c>
      <c r="D196" s="72" t="str">
        <f t="shared" si="7"/>
        <v>17-3</v>
      </c>
      <c r="E196" s="72">
        <v>64030</v>
      </c>
      <c r="F196" s="72" t="str">
        <f t="shared" si="8"/>
        <v>17-64030</v>
      </c>
      <c r="G196" s="391" t="s">
        <v>789</v>
      </c>
      <c r="H196" s="331">
        <v>12382.92</v>
      </c>
      <c r="I196" s="331">
        <v>11385.58</v>
      </c>
      <c r="J196" s="331">
        <v>11723.33</v>
      </c>
      <c r="K196" s="331">
        <v>13939.51</v>
      </c>
      <c r="L196" s="491" t="s">
        <v>29</v>
      </c>
      <c r="M196" s="491" t="s">
        <v>29</v>
      </c>
      <c r="N196" s="491" t="s">
        <v>29</v>
      </c>
      <c r="O196" s="491" t="s">
        <v>29</v>
      </c>
      <c r="P196" s="491">
        <v>0</v>
      </c>
      <c r="Q196" s="491">
        <v>0</v>
      </c>
      <c r="R196" s="491">
        <v>0</v>
      </c>
      <c r="S196" s="491">
        <v>0.46</v>
      </c>
      <c r="T196" s="1025" t="b">
        <v>0</v>
      </c>
      <c r="U196" s="491">
        <v>0</v>
      </c>
      <c r="V196" s="491">
        <v>0</v>
      </c>
      <c r="W196" s="491">
        <v>0.26</v>
      </c>
      <c r="X196" s="491">
        <v>0</v>
      </c>
      <c r="Y196" s="1025" t="b">
        <v>0</v>
      </c>
      <c r="Z196" s="331">
        <v>0</v>
      </c>
      <c r="AA196" s="331">
        <v>0</v>
      </c>
      <c r="AB196" s="331">
        <v>0</v>
      </c>
      <c r="AC196" s="331">
        <v>0</v>
      </c>
      <c r="AD196" s="1025" t="b">
        <v>0</v>
      </c>
      <c r="AE196" s="331">
        <v>0</v>
      </c>
      <c r="AF196" s="331">
        <v>0</v>
      </c>
      <c r="AG196" s="331">
        <v>0</v>
      </c>
      <c r="AH196" s="331">
        <v>7.0000000000000007E-2</v>
      </c>
      <c r="AI196" s="1025" t="b">
        <v>0</v>
      </c>
      <c r="AJ196" s="331">
        <v>0</v>
      </c>
      <c r="AK196" s="331">
        <v>0</v>
      </c>
      <c r="AL196" s="331">
        <v>0</v>
      </c>
      <c r="AM196" s="331">
        <v>0</v>
      </c>
      <c r="AN196" s="1025" t="b">
        <v>0</v>
      </c>
      <c r="AO196" s="331">
        <v>0</v>
      </c>
      <c r="AP196" s="331">
        <v>0</v>
      </c>
      <c r="AQ196" s="331">
        <v>0</v>
      </c>
      <c r="AR196" s="331">
        <v>0</v>
      </c>
      <c r="AS196" s="1025" t="b">
        <v>0</v>
      </c>
      <c r="AT196" s="1025" t="b">
        <v>0</v>
      </c>
      <c r="AU196" s="331">
        <v>10436</v>
      </c>
      <c r="AV196" s="491" t="s">
        <v>29</v>
      </c>
    </row>
    <row r="197" spans="1:48">
      <c r="A197" s="72">
        <v>17</v>
      </c>
      <c r="B197" s="391" t="s">
        <v>60</v>
      </c>
      <c r="C197" s="72">
        <f t="shared" si="6"/>
        <v>4</v>
      </c>
      <c r="D197" s="72" t="str">
        <f t="shared" si="7"/>
        <v>17-4</v>
      </c>
      <c r="E197" s="72">
        <v>64048</v>
      </c>
      <c r="F197" s="72" t="str">
        <f t="shared" si="8"/>
        <v>17-64048</v>
      </c>
      <c r="G197" s="391" t="s">
        <v>882</v>
      </c>
      <c r="H197" s="331">
        <v>13690.3</v>
      </c>
      <c r="I197" s="331">
        <v>12587.66</v>
      </c>
      <c r="J197" s="331">
        <v>12961.07</v>
      </c>
      <c r="K197" s="331">
        <v>15411.23</v>
      </c>
      <c r="L197" s="491" t="s">
        <v>29</v>
      </c>
      <c r="M197" s="491" t="s">
        <v>29</v>
      </c>
      <c r="N197" s="491" t="s">
        <v>29</v>
      </c>
      <c r="O197" s="491" t="s">
        <v>29</v>
      </c>
      <c r="P197" s="491">
        <v>0</v>
      </c>
      <c r="Q197" s="491">
        <v>0</v>
      </c>
      <c r="R197" s="491">
        <v>0</v>
      </c>
      <c r="S197" s="491">
        <v>0</v>
      </c>
      <c r="T197" s="1025" t="b">
        <v>0</v>
      </c>
      <c r="U197" s="491">
        <v>0.84</v>
      </c>
      <c r="V197" s="491">
        <v>0.74</v>
      </c>
      <c r="W197" s="491">
        <v>0</v>
      </c>
      <c r="X197" s="491">
        <v>0</v>
      </c>
      <c r="Y197" s="1025" t="b">
        <v>0</v>
      </c>
      <c r="Z197" s="331">
        <v>0</v>
      </c>
      <c r="AA197" s="331">
        <v>0</v>
      </c>
      <c r="AB197" s="331">
        <v>0</v>
      </c>
      <c r="AC197" s="331">
        <v>0</v>
      </c>
      <c r="AD197" s="1025" t="b">
        <v>0</v>
      </c>
      <c r="AE197" s="331">
        <v>0</v>
      </c>
      <c r="AF197" s="331">
        <v>0</v>
      </c>
      <c r="AG197" s="331">
        <v>0</v>
      </c>
      <c r="AH197" s="331">
        <v>0</v>
      </c>
      <c r="AI197" s="1025" t="b">
        <v>0</v>
      </c>
      <c r="AJ197" s="331">
        <v>0</v>
      </c>
      <c r="AK197" s="331">
        <v>0</v>
      </c>
      <c r="AL197" s="331">
        <v>0</v>
      </c>
      <c r="AM197" s="331">
        <v>0</v>
      </c>
      <c r="AN197" s="1025" t="b">
        <v>0</v>
      </c>
      <c r="AO197" s="331">
        <v>0</v>
      </c>
      <c r="AP197" s="331">
        <v>0</v>
      </c>
      <c r="AQ197" s="331">
        <v>0</v>
      </c>
      <c r="AR197" s="331">
        <v>0</v>
      </c>
      <c r="AS197" s="1025" t="b">
        <v>0</v>
      </c>
      <c r="AT197" s="1025" t="b">
        <v>0</v>
      </c>
      <c r="AU197" s="331">
        <v>20815</v>
      </c>
      <c r="AV197" s="491" t="s">
        <v>29</v>
      </c>
    </row>
    <row r="198" spans="1:48">
      <c r="A198" s="72">
        <v>17</v>
      </c>
      <c r="B198" s="391" t="s">
        <v>60</v>
      </c>
      <c r="C198" s="72">
        <f t="shared" ref="C198:C261" si="9">IF(E198="N/A",0,IF(A197&lt;&gt;A198,1,C197+1))</f>
        <v>5</v>
      </c>
      <c r="D198" s="72" t="str">
        <f t="shared" ref="D198:D261" si="10">A198&amp;"-"&amp;C198</f>
        <v>17-5</v>
      </c>
      <c r="E198" s="72">
        <v>64055</v>
      </c>
      <c r="F198" s="72" t="str">
        <f t="shared" si="8"/>
        <v>17-64055</v>
      </c>
      <c r="G198" s="391" t="s">
        <v>790</v>
      </c>
      <c r="H198" s="331">
        <v>11229.05</v>
      </c>
      <c r="I198" s="331">
        <v>10324.65</v>
      </c>
      <c r="J198" s="331">
        <v>10630.93</v>
      </c>
      <c r="K198" s="331">
        <v>12640.59</v>
      </c>
      <c r="L198" s="491" t="s">
        <v>29</v>
      </c>
      <c r="M198" s="491" t="s">
        <v>29</v>
      </c>
      <c r="N198" s="491" t="s">
        <v>29</v>
      </c>
      <c r="O198" s="491" t="s">
        <v>29</v>
      </c>
      <c r="P198" s="491">
        <v>0</v>
      </c>
      <c r="Q198" s="491">
        <v>0</v>
      </c>
      <c r="R198" s="491">
        <v>0</v>
      </c>
      <c r="S198" s="491">
        <v>0</v>
      </c>
      <c r="T198" s="1025" t="b">
        <v>0</v>
      </c>
      <c r="U198" s="491">
        <v>0.8</v>
      </c>
      <c r="V198" s="491">
        <v>0</v>
      </c>
      <c r="W198" s="491">
        <v>0</v>
      </c>
      <c r="X198" s="491">
        <v>1.43</v>
      </c>
      <c r="Y198" s="1025" t="b">
        <v>0</v>
      </c>
      <c r="Z198" s="331">
        <v>0</v>
      </c>
      <c r="AA198" s="331">
        <v>0</v>
      </c>
      <c r="AB198" s="331">
        <v>0</v>
      </c>
      <c r="AC198" s="331">
        <v>0</v>
      </c>
      <c r="AD198" s="1025" t="b">
        <v>0</v>
      </c>
      <c r="AE198" s="331">
        <v>0</v>
      </c>
      <c r="AF198" s="331">
        <v>0</v>
      </c>
      <c r="AG198" s="331">
        <v>0</v>
      </c>
      <c r="AH198" s="331">
        <v>0.08</v>
      </c>
      <c r="AI198" s="1025" t="b">
        <v>0</v>
      </c>
      <c r="AJ198" s="331">
        <v>0</v>
      </c>
      <c r="AK198" s="331">
        <v>0</v>
      </c>
      <c r="AL198" s="331">
        <v>0</v>
      </c>
      <c r="AM198" s="331">
        <v>0</v>
      </c>
      <c r="AN198" s="1025" t="b">
        <v>0</v>
      </c>
      <c r="AO198" s="331">
        <v>0</v>
      </c>
      <c r="AP198" s="331">
        <v>0</v>
      </c>
      <c r="AQ198" s="331">
        <v>0</v>
      </c>
      <c r="AR198" s="331">
        <v>0</v>
      </c>
      <c r="AS198" s="1025" t="b">
        <v>0</v>
      </c>
      <c r="AT198" s="1025" t="b">
        <v>0</v>
      </c>
      <c r="AU198" s="331">
        <v>28070</v>
      </c>
      <c r="AV198" s="491" t="s">
        <v>29</v>
      </c>
    </row>
    <row r="199" spans="1:48">
      <c r="A199" s="72">
        <v>17</v>
      </c>
      <c r="B199" s="391" t="s">
        <v>60</v>
      </c>
      <c r="C199" s="72">
        <f t="shared" si="9"/>
        <v>6</v>
      </c>
      <c r="D199" s="72" t="str">
        <f t="shared" si="10"/>
        <v>17-6</v>
      </c>
      <c r="E199" s="72">
        <v>76976</v>
      </c>
      <c r="F199" s="72" t="str">
        <f t="shared" ref="F199:F262" si="11">A199&amp;"-"&amp;E199</f>
        <v>17-76976</v>
      </c>
      <c r="G199" s="391" t="s">
        <v>791</v>
      </c>
      <c r="H199" s="331">
        <v>13682.56</v>
      </c>
      <c r="I199" s="331">
        <v>12580.54</v>
      </c>
      <c r="J199" s="331">
        <v>12953.74</v>
      </c>
      <c r="K199" s="331">
        <v>15402.51</v>
      </c>
      <c r="L199" s="491" t="s">
        <v>29</v>
      </c>
      <c r="M199" s="491" t="s">
        <v>29</v>
      </c>
      <c r="N199" s="491" t="s">
        <v>29</v>
      </c>
      <c r="O199" s="491" t="s">
        <v>29</v>
      </c>
      <c r="P199" s="491">
        <v>0</v>
      </c>
      <c r="Q199" s="491">
        <v>0</v>
      </c>
      <c r="R199" s="491">
        <v>0</v>
      </c>
      <c r="S199" s="491">
        <v>0</v>
      </c>
      <c r="T199" s="1025" t="b">
        <v>0</v>
      </c>
      <c r="U199" s="491">
        <v>0</v>
      </c>
      <c r="V199" s="491">
        <v>0</v>
      </c>
      <c r="W199" s="491">
        <v>0.95</v>
      </c>
      <c r="X199" s="491">
        <v>2.2999999999999998</v>
      </c>
      <c r="Y199" s="1025" t="b">
        <v>0</v>
      </c>
      <c r="Z199" s="331">
        <v>0</v>
      </c>
      <c r="AA199" s="331">
        <v>0</v>
      </c>
      <c r="AB199" s="331">
        <v>0</v>
      </c>
      <c r="AC199" s="331">
        <v>0</v>
      </c>
      <c r="AD199" s="1025" t="b">
        <v>0</v>
      </c>
      <c r="AE199" s="331">
        <v>0</v>
      </c>
      <c r="AF199" s="331">
        <v>7.0000000000000007E-2</v>
      </c>
      <c r="AG199" s="331">
        <v>0</v>
      </c>
      <c r="AH199" s="331">
        <v>0</v>
      </c>
      <c r="AI199" s="1025" t="b">
        <v>0</v>
      </c>
      <c r="AJ199" s="331">
        <v>0</v>
      </c>
      <c r="AK199" s="331">
        <v>0</v>
      </c>
      <c r="AL199" s="331">
        <v>0</v>
      </c>
      <c r="AM199" s="331">
        <v>0</v>
      </c>
      <c r="AN199" s="1025" t="b">
        <v>0</v>
      </c>
      <c r="AO199" s="331">
        <v>0</v>
      </c>
      <c r="AP199" s="331">
        <v>0</v>
      </c>
      <c r="AQ199" s="331">
        <v>0</v>
      </c>
      <c r="AR199" s="331">
        <v>0</v>
      </c>
      <c r="AS199" s="1025" t="b">
        <v>0</v>
      </c>
      <c r="AT199" s="1025" t="b">
        <v>0</v>
      </c>
      <c r="AU199" s="331">
        <v>48613</v>
      </c>
      <c r="AV199" s="491" t="s">
        <v>29</v>
      </c>
    </row>
    <row r="200" spans="1:48">
      <c r="A200" s="72">
        <v>17</v>
      </c>
      <c r="B200" s="391" t="s">
        <v>60</v>
      </c>
      <c r="C200" s="72">
        <f t="shared" si="9"/>
        <v>0</v>
      </c>
      <c r="D200" s="72" t="str">
        <f t="shared" si="10"/>
        <v>17-0</v>
      </c>
      <c r="E200" s="72" t="s">
        <v>29</v>
      </c>
      <c r="F200" s="72" t="str">
        <f t="shared" si="11"/>
        <v>17-N/A</v>
      </c>
      <c r="G200" s="391" t="s">
        <v>29</v>
      </c>
      <c r="H200" s="491" t="s">
        <v>29</v>
      </c>
      <c r="I200" s="491" t="s">
        <v>29</v>
      </c>
      <c r="J200" s="491" t="s">
        <v>29</v>
      </c>
      <c r="K200" s="491" t="s">
        <v>29</v>
      </c>
      <c r="L200" s="491" t="s">
        <v>29</v>
      </c>
      <c r="M200" s="491" t="s">
        <v>29</v>
      </c>
      <c r="N200" s="491" t="s">
        <v>29</v>
      </c>
      <c r="O200" s="491" t="s">
        <v>29</v>
      </c>
      <c r="P200" s="491" t="s">
        <v>29</v>
      </c>
      <c r="Q200" s="491" t="s">
        <v>29</v>
      </c>
      <c r="R200" s="491" t="s">
        <v>29</v>
      </c>
      <c r="S200" s="491" t="s">
        <v>29</v>
      </c>
      <c r="T200" s="1025" t="s">
        <v>29</v>
      </c>
      <c r="U200" s="491" t="s">
        <v>29</v>
      </c>
      <c r="V200" s="491" t="s">
        <v>29</v>
      </c>
      <c r="W200" s="491" t="s">
        <v>29</v>
      </c>
      <c r="X200" s="491" t="s">
        <v>29</v>
      </c>
      <c r="Y200" s="1025" t="s">
        <v>29</v>
      </c>
      <c r="Z200" s="491" t="s">
        <v>29</v>
      </c>
      <c r="AA200" s="491" t="s">
        <v>29</v>
      </c>
      <c r="AB200" s="491" t="s">
        <v>29</v>
      </c>
      <c r="AC200" s="491" t="s">
        <v>29</v>
      </c>
      <c r="AD200" s="1025" t="s">
        <v>29</v>
      </c>
      <c r="AE200" s="491" t="s">
        <v>29</v>
      </c>
      <c r="AF200" s="491" t="s">
        <v>29</v>
      </c>
      <c r="AG200" s="491" t="s">
        <v>29</v>
      </c>
      <c r="AH200" s="491" t="s">
        <v>29</v>
      </c>
      <c r="AI200" s="1025" t="s">
        <v>29</v>
      </c>
      <c r="AJ200" s="491" t="s">
        <v>29</v>
      </c>
      <c r="AK200" s="491" t="s">
        <v>29</v>
      </c>
      <c r="AL200" s="491" t="s">
        <v>29</v>
      </c>
      <c r="AM200" s="491" t="s">
        <v>29</v>
      </c>
      <c r="AN200" s="1025" t="s">
        <v>29</v>
      </c>
      <c r="AO200" s="491" t="s">
        <v>29</v>
      </c>
      <c r="AP200" s="491" t="s">
        <v>29</v>
      </c>
      <c r="AQ200" s="491" t="s">
        <v>29</v>
      </c>
      <c r="AR200" s="491" t="s">
        <v>29</v>
      </c>
      <c r="AS200" s="1025" t="s">
        <v>29</v>
      </c>
      <c r="AT200" s="1025" t="s">
        <v>29</v>
      </c>
      <c r="AU200" s="491" t="s">
        <v>29</v>
      </c>
      <c r="AV200" s="491">
        <v>249578</v>
      </c>
    </row>
    <row r="201" spans="1:48">
      <c r="A201" s="72">
        <v>18</v>
      </c>
      <c r="B201" s="391" t="s">
        <v>61</v>
      </c>
      <c r="C201" s="72">
        <f t="shared" si="9"/>
        <v>1</v>
      </c>
      <c r="D201" s="72" t="str">
        <f t="shared" si="10"/>
        <v>18-1</v>
      </c>
      <c r="E201" s="72">
        <v>64105</v>
      </c>
      <c r="F201" s="72" t="str">
        <f t="shared" si="11"/>
        <v>18-64105</v>
      </c>
      <c r="G201" s="391" t="s">
        <v>792</v>
      </c>
      <c r="H201" s="491">
        <v>10999.56</v>
      </c>
      <c r="I201" s="491">
        <v>10113.629999999999</v>
      </c>
      <c r="J201" s="491">
        <v>10413.65</v>
      </c>
      <c r="K201" s="491">
        <v>12382.24</v>
      </c>
      <c r="L201" s="491" t="s">
        <v>29</v>
      </c>
      <c r="M201" s="491" t="s">
        <v>29</v>
      </c>
      <c r="N201" s="491" t="s">
        <v>29</v>
      </c>
      <c r="O201" s="491" t="s">
        <v>29</v>
      </c>
      <c r="P201" s="491">
        <v>0</v>
      </c>
      <c r="Q201" s="491">
        <v>0</v>
      </c>
      <c r="R201" s="491">
        <v>0</v>
      </c>
      <c r="S201" s="491">
        <v>0</v>
      </c>
      <c r="T201" s="1025" t="b">
        <v>0</v>
      </c>
      <c r="U201" s="491">
        <v>0</v>
      </c>
      <c r="V201" s="491">
        <v>1.68</v>
      </c>
      <c r="W201" s="491">
        <v>0.94</v>
      </c>
      <c r="X201" s="491">
        <v>0</v>
      </c>
      <c r="Y201" s="1025" t="b">
        <v>0</v>
      </c>
      <c r="Z201" s="491">
        <v>0</v>
      </c>
      <c r="AA201" s="491">
        <v>0</v>
      </c>
      <c r="AB201" s="491">
        <v>0</v>
      </c>
      <c r="AC201" s="491">
        <v>0</v>
      </c>
      <c r="AD201" s="1025" t="b">
        <v>0</v>
      </c>
      <c r="AE201" s="491">
        <v>0</v>
      </c>
      <c r="AF201" s="491">
        <v>0</v>
      </c>
      <c r="AG201" s="491">
        <v>0</v>
      </c>
      <c r="AH201" s="491">
        <v>0</v>
      </c>
      <c r="AI201" s="1025" t="b">
        <v>0</v>
      </c>
      <c r="AJ201" s="491">
        <v>0</v>
      </c>
      <c r="AK201" s="491">
        <v>0</v>
      </c>
      <c r="AL201" s="491">
        <v>0</v>
      </c>
      <c r="AM201" s="491">
        <v>0</v>
      </c>
      <c r="AN201" s="1025" t="b">
        <v>0</v>
      </c>
      <c r="AO201" s="491">
        <v>0</v>
      </c>
      <c r="AP201" s="491">
        <v>0</v>
      </c>
      <c r="AQ201" s="491">
        <v>0</v>
      </c>
      <c r="AR201" s="491">
        <v>0</v>
      </c>
      <c r="AS201" s="1025" t="b">
        <v>0</v>
      </c>
      <c r="AT201" s="1025" t="b">
        <v>0</v>
      </c>
      <c r="AU201" s="491">
        <v>26780</v>
      </c>
      <c r="AV201" s="491" t="s">
        <v>29</v>
      </c>
    </row>
    <row r="202" spans="1:48">
      <c r="A202" s="72">
        <v>18</v>
      </c>
      <c r="B202" s="391" t="s">
        <v>61</v>
      </c>
      <c r="C202" s="72">
        <f t="shared" si="9"/>
        <v>2</v>
      </c>
      <c r="D202" s="72" t="str">
        <f t="shared" si="10"/>
        <v>18-2</v>
      </c>
      <c r="E202" s="72">
        <v>64139</v>
      </c>
      <c r="F202" s="72" t="str">
        <f t="shared" si="11"/>
        <v>18-64139</v>
      </c>
      <c r="G202" s="391" t="s">
        <v>793</v>
      </c>
      <c r="H202" s="491">
        <v>10856.68</v>
      </c>
      <c r="I202" s="491">
        <v>9982.26</v>
      </c>
      <c r="J202" s="491">
        <v>10278.379999999999</v>
      </c>
      <c r="K202" s="491">
        <v>12221.4</v>
      </c>
      <c r="L202" s="491" t="s">
        <v>29</v>
      </c>
      <c r="M202" s="491" t="s">
        <v>29</v>
      </c>
      <c r="N202" s="491" t="s">
        <v>29</v>
      </c>
      <c r="O202" s="491" t="s">
        <v>29</v>
      </c>
      <c r="P202" s="491">
        <v>0</v>
      </c>
      <c r="Q202" s="491">
        <v>0</v>
      </c>
      <c r="R202" s="491">
        <v>0</v>
      </c>
      <c r="S202" s="491">
        <v>0</v>
      </c>
      <c r="T202" s="1025" t="b">
        <v>0</v>
      </c>
      <c r="U202" s="491">
        <v>0</v>
      </c>
      <c r="V202" s="491">
        <v>0</v>
      </c>
      <c r="W202" s="491">
        <v>0</v>
      </c>
      <c r="X202" s="491">
        <v>4.32</v>
      </c>
      <c r="Y202" s="1025" t="b">
        <v>0</v>
      </c>
      <c r="Z202" s="491">
        <v>0</v>
      </c>
      <c r="AA202" s="491">
        <v>0</v>
      </c>
      <c r="AB202" s="491">
        <v>0</v>
      </c>
      <c r="AC202" s="491">
        <v>0</v>
      </c>
      <c r="AD202" s="1025" t="b">
        <v>0</v>
      </c>
      <c r="AE202" s="491">
        <v>0</v>
      </c>
      <c r="AF202" s="491">
        <v>0</v>
      </c>
      <c r="AG202" s="491">
        <v>0</v>
      </c>
      <c r="AH202" s="491">
        <v>0</v>
      </c>
      <c r="AI202" s="1025" t="b">
        <v>0</v>
      </c>
      <c r="AJ202" s="491">
        <v>0</v>
      </c>
      <c r="AK202" s="491">
        <v>0</v>
      </c>
      <c r="AL202" s="491">
        <v>0</v>
      </c>
      <c r="AM202" s="491">
        <v>0</v>
      </c>
      <c r="AN202" s="1025" t="b">
        <v>0</v>
      </c>
      <c r="AO202" s="491">
        <v>0</v>
      </c>
      <c r="AP202" s="491">
        <v>0</v>
      </c>
      <c r="AQ202" s="491">
        <v>0</v>
      </c>
      <c r="AR202" s="491">
        <v>0</v>
      </c>
      <c r="AS202" s="1025" t="b">
        <v>0</v>
      </c>
      <c r="AT202" s="1025" t="b">
        <v>0</v>
      </c>
      <c r="AU202" s="491">
        <v>52796</v>
      </c>
      <c r="AV202" s="491" t="s">
        <v>29</v>
      </c>
    </row>
    <row r="203" spans="1:48">
      <c r="A203" s="72">
        <v>18</v>
      </c>
      <c r="B203" s="391" t="s">
        <v>61</v>
      </c>
      <c r="C203" s="72">
        <f t="shared" si="9"/>
        <v>3</v>
      </c>
      <c r="D203" s="72" t="str">
        <f t="shared" si="10"/>
        <v>18-3</v>
      </c>
      <c r="E203" s="72">
        <v>64188</v>
      </c>
      <c r="F203" s="72" t="str">
        <f t="shared" si="11"/>
        <v>18-64188</v>
      </c>
      <c r="G203" s="391" t="s">
        <v>1743</v>
      </c>
      <c r="H203" s="331">
        <v>12240.14</v>
      </c>
      <c r="I203" s="331">
        <v>11254.3</v>
      </c>
      <c r="J203" s="331">
        <v>11588.16</v>
      </c>
      <c r="K203" s="331">
        <v>13778.78</v>
      </c>
      <c r="L203" s="491" t="s">
        <v>29</v>
      </c>
      <c r="M203" s="491" t="s">
        <v>29</v>
      </c>
      <c r="N203" s="491" t="s">
        <v>29</v>
      </c>
      <c r="O203" s="491" t="s">
        <v>29</v>
      </c>
      <c r="P203" s="491">
        <v>0</v>
      </c>
      <c r="Q203" s="491">
        <v>0</v>
      </c>
      <c r="R203" s="491">
        <v>0</v>
      </c>
      <c r="S203" s="491">
        <v>0</v>
      </c>
      <c r="T203" s="1025" t="b">
        <v>0</v>
      </c>
      <c r="U203" s="491">
        <v>0</v>
      </c>
      <c r="V203" s="491">
        <v>0.83</v>
      </c>
      <c r="W203" s="491">
        <v>0</v>
      </c>
      <c r="X203" s="491">
        <v>0</v>
      </c>
      <c r="Y203" s="1025" t="b">
        <v>0</v>
      </c>
      <c r="Z203" s="331">
        <v>0</v>
      </c>
      <c r="AA203" s="331">
        <v>0</v>
      </c>
      <c r="AB203" s="331">
        <v>0</v>
      </c>
      <c r="AC203" s="331">
        <v>0</v>
      </c>
      <c r="AD203" s="1025" t="b">
        <v>0</v>
      </c>
      <c r="AE203" s="331">
        <v>0</v>
      </c>
      <c r="AF203" s="331">
        <v>0</v>
      </c>
      <c r="AG203" s="331">
        <v>0</v>
      </c>
      <c r="AH203" s="331">
        <v>0</v>
      </c>
      <c r="AI203" s="1025" t="b">
        <v>0</v>
      </c>
      <c r="AJ203" s="331">
        <v>0</v>
      </c>
      <c r="AK203" s="331">
        <v>0</v>
      </c>
      <c r="AL203" s="331">
        <v>0</v>
      </c>
      <c r="AM203" s="331">
        <v>0</v>
      </c>
      <c r="AN203" s="1025" t="b">
        <v>0</v>
      </c>
      <c r="AO203" s="331">
        <v>0</v>
      </c>
      <c r="AP203" s="331">
        <v>0</v>
      </c>
      <c r="AQ203" s="331">
        <v>0</v>
      </c>
      <c r="AR203" s="331">
        <v>0</v>
      </c>
      <c r="AS203" s="1025" t="b">
        <v>0</v>
      </c>
      <c r="AT203" s="1025" t="b">
        <v>0</v>
      </c>
      <c r="AU203" s="331">
        <v>9341</v>
      </c>
      <c r="AV203" s="491" t="s">
        <v>29</v>
      </c>
    </row>
    <row r="204" spans="1:48">
      <c r="A204" s="72">
        <v>18</v>
      </c>
      <c r="B204" s="391" t="s">
        <v>61</v>
      </c>
      <c r="C204" s="72">
        <f t="shared" si="9"/>
        <v>4</v>
      </c>
      <c r="D204" s="72" t="str">
        <f t="shared" si="10"/>
        <v>18-4</v>
      </c>
      <c r="E204" s="72">
        <v>64196</v>
      </c>
      <c r="F204" s="72" t="str">
        <f t="shared" si="11"/>
        <v>18-64196</v>
      </c>
      <c r="G204" s="391" t="s">
        <v>794</v>
      </c>
      <c r="H204" s="331">
        <v>11814.39</v>
      </c>
      <c r="I204" s="331">
        <v>10862.84</v>
      </c>
      <c r="J204" s="331">
        <v>11185.08</v>
      </c>
      <c r="K204" s="331">
        <v>13299.51</v>
      </c>
      <c r="L204" s="491" t="s">
        <v>29</v>
      </c>
      <c r="M204" s="491" t="s">
        <v>29</v>
      </c>
      <c r="N204" s="491" t="s">
        <v>29</v>
      </c>
      <c r="O204" s="491" t="s">
        <v>29</v>
      </c>
      <c r="P204" s="491">
        <v>0</v>
      </c>
      <c r="Q204" s="491">
        <v>0</v>
      </c>
      <c r="R204" s="491">
        <v>0</v>
      </c>
      <c r="S204" s="491">
        <v>0</v>
      </c>
      <c r="T204" s="1025" t="b">
        <v>0</v>
      </c>
      <c r="U204" s="491">
        <v>0.48</v>
      </c>
      <c r="V204" s="491">
        <v>0</v>
      </c>
      <c r="W204" s="491">
        <v>1.37</v>
      </c>
      <c r="X204" s="491">
        <v>0</v>
      </c>
      <c r="Y204" s="1025" t="b">
        <v>0</v>
      </c>
      <c r="Z204" s="331">
        <v>0</v>
      </c>
      <c r="AA204" s="331">
        <v>0</v>
      </c>
      <c r="AB204" s="331">
        <v>0</v>
      </c>
      <c r="AC204" s="331">
        <v>0</v>
      </c>
      <c r="AD204" s="1025" t="b">
        <v>0</v>
      </c>
      <c r="AE204" s="331">
        <v>0</v>
      </c>
      <c r="AF204" s="331">
        <v>0</v>
      </c>
      <c r="AG204" s="331">
        <v>0</v>
      </c>
      <c r="AH204" s="331">
        <v>0</v>
      </c>
      <c r="AI204" s="1025" t="b">
        <v>0</v>
      </c>
      <c r="AJ204" s="331">
        <v>0</v>
      </c>
      <c r="AK204" s="331">
        <v>0</v>
      </c>
      <c r="AL204" s="331">
        <v>0</v>
      </c>
      <c r="AM204" s="331">
        <v>0</v>
      </c>
      <c r="AN204" s="1025" t="b">
        <v>0</v>
      </c>
      <c r="AO204" s="331">
        <v>0</v>
      </c>
      <c r="AP204" s="331">
        <v>0</v>
      </c>
      <c r="AQ204" s="331">
        <v>0</v>
      </c>
      <c r="AR204" s="331">
        <v>0</v>
      </c>
      <c r="AS204" s="1025" t="b">
        <v>0</v>
      </c>
      <c r="AT204" s="1025" t="b">
        <v>0</v>
      </c>
      <c r="AU204" s="331">
        <v>20995</v>
      </c>
      <c r="AV204" s="491" t="s">
        <v>29</v>
      </c>
    </row>
    <row r="205" spans="1:48">
      <c r="A205" s="72">
        <v>18</v>
      </c>
      <c r="B205" s="391" t="s">
        <v>61</v>
      </c>
      <c r="C205" s="72">
        <f t="shared" si="9"/>
        <v>5</v>
      </c>
      <c r="D205" s="72" t="str">
        <f t="shared" si="10"/>
        <v>18-5</v>
      </c>
      <c r="E205" s="72">
        <v>75036</v>
      </c>
      <c r="F205" s="72" t="str">
        <f t="shared" si="11"/>
        <v>18-75036</v>
      </c>
      <c r="G205" s="391" t="s">
        <v>1646</v>
      </c>
      <c r="H205" s="331">
        <v>12290.89</v>
      </c>
      <c r="I205" s="331">
        <v>11300.96</v>
      </c>
      <c r="J205" s="331">
        <v>11636.2</v>
      </c>
      <c r="K205" s="331">
        <v>13835.91</v>
      </c>
      <c r="L205" s="491" t="s">
        <v>29</v>
      </c>
      <c r="M205" s="491" t="s">
        <v>29</v>
      </c>
      <c r="N205" s="491" t="s">
        <v>29</v>
      </c>
      <c r="O205" s="491" t="s">
        <v>29</v>
      </c>
      <c r="P205" s="491">
        <v>0</v>
      </c>
      <c r="Q205" s="491">
        <v>0</v>
      </c>
      <c r="R205" s="491">
        <v>0</v>
      </c>
      <c r="S205" s="491">
        <v>0</v>
      </c>
      <c r="T205" s="1025" t="b">
        <v>0</v>
      </c>
      <c r="U205" s="491">
        <v>0</v>
      </c>
      <c r="V205" s="491">
        <v>0</v>
      </c>
      <c r="W205" s="491">
        <v>0</v>
      </c>
      <c r="X205" s="491">
        <v>0.65</v>
      </c>
      <c r="Y205" s="1025" t="b">
        <v>0</v>
      </c>
      <c r="Z205" s="331">
        <v>0</v>
      </c>
      <c r="AA205" s="331">
        <v>0</v>
      </c>
      <c r="AB205" s="331">
        <v>0</v>
      </c>
      <c r="AC205" s="331">
        <v>0</v>
      </c>
      <c r="AD205" s="1025" t="b">
        <v>0</v>
      </c>
      <c r="AE205" s="331">
        <v>0</v>
      </c>
      <c r="AF205" s="331">
        <v>0</v>
      </c>
      <c r="AG205" s="331">
        <v>0</v>
      </c>
      <c r="AH205" s="331">
        <v>0</v>
      </c>
      <c r="AI205" s="1025" t="b">
        <v>0</v>
      </c>
      <c r="AJ205" s="331">
        <v>0</v>
      </c>
      <c r="AK205" s="331">
        <v>0</v>
      </c>
      <c r="AL205" s="331">
        <v>0</v>
      </c>
      <c r="AM205" s="331">
        <v>0</v>
      </c>
      <c r="AN205" s="1025" t="b">
        <v>0</v>
      </c>
      <c r="AO205" s="331">
        <v>0</v>
      </c>
      <c r="AP205" s="331">
        <v>0</v>
      </c>
      <c r="AQ205" s="331">
        <v>0</v>
      </c>
      <c r="AR205" s="331">
        <v>0</v>
      </c>
      <c r="AS205" s="1025" t="b">
        <v>0</v>
      </c>
      <c r="AT205" s="1025" t="b">
        <v>0</v>
      </c>
      <c r="AU205" s="331">
        <v>8993</v>
      </c>
      <c r="AV205" s="491" t="s">
        <v>29</v>
      </c>
    </row>
    <row r="206" spans="1:48">
      <c r="A206" s="72">
        <v>18</v>
      </c>
      <c r="B206" s="391" t="s">
        <v>61</v>
      </c>
      <c r="C206" s="72">
        <f t="shared" si="9"/>
        <v>0</v>
      </c>
      <c r="D206" s="72" t="str">
        <f t="shared" si="10"/>
        <v>18-0</v>
      </c>
      <c r="E206" s="72" t="s">
        <v>29</v>
      </c>
      <c r="F206" s="72" t="str">
        <f t="shared" si="11"/>
        <v>18-N/A</v>
      </c>
      <c r="G206" s="391" t="s">
        <v>29</v>
      </c>
      <c r="H206" s="491" t="s">
        <v>29</v>
      </c>
      <c r="I206" s="491" t="s">
        <v>29</v>
      </c>
      <c r="J206" s="491" t="s">
        <v>29</v>
      </c>
      <c r="K206" s="491" t="s">
        <v>29</v>
      </c>
      <c r="L206" s="491" t="s">
        <v>29</v>
      </c>
      <c r="M206" s="491" t="s">
        <v>29</v>
      </c>
      <c r="N206" s="491" t="s">
        <v>29</v>
      </c>
      <c r="O206" s="491" t="s">
        <v>29</v>
      </c>
      <c r="P206" s="491" t="s">
        <v>29</v>
      </c>
      <c r="Q206" s="491" t="s">
        <v>29</v>
      </c>
      <c r="R206" s="491" t="s">
        <v>29</v>
      </c>
      <c r="S206" s="491" t="s">
        <v>29</v>
      </c>
      <c r="T206" s="1025" t="s">
        <v>29</v>
      </c>
      <c r="U206" s="491" t="s">
        <v>29</v>
      </c>
      <c r="V206" s="491" t="s">
        <v>29</v>
      </c>
      <c r="W206" s="491" t="s">
        <v>29</v>
      </c>
      <c r="X206" s="491" t="s">
        <v>29</v>
      </c>
      <c r="Y206" s="1025" t="s">
        <v>29</v>
      </c>
      <c r="Z206" s="491" t="s">
        <v>29</v>
      </c>
      <c r="AA206" s="491" t="s">
        <v>29</v>
      </c>
      <c r="AB206" s="491" t="s">
        <v>29</v>
      </c>
      <c r="AC206" s="491" t="s">
        <v>29</v>
      </c>
      <c r="AD206" s="1025" t="s">
        <v>29</v>
      </c>
      <c r="AE206" s="491" t="s">
        <v>29</v>
      </c>
      <c r="AF206" s="491" t="s">
        <v>29</v>
      </c>
      <c r="AG206" s="491" t="s">
        <v>29</v>
      </c>
      <c r="AH206" s="491" t="s">
        <v>29</v>
      </c>
      <c r="AI206" s="1025" t="s">
        <v>29</v>
      </c>
      <c r="AJ206" s="491" t="s">
        <v>29</v>
      </c>
      <c r="AK206" s="491" t="s">
        <v>29</v>
      </c>
      <c r="AL206" s="491" t="s">
        <v>29</v>
      </c>
      <c r="AM206" s="491" t="s">
        <v>29</v>
      </c>
      <c r="AN206" s="1025" t="s">
        <v>29</v>
      </c>
      <c r="AO206" s="491" t="s">
        <v>29</v>
      </c>
      <c r="AP206" s="491" t="s">
        <v>29</v>
      </c>
      <c r="AQ206" s="491" t="s">
        <v>29</v>
      </c>
      <c r="AR206" s="491" t="s">
        <v>29</v>
      </c>
      <c r="AS206" s="1025" t="s">
        <v>29</v>
      </c>
      <c r="AT206" s="1025" t="s">
        <v>29</v>
      </c>
      <c r="AU206" s="491" t="s">
        <v>29</v>
      </c>
      <c r="AV206" s="491">
        <v>118905</v>
      </c>
    </row>
    <row r="207" spans="1:48">
      <c r="A207" s="72">
        <v>19</v>
      </c>
      <c r="B207" s="391" t="s">
        <v>45</v>
      </c>
      <c r="C207" s="72">
        <f t="shared" si="9"/>
        <v>1</v>
      </c>
      <c r="D207" s="72" t="str">
        <f t="shared" si="10"/>
        <v>19-1</v>
      </c>
      <c r="E207" s="72">
        <v>64212</v>
      </c>
      <c r="F207" s="72" t="str">
        <f t="shared" si="11"/>
        <v>19-64212</v>
      </c>
      <c r="G207" s="391" t="s">
        <v>934</v>
      </c>
      <c r="H207" s="331">
        <v>11689.67</v>
      </c>
      <c r="I207" s="331">
        <v>10748.17</v>
      </c>
      <c r="J207" s="331">
        <v>11067.01</v>
      </c>
      <c r="K207" s="331">
        <v>13159.11</v>
      </c>
      <c r="L207" s="491" t="s">
        <v>29</v>
      </c>
      <c r="M207" s="491" t="s">
        <v>29</v>
      </c>
      <c r="N207" s="491" t="s">
        <v>29</v>
      </c>
      <c r="O207" s="491" t="s">
        <v>29</v>
      </c>
      <c r="P207" s="491">
        <v>0</v>
      </c>
      <c r="Q207" s="491">
        <v>0</v>
      </c>
      <c r="R207" s="491">
        <v>0</v>
      </c>
      <c r="S207" s="491">
        <v>1.24</v>
      </c>
      <c r="T207" s="1025" t="b">
        <v>0</v>
      </c>
      <c r="U207" s="491">
        <v>0</v>
      </c>
      <c r="V207" s="491">
        <v>0</v>
      </c>
      <c r="W207" s="491">
        <v>0</v>
      </c>
      <c r="X207" s="491">
        <v>0</v>
      </c>
      <c r="Y207" s="1025" t="b">
        <v>0</v>
      </c>
      <c r="Z207" s="331">
        <v>0</v>
      </c>
      <c r="AA207" s="331">
        <v>0</v>
      </c>
      <c r="AB207" s="331">
        <v>0</v>
      </c>
      <c r="AC207" s="331">
        <v>0</v>
      </c>
      <c r="AD207" s="1025" t="b">
        <v>0</v>
      </c>
      <c r="AE207" s="331">
        <v>0</v>
      </c>
      <c r="AF207" s="331">
        <v>0</v>
      </c>
      <c r="AG207" s="331">
        <v>0</v>
      </c>
      <c r="AH207" s="331">
        <v>0</v>
      </c>
      <c r="AI207" s="1025" t="b">
        <v>0</v>
      </c>
      <c r="AJ207" s="331">
        <v>0</v>
      </c>
      <c r="AK207" s="331">
        <v>0</v>
      </c>
      <c r="AL207" s="331">
        <v>0</v>
      </c>
      <c r="AM207" s="331">
        <v>0</v>
      </c>
      <c r="AN207" s="1025" t="b">
        <v>0</v>
      </c>
      <c r="AO207" s="331">
        <v>0</v>
      </c>
      <c r="AP207" s="331">
        <v>0</v>
      </c>
      <c r="AQ207" s="331">
        <v>0</v>
      </c>
      <c r="AR207" s="331">
        <v>0</v>
      </c>
      <c r="AS207" s="1025" t="b">
        <v>0</v>
      </c>
      <c r="AT207" s="1025" t="b">
        <v>0</v>
      </c>
      <c r="AU207" s="331">
        <v>16317</v>
      </c>
      <c r="AV207" s="491" t="s">
        <v>29</v>
      </c>
    </row>
    <row r="208" spans="1:48">
      <c r="A208" s="72">
        <v>19</v>
      </c>
      <c r="B208" s="391" t="s">
        <v>45</v>
      </c>
      <c r="C208" s="72">
        <f t="shared" si="9"/>
        <v>2</v>
      </c>
      <c r="D208" s="72" t="str">
        <f t="shared" si="10"/>
        <v>19-2</v>
      </c>
      <c r="E208" s="72">
        <v>64246</v>
      </c>
      <c r="F208" s="72" t="str">
        <f t="shared" si="11"/>
        <v>19-64246</v>
      </c>
      <c r="G208" s="391" t="s">
        <v>795</v>
      </c>
      <c r="H208" s="331">
        <v>12225.52</v>
      </c>
      <c r="I208" s="331">
        <v>11240.86</v>
      </c>
      <c r="J208" s="331">
        <v>11574.32</v>
      </c>
      <c r="K208" s="331">
        <v>13762.32</v>
      </c>
      <c r="L208" s="491" t="s">
        <v>29</v>
      </c>
      <c r="M208" s="491" t="s">
        <v>29</v>
      </c>
      <c r="N208" s="491" t="s">
        <v>29</v>
      </c>
      <c r="O208" s="491" t="s">
        <v>29</v>
      </c>
      <c r="P208" s="491">
        <v>0</v>
      </c>
      <c r="Q208" s="491">
        <v>0</v>
      </c>
      <c r="R208" s="491">
        <v>0</v>
      </c>
      <c r="S208" s="491">
        <v>0</v>
      </c>
      <c r="T208" s="1025" t="b">
        <v>0</v>
      </c>
      <c r="U208" s="491">
        <v>0</v>
      </c>
      <c r="V208" s="491">
        <v>0</v>
      </c>
      <c r="W208" s="491">
        <v>0</v>
      </c>
      <c r="X208" s="491">
        <v>0</v>
      </c>
      <c r="Y208" s="1025" t="b">
        <v>0</v>
      </c>
      <c r="Z208" s="331">
        <v>0</v>
      </c>
      <c r="AA208" s="331">
        <v>0</v>
      </c>
      <c r="AB208" s="331">
        <v>0</v>
      </c>
      <c r="AC208" s="331">
        <v>0</v>
      </c>
      <c r="AD208" s="1025" t="b">
        <v>0</v>
      </c>
      <c r="AE208" s="331">
        <v>0</v>
      </c>
      <c r="AF208" s="331">
        <v>0</v>
      </c>
      <c r="AG208" s="331">
        <v>0</v>
      </c>
      <c r="AH208" s="331">
        <v>0</v>
      </c>
      <c r="AI208" s="1025" t="b">
        <v>0</v>
      </c>
      <c r="AJ208" s="331">
        <v>0</v>
      </c>
      <c r="AK208" s="331">
        <v>0</v>
      </c>
      <c r="AL208" s="331">
        <v>0</v>
      </c>
      <c r="AM208" s="331">
        <v>2.4</v>
      </c>
      <c r="AN208" s="1025" t="b">
        <v>0</v>
      </c>
      <c r="AO208" s="331">
        <v>0</v>
      </c>
      <c r="AP208" s="331">
        <v>0</v>
      </c>
      <c r="AQ208" s="331">
        <v>0</v>
      </c>
      <c r="AR208" s="331">
        <v>0</v>
      </c>
      <c r="AS208" s="1025" t="b">
        <v>0</v>
      </c>
      <c r="AT208" s="1025" t="b">
        <v>0</v>
      </c>
      <c r="AU208" s="331">
        <v>33030</v>
      </c>
      <c r="AV208" s="491" t="s">
        <v>29</v>
      </c>
    </row>
    <row r="209" spans="1:48">
      <c r="A209" s="72">
        <v>19</v>
      </c>
      <c r="B209" s="391" t="s">
        <v>45</v>
      </c>
      <c r="C209" s="72">
        <f t="shared" si="9"/>
        <v>3</v>
      </c>
      <c r="D209" s="72" t="str">
        <f t="shared" si="10"/>
        <v>19-3</v>
      </c>
      <c r="E209" s="72">
        <v>64261</v>
      </c>
      <c r="F209" s="72" t="str">
        <f t="shared" si="11"/>
        <v>19-64261</v>
      </c>
      <c r="G209" s="391" t="s">
        <v>796</v>
      </c>
      <c r="H209" s="331">
        <v>10829.15</v>
      </c>
      <c r="I209" s="331">
        <v>9956.9500000000007</v>
      </c>
      <c r="J209" s="331">
        <v>10252.32</v>
      </c>
      <c r="K209" s="331">
        <v>12190.42</v>
      </c>
      <c r="L209" s="491" t="s">
        <v>29</v>
      </c>
      <c r="M209" s="491" t="s">
        <v>29</v>
      </c>
      <c r="N209" s="491" t="s">
        <v>29</v>
      </c>
      <c r="O209" s="491" t="s">
        <v>29</v>
      </c>
      <c r="P209" s="491">
        <v>0</v>
      </c>
      <c r="Q209" s="491">
        <v>0</v>
      </c>
      <c r="R209" s="491">
        <v>0</v>
      </c>
      <c r="S209" s="491">
        <v>0</v>
      </c>
      <c r="T209" s="1025" t="b">
        <v>0</v>
      </c>
      <c r="U209" s="491">
        <v>0</v>
      </c>
      <c r="V209" s="491">
        <v>0</v>
      </c>
      <c r="W209" s="491">
        <v>0</v>
      </c>
      <c r="X209" s="491">
        <v>0</v>
      </c>
      <c r="Y209" s="1025" t="b">
        <v>0</v>
      </c>
      <c r="Z209" s="331">
        <v>0</v>
      </c>
      <c r="AA209" s="331">
        <v>0</v>
      </c>
      <c r="AB209" s="331">
        <v>0</v>
      </c>
      <c r="AC209" s="331">
        <v>0</v>
      </c>
      <c r="AD209" s="1025" t="b">
        <v>0</v>
      </c>
      <c r="AE209" s="331">
        <v>0</v>
      </c>
      <c r="AF209" s="331">
        <v>0</v>
      </c>
      <c r="AG209" s="331">
        <v>0</v>
      </c>
      <c r="AH209" s="331">
        <v>0</v>
      </c>
      <c r="AI209" s="1025" t="b">
        <v>0</v>
      </c>
      <c r="AJ209" s="331">
        <v>0</v>
      </c>
      <c r="AK209" s="331">
        <v>0</v>
      </c>
      <c r="AL209" s="331">
        <v>0</v>
      </c>
      <c r="AM209" s="331">
        <v>4.0199999999999996</v>
      </c>
      <c r="AN209" s="1025" t="b">
        <v>0</v>
      </c>
      <c r="AO209" s="331">
        <v>0</v>
      </c>
      <c r="AP209" s="331">
        <v>0</v>
      </c>
      <c r="AQ209" s="331">
        <v>0</v>
      </c>
      <c r="AR209" s="331">
        <v>0</v>
      </c>
      <c r="AS209" s="1025" t="b">
        <v>0</v>
      </c>
      <c r="AT209" s="1025" t="b">
        <v>0</v>
      </c>
      <c r="AU209" s="331">
        <v>49005</v>
      </c>
      <c r="AV209" s="491" t="s">
        <v>29</v>
      </c>
    </row>
    <row r="210" spans="1:48">
      <c r="A210" s="72">
        <v>19</v>
      </c>
      <c r="B210" s="391" t="s">
        <v>45</v>
      </c>
      <c r="C210" s="72">
        <f t="shared" si="9"/>
        <v>4</v>
      </c>
      <c r="D210" s="72" t="str">
        <f t="shared" si="10"/>
        <v>19-4</v>
      </c>
      <c r="E210" s="72">
        <v>64279</v>
      </c>
      <c r="F210" s="72" t="str">
        <f t="shared" si="11"/>
        <v>19-64279</v>
      </c>
      <c r="G210" s="391" t="s">
        <v>797</v>
      </c>
      <c r="H210" s="491">
        <v>13924.25</v>
      </c>
      <c r="I210" s="491">
        <v>12802.77</v>
      </c>
      <c r="J210" s="491">
        <v>13182.56</v>
      </c>
      <c r="K210" s="491">
        <v>15674.59</v>
      </c>
      <c r="L210" s="491" t="s">
        <v>29</v>
      </c>
      <c r="M210" s="491" t="s">
        <v>29</v>
      </c>
      <c r="N210" s="491" t="s">
        <v>29</v>
      </c>
      <c r="O210" s="491" t="s">
        <v>29</v>
      </c>
      <c r="P210" s="491">
        <v>0</v>
      </c>
      <c r="Q210" s="491">
        <v>0</v>
      </c>
      <c r="R210" s="491">
        <v>0</v>
      </c>
      <c r="S210" s="491">
        <v>1.1599999999999999</v>
      </c>
      <c r="T210" s="1025" t="b">
        <v>0</v>
      </c>
      <c r="U210" s="491">
        <v>0</v>
      </c>
      <c r="V210" s="491">
        <v>0</v>
      </c>
      <c r="W210" s="491">
        <v>0</v>
      </c>
      <c r="X210" s="491">
        <v>0</v>
      </c>
      <c r="Y210" s="1025" t="b">
        <v>0</v>
      </c>
      <c r="Z210" s="491">
        <v>0</v>
      </c>
      <c r="AA210" s="491">
        <v>0</v>
      </c>
      <c r="AB210" s="491">
        <v>0</v>
      </c>
      <c r="AC210" s="491">
        <v>0</v>
      </c>
      <c r="AD210" s="1025" t="b">
        <v>0</v>
      </c>
      <c r="AE210" s="491">
        <v>0</v>
      </c>
      <c r="AF210" s="491">
        <v>0</v>
      </c>
      <c r="AG210" s="491">
        <v>0</v>
      </c>
      <c r="AH210" s="491">
        <v>0</v>
      </c>
      <c r="AI210" s="1025" t="b">
        <v>0</v>
      </c>
      <c r="AJ210" s="491">
        <v>0</v>
      </c>
      <c r="AK210" s="491">
        <v>0</v>
      </c>
      <c r="AL210" s="491">
        <v>0</v>
      </c>
      <c r="AM210" s="491">
        <v>17.27</v>
      </c>
      <c r="AN210" s="1025" t="b">
        <v>0</v>
      </c>
      <c r="AO210" s="491">
        <v>0</v>
      </c>
      <c r="AP210" s="491">
        <v>0</v>
      </c>
      <c r="AQ210" s="491">
        <v>0</v>
      </c>
      <c r="AR210" s="491">
        <v>0</v>
      </c>
      <c r="AS210" s="1025" t="b">
        <v>0</v>
      </c>
      <c r="AT210" s="1025" t="b">
        <v>0</v>
      </c>
      <c r="AU210" s="491">
        <v>288883</v>
      </c>
      <c r="AV210" s="491" t="s">
        <v>29</v>
      </c>
    </row>
    <row r="211" spans="1:48">
      <c r="A211" s="72">
        <v>19</v>
      </c>
      <c r="B211" s="391" t="s">
        <v>45</v>
      </c>
      <c r="C211" s="72">
        <f t="shared" si="9"/>
        <v>5</v>
      </c>
      <c r="D211" s="72" t="str">
        <f t="shared" si="10"/>
        <v>19-5</v>
      </c>
      <c r="E211" s="72">
        <v>64287</v>
      </c>
      <c r="F211" s="72" t="str">
        <f t="shared" si="11"/>
        <v>19-64287</v>
      </c>
      <c r="G211" s="391" t="s">
        <v>798</v>
      </c>
      <c r="H211" s="331">
        <v>14265.72</v>
      </c>
      <c r="I211" s="331">
        <v>13116.73</v>
      </c>
      <c r="J211" s="331">
        <v>13505.84</v>
      </c>
      <c r="K211" s="331">
        <v>16058.97</v>
      </c>
      <c r="L211" s="491" t="s">
        <v>29</v>
      </c>
      <c r="M211" s="491" t="s">
        <v>29</v>
      </c>
      <c r="N211" s="491" t="s">
        <v>29</v>
      </c>
      <c r="O211" s="491" t="s">
        <v>29</v>
      </c>
      <c r="P211" s="491">
        <v>0</v>
      </c>
      <c r="Q211" s="491">
        <v>0</v>
      </c>
      <c r="R211" s="491">
        <v>0</v>
      </c>
      <c r="S211" s="491">
        <v>0.06</v>
      </c>
      <c r="T211" s="1025" t="b">
        <v>0</v>
      </c>
      <c r="U211" s="491">
        <v>0</v>
      </c>
      <c r="V211" s="491">
        <v>0</v>
      </c>
      <c r="W211" s="491">
        <v>0</v>
      </c>
      <c r="X211" s="491">
        <v>0</v>
      </c>
      <c r="Y211" s="1025" t="b">
        <v>0</v>
      </c>
      <c r="Z211" s="331">
        <v>0</v>
      </c>
      <c r="AA211" s="331">
        <v>0</v>
      </c>
      <c r="AB211" s="331">
        <v>0</v>
      </c>
      <c r="AC211" s="331">
        <v>0</v>
      </c>
      <c r="AD211" s="1025" t="b">
        <v>0</v>
      </c>
      <c r="AE211" s="331">
        <v>0</v>
      </c>
      <c r="AF211" s="331">
        <v>0</v>
      </c>
      <c r="AG211" s="331">
        <v>0</v>
      </c>
      <c r="AH211" s="331">
        <v>0</v>
      </c>
      <c r="AI211" s="1025" t="b">
        <v>0</v>
      </c>
      <c r="AJ211" s="331">
        <v>0</v>
      </c>
      <c r="AK211" s="331">
        <v>0</v>
      </c>
      <c r="AL211" s="331">
        <v>0</v>
      </c>
      <c r="AM211" s="331">
        <v>8.07</v>
      </c>
      <c r="AN211" s="1025" t="b">
        <v>0</v>
      </c>
      <c r="AO211" s="331">
        <v>0</v>
      </c>
      <c r="AP211" s="331">
        <v>0</v>
      </c>
      <c r="AQ211" s="331">
        <v>0</v>
      </c>
      <c r="AR211" s="331">
        <v>0</v>
      </c>
      <c r="AS211" s="1025" t="b">
        <v>0</v>
      </c>
      <c r="AT211" s="1025" t="b">
        <v>0</v>
      </c>
      <c r="AU211" s="331">
        <v>130559</v>
      </c>
      <c r="AV211" s="491" t="s">
        <v>29</v>
      </c>
    </row>
    <row r="212" spans="1:48">
      <c r="A212" s="72">
        <v>19</v>
      </c>
      <c r="B212" s="391" t="s">
        <v>45</v>
      </c>
      <c r="C212" s="72">
        <f t="shared" si="9"/>
        <v>6</v>
      </c>
      <c r="D212" s="72" t="str">
        <f t="shared" si="10"/>
        <v>19-6</v>
      </c>
      <c r="E212" s="72">
        <v>64295</v>
      </c>
      <c r="F212" s="72" t="str">
        <f t="shared" si="11"/>
        <v>19-64295</v>
      </c>
      <c r="G212" s="391" t="s">
        <v>799</v>
      </c>
      <c r="H212" s="331">
        <v>14373.23</v>
      </c>
      <c r="I212" s="331">
        <v>13215.59</v>
      </c>
      <c r="J212" s="331">
        <v>13607.62</v>
      </c>
      <c r="K212" s="331">
        <v>16180</v>
      </c>
      <c r="L212" s="491" t="s">
        <v>29</v>
      </c>
      <c r="M212" s="491" t="s">
        <v>29</v>
      </c>
      <c r="N212" s="491" t="s">
        <v>29</v>
      </c>
      <c r="O212" s="491" t="s">
        <v>29</v>
      </c>
      <c r="P212" s="491">
        <v>0</v>
      </c>
      <c r="Q212" s="491">
        <v>0</v>
      </c>
      <c r="R212" s="491">
        <v>0</v>
      </c>
      <c r="S212" s="491">
        <v>1.86</v>
      </c>
      <c r="T212" s="1025" t="b">
        <v>0</v>
      </c>
      <c r="U212" s="491">
        <v>0</v>
      </c>
      <c r="V212" s="491">
        <v>0</v>
      </c>
      <c r="W212" s="491">
        <v>0</v>
      </c>
      <c r="X212" s="491">
        <v>0</v>
      </c>
      <c r="Y212" s="1025" t="b">
        <v>0</v>
      </c>
      <c r="Z212" s="331">
        <v>0</v>
      </c>
      <c r="AA212" s="331">
        <v>0</v>
      </c>
      <c r="AB212" s="331">
        <v>0</v>
      </c>
      <c r="AC212" s="331">
        <v>0</v>
      </c>
      <c r="AD212" s="1025" t="b">
        <v>0</v>
      </c>
      <c r="AE212" s="331">
        <v>0</v>
      </c>
      <c r="AF212" s="331">
        <v>0</v>
      </c>
      <c r="AG212" s="331">
        <v>0</v>
      </c>
      <c r="AH212" s="331">
        <v>0</v>
      </c>
      <c r="AI212" s="1025" t="b">
        <v>0</v>
      </c>
      <c r="AJ212" s="331">
        <v>0</v>
      </c>
      <c r="AK212" s="331">
        <v>0</v>
      </c>
      <c r="AL212" s="331">
        <v>0</v>
      </c>
      <c r="AM212" s="331">
        <v>2.87</v>
      </c>
      <c r="AN212" s="1025" t="b">
        <v>0</v>
      </c>
      <c r="AO212" s="331">
        <v>0</v>
      </c>
      <c r="AP212" s="331">
        <v>0</v>
      </c>
      <c r="AQ212" s="331">
        <v>0</v>
      </c>
      <c r="AR212" s="331">
        <v>0</v>
      </c>
      <c r="AS212" s="1025" t="b">
        <v>0</v>
      </c>
      <c r="AT212" s="1025" t="b">
        <v>0</v>
      </c>
      <c r="AU212" s="331">
        <v>76531</v>
      </c>
      <c r="AV212" s="491" t="s">
        <v>29</v>
      </c>
    </row>
    <row r="213" spans="1:48">
      <c r="A213" s="72">
        <v>19</v>
      </c>
      <c r="B213" s="391" t="s">
        <v>45</v>
      </c>
      <c r="C213" s="72">
        <f t="shared" si="9"/>
        <v>7</v>
      </c>
      <c r="D213" s="72" t="str">
        <f t="shared" si="10"/>
        <v>19-7</v>
      </c>
      <c r="E213" s="72">
        <v>64303</v>
      </c>
      <c r="F213" s="72" t="str">
        <f t="shared" si="11"/>
        <v>19-64303</v>
      </c>
      <c r="G213" s="391" t="s">
        <v>800</v>
      </c>
      <c r="H213" s="331">
        <v>13139.83</v>
      </c>
      <c r="I213" s="331">
        <v>12081.52</v>
      </c>
      <c r="J213" s="331">
        <v>12439.92</v>
      </c>
      <c r="K213" s="331">
        <v>14791.56</v>
      </c>
      <c r="L213" s="491" t="s">
        <v>29</v>
      </c>
      <c r="M213" s="491" t="s">
        <v>29</v>
      </c>
      <c r="N213" s="491" t="s">
        <v>29</v>
      </c>
      <c r="O213" s="491" t="s">
        <v>29</v>
      </c>
      <c r="P213" s="491">
        <v>0</v>
      </c>
      <c r="Q213" s="491">
        <v>0</v>
      </c>
      <c r="R213" s="491">
        <v>0</v>
      </c>
      <c r="S213" s="491">
        <v>0.26</v>
      </c>
      <c r="T213" s="1025" t="b">
        <v>0</v>
      </c>
      <c r="U213" s="491">
        <v>0</v>
      </c>
      <c r="V213" s="491">
        <v>0</v>
      </c>
      <c r="W213" s="491">
        <v>0</v>
      </c>
      <c r="X213" s="491">
        <v>0</v>
      </c>
      <c r="Y213" s="1025" t="b">
        <v>0</v>
      </c>
      <c r="Z213" s="331">
        <v>0</v>
      </c>
      <c r="AA213" s="331">
        <v>0</v>
      </c>
      <c r="AB213" s="331">
        <v>0</v>
      </c>
      <c r="AC213" s="331">
        <v>0</v>
      </c>
      <c r="AD213" s="1025" t="b">
        <v>0</v>
      </c>
      <c r="AE213" s="331">
        <v>0</v>
      </c>
      <c r="AF213" s="331">
        <v>0</v>
      </c>
      <c r="AG213" s="331">
        <v>0</v>
      </c>
      <c r="AH213" s="331">
        <v>0</v>
      </c>
      <c r="AI213" s="1025" t="b">
        <v>0</v>
      </c>
      <c r="AJ213" s="331">
        <v>0</v>
      </c>
      <c r="AK213" s="331">
        <v>0</v>
      </c>
      <c r="AL213" s="331">
        <v>0</v>
      </c>
      <c r="AM213" s="331">
        <v>0</v>
      </c>
      <c r="AN213" s="1025" t="b">
        <v>0</v>
      </c>
      <c r="AO213" s="331">
        <v>0</v>
      </c>
      <c r="AP213" s="331">
        <v>0</v>
      </c>
      <c r="AQ213" s="331">
        <v>0</v>
      </c>
      <c r="AR213" s="331">
        <v>0</v>
      </c>
      <c r="AS213" s="1025" t="b">
        <v>0</v>
      </c>
      <c r="AT213" s="1025" t="b">
        <v>0</v>
      </c>
      <c r="AU213" s="331">
        <v>3846</v>
      </c>
      <c r="AV213" s="491" t="s">
        <v>29</v>
      </c>
    </row>
    <row r="214" spans="1:48">
      <c r="A214" s="72">
        <v>19</v>
      </c>
      <c r="B214" s="391" t="s">
        <v>45</v>
      </c>
      <c r="C214" s="72">
        <f t="shared" si="9"/>
        <v>8</v>
      </c>
      <c r="D214" s="72" t="str">
        <f t="shared" si="10"/>
        <v>19-8</v>
      </c>
      <c r="E214" s="72">
        <v>64311</v>
      </c>
      <c r="F214" s="72" t="str">
        <f t="shared" si="11"/>
        <v>19-64311</v>
      </c>
      <c r="G214" s="391" t="s">
        <v>801</v>
      </c>
      <c r="H214" s="331">
        <v>10537.52</v>
      </c>
      <c r="I214" s="331">
        <v>9688.81</v>
      </c>
      <c r="J214" s="331">
        <v>9976.23</v>
      </c>
      <c r="K214" s="331">
        <v>11862.13</v>
      </c>
      <c r="L214" s="491" t="s">
        <v>29</v>
      </c>
      <c r="M214" s="491" t="s">
        <v>29</v>
      </c>
      <c r="N214" s="491" t="s">
        <v>29</v>
      </c>
      <c r="O214" s="491" t="s">
        <v>29</v>
      </c>
      <c r="P214" s="491">
        <v>0</v>
      </c>
      <c r="Q214" s="491">
        <v>0</v>
      </c>
      <c r="R214" s="491">
        <v>0</v>
      </c>
      <c r="S214" s="491">
        <v>0</v>
      </c>
      <c r="T214" s="1025" t="b">
        <v>0</v>
      </c>
      <c r="U214" s="491">
        <v>0</v>
      </c>
      <c r="V214" s="491">
        <v>0</v>
      </c>
      <c r="W214" s="491">
        <v>0</v>
      </c>
      <c r="X214" s="491">
        <v>0</v>
      </c>
      <c r="Y214" s="1025" t="b">
        <v>0</v>
      </c>
      <c r="Z214" s="331">
        <v>0</v>
      </c>
      <c r="AA214" s="331">
        <v>0</v>
      </c>
      <c r="AB214" s="331">
        <v>0</v>
      </c>
      <c r="AC214" s="331">
        <v>0</v>
      </c>
      <c r="AD214" s="1025" t="b">
        <v>0</v>
      </c>
      <c r="AE214" s="331">
        <v>0</v>
      </c>
      <c r="AF214" s="331">
        <v>0</v>
      </c>
      <c r="AG214" s="331">
        <v>0</v>
      </c>
      <c r="AH214" s="331">
        <v>0</v>
      </c>
      <c r="AI214" s="1025" t="b">
        <v>0</v>
      </c>
      <c r="AJ214" s="331">
        <v>0</v>
      </c>
      <c r="AK214" s="331">
        <v>0</v>
      </c>
      <c r="AL214" s="331">
        <v>0</v>
      </c>
      <c r="AM214" s="331">
        <v>0.93</v>
      </c>
      <c r="AN214" s="1025" t="b">
        <v>0</v>
      </c>
      <c r="AO214" s="331">
        <v>0</v>
      </c>
      <c r="AP214" s="331">
        <v>0</v>
      </c>
      <c r="AQ214" s="331">
        <v>0</v>
      </c>
      <c r="AR214" s="331">
        <v>0</v>
      </c>
      <c r="AS214" s="1025" t="b">
        <v>0</v>
      </c>
      <c r="AT214" s="1025" t="b">
        <v>0</v>
      </c>
      <c r="AU214" s="331">
        <v>11032</v>
      </c>
      <c r="AV214" s="491" t="s">
        <v>29</v>
      </c>
    </row>
    <row r="215" spans="1:48">
      <c r="A215" s="72">
        <v>19</v>
      </c>
      <c r="B215" s="391" t="s">
        <v>45</v>
      </c>
      <c r="C215" s="72">
        <f t="shared" si="9"/>
        <v>9</v>
      </c>
      <c r="D215" s="72" t="str">
        <f t="shared" si="10"/>
        <v>19-9</v>
      </c>
      <c r="E215" s="72">
        <v>64329</v>
      </c>
      <c r="F215" s="72" t="str">
        <f t="shared" si="11"/>
        <v>19-64329</v>
      </c>
      <c r="G215" s="391" t="s">
        <v>802</v>
      </c>
      <c r="H215" s="331">
        <v>10877.93</v>
      </c>
      <c r="I215" s="331">
        <v>10001.799999999999</v>
      </c>
      <c r="J215" s="331">
        <v>10298.5</v>
      </c>
      <c r="K215" s="331">
        <v>12245.33</v>
      </c>
      <c r="L215" s="491" t="s">
        <v>29</v>
      </c>
      <c r="M215" s="491" t="s">
        <v>29</v>
      </c>
      <c r="N215" s="491" t="s">
        <v>29</v>
      </c>
      <c r="O215" s="491" t="s">
        <v>29</v>
      </c>
      <c r="P215" s="491">
        <v>0</v>
      </c>
      <c r="Q215" s="491">
        <v>0</v>
      </c>
      <c r="R215" s="491">
        <v>0</v>
      </c>
      <c r="S215" s="491">
        <v>0</v>
      </c>
      <c r="T215" s="1025" t="b">
        <v>0</v>
      </c>
      <c r="U215" s="491">
        <v>0</v>
      </c>
      <c r="V215" s="491">
        <v>0</v>
      </c>
      <c r="W215" s="491">
        <v>0</v>
      </c>
      <c r="X215" s="491">
        <v>0</v>
      </c>
      <c r="Y215" s="1025" t="b">
        <v>0</v>
      </c>
      <c r="Z215" s="331">
        <v>0</v>
      </c>
      <c r="AA215" s="331">
        <v>0</v>
      </c>
      <c r="AB215" s="331">
        <v>0</v>
      </c>
      <c r="AC215" s="331">
        <v>0</v>
      </c>
      <c r="AD215" s="1025" t="b">
        <v>0</v>
      </c>
      <c r="AE215" s="331">
        <v>0</v>
      </c>
      <c r="AF215" s="331">
        <v>0</v>
      </c>
      <c r="AG215" s="331">
        <v>0</v>
      </c>
      <c r="AH215" s="331">
        <v>0</v>
      </c>
      <c r="AI215" s="1025" t="b">
        <v>0</v>
      </c>
      <c r="AJ215" s="331">
        <v>0</v>
      </c>
      <c r="AK215" s="331">
        <v>0</v>
      </c>
      <c r="AL215" s="331">
        <v>0</v>
      </c>
      <c r="AM215" s="331">
        <v>16.239999999999998</v>
      </c>
      <c r="AN215" s="1025" t="b">
        <v>0</v>
      </c>
      <c r="AO215" s="331">
        <v>0</v>
      </c>
      <c r="AP215" s="331">
        <v>0</v>
      </c>
      <c r="AQ215" s="331">
        <v>0</v>
      </c>
      <c r="AR215" s="331">
        <v>0</v>
      </c>
      <c r="AS215" s="1025" t="b">
        <v>0</v>
      </c>
      <c r="AT215" s="1025" t="b">
        <v>0</v>
      </c>
      <c r="AU215" s="331">
        <v>198864</v>
      </c>
      <c r="AV215" s="491" t="s">
        <v>29</v>
      </c>
    </row>
    <row r="216" spans="1:48">
      <c r="A216" s="72">
        <v>19</v>
      </c>
      <c r="B216" s="391" t="s">
        <v>45</v>
      </c>
      <c r="C216" s="72">
        <f t="shared" si="9"/>
        <v>10</v>
      </c>
      <c r="D216" s="72" t="str">
        <f t="shared" si="10"/>
        <v>19-10</v>
      </c>
      <c r="E216" s="72">
        <v>64337</v>
      </c>
      <c r="F216" s="72" t="str">
        <f t="shared" si="11"/>
        <v>19-64337</v>
      </c>
      <c r="G216" s="391" t="s">
        <v>803</v>
      </c>
      <c r="H216" s="331">
        <v>10853.44</v>
      </c>
      <c r="I216" s="331">
        <v>9979.2800000000007</v>
      </c>
      <c r="J216" s="331">
        <v>10275.32</v>
      </c>
      <c r="K216" s="331">
        <v>12217.76</v>
      </c>
      <c r="L216" s="491" t="s">
        <v>29</v>
      </c>
      <c r="M216" s="491" t="s">
        <v>29</v>
      </c>
      <c r="N216" s="491" t="s">
        <v>29</v>
      </c>
      <c r="O216" s="491" t="s">
        <v>29</v>
      </c>
      <c r="P216" s="491">
        <v>0</v>
      </c>
      <c r="Q216" s="491">
        <v>0</v>
      </c>
      <c r="R216" s="491">
        <v>0</v>
      </c>
      <c r="S216" s="491">
        <v>0</v>
      </c>
      <c r="T216" s="1025" t="b">
        <v>0</v>
      </c>
      <c r="U216" s="491">
        <v>0</v>
      </c>
      <c r="V216" s="491">
        <v>0</v>
      </c>
      <c r="W216" s="491">
        <v>0</v>
      </c>
      <c r="X216" s="491">
        <v>0</v>
      </c>
      <c r="Y216" s="1025" t="b">
        <v>0</v>
      </c>
      <c r="Z216" s="331">
        <v>0</v>
      </c>
      <c r="AA216" s="331">
        <v>0</v>
      </c>
      <c r="AB216" s="331">
        <v>0</v>
      </c>
      <c r="AC216" s="331">
        <v>0</v>
      </c>
      <c r="AD216" s="1025" t="b">
        <v>0</v>
      </c>
      <c r="AE216" s="331">
        <v>0</v>
      </c>
      <c r="AF216" s="331">
        <v>0</v>
      </c>
      <c r="AG216" s="331">
        <v>0</v>
      </c>
      <c r="AH216" s="331">
        <v>0</v>
      </c>
      <c r="AI216" s="1025" t="b">
        <v>0</v>
      </c>
      <c r="AJ216" s="331">
        <v>0</v>
      </c>
      <c r="AK216" s="331">
        <v>0</v>
      </c>
      <c r="AL216" s="331">
        <v>0</v>
      </c>
      <c r="AM216" s="331">
        <v>4.99</v>
      </c>
      <c r="AN216" s="1025" t="b">
        <v>0</v>
      </c>
      <c r="AO216" s="331">
        <v>0</v>
      </c>
      <c r="AP216" s="331">
        <v>0</v>
      </c>
      <c r="AQ216" s="331">
        <v>0</v>
      </c>
      <c r="AR216" s="331">
        <v>0</v>
      </c>
      <c r="AS216" s="1025" t="b">
        <v>0</v>
      </c>
      <c r="AT216" s="1025" t="b">
        <v>0</v>
      </c>
      <c r="AU216" s="331">
        <v>60967</v>
      </c>
      <c r="AV216" s="491" t="s">
        <v>29</v>
      </c>
    </row>
    <row r="217" spans="1:48">
      <c r="A217" s="72">
        <v>19</v>
      </c>
      <c r="B217" s="391" t="s">
        <v>45</v>
      </c>
      <c r="C217" s="72">
        <f t="shared" si="9"/>
        <v>11</v>
      </c>
      <c r="D217" s="72" t="str">
        <f t="shared" si="10"/>
        <v>19-11</v>
      </c>
      <c r="E217" s="72">
        <v>64352</v>
      </c>
      <c r="F217" s="72" t="str">
        <f t="shared" si="11"/>
        <v>19-64352</v>
      </c>
      <c r="G217" s="391" t="s">
        <v>804</v>
      </c>
      <c r="H217" s="331">
        <v>13092.52</v>
      </c>
      <c r="I217" s="331">
        <v>12038.03</v>
      </c>
      <c r="J217" s="331">
        <v>12395.13</v>
      </c>
      <c r="K217" s="331">
        <v>14738.3</v>
      </c>
      <c r="L217" s="491" t="s">
        <v>29</v>
      </c>
      <c r="M217" s="491" t="s">
        <v>29</v>
      </c>
      <c r="N217" s="491" t="s">
        <v>29</v>
      </c>
      <c r="O217" s="491" t="s">
        <v>29</v>
      </c>
      <c r="P217" s="491">
        <v>0</v>
      </c>
      <c r="Q217" s="491">
        <v>0</v>
      </c>
      <c r="R217" s="491">
        <v>0</v>
      </c>
      <c r="S217" s="491">
        <v>22.36</v>
      </c>
      <c r="T217" s="1025" t="b">
        <v>0</v>
      </c>
      <c r="U217" s="491">
        <v>0</v>
      </c>
      <c r="V217" s="491">
        <v>0</v>
      </c>
      <c r="W217" s="491">
        <v>0</v>
      </c>
      <c r="X217" s="491">
        <v>0</v>
      </c>
      <c r="Y217" s="1025" t="b">
        <v>0</v>
      </c>
      <c r="Z217" s="331">
        <v>0</v>
      </c>
      <c r="AA217" s="331">
        <v>0</v>
      </c>
      <c r="AB217" s="331">
        <v>0</v>
      </c>
      <c r="AC217" s="331">
        <v>0</v>
      </c>
      <c r="AD217" s="1025" t="b">
        <v>0</v>
      </c>
      <c r="AE217" s="331">
        <v>0</v>
      </c>
      <c r="AF217" s="331">
        <v>0</v>
      </c>
      <c r="AG217" s="331">
        <v>0</v>
      </c>
      <c r="AH217" s="331">
        <v>0</v>
      </c>
      <c r="AI217" s="1025" t="b">
        <v>0</v>
      </c>
      <c r="AJ217" s="331">
        <v>0</v>
      </c>
      <c r="AK217" s="331">
        <v>0</v>
      </c>
      <c r="AL217" s="331">
        <v>0</v>
      </c>
      <c r="AM217" s="331">
        <v>3.9</v>
      </c>
      <c r="AN217" s="1025" t="b">
        <v>0</v>
      </c>
      <c r="AO217" s="331">
        <v>0</v>
      </c>
      <c r="AP217" s="331">
        <v>0</v>
      </c>
      <c r="AQ217" s="331">
        <v>0</v>
      </c>
      <c r="AR217" s="331">
        <v>0</v>
      </c>
      <c r="AS217" s="1025" t="b">
        <v>0</v>
      </c>
      <c r="AT217" s="1025" t="b">
        <v>0</v>
      </c>
      <c r="AU217" s="331">
        <v>387028</v>
      </c>
      <c r="AV217" s="491" t="s">
        <v>29</v>
      </c>
    </row>
    <row r="218" spans="1:48">
      <c r="A218" s="72">
        <v>19</v>
      </c>
      <c r="B218" s="391" t="s">
        <v>45</v>
      </c>
      <c r="C218" s="72">
        <f t="shared" si="9"/>
        <v>12</v>
      </c>
      <c r="D218" s="72" t="str">
        <f t="shared" si="10"/>
        <v>19-12</v>
      </c>
      <c r="E218" s="72">
        <v>64378</v>
      </c>
      <c r="F218" s="72" t="str">
        <f t="shared" si="11"/>
        <v>19-64378</v>
      </c>
      <c r="G218" s="391" t="s">
        <v>805</v>
      </c>
      <c r="H218" s="331">
        <v>11985.55</v>
      </c>
      <c r="I218" s="331">
        <v>11020.22</v>
      </c>
      <c r="J218" s="331">
        <v>11347.13</v>
      </c>
      <c r="K218" s="331">
        <v>13492.18</v>
      </c>
      <c r="L218" s="491" t="s">
        <v>29</v>
      </c>
      <c r="M218" s="491" t="s">
        <v>29</v>
      </c>
      <c r="N218" s="491" t="s">
        <v>29</v>
      </c>
      <c r="O218" s="491" t="s">
        <v>29</v>
      </c>
      <c r="P218" s="491">
        <v>0</v>
      </c>
      <c r="Q218" s="491">
        <v>0</v>
      </c>
      <c r="R218" s="491">
        <v>0</v>
      </c>
      <c r="S218" s="491">
        <v>0</v>
      </c>
      <c r="T218" s="1025" t="b">
        <v>0</v>
      </c>
      <c r="U218" s="491">
        <v>0</v>
      </c>
      <c r="V218" s="491">
        <v>0</v>
      </c>
      <c r="W218" s="491">
        <v>0</v>
      </c>
      <c r="X218" s="491">
        <v>0</v>
      </c>
      <c r="Y218" s="1025" t="b">
        <v>0</v>
      </c>
      <c r="Z218" s="331">
        <v>0</v>
      </c>
      <c r="AA218" s="331">
        <v>0</v>
      </c>
      <c r="AB218" s="331">
        <v>0</v>
      </c>
      <c r="AC218" s="331">
        <v>0</v>
      </c>
      <c r="AD218" s="1025" t="b">
        <v>0</v>
      </c>
      <c r="AE218" s="331">
        <v>0</v>
      </c>
      <c r="AF218" s="331">
        <v>0</v>
      </c>
      <c r="AG218" s="331">
        <v>0</v>
      </c>
      <c r="AH218" s="331">
        <v>0</v>
      </c>
      <c r="AI218" s="1025" t="b">
        <v>0</v>
      </c>
      <c r="AJ218" s="331">
        <v>0</v>
      </c>
      <c r="AK218" s="331">
        <v>0</v>
      </c>
      <c r="AL218" s="331">
        <v>0</v>
      </c>
      <c r="AM218" s="331">
        <v>15.7</v>
      </c>
      <c r="AN218" s="1025" t="b">
        <v>0</v>
      </c>
      <c r="AO218" s="331">
        <v>0</v>
      </c>
      <c r="AP218" s="331">
        <v>0</v>
      </c>
      <c r="AQ218" s="331">
        <v>0</v>
      </c>
      <c r="AR218" s="331">
        <v>0</v>
      </c>
      <c r="AS218" s="1025" t="b">
        <v>0</v>
      </c>
      <c r="AT218" s="1025" t="b">
        <v>0</v>
      </c>
      <c r="AU218" s="331">
        <v>211827</v>
      </c>
      <c r="AV218" s="491" t="s">
        <v>29</v>
      </c>
    </row>
    <row r="219" spans="1:48">
      <c r="A219" s="72">
        <v>19</v>
      </c>
      <c r="B219" s="391" t="s">
        <v>45</v>
      </c>
      <c r="C219" s="72">
        <f t="shared" si="9"/>
        <v>13</v>
      </c>
      <c r="D219" s="72" t="str">
        <f t="shared" si="10"/>
        <v>19-13</v>
      </c>
      <c r="E219" s="72">
        <v>64394</v>
      </c>
      <c r="F219" s="72" t="str">
        <f t="shared" si="11"/>
        <v>19-64394</v>
      </c>
      <c r="G219" s="391" t="s">
        <v>806</v>
      </c>
      <c r="H219" s="331">
        <v>10767.63</v>
      </c>
      <c r="I219" s="331">
        <v>9900.39</v>
      </c>
      <c r="J219" s="331">
        <v>10194.08</v>
      </c>
      <c r="K219" s="331">
        <v>12121.16</v>
      </c>
      <c r="L219" s="491" t="s">
        <v>29</v>
      </c>
      <c r="M219" s="491" t="s">
        <v>29</v>
      </c>
      <c r="N219" s="491" t="s">
        <v>29</v>
      </c>
      <c r="O219" s="491" t="s">
        <v>29</v>
      </c>
      <c r="P219" s="491">
        <v>0</v>
      </c>
      <c r="Q219" s="491">
        <v>0</v>
      </c>
      <c r="R219" s="491">
        <v>0</v>
      </c>
      <c r="S219" s="491">
        <v>0</v>
      </c>
      <c r="T219" s="1025" t="b">
        <v>0</v>
      </c>
      <c r="U219" s="491">
        <v>0</v>
      </c>
      <c r="V219" s="491">
        <v>0</v>
      </c>
      <c r="W219" s="491">
        <v>0</v>
      </c>
      <c r="X219" s="491">
        <v>0</v>
      </c>
      <c r="Y219" s="1025" t="b">
        <v>0</v>
      </c>
      <c r="Z219" s="331">
        <v>0</v>
      </c>
      <c r="AA219" s="331">
        <v>0</v>
      </c>
      <c r="AB219" s="331">
        <v>0</v>
      </c>
      <c r="AC219" s="331">
        <v>0</v>
      </c>
      <c r="AD219" s="1025" t="b">
        <v>0</v>
      </c>
      <c r="AE219" s="331">
        <v>0</v>
      </c>
      <c r="AF219" s="331">
        <v>0</v>
      </c>
      <c r="AG219" s="331">
        <v>0</v>
      </c>
      <c r="AH219" s="331">
        <v>0</v>
      </c>
      <c r="AI219" s="1025" t="b">
        <v>0</v>
      </c>
      <c r="AJ219" s="331">
        <v>0</v>
      </c>
      <c r="AK219" s="331">
        <v>0</v>
      </c>
      <c r="AL219" s="331">
        <v>0</v>
      </c>
      <c r="AM219" s="331">
        <v>5.74</v>
      </c>
      <c r="AN219" s="1025" t="b">
        <v>0</v>
      </c>
      <c r="AO219" s="331">
        <v>0</v>
      </c>
      <c r="AP219" s="331">
        <v>0</v>
      </c>
      <c r="AQ219" s="331">
        <v>0</v>
      </c>
      <c r="AR219" s="331">
        <v>0</v>
      </c>
      <c r="AS219" s="1025" t="b">
        <v>0</v>
      </c>
      <c r="AT219" s="1025" t="b">
        <v>0</v>
      </c>
      <c r="AU219" s="331">
        <v>69575</v>
      </c>
      <c r="AV219" s="491" t="s">
        <v>29</v>
      </c>
    </row>
    <row r="220" spans="1:48">
      <c r="A220" s="72">
        <v>19</v>
      </c>
      <c r="B220" s="391" t="s">
        <v>45</v>
      </c>
      <c r="C220" s="72">
        <f t="shared" si="9"/>
        <v>14</v>
      </c>
      <c r="D220" s="72" t="str">
        <f t="shared" si="10"/>
        <v>19-14</v>
      </c>
      <c r="E220" s="72">
        <v>64436</v>
      </c>
      <c r="F220" s="72" t="str">
        <f t="shared" si="11"/>
        <v>19-64436</v>
      </c>
      <c r="G220" s="391" t="s">
        <v>807</v>
      </c>
      <c r="H220" s="331">
        <v>12468.94</v>
      </c>
      <c r="I220" s="331">
        <v>11464.67</v>
      </c>
      <c r="J220" s="331">
        <v>11804.76</v>
      </c>
      <c r="K220" s="331">
        <v>14036.33</v>
      </c>
      <c r="L220" s="491" t="s">
        <v>29</v>
      </c>
      <c r="M220" s="491" t="s">
        <v>29</v>
      </c>
      <c r="N220" s="491" t="s">
        <v>29</v>
      </c>
      <c r="O220" s="491" t="s">
        <v>29</v>
      </c>
      <c r="P220" s="491">
        <v>0</v>
      </c>
      <c r="Q220" s="491">
        <v>0</v>
      </c>
      <c r="R220" s="491">
        <v>0</v>
      </c>
      <c r="S220" s="491">
        <v>0</v>
      </c>
      <c r="T220" s="1025" t="b">
        <v>0</v>
      </c>
      <c r="U220" s="491">
        <v>0</v>
      </c>
      <c r="V220" s="491">
        <v>0</v>
      </c>
      <c r="W220" s="491">
        <v>0</v>
      </c>
      <c r="X220" s="491">
        <v>0</v>
      </c>
      <c r="Y220" s="1025" t="b">
        <v>0</v>
      </c>
      <c r="Z220" s="331">
        <v>0</v>
      </c>
      <c r="AA220" s="331">
        <v>0</v>
      </c>
      <c r="AB220" s="331">
        <v>0</v>
      </c>
      <c r="AC220" s="331">
        <v>0</v>
      </c>
      <c r="AD220" s="1025" t="b">
        <v>0</v>
      </c>
      <c r="AE220" s="331">
        <v>0</v>
      </c>
      <c r="AF220" s="331">
        <v>0</v>
      </c>
      <c r="AG220" s="331">
        <v>0</v>
      </c>
      <c r="AH220" s="331">
        <v>0</v>
      </c>
      <c r="AI220" s="1025" t="b">
        <v>0</v>
      </c>
      <c r="AJ220" s="331">
        <v>0</v>
      </c>
      <c r="AK220" s="331">
        <v>0</v>
      </c>
      <c r="AL220" s="331">
        <v>0</v>
      </c>
      <c r="AM220" s="331">
        <v>27.53</v>
      </c>
      <c r="AN220" s="1025" t="b">
        <v>0</v>
      </c>
      <c r="AO220" s="331">
        <v>0</v>
      </c>
      <c r="AP220" s="331">
        <v>0</v>
      </c>
      <c r="AQ220" s="331">
        <v>0</v>
      </c>
      <c r="AR220" s="331">
        <v>0</v>
      </c>
      <c r="AS220" s="1025" t="b">
        <v>0</v>
      </c>
      <c r="AT220" s="1025" t="b">
        <v>0</v>
      </c>
      <c r="AU220" s="331">
        <v>386420</v>
      </c>
      <c r="AV220" s="491" t="s">
        <v>29</v>
      </c>
    </row>
    <row r="221" spans="1:48">
      <c r="A221" s="72">
        <v>19</v>
      </c>
      <c r="B221" s="391" t="s">
        <v>45</v>
      </c>
      <c r="C221" s="72">
        <f t="shared" si="9"/>
        <v>15</v>
      </c>
      <c r="D221" s="72" t="str">
        <f t="shared" si="10"/>
        <v>19-15</v>
      </c>
      <c r="E221" s="72">
        <v>64444</v>
      </c>
      <c r="F221" s="72" t="str">
        <f t="shared" si="11"/>
        <v>19-64444</v>
      </c>
      <c r="G221" s="391" t="s">
        <v>808</v>
      </c>
      <c r="H221" s="331">
        <v>10885.62</v>
      </c>
      <c r="I221" s="331">
        <v>10008.870000000001</v>
      </c>
      <c r="J221" s="331">
        <v>10305.780000000001</v>
      </c>
      <c r="K221" s="331">
        <v>12253.98</v>
      </c>
      <c r="L221" s="491" t="s">
        <v>29</v>
      </c>
      <c r="M221" s="491" t="s">
        <v>29</v>
      </c>
      <c r="N221" s="491" t="s">
        <v>29</v>
      </c>
      <c r="O221" s="491" t="s">
        <v>29</v>
      </c>
      <c r="P221" s="491">
        <v>0</v>
      </c>
      <c r="Q221" s="491">
        <v>0</v>
      </c>
      <c r="R221" s="491">
        <v>0</v>
      </c>
      <c r="S221" s="491">
        <v>0.23</v>
      </c>
      <c r="T221" s="1025" t="b">
        <v>0</v>
      </c>
      <c r="U221" s="491">
        <v>0</v>
      </c>
      <c r="V221" s="491">
        <v>0</v>
      </c>
      <c r="W221" s="491">
        <v>0</v>
      </c>
      <c r="X221" s="491">
        <v>0</v>
      </c>
      <c r="Y221" s="1025" t="b">
        <v>0</v>
      </c>
      <c r="Z221" s="331">
        <v>0</v>
      </c>
      <c r="AA221" s="331">
        <v>0</v>
      </c>
      <c r="AB221" s="331">
        <v>0</v>
      </c>
      <c r="AC221" s="331">
        <v>0</v>
      </c>
      <c r="AD221" s="1025" t="b">
        <v>0</v>
      </c>
      <c r="AE221" s="331">
        <v>0</v>
      </c>
      <c r="AF221" s="331">
        <v>0</v>
      </c>
      <c r="AG221" s="331">
        <v>0</v>
      </c>
      <c r="AH221" s="331">
        <v>0</v>
      </c>
      <c r="AI221" s="1025" t="b">
        <v>0</v>
      </c>
      <c r="AJ221" s="331">
        <v>0</v>
      </c>
      <c r="AK221" s="331">
        <v>0</v>
      </c>
      <c r="AL221" s="331">
        <v>0</v>
      </c>
      <c r="AM221" s="331">
        <v>3.81</v>
      </c>
      <c r="AN221" s="1025" t="b">
        <v>0</v>
      </c>
      <c r="AO221" s="331">
        <v>0</v>
      </c>
      <c r="AP221" s="331">
        <v>0</v>
      </c>
      <c r="AQ221" s="331">
        <v>0</v>
      </c>
      <c r="AR221" s="331">
        <v>0</v>
      </c>
      <c r="AS221" s="1025" t="b">
        <v>0</v>
      </c>
      <c r="AT221" s="1025" t="b">
        <v>0</v>
      </c>
      <c r="AU221" s="331">
        <v>49506</v>
      </c>
      <c r="AV221" s="491" t="s">
        <v>29</v>
      </c>
    </row>
    <row r="222" spans="1:48">
      <c r="A222" s="72">
        <v>19</v>
      </c>
      <c r="B222" s="391" t="s">
        <v>45</v>
      </c>
      <c r="C222" s="72">
        <f t="shared" si="9"/>
        <v>16</v>
      </c>
      <c r="D222" s="72" t="str">
        <f t="shared" si="10"/>
        <v>19-16</v>
      </c>
      <c r="E222" s="72">
        <v>64451</v>
      </c>
      <c r="F222" s="72" t="str">
        <f t="shared" si="11"/>
        <v>19-64451</v>
      </c>
      <c r="G222" s="391" t="s">
        <v>809</v>
      </c>
      <c r="H222" s="331">
        <v>12542.05</v>
      </c>
      <c r="I222" s="331">
        <v>11531.89</v>
      </c>
      <c r="J222" s="331">
        <v>11873.98</v>
      </c>
      <c r="K222" s="331">
        <v>14118.63</v>
      </c>
      <c r="L222" s="491" t="s">
        <v>29</v>
      </c>
      <c r="M222" s="491" t="s">
        <v>29</v>
      </c>
      <c r="N222" s="491" t="s">
        <v>29</v>
      </c>
      <c r="O222" s="491" t="s">
        <v>29</v>
      </c>
      <c r="P222" s="491">
        <v>0</v>
      </c>
      <c r="Q222" s="491">
        <v>0</v>
      </c>
      <c r="R222" s="491">
        <v>0</v>
      </c>
      <c r="S222" s="491">
        <v>1.36</v>
      </c>
      <c r="T222" s="1025" t="b">
        <v>0</v>
      </c>
      <c r="U222" s="491">
        <v>0</v>
      </c>
      <c r="V222" s="491">
        <v>0</v>
      </c>
      <c r="W222" s="491">
        <v>0</v>
      </c>
      <c r="X222" s="491">
        <v>0</v>
      </c>
      <c r="Y222" s="1025" t="b">
        <v>0</v>
      </c>
      <c r="Z222" s="331">
        <v>0</v>
      </c>
      <c r="AA222" s="331">
        <v>0</v>
      </c>
      <c r="AB222" s="331">
        <v>0</v>
      </c>
      <c r="AC222" s="331">
        <v>0</v>
      </c>
      <c r="AD222" s="1025" t="b">
        <v>0</v>
      </c>
      <c r="AE222" s="331">
        <v>0</v>
      </c>
      <c r="AF222" s="331">
        <v>0</v>
      </c>
      <c r="AG222" s="331">
        <v>0</v>
      </c>
      <c r="AH222" s="331">
        <v>0</v>
      </c>
      <c r="AI222" s="1025" t="b">
        <v>0</v>
      </c>
      <c r="AJ222" s="331">
        <v>0</v>
      </c>
      <c r="AK222" s="331">
        <v>0</v>
      </c>
      <c r="AL222" s="331">
        <v>0</v>
      </c>
      <c r="AM222" s="331">
        <v>2.99</v>
      </c>
      <c r="AN222" s="1025" t="b">
        <v>0</v>
      </c>
      <c r="AO222" s="331">
        <v>0</v>
      </c>
      <c r="AP222" s="331">
        <v>0</v>
      </c>
      <c r="AQ222" s="331">
        <v>0</v>
      </c>
      <c r="AR222" s="331">
        <v>0</v>
      </c>
      <c r="AS222" s="1025" t="b">
        <v>0</v>
      </c>
      <c r="AT222" s="1025" t="b">
        <v>0</v>
      </c>
      <c r="AU222" s="331">
        <v>61416</v>
      </c>
      <c r="AV222" s="491" t="s">
        <v>29</v>
      </c>
    </row>
    <row r="223" spans="1:48">
      <c r="A223" s="72">
        <v>19</v>
      </c>
      <c r="B223" s="391" t="s">
        <v>45</v>
      </c>
      <c r="C223" s="72">
        <f t="shared" si="9"/>
        <v>17</v>
      </c>
      <c r="D223" s="72" t="str">
        <f t="shared" si="10"/>
        <v>19-17</v>
      </c>
      <c r="E223" s="72">
        <v>64469</v>
      </c>
      <c r="F223" s="72" t="str">
        <f t="shared" si="11"/>
        <v>19-64469</v>
      </c>
      <c r="G223" s="391" t="s">
        <v>810</v>
      </c>
      <c r="H223" s="331">
        <v>12123.17</v>
      </c>
      <c r="I223" s="331">
        <v>11146.75</v>
      </c>
      <c r="J223" s="331">
        <v>11477.41</v>
      </c>
      <c r="K223" s="331">
        <v>13647.1</v>
      </c>
      <c r="L223" s="491" t="s">
        <v>29</v>
      </c>
      <c r="M223" s="491" t="s">
        <v>29</v>
      </c>
      <c r="N223" s="491" t="s">
        <v>29</v>
      </c>
      <c r="O223" s="491" t="s">
        <v>29</v>
      </c>
      <c r="P223" s="491">
        <v>0</v>
      </c>
      <c r="Q223" s="491">
        <v>0</v>
      </c>
      <c r="R223" s="491">
        <v>0</v>
      </c>
      <c r="S223" s="491">
        <v>0</v>
      </c>
      <c r="T223" s="1025" t="b">
        <v>0</v>
      </c>
      <c r="U223" s="491">
        <v>0</v>
      </c>
      <c r="V223" s="491">
        <v>0</v>
      </c>
      <c r="W223" s="491">
        <v>0</v>
      </c>
      <c r="X223" s="491">
        <v>0</v>
      </c>
      <c r="Y223" s="1025" t="b">
        <v>0</v>
      </c>
      <c r="Z223" s="331">
        <v>0</v>
      </c>
      <c r="AA223" s="331">
        <v>0</v>
      </c>
      <c r="AB223" s="331">
        <v>0</v>
      </c>
      <c r="AC223" s="331">
        <v>0</v>
      </c>
      <c r="AD223" s="1025" t="b">
        <v>0</v>
      </c>
      <c r="AE223" s="331">
        <v>0</v>
      </c>
      <c r="AF223" s="331">
        <v>0</v>
      </c>
      <c r="AG223" s="331">
        <v>0</v>
      </c>
      <c r="AH223" s="331">
        <v>0</v>
      </c>
      <c r="AI223" s="1025" t="b">
        <v>0</v>
      </c>
      <c r="AJ223" s="331">
        <v>0</v>
      </c>
      <c r="AK223" s="331">
        <v>0</v>
      </c>
      <c r="AL223" s="331">
        <v>0</v>
      </c>
      <c r="AM223" s="331">
        <v>2.89</v>
      </c>
      <c r="AN223" s="1025" t="b">
        <v>0</v>
      </c>
      <c r="AO223" s="331">
        <v>0</v>
      </c>
      <c r="AP223" s="331">
        <v>0</v>
      </c>
      <c r="AQ223" s="331">
        <v>0</v>
      </c>
      <c r="AR223" s="331">
        <v>0</v>
      </c>
      <c r="AS223" s="1025" t="b">
        <v>0</v>
      </c>
      <c r="AT223" s="1025" t="b">
        <v>0</v>
      </c>
      <c r="AU223" s="331">
        <v>39440</v>
      </c>
      <c r="AV223" s="491" t="s">
        <v>29</v>
      </c>
    </row>
    <row r="224" spans="1:48">
      <c r="A224" s="72">
        <v>19</v>
      </c>
      <c r="B224" s="391" t="s">
        <v>45</v>
      </c>
      <c r="C224" s="72">
        <f t="shared" si="9"/>
        <v>18</v>
      </c>
      <c r="D224" s="72" t="str">
        <f t="shared" si="10"/>
        <v>19-18</v>
      </c>
      <c r="E224" s="72">
        <v>64501</v>
      </c>
      <c r="F224" s="72" t="str">
        <f t="shared" si="11"/>
        <v>19-64501</v>
      </c>
      <c r="G224" s="391" t="s">
        <v>1789</v>
      </c>
      <c r="H224" s="331">
        <v>14306.14</v>
      </c>
      <c r="I224" s="331">
        <v>13153.9</v>
      </c>
      <c r="J224" s="331">
        <v>13544.11</v>
      </c>
      <c r="K224" s="331">
        <v>16104.48</v>
      </c>
      <c r="L224" s="491" t="s">
        <v>29</v>
      </c>
      <c r="M224" s="491" t="s">
        <v>29</v>
      </c>
      <c r="N224" s="491" t="s">
        <v>29</v>
      </c>
      <c r="O224" s="491" t="s">
        <v>29</v>
      </c>
      <c r="P224" s="491">
        <v>0</v>
      </c>
      <c r="Q224" s="491">
        <v>0</v>
      </c>
      <c r="R224" s="491">
        <v>1.06</v>
      </c>
      <c r="S224" s="491">
        <v>0</v>
      </c>
      <c r="T224" s="1025" t="b">
        <v>0</v>
      </c>
      <c r="U224" s="491">
        <v>0</v>
      </c>
      <c r="V224" s="491">
        <v>0</v>
      </c>
      <c r="W224" s="491">
        <v>0</v>
      </c>
      <c r="X224" s="491">
        <v>0</v>
      </c>
      <c r="Y224" s="1025" t="b">
        <v>0</v>
      </c>
      <c r="Z224" s="331">
        <v>0</v>
      </c>
      <c r="AA224" s="331">
        <v>0</v>
      </c>
      <c r="AB224" s="331">
        <v>0</v>
      </c>
      <c r="AC224" s="331">
        <v>0</v>
      </c>
      <c r="AD224" s="1025" t="b">
        <v>0</v>
      </c>
      <c r="AE224" s="331">
        <v>0</v>
      </c>
      <c r="AF224" s="331">
        <v>0</v>
      </c>
      <c r="AG224" s="331">
        <v>0</v>
      </c>
      <c r="AH224" s="331">
        <v>0</v>
      </c>
      <c r="AI224" s="1025" t="b">
        <v>0</v>
      </c>
      <c r="AJ224" s="331">
        <v>0</v>
      </c>
      <c r="AK224" s="331">
        <v>0</v>
      </c>
      <c r="AL224" s="331">
        <v>0</v>
      </c>
      <c r="AM224" s="331">
        <v>0</v>
      </c>
      <c r="AN224" s="1025" t="b">
        <v>0</v>
      </c>
      <c r="AO224" s="331">
        <v>0</v>
      </c>
      <c r="AP224" s="331">
        <v>0</v>
      </c>
      <c r="AQ224" s="331">
        <v>0</v>
      </c>
      <c r="AR224" s="331">
        <v>0</v>
      </c>
      <c r="AS224" s="1025" t="b">
        <v>0</v>
      </c>
      <c r="AT224" s="1025" t="b">
        <v>0</v>
      </c>
      <c r="AU224" s="331">
        <v>14357</v>
      </c>
      <c r="AV224" s="491" t="s">
        <v>29</v>
      </c>
    </row>
    <row r="225" spans="1:48">
      <c r="A225" s="72">
        <v>19</v>
      </c>
      <c r="B225" s="391" t="s">
        <v>45</v>
      </c>
      <c r="C225" s="72">
        <f t="shared" si="9"/>
        <v>19</v>
      </c>
      <c r="D225" s="72" t="str">
        <f t="shared" si="10"/>
        <v>19-19</v>
      </c>
      <c r="E225" s="72">
        <v>64519</v>
      </c>
      <c r="F225" s="72" t="str">
        <f t="shared" si="11"/>
        <v>19-64519</v>
      </c>
      <c r="G225" s="391" t="s">
        <v>811</v>
      </c>
      <c r="H225" s="331">
        <v>14233.03</v>
      </c>
      <c r="I225" s="331">
        <v>13086.68</v>
      </c>
      <c r="J225" s="331">
        <v>13474.89</v>
      </c>
      <c r="K225" s="331">
        <v>16022.18</v>
      </c>
      <c r="L225" s="491" t="s">
        <v>29</v>
      </c>
      <c r="M225" s="491" t="s">
        <v>29</v>
      </c>
      <c r="N225" s="491" t="s">
        <v>29</v>
      </c>
      <c r="O225" s="491" t="s">
        <v>29</v>
      </c>
      <c r="P225" s="491">
        <v>0</v>
      </c>
      <c r="Q225" s="491">
        <v>0</v>
      </c>
      <c r="R225" s="491">
        <v>0</v>
      </c>
      <c r="S225" s="491">
        <v>1.26</v>
      </c>
      <c r="T225" s="1025" t="b">
        <v>0</v>
      </c>
      <c r="U225" s="491">
        <v>0</v>
      </c>
      <c r="V225" s="491">
        <v>0</v>
      </c>
      <c r="W225" s="491">
        <v>0</v>
      </c>
      <c r="X225" s="491">
        <v>0</v>
      </c>
      <c r="Y225" s="1025" t="b">
        <v>0</v>
      </c>
      <c r="Z225" s="331">
        <v>0</v>
      </c>
      <c r="AA225" s="331">
        <v>0</v>
      </c>
      <c r="AB225" s="331">
        <v>0</v>
      </c>
      <c r="AC225" s="331">
        <v>0</v>
      </c>
      <c r="AD225" s="1025" t="b">
        <v>0</v>
      </c>
      <c r="AE225" s="331">
        <v>0</v>
      </c>
      <c r="AF225" s="331">
        <v>0</v>
      </c>
      <c r="AG225" s="331">
        <v>0</v>
      </c>
      <c r="AH225" s="331">
        <v>0</v>
      </c>
      <c r="AI225" s="1025" t="b">
        <v>0</v>
      </c>
      <c r="AJ225" s="331">
        <v>0</v>
      </c>
      <c r="AK225" s="331">
        <v>0</v>
      </c>
      <c r="AL225" s="331">
        <v>0</v>
      </c>
      <c r="AM225" s="331">
        <v>5.94</v>
      </c>
      <c r="AN225" s="1025" t="b">
        <v>0</v>
      </c>
      <c r="AO225" s="331">
        <v>0</v>
      </c>
      <c r="AP225" s="331">
        <v>0</v>
      </c>
      <c r="AQ225" s="331">
        <v>0</v>
      </c>
      <c r="AR225" s="331">
        <v>0</v>
      </c>
      <c r="AS225" s="1025" t="b">
        <v>0</v>
      </c>
      <c r="AT225" s="1025" t="b">
        <v>0</v>
      </c>
      <c r="AU225" s="331">
        <v>115360</v>
      </c>
      <c r="AV225" s="491" t="s">
        <v>29</v>
      </c>
    </row>
    <row r="226" spans="1:48">
      <c r="A226" s="72">
        <v>19</v>
      </c>
      <c r="B226" s="391" t="s">
        <v>45</v>
      </c>
      <c r="C226" s="72">
        <f t="shared" si="9"/>
        <v>20</v>
      </c>
      <c r="D226" s="72" t="str">
        <f t="shared" si="10"/>
        <v>19-20</v>
      </c>
      <c r="E226" s="72">
        <v>64527</v>
      </c>
      <c r="F226" s="72" t="str">
        <f t="shared" si="11"/>
        <v>19-64527</v>
      </c>
      <c r="G226" s="391" t="s">
        <v>812</v>
      </c>
      <c r="H226" s="331">
        <v>13116.6</v>
      </c>
      <c r="I226" s="331">
        <v>12060.17</v>
      </c>
      <c r="J226" s="331">
        <v>12417.93</v>
      </c>
      <c r="K226" s="331">
        <v>14765.41</v>
      </c>
      <c r="L226" s="491" t="s">
        <v>29</v>
      </c>
      <c r="M226" s="491" t="s">
        <v>29</v>
      </c>
      <c r="N226" s="491" t="s">
        <v>29</v>
      </c>
      <c r="O226" s="491" t="s">
        <v>29</v>
      </c>
      <c r="P226" s="491">
        <v>0</v>
      </c>
      <c r="Q226" s="491">
        <v>0</v>
      </c>
      <c r="R226" s="491">
        <v>0</v>
      </c>
      <c r="S226" s="491">
        <v>4.57</v>
      </c>
      <c r="T226" s="1025" t="b">
        <v>0</v>
      </c>
      <c r="U226" s="491">
        <v>0</v>
      </c>
      <c r="V226" s="491">
        <v>0</v>
      </c>
      <c r="W226" s="491">
        <v>0</v>
      </c>
      <c r="X226" s="491">
        <v>0</v>
      </c>
      <c r="Y226" s="1025" t="b">
        <v>0</v>
      </c>
      <c r="Z226" s="331">
        <v>0</v>
      </c>
      <c r="AA226" s="331">
        <v>0</v>
      </c>
      <c r="AB226" s="331">
        <v>0</v>
      </c>
      <c r="AC226" s="331">
        <v>0</v>
      </c>
      <c r="AD226" s="1025" t="b">
        <v>0</v>
      </c>
      <c r="AE226" s="331">
        <v>0</v>
      </c>
      <c r="AF226" s="331">
        <v>0</v>
      </c>
      <c r="AG226" s="331">
        <v>0</v>
      </c>
      <c r="AH226" s="331">
        <v>0</v>
      </c>
      <c r="AI226" s="1025" t="b">
        <v>0</v>
      </c>
      <c r="AJ226" s="331">
        <v>0</v>
      </c>
      <c r="AK226" s="331">
        <v>0</v>
      </c>
      <c r="AL226" s="331">
        <v>0</v>
      </c>
      <c r="AM226" s="331">
        <v>3.93</v>
      </c>
      <c r="AN226" s="1025" t="b">
        <v>0</v>
      </c>
      <c r="AO226" s="331">
        <v>0</v>
      </c>
      <c r="AP226" s="331">
        <v>0</v>
      </c>
      <c r="AQ226" s="331">
        <v>0</v>
      </c>
      <c r="AR226" s="331">
        <v>0</v>
      </c>
      <c r="AS226" s="1025" t="b">
        <v>0</v>
      </c>
      <c r="AT226" s="1025" t="b">
        <v>0</v>
      </c>
      <c r="AU226" s="331">
        <v>125506</v>
      </c>
      <c r="AV226" s="491" t="s">
        <v>29</v>
      </c>
    </row>
    <row r="227" spans="1:48">
      <c r="A227" s="72">
        <v>19</v>
      </c>
      <c r="B227" s="391" t="s">
        <v>45</v>
      </c>
      <c r="C227" s="72">
        <f t="shared" si="9"/>
        <v>21</v>
      </c>
      <c r="D227" s="72" t="str">
        <f t="shared" si="10"/>
        <v>19-21</v>
      </c>
      <c r="E227" s="72">
        <v>64535</v>
      </c>
      <c r="F227" s="72" t="str">
        <f t="shared" si="11"/>
        <v>19-64535</v>
      </c>
      <c r="G227" s="391" t="s">
        <v>813</v>
      </c>
      <c r="H227" s="331">
        <v>10401.52</v>
      </c>
      <c r="I227" s="331">
        <v>9563.77</v>
      </c>
      <c r="J227" s="331">
        <v>9847.4699999999993</v>
      </c>
      <c r="K227" s="331">
        <v>11709.04</v>
      </c>
      <c r="L227" s="491" t="s">
        <v>29</v>
      </c>
      <c r="M227" s="491" t="s">
        <v>29</v>
      </c>
      <c r="N227" s="491" t="s">
        <v>29</v>
      </c>
      <c r="O227" s="491" t="s">
        <v>29</v>
      </c>
      <c r="P227" s="491">
        <v>0</v>
      </c>
      <c r="Q227" s="491">
        <v>0</v>
      </c>
      <c r="R227" s="491">
        <v>0</v>
      </c>
      <c r="S227" s="491">
        <v>0</v>
      </c>
      <c r="T227" s="1025" t="b">
        <v>0</v>
      </c>
      <c r="U227" s="491">
        <v>0</v>
      </c>
      <c r="V227" s="491">
        <v>0</v>
      </c>
      <c r="W227" s="491">
        <v>0</v>
      </c>
      <c r="X227" s="491">
        <v>0</v>
      </c>
      <c r="Y227" s="1025" t="b">
        <v>0</v>
      </c>
      <c r="Z227" s="331">
        <v>0</v>
      </c>
      <c r="AA227" s="331">
        <v>0</v>
      </c>
      <c r="AB227" s="331">
        <v>0</v>
      </c>
      <c r="AC227" s="331">
        <v>0</v>
      </c>
      <c r="AD227" s="1025" t="b">
        <v>0</v>
      </c>
      <c r="AE227" s="331">
        <v>0</v>
      </c>
      <c r="AF227" s="331">
        <v>0</v>
      </c>
      <c r="AG227" s="331">
        <v>0</v>
      </c>
      <c r="AH227" s="331">
        <v>0</v>
      </c>
      <c r="AI227" s="1025" t="b">
        <v>0</v>
      </c>
      <c r="AJ227" s="331">
        <v>0</v>
      </c>
      <c r="AK227" s="331">
        <v>0</v>
      </c>
      <c r="AL227" s="331">
        <v>0</v>
      </c>
      <c r="AM227" s="331">
        <v>0.94</v>
      </c>
      <c r="AN227" s="1025" t="b">
        <v>0</v>
      </c>
      <c r="AO227" s="331">
        <v>0</v>
      </c>
      <c r="AP227" s="331">
        <v>0</v>
      </c>
      <c r="AQ227" s="331">
        <v>0</v>
      </c>
      <c r="AR227" s="331">
        <v>0</v>
      </c>
      <c r="AS227" s="1025" t="b">
        <v>0</v>
      </c>
      <c r="AT227" s="1025" t="b">
        <v>0</v>
      </c>
      <c r="AU227" s="331">
        <v>11006</v>
      </c>
      <c r="AV227" s="491" t="s">
        <v>29</v>
      </c>
    </row>
    <row r="228" spans="1:48">
      <c r="A228" s="72">
        <v>19</v>
      </c>
      <c r="B228" s="391" t="s">
        <v>45</v>
      </c>
      <c r="C228" s="72">
        <f t="shared" si="9"/>
        <v>22</v>
      </c>
      <c r="D228" s="72" t="str">
        <f t="shared" si="10"/>
        <v>19-22</v>
      </c>
      <c r="E228" s="72">
        <v>64568</v>
      </c>
      <c r="F228" s="72" t="str">
        <f t="shared" si="11"/>
        <v>19-64568</v>
      </c>
      <c r="G228" s="391" t="s">
        <v>814</v>
      </c>
      <c r="H228" s="331">
        <v>11166.72</v>
      </c>
      <c r="I228" s="331">
        <v>10267.34</v>
      </c>
      <c r="J228" s="331">
        <v>10571.91</v>
      </c>
      <c r="K228" s="331">
        <v>12570.42</v>
      </c>
      <c r="L228" s="491" t="s">
        <v>29</v>
      </c>
      <c r="M228" s="491" t="s">
        <v>29</v>
      </c>
      <c r="N228" s="491" t="s">
        <v>29</v>
      </c>
      <c r="O228" s="491" t="s">
        <v>29</v>
      </c>
      <c r="P228" s="491">
        <v>0</v>
      </c>
      <c r="Q228" s="491">
        <v>0</v>
      </c>
      <c r="R228" s="491">
        <v>0</v>
      </c>
      <c r="S228" s="491">
        <v>0</v>
      </c>
      <c r="T228" s="1025" t="b">
        <v>0</v>
      </c>
      <c r="U228" s="491">
        <v>0</v>
      </c>
      <c r="V228" s="491">
        <v>0</v>
      </c>
      <c r="W228" s="491">
        <v>0</v>
      </c>
      <c r="X228" s="491">
        <v>0</v>
      </c>
      <c r="Y228" s="1025" t="b">
        <v>0</v>
      </c>
      <c r="Z228" s="331">
        <v>0</v>
      </c>
      <c r="AA228" s="331">
        <v>0</v>
      </c>
      <c r="AB228" s="331">
        <v>0</v>
      </c>
      <c r="AC228" s="331">
        <v>0</v>
      </c>
      <c r="AD228" s="1025" t="b">
        <v>0</v>
      </c>
      <c r="AE228" s="331">
        <v>0</v>
      </c>
      <c r="AF228" s="331">
        <v>0</v>
      </c>
      <c r="AG228" s="331">
        <v>0</v>
      </c>
      <c r="AH228" s="331">
        <v>0</v>
      </c>
      <c r="AI228" s="1025" t="b">
        <v>0</v>
      </c>
      <c r="AJ228" s="331">
        <v>0</v>
      </c>
      <c r="AK228" s="331">
        <v>0</v>
      </c>
      <c r="AL228" s="331">
        <v>0</v>
      </c>
      <c r="AM228" s="331">
        <v>23.33</v>
      </c>
      <c r="AN228" s="1025" t="b">
        <v>0</v>
      </c>
      <c r="AO228" s="331">
        <v>0</v>
      </c>
      <c r="AP228" s="331">
        <v>0</v>
      </c>
      <c r="AQ228" s="331">
        <v>0</v>
      </c>
      <c r="AR228" s="331">
        <v>0</v>
      </c>
      <c r="AS228" s="1025" t="b">
        <v>0</v>
      </c>
      <c r="AT228" s="1025" t="b">
        <v>0</v>
      </c>
      <c r="AU228" s="331">
        <v>293268</v>
      </c>
      <c r="AV228" s="491" t="s">
        <v>29</v>
      </c>
    </row>
    <row r="229" spans="1:48">
      <c r="A229" s="72">
        <v>19</v>
      </c>
      <c r="B229" s="391" t="s">
        <v>45</v>
      </c>
      <c r="C229" s="72">
        <f t="shared" si="9"/>
        <v>23</v>
      </c>
      <c r="D229" s="72" t="str">
        <f t="shared" si="10"/>
        <v>19-23</v>
      </c>
      <c r="E229" s="72">
        <v>64576</v>
      </c>
      <c r="F229" s="72" t="str">
        <f t="shared" si="11"/>
        <v>19-64576</v>
      </c>
      <c r="G229" s="391" t="s">
        <v>815</v>
      </c>
      <c r="H229" s="331">
        <v>10909.5</v>
      </c>
      <c r="I229" s="331">
        <v>10030.83</v>
      </c>
      <c r="J229" s="331">
        <v>10328.39</v>
      </c>
      <c r="K229" s="331">
        <v>12280.86</v>
      </c>
      <c r="L229" s="491" t="s">
        <v>29</v>
      </c>
      <c r="M229" s="491" t="s">
        <v>29</v>
      </c>
      <c r="N229" s="491" t="s">
        <v>29</v>
      </c>
      <c r="O229" s="491" t="s">
        <v>29</v>
      </c>
      <c r="P229" s="491">
        <v>0</v>
      </c>
      <c r="Q229" s="491">
        <v>0</v>
      </c>
      <c r="R229" s="491">
        <v>0</v>
      </c>
      <c r="S229" s="491">
        <v>0</v>
      </c>
      <c r="T229" s="1025" t="b">
        <v>0</v>
      </c>
      <c r="U229" s="491">
        <v>0</v>
      </c>
      <c r="V229" s="491">
        <v>0</v>
      </c>
      <c r="W229" s="491">
        <v>0</v>
      </c>
      <c r="X229" s="491">
        <v>0</v>
      </c>
      <c r="Y229" s="1025" t="b">
        <v>0</v>
      </c>
      <c r="Z229" s="331">
        <v>0</v>
      </c>
      <c r="AA229" s="331">
        <v>0</v>
      </c>
      <c r="AB229" s="331">
        <v>0</v>
      </c>
      <c r="AC229" s="331">
        <v>0</v>
      </c>
      <c r="AD229" s="1025" t="b">
        <v>0</v>
      </c>
      <c r="AE229" s="331">
        <v>0</v>
      </c>
      <c r="AF229" s="331">
        <v>0</v>
      </c>
      <c r="AG229" s="331">
        <v>0</v>
      </c>
      <c r="AH229" s="331">
        <v>0</v>
      </c>
      <c r="AI229" s="1025" t="b">
        <v>0</v>
      </c>
      <c r="AJ229" s="331">
        <v>0</v>
      </c>
      <c r="AK229" s="331">
        <v>0</v>
      </c>
      <c r="AL229" s="331">
        <v>0</v>
      </c>
      <c r="AM229" s="331">
        <v>9.69</v>
      </c>
      <c r="AN229" s="1025" t="b">
        <v>0</v>
      </c>
      <c r="AO229" s="331">
        <v>0</v>
      </c>
      <c r="AP229" s="331">
        <v>0</v>
      </c>
      <c r="AQ229" s="331">
        <v>0</v>
      </c>
      <c r="AR229" s="331">
        <v>0</v>
      </c>
      <c r="AS229" s="1025" t="b">
        <v>0</v>
      </c>
      <c r="AT229" s="1025" t="b">
        <v>0</v>
      </c>
      <c r="AU229" s="331">
        <v>119002</v>
      </c>
      <c r="AV229" s="491" t="s">
        <v>29</v>
      </c>
    </row>
    <row r="230" spans="1:48">
      <c r="A230" s="72">
        <v>19</v>
      </c>
      <c r="B230" s="391" t="s">
        <v>45</v>
      </c>
      <c r="C230" s="72">
        <f t="shared" si="9"/>
        <v>24</v>
      </c>
      <c r="D230" s="72" t="str">
        <f t="shared" si="10"/>
        <v>19-24</v>
      </c>
      <c r="E230" s="72">
        <v>64634</v>
      </c>
      <c r="F230" s="72" t="str">
        <f t="shared" si="11"/>
        <v>19-64634</v>
      </c>
      <c r="G230" s="391" t="s">
        <v>816</v>
      </c>
      <c r="H230" s="331">
        <v>14152.18</v>
      </c>
      <c r="I230" s="331">
        <v>13012.34</v>
      </c>
      <c r="J230" s="331">
        <v>13398.35</v>
      </c>
      <c r="K230" s="331">
        <v>15931.17</v>
      </c>
      <c r="L230" s="491" t="s">
        <v>29</v>
      </c>
      <c r="M230" s="491" t="s">
        <v>29</v>
      </c>
      <c r="N230" s="491" t="s">
        <v>29</v>
      </c>
      <c r="O230" s="491" t="s">
        <v>29</v>
      </c>
      <c r="P230" s="491">
        <v>0</v>
      </c>
      <c r="Q230" s="491">
        <v>0</v>
      </c>
      <c r="R230" s="491">
        <v>0</v>
      </c>
      <c r="S230" s="491">
        <v>5.31</v>
      </c>
      <c r="T230" s="1025" t="b">
        <v>0</v>
      </c>
      <c r="U230" s="491">
        <v>0</v>
      </c>
      <c r="V230" s="491">
        <v>0</v>
      </c>
      <c r="W230" s="491">
        <v>0</v>
      </c>
      <c r="X230" s="491">
        <v>0</v>
      </c>
      <c r="Y230" s="1025" t="b">
        <v>0</v>
      </c>
      <c r="Z230" s="331">
        <v>0</v>
      </c>
      <c r="AA230" s="331">
        <v>0</v>
      </c>
      <c r="AB230" s="331">
        <v>0</v>
      </c>
      <c r="AC230" s="331">
        <v>0</v>
      </c>
      <c r="AD230" s="1025" t="b">
        <v>0</v>
      </c>
      <c r="AE230" s="331">
        <v>0</v>
      </c>
      <c r="AF230" s="331">
        <v>0</v>
      </c>
      <c r="AG230" s="331">
        <v>0</v>
      </c>
      <c r="AH230" s="331">
        <v>0</v>
      </c>
      <c r="AI230" s="1025" t="b">
        <v>0</v>
      </c>
      <c r="AJ230" s="331">
        <v>0</v>
      </c>
      <c r="AK230" s="331">
        <v>0</v>
      </c>
      <c r="AL230" s="331">
        <v>0</v>
      </c>
      <c r="AM230" s="331">
        <v>3.03</v>
      </c>
      <c r="AN230" s="1025" t="b">
        <v>0</v>
      </c>
      <c r="AO230" s="331">
        <v>0</v>
      </c>
      <c r="AP230" s="331">
        <v>0</v>
      </c>
      <c r="AQ230" s="331">
        <v>0</v>
      </c>
      <c r="AR230" s="331">
        <v>0</v>
      </c>
      <c r="AS230" s="1025" t="b">
        <v>0</v>
      </c>
      <c r="AT230" s="1025" t="b">
        <v>0</v>
      </c>
      <c r="AU230" s="331">
        <v>132866</v>
      </c>
      <c r="AV230" s="491" t="s">
        <v>29</v>
      </c>
    </row>
    <row r="231" spans="1:48">
      <c r="A231" s="72">
        <v>19</v>
      </c>
      <c r="B231" s="391" t="s">
        <v>45</v>
      </c>
      <c r="C231" s="72">
        <f t="shared" si="9"/>
        <v>25</v>
      </c>
      <c r="D231" s="72" t="str">
        <f t="shared" si="10"/>
        <v>19-25</v>
      </c>
      <c r="E231" s="72">
        <v>64659</v>
      </c>
      <c r="F231" s="72" t="str">
        <f t="shared" si="11"/>
        <v>19-64659</v>
      </c>
      <c r="G231" s="391" t="s">
        <v>817</v>
      </c>
      <c r="H231" s="331">
        <v>10263.5</v>
      </c>
      <c r="I231" s="331">
        <v>9436.86</v>
      </c>
      <c r="J231" s="331">
        <v>9716.7999999999993</v>
      </c>
      <c r="K231" s="331">
        <v>11553.66</v>
      </c>
      <c r="L231" s="491" t="s">
        <v>29</v>
      </c>
      <c r="M231" s="491" t="s">
        <v>29</v>
      </c>
      <c r="N231" s="491" t="s">
        <v>29</v>
      </c>
      <c r="O231" s="491" t="s">
        <v>29</v>
      </c>
      <c r="P231" s="491">
        <v>0</v>
      </c>
      <c r="Q231" s="491">
        <v>0</v>
      </c>
      <c r="R231" s="491">
        <v>0</v>
      </c>
      <c r="S231" s="491">
        <v>0</v>
      </c>
      <c r="T231" s="1025" t="b">
        <v>0</v>
      </c>
      <c r="U231" s="491">
        <v>0</v>
      </c>
      <c r="V231" s="491">
        <v>0</v>
      </c>
      <c r="W231" s="491">
        <v>0</v>
      </c>
      <c r="X231" s="491">
        <v>0</v>
      </c>
      <c r="Y231" s="1025" t="b">
        <v>0</v>
      </c>
      <c r="Z231" s="331">
        <v>0</v>
      </c>
      <c r="AA231" s="331">
        <v>0</v>
      </c>
      <c r="AB231" s="331">
        <v>0</v>
      </c>
      <c r="AC231" s="331">
        <v>0</v>
      </c>
      <c r="AD231" s="1025" t="b">
        <v>0</v>
      </c>
      <c r="AE231" s="331">
        <v>0</v>
      </c>
      <c r="AF231" s="331">
        <v>0</v>
      </c>
      <c r="AG231" s="331">
        <v>0</v>
      </c>
      <c r="AH231" s="331">
        <v>0</v>
      </c>
      <c r="AI231" s="1025" t="b">
        <v>0</v>
      </c>
      <c r="AJ231" s="331">
        <v>0</v>
      </c>
      <c r="AK231" s="331">
        <v>0</v>
      </c>
      <c r="AL231" s="331">
        <v>0</v>
      </c>
      <c r="AM231" s="331">
        <v>1.01</v>
      </c>
      <c r="AN231" s="1025" t="b">
        <v>0</v>
      </c>
      <c r="AO231" s="331">
        <v>0</v>
      </c>
      <c r="AP231" s="331">
        <v>0</v>
      </c>
      <c r="AQ231" s="331">
        <v>0</v>
      </c>
      <c r="AR231" s="331">
        <v>0</v>
      </c>
      <c r="AS231" s="1025" t="b">
        <v>0</v>
      </c>
      <c r="AT231" s="1025" t="b">
        <v>0</v>
      </c>
      <c r="AU231" s="331">
        <v>11669</v>
      </c>
      <c r="AV231" s="491" t="s">
        <v>29</v>
      </c>
    </row>
    <row r="232" spans="1:48">
      <c r="A232" s="72">
        <v>19</v>
      </c>
      <c r="B232" s="391" t="s">
        <v>45</v>
      </c>
      <c r="C232" s="72">
        <f t="shared" si="9"/>
        <v>26</v>
      </c>
      <c r="D232" s="72" t="str">
        <f t="shared" si="10"/>
        <v>19-26</v>
      </c>
      <c r="E232" s="72">
        <v>64683</v>
      </c>
      <c r="F232" s="72" t="str">
        <f t="shared" si="11"/>
        <v>19-64683</v>
      </c>
      <c r="G232" s="391" t="s">
        <v>818</v>
      </c>
      <c r="H232" s="331">
        <v>10508.78</v>
      </c>
      <c r="I232" s="331">
        <v>9662.39</v>
      </c>
      <c r="J232" s="331">
        <v>9949.02</v>
      </c>
      <c r="K232" s="331">
        <v>11829.78</v>
      </c>
      <c r="L232" s="491" t="s">
        <v>29</v>
      </c>
      <c r="M232" s="491" t="s">
        <v>29</v>
      </c>
      <c r="N232" s="491" t="s">
        <v>29</v>
      </c>
      <c r="O232" s="491" t="s">
        <v>29</v>
      </c>
      <c r="P232" s="491">
        <v>0</v>
      </c>
      <c r="Q232" s="491">
        <v>0</v>
      </c>
      <c r="R232" s="491">
        <v>0</v>
      </c>
      <c r="S232" s="491">
        <v>0</v>
      </c>
      <c r="T232" s="1025" t="b">
        <v>0</v>
      </c>
      <c r="U232" s="491">
        <v>0</v>
      </c>
      <c r="V232" s="491">
        <v>0</v>
      </c>
      <c r="W232" s="491">
        <v>0</v>
      </c>
      <c r="X232" s="491">
        <v>0</v>
      </c>
      <c r="Y232" s="1025" t="b">
        <v>0</v>
      </c>
      <c r="Z232" s="331">
        <v>0</v>
      </c>
      <c r="AA232" s="331">
        <v>0</v>
      </c>
      <c r="AB232" s="331">
        <v>0</v>
      </c>
      <c r="AC232" s="331">
        <v>0</v>
      </c>
      <c r="AD232" s="1025" t="b">
        <v>0</v>
      </c>
      <c r="AE232" s="331">
        <v>0</v>
      </c>
      <c r="AF232" s="331">
        <v>0</v>
      </c>
      <c r="AG232" s="331">
        <v>0</v>
      </c>
      <c r="AH232" s="331">
        <v>0</v>
      </c>
      <c r="AI232" s="1025" t="b">
        <v>0</v>
      </c>
      <c r="AJ232" s="331">
        <v>0</v>
      </c>
      <c r="AK232" s="331">
        <v>0</v>
      </c>
      <c r="AL232" s="331">
        <v>0</v>
      </c>
      <c r="AM232" s="331">
        <v>1.71</v>
      </c>
      <c r="AN232" s="1025" t="b">
        <v>0</v>
      </c>
      <c r="AO232" s="331">
        <v>0</v>
      </c>
      <c r="AP232" s="331">
        <v>0</v>
      </c>
      <c r="AQ232" s="331">
        <v>0</v>
      </c>
      <c r="AR232" s="331">
        <v>0</v>
      </c>
      <c r="AS232" s="1025" t="b">
        <v>0</v>
      </c>
      <c r="AT232" s="1025" t="b">
        <v>0</v>
      </c>
      <c r="AU232" s="331">
        <v>20229</v>
      </c>
      <c r="AV232" s="491" t="s">
        <v>29</v>
      </c>
    </row>
    <row r="233" spans="1:48">
      <c r="A233" s="72">
        <v>19</v>
      </c>
      <c r="B233" s="391" t="s">
        <v>45</v>
      </c>
      <c r="C233" s="72">
        <f t="shared" si="9"/>
        <v>27</v>
      </c>
      <c r="D233" s="72" t="str">
        <f t="shared" si="10"/>
        <v>19-27</v>
      </c>
      <c r="E233" s="72">
        <v>64717</v>
      </c>
      <c r="F233" s="72" t="str">
        <f t="shared" si="11"/>
        <v>19-64717</v>
      </c>
      <c r="G233" s="391" t="s">
        <v>1744</v>
      </c>
      <c r="H233" s="331">
        <v>12511.08</v>
      </c>
      <c r="I233" s="331">
        <v>11503.42</v>
      </c>
      <c r="J233" s="331">
        <v>11844.66</v>
      </c>
      <c r="K233" s="331">
        <v>14083.78</v>
      </c>
      <c r="L233" s="491" t="s">
        <v>29</v>
      </c>
      <c r="M233" s="491" t="s">
        <v>29</v>
      </c>
      <c r="N233" s="491" t="s">
        <v>29</v>
      </c>
      <c r="O233" s="491" t="s">
        <v>29</v>
      </c>
      <c r="P233" s="491">
        <v>0</v>
      </c>
      <c r="Q233" s="491">
        <v>0</v>
      </c>
      <c r="R233" s="491">
        <v>1</v>
      </c>
      <c r="S233" s="491">
        <v>0</v>
      </c>
      <c r="T233" s="1025" t="b">
        <v>0</v>
      </c>
      <c r="U233" s="491">
        <v>0</v>
      </c>
      <c r="V233" s="491">
        <v>0</v>
      </c>
      <c r="W233" s="491">
        <v>0</v>
      </c>
      <c r="X233" s="491">
        <v>0</v>
      </c>
      <c r="Y233" s="1025" t="b">
        <v>0</v>
      </c>
      <c r="Z233" s="331">
        <v>0</v>
      </c>
      <c r="AA233" s="331">
        <v>0</v>
      </c>
      <c r="AB233" s="331">
        <v>0</v>
      </c>
      <c r="AC233" s="331">
        <v>0</v>
      </c>
      <c r="AD233" s="1025" t="b">
        <v>0</v>
      </c>
      <c r="AE233" s="331">
        <v>0</v>
      </c>
      <c r="AF233" s="331">
        <v>0</v>
      </c>
      <c r="AG233" s="331">
        <v>0</v>
      </c>
      <c r="AH233" s="331">
        <v>0</v>
      </c>
      <c r="AI233" s="1025" t="b">
        <v>0</v>
      </c>
      <c r="AJ233" s="331">
        <v>0</v>
      </c>
      <c r="AK233" s="331">
        <v>0</v>
      </c>
      <c r="AL233" s="331">
        <v>0</v>
      </c>
      <c r="AM233" s="331">
        <v>0</v>
      </c>
      <c r="AN233" s="1025" t="b">
        <v>0</v>
      </c>
      <c r="AO233" s="331">
        <v>0</v>
      </c>
      <c r="AP233" s="331">
        <v>0</v>
      </c>
      <c r="AQ233" s="331">
        <v>0</v>
      </c>
      <c r="AR233" s="331">
        <v>0</v>
      </c>
      <c r="AS233" s="1025" t="b">
        <v>0</v>
      </c>
      <c r="AT233" s="1025" t="b">
        <v>0</v>
      </c>
      <c r="AU233" s="331">
        <v>11845</v>
      </c>
      <c r="AV233" s="491" t="s">
        <v>29</v>
      </c>
    </row>
    <row r="234" spans="1:48">
      <c r="A234" s="72">
        <v>19</v>
      </c>
      <c r="B234" s="391" t="s">
        <v>45</v>
      </c>
      <c r="C234" s="72">
        <f t="shared" si="9"/>
        <v>28</v>
      </c>
      <c r="D234" s="72" t="str">
        <f t="shared" si="10"/>
        <v>19-28</v>
      </c>
      <c r="E234" s="72">
        <v>64725</v>
      </c>
      <c r="F234" s="72" t="str">
        <f t="shared" si="11"/>
        <v>19-64725</v>
      </c>
      <c r="G234" s="391" t="s">
        <v>819</v>
      </c>
      <c r="H234" s="331">
        <v>12095.65</v>
      </c>
      <c r="I234" s="331">
        <v>11121.44</v>
      </c>
      <c r="J234" s="331">
        <v>11451.36</v>
      </c>
      <c r="K234" s="331">
        <v>13616.12</v>
      </c>
      <c r="L234" s="491" t="s">
        <v>29</v>
      </c>
      <c r="M234" s="491" t="s">
        <v>29</v>
      </c>
      <c r="N234" s="491" t="s">
        <v>29</v>
      </c>
      <c r="O234" s="491" t="s">
        <v>29</v>
      </c>
      <c r="P234" s="491">
        <v>0</v>
      </c>
      <c r="Q234" s="491">
        <v>0</v>
      </c>
      <c r="R234" s="491">
        <v>0</v>
      </c>
      <c r="S234" s="491">
        <v>2.63</v>
      </c>
      <c r="T234" s="1025" t="b">
        <v>0</v>
      </c>
      <c r="U234" s="491">
        <v>0</v>
      </c>
      <c r="V234" s="491">
        <v>0</v>
      </c>
      <c r="W234" s="491">
        <v>0</v>
      </c>
      <c r="X234" s="491">
        <v>0</v>
      </c>
      <c r="Y234" s="1025" t="b">
        <v>0</v>
      </c>
      <c r="Z234" s="331">
        <v>0</v>
      </c>
      <c r="AA234" s="331">
        <v>0</v>
      </c>
      <c r="AB234" s="331">
        <v>0</v>
      </c>
      <c r="AC234" s="331">
        <v>0</v>
      </c>
      <c r="AD234" s="1025" t="b">
        <v>0</v>
      </c>
      <c r="AE234" s="331">
        <v>0</v>
      </c>
      <c r="AF234" s="331">
        <v>0</v>
      </c>
      <c r="AG234" s="331">
        <v>0</v>
      </c>
      <c r="AH234" s="331">
        <v>0</v>
      </c>
      <c r="AI234" s="1025" t="b">
        <v>0</v>
      </c>
      <c r="AJ234" s="331">
        <v>0</v>
      </c>
      <c r="AK234" s="331">
        <v>0</v>
      </c>
      <c r="AL234" s="331">
        <v>0</v>
      </c>
      <c r="AM234" s="331">
        <v>1.97</v>
      </c>
      <c r="AN234" s="1025" t="b">
        <v>0</v>
      </c>
      <c r="AO234" s="331">
        <v>0</v>
      </c>
      <c r="AP234" s="331">
        <v>0</v>
      </c>
      <c r="AQ234" s="331">
        <v>0</v>
      </c>
      <c r="AR234" s="331">
        <v>0</v>
      </c>
      <c r="AS234" s="1025" t="b">
        <v>0</v>
      </c>
      <c r="AT234" s="1025" t="b">
        <v>0</v>
      </c>
      <c r="AU234" s="331">
        <v>62634</v>
      </c>
      <c r="AV234" s="491" t="s">
        <v>29</v>
      </c>
    </row>
    <row r="235" spans="1:48">
      <c r="A235" s="72">
        <v>19</v>
      </c>
      <c r="B235" s="391" t="s">
        <v>45</v>
      </c>
      <c r="C235" s="72">
        <f t="shared" si="9"/>
        <v>29</v>
      </c>
      <c r="D235" s="72" t="str">
        <f t="shared" si="10"/>
        <v>19-29</v>
      </c>
      <c r="E235" s="72">
        <v>64733</v>
      </c>
      <c r="F235" s="72" t="str">
        <f t="shared" si="11"/>
        <v>19-64733</v>
      </c>
      <c r="G235" s="391" t="s">
        <v>820</v>
      </c>
      <c r="H235" s="331">
        <v>13898.45</v>
      </c>
      <c r="I235" s="331">
        <v>12779.04</v>
      </c>
      <c r="J235" s="331">
        <v>13158.13</v>
      </c>
      <c r="K235" s="331">
        <v>15645.54</v>
      </c>
      <c r="L235" s="491" t="s">
        <v>29</v>
      </c>
      <c r="M235" s="491" t="s">
        <v>29</v>
      </c>
      <c r="N235" s="491" t="s">
        <v>29</v>
      </c>
      <c r="O235" s="491" t="s">
        <v>29</v>
      </c>
      <c r="P235" s="491">
        <v>0</v>
      </c>
      <c r="Q235" s="491">
        <v>0.47</v>
      </c>
      <c r="R235" s="491">
        <v>1.07</v>
      </c>
      <c r="S235" s="491">
        <v>22.37</v>
      </c>
      <c r="T235" s="1025" t="b">
        <v>0</v>
      </c>
      <c r="U235" s="491">
        <v>0</v>
      </c>
      <c r="V235" s="491">
        <v>0</v>
      </c>
      <c r="W235" s="491">
        <v>0</v>
      </c>
      <c r="X235" s="491">
        <v>0</v>
      </c>
      <c r="Y235" s="1025" t="b">
        <v>0</v>
      </c>
      <c r="Z235" s="331">
        <v>0</v>
      </c>
      <c r="AA235" s="331">
        <v>0</v>
      </c>
      <c r="AB235" s="331">
        <v>0</v>
      </c>
      <c r="AC235" s="331">
        <v>0</v>
      </c>
      <c r="AD235" s="1025" t="b">
        <v>0</v>
      </c>
      <c r="AE235" s="331">
        <v>0</v>
      </c>
      <c r="AF235" s="331">
        <v>0</v>
      </c>
      <c r="AG235" s="331">
        <v>0</v>
      </c>
      <c r="AH235" s="331">
        <v>0</v>
      </c>
      <c r="AI235" s="1025" t="b">
        <v>0</v>
      </c>
      <c r="AJ235" s="331">
        <v>0</v>
      </c>
      <c r="AK235" s="331">
        <v>0</v>
      </c>
      <c r="AL235" s="331">
        <v>0</v>
      </c>
      <c r="AM235" s="331">
        <v>298.67</v>
      </c>
      <c r="AN235" s="1025" t="b">
        <v>0</v>
      </c>
      <c r="AO235" s="331">
        <v>0</v>
      </c>
      <c r="AP235" s="331">
        <v>0</v>
      </c>
      <c r="AQ235" s="331">
        <v>0</v>
      </c>
      <c r="AR235" s="331">
        <v>0</v>
      </c>
      <c r="AS235" s="1025" t="b">
        <v>0</v>
      </c>
      <c r="AT235" s="1025" t="b">
        <v>0</v>
      </c>
      <c r="AU235" s="331">
        <v>5042929</v>
      </c>
      <c r="AV235" s="491" t="s">
        <v>29</v>
      </c>
    </row>
    <row r="236" spans="1:48">
      <c r="A236" s="72">
        <v>19</v>
      </c>
      <c r="B236" s="391" t="s">
        <v>45</v>
      </c>
      <c r="C236" s="72">
        <f t="shared" si="9"/>
        <v>30</v>
      </c>
      <c r="D236" s="72" t="str">
        <f t="shared" si="10"/>
        <v>19-30</v>
      </c>
      <c r="E236" s="72">
        <v>64774</v>
      </c>
      <c r="F236" s="72" t="str">
        <f t="shared" si="11"/>
        <v>19-64774</v>
      </c>
      <c r="G236" s="391" t="s">
        <v>821</v>
      </c>
      <c r="H236" s="331">
        <v>14650.19</v>
      </c>
      <c r="I236" s="331">
        <v>13470.24</v>
      </c>
      <c r="J236" s="331">
        <v>13869.83</v>
      </c>
      <c r="K236" s="331">
        <v>16491.78</v>
      </c>
      <c r="L236" s="491" t="s">
        <v>29</v>
      </c>
      <c r="M236" s="491" t="s">
        <v>29</v>
      </c>
      <c r="N236" s="491" t="s">
        <v>29</v>
      </c>
      <c r="O236" s="491" t="s">
        <v>29</v>
      </c>
      <c r="P236" s="491">
        <v>0</v>
      </c>
      <c r="Q236" s="491">
        <v>0</v>
      </c>
      <c r="R236" s="491">
        <v>0</v>
      </c>
      <c r="S236" s="491">
        <v>0.4</v>
      </c>
      <c r="T236" s="1025" t="b">
        <v>0</v>
      </c>
      <c r="U236" s="491">
        <v>0</v>
      </c>
      <c r="V236" s="491">
        <v>0</v>
      </c>
      <c r="W236" s="491">
        <v>0</v>
      </c>
      <c r="X236" s="491">
        <v>0</v>
      </c>
      <c r="Y236" s="1025" t="b">
        <v>0</v>
      </c>
      <c r="Z236" s="331">
        <v>0</v>
      </c>
      <c r="AA236" s="331">
        <v>0</v>
      </c>
      <c r="AB236" s="331">
        <v>0</v>
      </c>
      <c r="AC236" s="331">
        <v>0</v>
      </c>
      <c r="AD236" s="1025" t="b">
        <v>0</v>
      </c>
      <c r="AE236" s="331">
        <v>0</v>
      </c>
      <c r="AF236" s="331">
        <v>0</v>
      </c>
      <c r="AG236" s="331">
        <v>0</v>
      </c>
      <c r="AH236" s="331">
        <v>0</v>
      </c>
      <c r="AI236" s="1025" t="b">
        <v>0</v>
      </c>
      <c r="AJ236" s="331">
        <v>0</v>
      </c>
      <c r="AK236" s="331">
        <v>0</v>
      </c>
      <c r="AL236" s="331">
        <v>0</v>
      </c>
      <c r="AM236" s="331">
        <v>0.99</v>
      </c>
      <c r="AN236" s="1025" t="b">
        <v>0</v>
      </c>
      <c r="AO236" s="331">
        <v>0</v>
      </c>
      <c r="AP236" s="331">
        <v>0</v>
      </c>
      <c r="AQ236" s="331">
        <v>0</v>
      </c>
      <c r="AR236" s="331">
        <v>0</v>
      </c>
      <c r="AS236" s="1025" t="b">
        <v>0</v>
      </c>
      <c r="AT236" s="1025" t="b">
        <v>0</v>
      </c>
      <c r="AU236" s="331">
        <v>22924</v>
      </c>
      <c r="AV236" s="491" t="s">
        <v>29</v>
      </c>
    </row>
    <row r="237" spans="1:48">
      <c r="A237" s="72">
        <v>19</v>
      </c>
      <c r="B237" s="391" t="s">
        <v>45</v>
      </c>
      <c r="C237" s="72">
        <f t="shared" si="9"/>
        <v>31</v>
      </c>
      <c r="D237" s="72" t="str">
        <f t="shared" si="10"/>
        <v>19-31</v>
      </c>
      <c r="E237" s="72">
        <v>64790</v>
      </c>
      <c r="F237" s="72" t="str">
        <f t="shared" si="11"/>
        <v>19-64790</v>
      </c>
      <c r="G237" s="391" t="s">
        <v>822</v>
      </c>
      <c r="H237" s="331">
        <v>11466.04</v>
      </c>
      <c r="I237" s="331">
        <v>10542.55</v>
      </c>
      <c r="J237" s="331">
        <v>10855.29</v>
      </c>
      <c r="K237" s="331">
        <v>12907.37</v>
      </c>
      <c r="L237" s="491" t="s">
        <v>29</v>
      </c>
      <c r="M237" s="491" t="s">
        <v>29</v>
      </c>
      <c r="N237" s="491" t="s">
        <v>29</v>
      </c>
      <c r="O237" s="491" t="s">
        <v>29</v>
      </c>
      <c r="P237" s="491">
        <v>0</v>
      </c>
      <c r="Q237" s="491">
        <v>0</v>
      </c>
      <c r="R237" s="491">
        <v>0</v>
      </c>
      <c r="S237" s="491">
        <v>1.24</v>
      </c>
      <c r="T237" s="1025" t="b">
        <v>0</v>
      </c>
      <c r="U237" s="491">
        <v>0</v>
      </c>
      <c r="V237" s="491">
        <v>0</v>
      </c>
      <c r="W237" s="491">
        <v>0</v>
      </c>
      <c r="X237" s="491">
        <v>0</v>
      </c>
      <c r="Y237" s="1025" t="b">
        <v>0</v>
      </c>
      <c r="Z237" s="331">
        <v>0</v>
      </c>
      <c r="AA237" s="331">
        <v>0</v>
      </c>
      <c r="AB237" s="331">
        <v>0</v>
      </c>
      <c r="AC237" s="331">
        <v>0</v>
      </c>
      <c r="AD237" s="1025" t="b">
        <v>0</v>
      </c>
      <c r="AE237" s="331">
        <v>0</v>
      </c>
      <c r="AF237" s="331">
        <v>0</v>
      </c>
      <c r="AG237" s="331">
        <v>0</v>
      </c>
      <c r="AH237" s="331">
        <v>0</v>
      </c>
      <c r="AI237" s="1025" t="b">
        <v>0</v>
      </c>
      <c r="AJ237" s="331">
        <v>0</v>
      </c>
      <c r="AK237" s="331">
        <v>0</v>
      </c>
      <c r="AL237" s="331">
        <v>0</v>
      </c>
      <c r="AM237" s="331">
        <v>2.9</v>
      </c>
      <c r="AN237" s="1025" t="b">
        <v>0</v>
      </c>
      <c r="AO237" s="331">
        <v>0</v>
      </c>
      <c r="AP237" s="331">
        <v>0</v>
      </c>
      <c r="AQ237" s="331">
        <v>0</v>
      </c>
      <c r="AR237" s="331">
        <v>0</v>
      </c>
      <c r="AS237" s="1025" t="b">
        <v>0</v>
      </c>
      <c r="AT237" s="1025" t="b">
        <v>0</v>
      </c>
      <c r="AU237" s="331">
        <v>53437</v>
      </c>
      <c r="AV237" s="491" t="s">
        <v>29</v>
      </c>
    </row>
    <row r="238" spans="1:48">
      <c r="A238" s="72">
        <v>19</v>
      </c>
      <c r="B238" s="391" t="s">
        <v>45</v>
      </c>
      <c r="C238" s="72">
        <f t="shared" si="9"/>
        <v>32</v>
      </c>
      <c r="D238" s="72" t="str">
        <f t="shared" si="10"/>
        <v>19-32</v>
      </c>
      <c r="E238" s="72">
        <v>64808</v>
      </c>
      <c r="F238" s="72" t="str">
        <f t="shared" si="11"/>
        <v>19-64808</v>
      </c>
      <c r="G238" s="391" t="s">
        <v>823</v>
      </c>
      <c r="H238" s="331">
        <v>13547.52</v>
      </c>
      <c r="I238" s="331">
        <v>12456.38</v>
      </c>
      <c r="J238" s="331">
        <v>12825.9</v>
      </c>
      <c r="K238" s="331">
        <v>15250.5</v>
      </c>
      <c r="L238" s="491" t="s">
        <v>29</v>
      </c>
      <c r="M238" s="491" t="s">
        <v>29</v>
      </c>
      <c r="N238" s="491" t="s">
        <v>29</v>
      </c>
      <c r="O238" s="491" t="s">
        <v>29</v>
      </c>
      <c r="P238" s="491">
        <v>0</v>
      </c>
      <c r="Q238" s="491">
        <v>0</v>
      </c>
      <c r="R238" s="491">
        <v>0.66</v>
      </c>
      <c r="S238" s="491">
        <v>2.4700000000000002</v>
      </c>
      <c r="T238" s="1025" t="b">
        <v>0</v>
      </c>
      <c r="U238" s="491">
        <v>0</v>
      </c>
      <c r="V238" s="491">
        <v>0</v>
      </c>
      <c r="W238" s="491">
        <v>0</v>
      </c>
      <c r="X238" s="491">
        <v>0</v>
      </c>
      <c r="Y238" s="1025" t="b">
        <v>0</v>
      </c>
      <c r="Z238" s="331">
        <v>0</v>
      </c>
      <c r="AA238" s="331">
        <v>0</v>
      </c>
      <c r="AB238" s="331">
        <v>0</v>
      </c>
      <c r="AC238" s="331">
        <v>0</v>
      </c>
      <c r="AD238" s="1025" t="b">
        <v>0</v>
      </c>
      <c r="AE238" s="331">
        <v>0</v>
      </c>
      <c r="AF238" s="331">
        <v>0</v>
      </c>
      <c r="AG238" s="331">
        <v>0</v>
      </c>
      <c r="AH238" s="331">
        <v>0</v>
      </c>
      <c r="AI238" s="1025" t="b">
        <v>0</v>
      </c>
      <c r="AJ238" s="331">
        <v>0</v>
      </c>
      <c r="AK238" s="331">
        <v>0</v>
      </c>
      <c r="AL238" s="331">
        <v>0</v>
      </c>
      <c r="AM238" s="331">
        <v>8.9700000000000006</v>
      </c>
      <c r="AN238" s="1025" t="b">
        <v>0</v>
      </c>
      <c r="AO238" s="331">
        <v>0</v>
      </c>
      <c r="AP238" s="331">
        <v>0</v>
      </c>
      <c r="AQ238" s="331">
        <v>0</v>
      </c>
      <c r="AR238" s="331">
        <v>0</v>
      </c>
      <c r="AS238" s="1025" t="b">
        <v>0</v>
      </c>
      <c r="AT238" s="1025" t="b">
        <v>0</v>
      </c>
      <c r="AU238" s="331">
        <v>182931</v>
      </c>
      <c r="AV238" s="491" t="s">
        <v>29</v>
      </c>
    </row>
    <row r="239" spans="1:48">
      <c r="A239" s="72">
        <v>19</v>
      </c>
      <c r="B239" s="391" t="s">
        <v>45</v>
      </c>
      <c r="C239" s="72">
        <f t="shared" si="9"/>
        <v>33</v>
      </c>
      <c r="D239" s="72" t="str">
        <f t="shared" si="10"/>
        <v>19-33</v>
      </c>
      <c r="E239" s="72">
        <v>64840</v>
      </c>
      <c r="F239" s="72" t="str">
        <f t="shared" si="11"/>
        <v>19-64840</v>
      </c>
      <c r="G239" s="391" t="s">
        <v>824</v>
      </c>
      <c r="H239" s="331">
        <v>12478.4</v>
      </c>
      <c r="I239" s="331">
        <v>11473.37</v>
      </c>
      <c r="J239" s="331">
        <v>11813.72</v>
      </c>
      <c r="K239" s="331">
        <v>14046.98</v>
      </c>
      <c r="L239" s="491" t="s">
        <v>29</v>
      </c>
      <c r="M239" s="491" t="s">
        <v>29</v>
      </c>
      <c r="N239" s="491" t="s">
        <v>29</v>
      </c>
      <c r="O239" s="491" t="s">
        <v>29</v>
      </c>
      <c r="P239" s="491">
        <v>0</v>
      </c>
      <c r="Q239" s="491">
        <v>0</v>
      </c>
      <c r="R239" s="491">
        <v>0.14000000000000001</v>
      </c>
      <c r="S239" s="491">
        <v>1.96</v>
      </c>
      <c r="T239" s="1025" t="b">
        <v>0</v>
      </c>
      <c r="U239" s="491">
        <v>0</v>
      </c>
      <c r="V239" s="491">
        <v>0</v>
      </c>
      <c r="W239" s="491">
        <v>0</v>
      </c>
      <c r="X239" s="491">
        <v>0</v>
      </c>
      <c r="Y239" s="1025" t="b">
        <v>0</v>
      </c>
      <c r="Z239" s="331">
        <v>0</v>
      </c>
      <c r="AA239" s="331">
        <v>0</v>
      </c>
      <c r="AB239" s="331">
        <v>0</v>
      </c>
      <c r="AC239" s="331">
        <v>0</v>
      </c>
      <c r="AD239" s="1025" t="b">
        <v>0</v>
      </c>
      <c r="AE239" s="331">
        <v>0</v>
      </c>
      <c r="AF239" s="331">
        <v>0</v>
      </c>
      <c r="AG239" s="331">
        <v>0</v>
      </c>
      <c r="AH239" s="331">
        <v>0</v>
      </c>
      <c r="AI239" s="1025" t="b">
        <v>0</v>
      </c>
      <c r="AJ239" s="331">
        <v>0</v>
      </c>
      <c r="AK239" s="331">
        <v>0</v>
      </c>
      <c r="AL239" s="331">
        <v>0</v>
      </c>
      <c r="AM239" s="331">
        <v>0</v>
      </c>
      <c r="AN239" s="1025" t="b">
        <v>0</v>
      </c>
      <c r="AO239" s="331">
        <v>0</v>
      </c>
      <c r="AP239" s="331">
        <v>0</v>
      </c>
      <c r="AQ239" s="331">
        <v>0</v>
      </c>
      <c r="AR239" s="331">
        <v>0</v>
      </c>
      <c r="AS239" s="1025" t="b">
        <v>0</v>
      </c>
      <c r="AT239" s="1025" t="b">
        <v>0</v>
      </c>
      <c r="AU239" s="331">
        <v>29186</v>
      </c>
      <c r="AV239" s="491" t="s">
        <v>29</v>
      </c>
    </row>
    <row r="240" spans="1:48">
      <c r="A240" s="72">
        <v>19</v>
      </c>
      <c r="B240" s="391" t="s">
        <v>45</v>
      </c>
      <c r="C240" s="72">
        <f t="shared" si="9"/>
        <v>34</v>
      </c>
      <c r="D240" s="72" t="str">
        <f t="shared" si="10"/>
        <v>19-34</v>
      </c>
      <c r="E240" s="72">
        <v>64873</v>
      </c>
      <c r="F240" s="72" t="str">
        <f t="shared" si="11"/>
        <v>19-64873</v>
      </c>
      <c r="G240" s="391" t="s">
        <v>825</v>
      </c>
      <c r="H240" s="331">
        <v>14612.34</v>
      </c>
      <c r="I240" s="331">
        <v>13435.44</v>
      </c>
      <c r="J240" s="331">
        <v>13834</v>
      </c>
      <c r="K240" s="331">
        <v>16449.169999999998</v>
      </c>
      <c r="L240" s="491" t="s">
        <v>29</v>
      </c>
      <c r="M240" s="491" t="s">
        <v>29</v>
      </c>
      <c r="N240" s="491" t="s">
        <v>29</v>
      </c>
      <c r="O240" s="491" t="s">
        <v>29</v>
      </c>
      <c r="P240" s="491">
        <v>0</v>
      </c>
      <c r="Q240" s="491">
        <v>0</v>
      </c>
      <c r="R240" s="491">
        <v>0</v>
      </c>
      <c r="S240" s="491">
        <v>1.2</v>
      </c>
      <c r="T240" s="1025" t="b">
        <v>0</v>
      </c>
      <c r="U240" s="491">
        <v>0</v>
      </c>
      <c r="V240" s="491">
        <v>0</v>
      </c>
      <c r="W240" s="491">
        <v>0</v>
      </c>
      <c r="X240" s="491">
        <v>0</v>
      </c>
      <c r="Y240" s="1025" t="b">
        <v>0</v>
      </c>
      <c r="Z240" s="331">
        <v>0</v>
      </c>
      <c r="AA240" s="331">
        <v>0</v>
      </c>
      <c r="AB240" s="331">
        <v>0</v>
      </c>
      <c r="AC240" s="331">
        <v>0</v>
      </c>
      <c r="AD240" s="1025" t="b">
        <v>0</v>
      </c>
      <c r="AE240" s="331">
        <v>0</v>
      </c>
      <c r="AF240" s="331">
        <v>0</v>
      </c>
      <c r="AG240" s="331">
        <v>0</v>
      </c>
      <c r="AH240" s="331">
        <v>0</v>
      </c>
      <c r="AI240" s="1025" t="b">
        <v>0</v>
      </c>
      <c r="AJ240" s="331">
        <v>0</v>
      </c>
      <c r="AK240" s="331">
        <v>0</v>
      </c>
      <c r="AL240" s="331">
        <v>0</v>
      </c>
      <c r="AM240" s="331">
        <v>2.87</v>
      </c>
      <c r="AN240" s="1025" t="b">
        <v>0</v>
      </c>
      <c r="AO240" s="331">
        <v>0</v>
      </c>
      <c r="AP240" s="331">
        <v>0</v>
      </c>
      <c r="AQ240" s="331">
        <v>0</v>
      </c>
      <c r="AR240" s="331">
        <v>0</v>
      </c>
      <c r="AS240" s="1025" t="b">
        <v>0</v>
      </c>
      <c r="AT240" s="1025" t="b">
        <v>0</v>
      </c>
      <c r="AU240" s="331">
        <v>66948</v>
      </c>
      <c r="AV240" s="491" t="s">
        <v>29</v>
      </c>
    </row>
    <row r="241" spans="1:48">
      <c r="A241" s="72">
        <v>19</v>
      </c>
      <c r="B241" s="391" t="s">
        <v>45</v>
      </c>
      <c r="C241" s="72">
        <f t="shared" si="9"/>
        <v>35</v>
      </c>
      <c r="D241" s="72" t="str">
        <f t="shared" si="10"/>
        <v>19-35</v>
      </c>
      <c r="E241" s="72">
        <v>64881</v>
      </c>
      <c r="F241" s="72" t="str">
        <f t="shared" si="11"/>
        <v>19-64881</v>
      </c>
      <c r="G241" s="391" t="s">
        <v>826</v>
      </c>
      <c r="H241" s="331">
        <v>12487.86</v>
      </c>
      <c r="I241" s="331">
        <v>11482.07</v>
      </c>
      <c r="J241" s="331">
        <v>11822.68</v>
      </c>
      <c r="K241" s="331">
        <v>14057.63</v>
      </c>
      <c r="L241" s="491" t="s">
        <v>29</v>
      </c>
      <c r="M241" s="491" t="s">
        <v>29</v>
      </c>
      <c r="N241" s="491" t="s">
        <v>29</v>
      </c>
      <c r="O241" s="491" t="s">
        <v>29</v>
      </c>
      <c r="P241" s="491">
        <v>0</v>
      </c>
      <c r="Q241" s="491">
        <v>0</v>
      </c>
      <c r="R241" s="491">
        <v>0</v>
      </c>
      <c r="S241" s="491">
        <v>0</v>
      </c>
      <c r="T241" s="1025" t="b">
        <v>0</v>
      </c>
      <c r="U241" s="491">
        <v>0</v>
      </c>
      <c r="V241" s="491">
        <v>0</v>
      </c>
      <c r="W241" s="491">
        <v>0</v>
      </c>
      <c r="X241" s="491">
        <v>0</v>
      </c>
      <c r="Y241" s="1025" t="b">
        <v>0</v>
      </c>
      <c r="Z241" s="331">
        <v>0</v>
      </c>
      <c r="AA241" s="331">
        <v>0</v>
      </c>
      <c r="AB241" s="331">
        <v>0</v>
      </c>
      <c r="AC241" s="331">
        <v>0</v>
      </c>
      <c r="AD241" s="1025" t="b">
        <v>0</v>
      </c>
      <c r="AE241" s="331">
        <v>0</v>
      </c>
      <c r="AF241" s="331">
        <v>0</v>
      </c>
      <c r="AG241" s="331">
        <v>0</v>
      </c>
      <c r="AH241" s="331">
        <v>0</v>
      </c>
      <c r="AI241" s="1025" t="b">
        <v>0</v>
      </c>
      <c r="AJ241" s="331">
        <v>0</v>
      </c>
      <c r="AK241" s="331">
        <v>0</v>
      </c>
      <c r="AL241" s="331">
        <v>0</v>
      </c>
      <c r="AM241" s="331">
        <v>37.51</v>
      </c>
      <c r="AN241" s="1025" t="b">
        <v>0</v>
      </c>
      <c r="AO241" s="331">
        <v>0</v>
      </c>
      <c r="AP241" s="331">
        <v>0</v>
      </c>
      <c r="AQ241" s="331">
        <v>0</v>
      </c>
      <c r="AR241" s="331">
        <v>0</v>
      </c>
      <c r="AS241" s="1025" t="b">
        <v>0</v>
      </c>
      <c r="AT241" s="1025" t="b">
        <v>0</v>
      </c>
      <c r="AU241" s="331">
        <v>527302</v>
      </c>
      <c r="AV241" s="491" t="s">
        <v>29</v>
      </c>
    </row>
    <row r="242" spans="1:48">
      <c r="A242" s="72">
        <v>19</v>
      </c>
      <c r="B242" s="391" t="s">
        <v>45</v>
      </c>
      <c r="C242" s="72">
        <f t="shared" si="9"/>
        <v>36</v>
      </c>
      <c r="D242" s="72" t="str">
        <f t="shared" si="10"/>
        <v>19-36</v>
      </c>
      <c r="E242" s="72">
        <v>64907</v>
      </c>
      <c r="F242" s="72" t="str">
        <f t="shared" si="11"/>
        <v>19-64907</v>
      </c>
      <c r="G242" s="391" t="s">
        <v>827</v>
      </c>
      <c r="H242" s="331">
        <v>14387.85</v>
      </c>
      <c r="I242" s="331">
        <v>13229.03</v>
      </c>
      <c r="J242" s="331">
        <v>13621.47</v>
      </c>
      <c r="K242" s="331">
        <v>16196.46</v>
      </c>
      <c r="L242" s="491" t="s">
        <v>29</v>
      </c>
      <c r="M242" s="491" t="s">
        <v>29</v>
      </c>
      <c r="N242" s="491" t="s">
        <v>29</v>
      </c>
      <c r="O242" s="491" t="s">
        <v>29</v>
      </c>
      <c r="P242" s="491">
        <v>0</v>
      </c>
      <c r="Q242" s="491">
        <v>0</v>
      </c>
      <c r="R242" s="491">
        <v>0</v>
      </c>
      <c r="S242" s="491">
        <v>0</v>
      </c>
      <c r="T242" s="1025" t="b">
        <v>0</v>
      </c>
      <c r="U242" s="491">
        <v>0</v>
      </c>
      <c r="V242" s="491">
        <v>0</v>
      </c>
      <c r="W242" s="491">
        <v>0</v>
      </c>
      <c r="X242" s="491">
        <v>0</v>
      </c>
      <c r="Y242" s="1025" t="b">
        <v>0</v>
      </c>
      <c r="Z242" s="331">
        <v>0</v>
      </c>
      <c r="AA242" s="331">
        <v>0</v>
      </c>
      <c r="AB242" s="331">
        <v>0</v>
      </c>
      <c r="AC242" s="331">
        <v>0</v>
      </c>
      <c r="AD242" s="1025" t="b">
        <v>0</v>
      </c>
      <c r="AE242" s="331">
        <v>0</v>
      </c>
      <c r="AF242" s="331">
        <v>0</v>
      </c>
      <c r="AG242" s="331">
        <v>0</v>
      </c>
      <c r="AH242" s="331">
        <v>0</v>
      </c>
      <c r="AI242" s="1025" t="b">
        <v>0</v>
      </c>
      <c r="AJ242" s="331">
        <v>0</v>
      </c>
      <c r="AK242" s="331">
        <v>0</v>
      </c>
      <c r="AL242" s="331">
        <v>0</v>
      </c>
      <c r="AM242" s="331">
        <v>101.52</v>
      </c>
      <c r="AN242" s="1025" t="b">
        <v>0</v>
      </c>
      <c r="AO242" s="331">
        <v>0</v>
      </c>
      <c r="AP242" s="331">
        <v>0</v>
      </c>
      <c r="AQ242" s="331">
        <v>0</v>
      </c>
      <c r="AR242" s="331">
        <v>0</v>
      </c>
      <c r="AS242" s="1025" t="b">
        <v>0</v>
      </c>
      <c r="AT242" s="1025" t="b">
        <v>0</v>
      </c>
      <c r="AU242" s="331">
        <v>1644265</v>
      </c>
      <c r="AV242" s="491" t="s">
        <v>29</v>
      </c>
    </row>
    <row r="243" spans="1:48">
      <c r="A243" s="72">
        <v>19</v>
      </c>
      <c r="B243" s="391" t="s">
        <v>45</v>
      </c>
      <c r="C243" s="72">
        <f t="shared" si="9"/>
        <v>37</v>
      </c>
      <c r="D243" s="72" t="str">
        <f t="shared" si="10"/>
        <v>19-37</v>
      </c>
      <c r="E243" s="72">
        <v>64964</v>
      </c>
      <c r="F243" s="72" t="str">
        <f t="shared" si="11"/>
        <v>19-64964</v>
      </c>
      <c r="G243" s="391" t="s">
        <v>828</v>
      </c>
      <c r="H243" s="331">
        <v>10454.950000000001</v>
      </c>
      <c r="I243" s="331">
        <v>9612.89</v>
      </c>
      <c r="J243" s="331">
        <v>9898.06</v>
      </c>
      <c r="K243" s="331">
        <v>11769.18</v>
      </c>
      <c r="L243" s="491" t="s">
        <v>29</v>
      </c>
      <c r="M243" s="491" t="s">
        <v>29</v>
      </c>
      <c r="N243" s="491" t="s">
        <v>29</v>
      </c>
      <c r="O243" s="491" t="s">
        <v>29</v>
      </c>
      <c r="P243" s="491">
        <v>0</v>
      </c>
      <c r="Q243" s="491">
        <v>0</v>
      </c>
      <c r="R243" s="491">
        <v>0</v>
      </c>
      <c r="S243" s="491">
        <v>0</v>
      </c>
      <c r="T243" s="1025" t="b">
        <v>0</v>
      </c>
      <c r="U243" s="491">
        <v>0</v>
      </c>
      <c r="V243" s="491">
        <v>0</v>
      </c>
      <c r="W243" s="491">
        <v>0</v>
      </c>
      <c r="X243" s="491">
        <v>0</v>
      </c>
      <c r="Y243" s="1025" t="b">
        <v>0</v>
      </c>
      <c r="Z243" s="331">
        <v>0</v>
      </c>
      <c r="AA243" s="331">
        <v>0</v>
      </c>
      <c r="AB243" s="331">
        <v>0</v>
      </c>
      <c r="AC243" s="331">
        <v>0</v>
      </c>
      <c r="AD243" s="1025" t="b">
        <v>0</v>
      </c>
      <c r="AE243" s="331">
        <v>0</v>
      </c>
      <c r="AF243" s="331">
        <v>0</v>
      </c>
      <c r="AG243" s="331">
        <v>0</v>
      </c>
      <c r="AH243" s="331">
        <v>0</v>
      </c>
      <c r="AI243" s="1025" t="b">
        <v>0</v>
      </c>
      <c r="AJ243" s="331">
        <v>0</v>
      </c>
      <c r="AK243" s="331">
        <v>0</v>
      </c>
      <c r="AL243" s="331">
        <v>0</v>
      </c>
      <c r="AM243" s="331">
        <v>8.93</v>
      </c>
      <c r="AN243" s="1025" t="b">
        <v>0</v>
      </c>
      <c r="AO243" s="331">
        <v>0</v>
      </c>
      <c r="AP243" s="331">
        <v>0</v>
      </c>
      <c r="AQ243" s="331">
        <v>0</v>
      </c>
      <c r="AR243" s="331">
        <v>0</v>
      </c>
      <c r="AS243" s="1025" t="b">
        <v>0</v>
      </c>
      <c r="AT243" s="1025" t="b">
        <v>0</v>
      </c>
      <c r="AU243" s="331">
        <v>105099</v>
      </c>
      <c r="AV243" s="491" t="s">
        <v>29</v>
      </c>
    </row>
    <row r="244" spans="1:48">
      <c r="A244" s="72">
        <v>19</v>
      </c>
      <c r="B244" s="391" t="s">
        <v>45</v>
      </c>
      <c r="C244" s="72">
        <f t="shared" si="9"/>
        <v>38</v>
      </c>
      <c r="D244" s="72" t="str">
        <f t="shared" si="10"/>
        <v>19-38</v>
      </c>
      <c r="E244" s="72">
        <v>64980</v>
      </c>
      <c r="F244" s="72" t="str">
        <f t="shared" si="11"/>
        <v>19-64980</v>
      </c>
      <c r="G244" s="391" t="s">
        <v>829</v>
      </c>
      <c r="H244" s="331">
        <v>10679.79</v>
      </c>
      <c r="I244" s="331">
        <v>9819.6299999999992</v>
      </c>
      <c r="J244" s="331">
        <v>10110.92</v>
      </c>
      <c r="K244" s="331">
        <v>12022.29</v>
      </c>
      <c r="L244" s="491" t="s">
        <v>29</v>
      </c>
      <c r="M244" s="491" t="s">
        <v>29</v>
      </c>
      <c r="N244" s="491" t="s">
        <v>29</v>
      </c>
      <c r="O244" s="491" t="s">
        <v>29</v>
      </c>
      <c r="P244" s="491">
        <v>0</v>
      </c>
      <c r="Q244" s="491">
        <v>0</v>
      </c>
      <c r="R244" s="491">
        <v>0.9</v>
      </c>
      <c r="S244" s="491">
        <v>0</v>
      </c>
      <c r="T244" s="1025" t="b">
        <v>0</v>
      </c>
      <c r="U244" s="491">
        <v>0</v>
      </c>
      <c r="V244" s="491">
        <v>0</v>
      </c>
      <c r="W244" s="491">
        <v>0</v>
      </c>
      <c r="X244" s="491">
        <v>0</v>
      </c>
      <c r="Y244" s="1025" t="b">
        <v>0</v>
      </c>
      <c r="Z244" s="331">
        <v>0</v>
      </c>
      <c r="AA244" s="331">
        <v>0</v>
      </c>
      <c r="AB244" s="331">
        <v>0</v>
      </c>
      <c r="AC244" s="331">
        <v>0</v>
      </c>
      <c r="AD244" s="1025" t="b">
        <v>0</v>
      </c>
      <c r="AE244" s="331">
        <v>0</v>
      </c>
      <c r="AF244" s="331">
        <v>0</v>
      </c>
      <c r="AG244" s="331">
        <v>0</v>
      </c>
      <c r="AH244" s="331">
        <v>0</v>
      </c>
      <c r="AI244" s="1025" t="b">
        <v>0</v>
      </c>
      <c r="AJ244" s="331">
        <v>0</v>
      </c>
      <c r="AK244" s="331">
        <v>0</v>
      </c>
      <c r="AL244" s="331">
        <v>0</v>
      </c>
      <c r="AM244" s="331">
        <v>8.6300000000000008</v>
      </c>
      <c r="AN244" s="1025" t="b">
        <v>0</v>
      </c>
      <c r="AO244" s="331">
        <v>0</v>
      </c>
      <c r="AP244" s="331">
        <v>0</v>
      </c>
      <c r="AQ244" s="331">
        <v>0</v>
      </c>
      <c r="AR244" s="331">
        <v>0</v>
      </c>
      <c r="AS244" s="1025" t="b">
        <v>0</v>
      </c>
      <c r="AT244" s="1025" t="b">
        <v>0</v>
      </c>
      <c r="AU244" s="331">
        <v>112852</v>
      </c>
      <c r="AV244" s="491" t="s">
        <v>29</v>
      </c>
    </row>
    <row r="245" spans="1:48">
      <c r="A245" s="72">
        <v>19</v>
      </c>
      <c r="B245" s="391" t="s">
        <v>45</v>
      </c>
      <c r="C245" s="72">
        <f t="shared" si="9"/>
        <v>39</v>
      </c>
      <c r="D245" s="72" t="str">
        <f t="shared" si="10"/>
        <v>19-39</v>
      </c>
      <c r="E245" s="72">
        <v>65029</v>
      </c>
      <c r="F245" s="72" t="str">
        <f t="shared" si="11"/>
        <v>19-65029</v>
      </c>
      <c r="G245" s="391" t="s">
        <v>830</v>
      </c>
      <c r="H245" s="331">
        <v>10512.83</v>
      </c>
      <c r="I245" s="331">
        <v>9666.11</v>
      </c>
      <c r="J245" s="331">
        <v>9952.85</v>
      </c>
      <c r="K245" s="331">
        <v>11834.34</v>
      </c>
      <c r="L245" s="491" t="s">
        <v>29</v>
      </c>
      <c r="M245" s="491" t="s">
        <v>29</v>
      </c>
      <c r="N245" s="491" t="s">
        <v>29</v>
      </c>
      <c r="O245" s="491" t="s">
        <v>29</v>
      </c>
      <c r="P245" s="491">
        <v>0</v>
      </c>
      <c r="Q245" s="491">
        <v>0</v>
      </c>
      <c r="R245" s="491">
        <v>0</v>
      </c>
      <c r="S245" s="491">
        <v>0.17</v>
      </c>
      <c r="T245" s="1025" t="b">
        <v>0</v>
      </c>
      <c r="U245" s="491">
        <v>0</v>
      </c>
      <c r="V245" s="491">
        <v>0</v>
      </c>
      <c r="W245" s="491">
        <v>0</v>
      </c>
      <c r="X245" s="491">
        <v>0</v>
      </c>
      <c r="Y245" s="1025" t="b">
        <v>0</v>
      </c>
      <c r="Z245" s="331">
        <v>0</v>
      </c>
      <c r="AA245" s="331">
        <v>0</v>
      </c>
      <c r="AB245" s="331">
        <v>0</v>
      </c>
      <c r="AC245" s="331">
        <v>0</v>
      </c>
      <c r="AD245" s="1025" t="b">
        <v>0</v>
      </c>
      <c r="AE245" s="331">
        <v>0</v>
      </c>
      <c r="AF245" s="331">
        <v>0</v>
      </c>
      <c r="AG245" s="331">
        <v>0</v>
      </c>
      <c r="AH245" s="331">
        <v>0</v>
      </c>
      <c r="AI245" s="1025" t="b">
        <v>0</v>
      </c>
      <c r="AJ245" s="331">
        <v>0</v>
      </c>
      <c r="AK245" s="331">
        <v>0</v>
      </c>
      <c r="AL245" s="331">
        <v>0</v>
      </c>
      <c r="AM245" s="331">
        <v>21.56</v>
      </c>
      <c r="AN245" s="1025" t="b">
        <v>0</v>
      </c>
      <c r="AO245" s="331">
        <v>0</v>
      </c>
      <c r="AP245" s="331">
        <v>0</v>
      </c>
      <c r="AQ245" s="331">
        <v>0</v>
      </c>
      <c r="AR245" s="331">
        <v>0</v>
      </c>
      <c r="AS245" s="1025" t="b">
        <v>0</v>
      </c>
      <c r="AT245" s="1025" t="b">
        <v>0</v>
      </c>
      <c r="AU245" s="331">
        <v>257160</v>
      </c>
      <c r="AV245" s="491" t="s">
        <v>29</v>
      </c>
    </row>
    <row r="246" spans="1:48">
      <c r="A246" s="72">
        <v>19</v>
      </c>
      <c r="B246" s="391" t="s">
        <v>45</v>
      </c>
      <c r="C246" s="72">
        <f t="shared" si="9"/>
        <v>40</v>
      </c>
      <c r="D246" s="72" t="str">
        <f t="shared" si="10"/>
        <v>19-40</v>
      </c>
      <c r="E246" s="72">
        <v>65052</v>
      </c>
      <c r="F246" s="72" t="str">
        <f t="shared" si="11"/>
        <v>19-65052</v>
      </c>
      <c r="G246" s="391" t="s">
        <v>831</v>
      </c>
      <c r="H246" s="331">
        <v>11098.32</v>
      </c>
      <c r="I246" s="331">
        <v>10204.44</v>
      </c>
      <c r="J246" s="331">
        <v>10507.15</v>
      </c>
      <c r="K246" s="331">
        <v>12493.42</v>
      </c>
      <c r="L246" s="491" t="s">
        <v>29</v>
      </c>
      <c r="M246" s="491" t="s">
        <v>29</v>
      </c>
      <c r="N246" s="491" t="s">
        <v>29</v>
      </c>
      <c r="O246" s="491" t="s">
        <v>29</v>
      </c>
      <c r="P246" s="491">
        <v>0</v>
      </c>
      <c r="Q246" s="491">
        <v>0</v>
      </c>
      <c r="R246" s="491">
        <v>0</v>
      </c>
      <c r="S246" s="491">
        <v>0</v>
      </c>
      <c r="T246" s="1025" t="b">
        <v>0</v>
      </c>
      <c r="U246" s="491">
        <v>0</v>
      </c>
      <c r="V246" s="491">
        <v>0</v>
      </c>
      <c r="W246" s="491">
        <v>0</v>
      </c>
      <c r="X246" s="491">
        <v>0</v>
      </c>
      <c r="Y246" s="1025" t="b">
        <v>0</v>
      </c>
      <c r="Z246" s="331">
        <v>0</v>
      </c>
      <c r="AA246" s="331">
        <v>0</v>
      </c>
      <c r="AB246" s="331">
        <v>0</v>
      </c>
      <c r="AC246" s="331">
        <v>0</v>
      </c>
      <c r="AD246" s="1025" t="b">
        <v>0</v>
      </c>
      <c r="AE246" s="331">
        <v>0</v>
      </c>
      <c r="AF246" s="331">
        <v>0</v>
      </c>
      <c r="AG246" s="331">
        <v>0</v>
      </c>
      <c r="AH246" s="331">
        <v>0</v>
      </c>
      <c r="AI246" s="1025" t="b">
        <v>0</v>
      </c>
      <c r="AJ246" s="331">
        <v>0</v>
      </c>
      <c r="AK246" s="331">
        <v>0</v>
      </c>
      <c r="AL246" s="331">
        <v>0</v>
      </c>
      <c r="AM246" s="331">
        <v>5.03</v>
      </c>
      <c r="AN246" s="1025" t="b">
        <v>0</v>
      </c>
      <c r="AO246" s="331">
        <v>0</v>
      </c>
      <c r="AP246" s="331">
        <v>0</v>
      </c>
      <c r="AQ246" s="331">
        <v>0</v>
      </c>
      <c r="AR246" s="331">
        <v>0</v>
      </c>
      <c r="AS246" s="1025" t="b">
        <v>0</v>
      </c>
      <c r="AT246" s="1025" t="b">
        <v>0</v>
      </c>
      <c r="AU246" s="331">
        <v>62842</v>
      </c>
      <c r="AV246" s="491" t="s">
        <v>29</v>
      </c>
    </row>
    <row r="247" spans="1:48">
      <c r="A247" s="72">
        <v>19</v>
      </c>
      <c r="B247" s="391" t="s">
        <v>45</v>
      </c>
      <c r="C247" s="72">
        <f t="shared" si="9"/>
        <v>41</v>
      </c>
      <c r="D247" s="72" t="str">
        <f t="shared" si="10"/>
        <v>19-41</v>
      </c>
      <c r="E247" s="72">
        <v>65060</v>
      </c>
      <c r="F247" s="72" t="str">
        <f t="shared" si="11"/>
        <v>19-65060</v>
      </c>
      <c r="G247" s="391" t="s">
        <v>832</v>
      </c>
      <c r="H247" s="331">
        <v>10872.26</v>
      </c>
      <c r="I247" s="331">
        <v>9996.59</v>
      </c>
      <c r="J247" s="331">
        <v>10293.14</v>
      </c>
      <c r="K247" s="331">
        <v>12238.95</v>
      </c>
      <c r="L247" s="491" t="s">
        <v>29</v>
      </c>
      <c r="M247" s="491" t="s">
        <v>29</v>
      </c>
      <c r="N247" s="491" t="s">
        <v>29</v>
      </c>
      <c r="O247" s="491" t="s">
        <v>29</v>
      </c>
      <c r="P247" s="491">
        <v>0</v>
      </c>
      <c r="Q247" s="491">
        <v>0</v>
      </c>
      <c r="R247" s="491">
        <v>0</v>
      </c>
      <c r="S247" s="491">
        <v>1.0900000000000001</v>
      </c>
      <c r="T247" s="1025" t="b">
        <v>0</v>
      </c>
      <c r="U247" s="491">
        <v>0</v>
      </c>
      <c r="V247" s="491">
        <v>0</v>
      </c>
      <c r="W247" s="491">
        <v>0</v>
      </c>
      <c r="X247" s="491">
        <v>0</v>
      </c>
      <c r="Y247" s="1025" t="b">
        <v>0</v>
      </c>
      <c r="Z247" s="331">
        <v>0</v>
      </c>
      <c r="AA247" s="331">
        <v>0</v>
      </c>
      <c r="AB247" s="331">
        <v>0</v>
      </c>
      <c r="AC247" s="331">
        <v>0</v>
      </c>
      <c r="AD247" s="1025" t="b">
        <v>0</v>
      </c>
      <c r="AE247" s="331">
        <v>0</v>
      </c>
      <c r="AF247" s="331">
        <v>0</v>
      </c>
      <c r="AG247" s="331">
        <v>0</v>
      </c>
      <c r="AH247" s="331">
        <v>0</v>
      </c>
      <c r="AI247" s="1025" t="b">
        <v>0</v>
      </c>
      <c r="AJ247" s="331">
        <v>0</v>
      </c>
      <c r="AK247" s="331">
        <v>0</v>
      </c>
      <c r="AL247" s="331">
        <v>0</v>
      </c>
      <c r="AM247" s="331">
        <v>3.03</v>
      </c>
      <c r="AN247" s="1025" t="b">
        <v>0</v>
      </c>
      <c r="AO247" s="331">
        <v>0</v>
      </c>
      <c r="AP247" s="331">
        <v>0</v>
      </c>
      <c r="AQ247" s="331">
        <v>0</v>
      </c>
      <c r="AR247" s="331">
        <v>0</v>
      </c>
      <c r="AS247" s="1025" t="b">
        <v>0</v>
      </c>
      <c r="AT247" s="1025" t="b">
        <v>0</v>
      </c>
      <c r="AU247" s="331">
        <v>50424</v>
      </c>
      <c r="AV247" s="491" t="s">
        <v>29</v>
      </c>
    </row>
    <row r="248" spans="1:48">
      <c r="A248" s="72">
        <v>19</v>
      </c>
      <c r="B248" s="391" t="s">
        <v>45</v>
      </c>
      <c r="C248" s="72">
        <f t="shared" si="9"/>
        <v>42</v>
      </c>
      <c r="D248" s="72" t="str">
        <f t="shared" si="10"/>
        <v>19-42</v>
      </c>
      <c r="E248" s="72">
        <v>65094</v>
      </c>
      <c r="F248" s="72" t="str">
        <f t="shared" si="11"/>
        <v>19-65094</v>
      </c>
      <c r="G248" s="391" t="s">
        <v>833</v>
      </c>
      <c r="H248" s="331">
        <v>12719.23</v>
      </c>
      <c r="I248" s="331">
        <v>11694.8</v>
      </c>
      <c r="J248" s="331">
        <v>12041.72</v>
      </c>
      <c r="K248" s="331">
        <v>14318.09</v>
      </c>
      <c r="L248" s="491" t="s">
        <v>29</v>
      </c>
      <c r="M248" s="491" t="s">
        <v>29</v>
      </c>
      <c r="N248" s="491" t="s">
        <v>29</v>
      </c>
      <c r="O248" s="491" t="s">
        <v>29</v>
      </c>
      <c r="P248" s="491">
        <v>0</v>
      </c>
      <c r="Q248" s="491">
        <v>0</v>
      </c>
      <c r="R248" s="491">
        <v>0</v>
      </c>
      <c r="S248" s="491">
        <v>0</v>
      </c>
      <c r="T248" s="1025" t="b">
        <v>0</v>
      </c>
      <c r="U248" s="491">
        <v>0</v>
      </c>
      <c r="V248" s="491">
        <v>0</v>
      </c>
      <c r="W248" s="491">
        <v>0</v>
      </c>
      <c r="X248" s="491">
        <v>0</v>
      </c>
      <c r="Y248" s="1025" t="b">
        <v>0</v>
      </c>
      <c r="Z248" s="331">
        <v>0</v>
      </c>
      <c r="AA248" s="331">
        <v>0</v>
      </c>
      <c r="AB248" s="331">
        <v>0</v>
      </c>
      <c r="AC248" s="331">
        <v>0</v>
      </c>
      <c r="AD248" s="1025" t="b">
        <v>0</v>
      </c>
      <c r="AE248" s="331">
        <v>0</v>
      </c>
      <c r="AF248" s="331">
        <v>0</v>
      </c>
      <c r="AG248" s="331">
        <v>0</v>
      </c>
      <c r="AH248" s="331">
        <v>0</v>
      </c>
      <c r="AI248" s="1025" t="b">
        <v>0</v>
      </c>
      <c r="AJ248" s="331">
        <v>0</v>
      </c>
      <c r="AK248" s="331">
        <v>0</v>
      </c>
      <c r="AL248" s="331">
        <v>0</v>
      </c>
      <c r="AM248" s="331">
        <v>19.09</v>
      </c>
      <c r="AN248" s="1025" t="b">
        <v>0</v>
      </c>
      <c r="AO248" s="331">
        <v>0</v>
      </c>
      <c r="AP248" s="331">
        <v>0</v>
      </c>
      <c r="AQ248" s="331">
        <v>0</v>
      </c>
      <c r="AR248" s="331">
        <v>0</v>
      </c>
      <c r="AS248" s="1025" t="b">
        <v>0</v>
      </c>
      <c r="AT248" s="1025" t="b">
        <v>0</v>
      </c>
      <c r="AU248" s="331">
        <v>273332</v>
      </c>
      <c r="AV248" s="491" t="s">
        <v>29</v>
      </c>
    </row>
    <row r="249" spans="1:48">
      <c r="A249" s="72">
        <v>19</v>
      </c>
      <c r="B249" s="391" t="s">
        <v>45</v>
      </c>
      <c r="C249" s="72">
        <f t="shared" si="9"/>
        <v>43</v>
      </c>
      <c r="D249" s="72" t="str">
        <f t="shared" si="10"/>
        <v>19-43</v>
      </c>
      <c r="E249" s="72">
        <v>65110</v>
      </c>
      <c r="F249" s="72" t="str">
        <f t="shared" si="11"/>
        <v>19-65110</v>
      </c>
      <c r="G249" s="391" t="s">
        <v>936</v>
      </c>
      <c r="H249" s="331">
        <v>12903.29</v>
      </c>
      <c r="I249" s="331">
        <v>11864.04</v>
      </c>
      <c r="J249" s="331">
        <v>12215.98</v>
      </c>
      <c r="K249" s="331">
        <v>14525.29</v>
      </c>
      <c r="L249" s="491" t="s">
        <v>29</v>
      </c>
      <c r="M249" s="491" t="s">
        <v>29</v>
      </c>
      <c r="N249" s="491" t="s">
        <v>29</v>
      </c>
      <c r="O249" s="491" t="s">
        <v>29</v>
      </c>
      <c r="P249" s="491">
        <v>0</v>
      </c>
      <c r="Q249" s="491">
        <v>0</v>
      </c>
      <c r="R249" s="491">
        <v>0.13</v>
      </c>
      <c r="S249" s="491">
        <v>0</v>
      </c>
      <c r="T249" s="1025" t="b">
        <v>0</v>
      </c>
      <c r="U249" s="491">
        <v>0</v>
      </c>
      <c r="V249" s="491">
        <v>0</v>
      </c>
      <c r="W249" s="491">
        <v>0</v>
      </c>
      <c r="X249" s="491">
        <v>0</v>
      </c>
      <c r="Y249" s="1025" t="b">
        <v>0</v>
      </c>
      <c r="Z249" s="331">
        <v>0</v>
      </c>
      <c r="AA249" s="331">
        <v>0</v>
      </c>
      <c r="AB249" s="331">
        <v>0</v>
      </c>
      <c r="AC249" s="331">
        <v>0</v>
      </c>
      <c r="AD249" s="1025" t="b">
        <v>0</v>
      </c>
      <c r="AE249" s="331">
        <v>0</v>
      </c>
      <c r="AF249" s="331">
        <v>0</v>
      </c>
      <c r="AG249" s="331">
        <v>0</v>
      </c>
      <c r="AH249" s="331">
        <v>0</v>
      </c>
      <c r="AI249" s="1025" t="b">
        <v>0</v>
      </c>
      <c r="AJ249" s="331">
        <v>0</v>
      </c>
      <c r="AK249" s="331">
        <v>0</v>
      </c>
      <c r="AL249" s="331">
        <v>0</v>
      </c>
      <c r="AM249" s="331">
        <v>0</v>
      </c>
      <c r="AN249" s="1025" t="b">
        <v>0</v>
      </c>
      <c r="AO249" s="331">
        <v>0</v>
      </c>
      <c r="AP249" s="331">
        <v>0</v>
      </c>
      <c r="AQ249" s="331">
        <v>0</v>
      </c>
      <c r="AR249" s="331">
        <v>0</v>
      </c>
      <c r="AS249" s="1025" t="b">
        <v>0</v>
      </c>
      <c r="AT249" s="1025" t="b">
        <v>0</v>
      </c>
      <c r="AU249" s="331">
        <v>1588</v>
      </c>
      <c r="AV249" s="491" t="s">
        <v>29</v>
      </c>
    </row>
    <row r="250" spans="1:48">
      <c r="A250" s="72">
        <v>19</v>
      </c>
      <c r="B250" s="391" t="s">
        <v>45</v>
      </c>
      <c r="C250" s="72">
        <f t="shared" si="9"/>
        <v>44</v>
      </c>
      <c r="D250" s="72" t="str">
        <f t="shared" si="10"/>
        <v>19-44</v>
      </c>
      <c r="E250" s="72">
        <v>65128</v>
      </c>
      <c r="F250" s="72" t="str">
        <f t="shared" si="11"/>
        <v>19-65128</v>
      </c>
      <c r="G250" s="391" t="s">
        <v>834</v>
      </c>
      <c r="H250" s="331">
        <v>12882.65</v>
      </c>
      <c r="I250" s="331">
        <v>11845.06</v>
      </c>
      <c r="J250" s="331">
        <v>12196.44</v>
      </c>
      <c r="K250" s="331">
        <v>14502.05</v>
      </c>
      <c r="L250" s="491" t="s">
        <v>29</v>
      </c>
      <c r="M250" s="491" t="s">
        <v>29</v>
      </c>
      <c r="N250" s="491" t="s">
        <v>29</v>
      </c>
      <c r="O250" s="491" t="s">
        <v>29</v>
      </c>
      <c r="P250" s="491">
        <v>0</v>
      </c>
      <c r="Q250" s="491">
        <v>0</v>
      </c>
      <c r="R250" s="491">
        <v>0</v>
      </c>
      <c r="S250" s="491">
        <v>6.14</v>
      </c>
      <c r="T250" s="1025" t="b">
        <v>0</v>
      </c>
      <c r="U250" s="491">
        <v>0</v>
      </c>
      <c r="V250" s="491">
        <v>0</v>
      </c>
      <c r="W250" s="491">
        <v>0</v>
      </c>
      <c r="X250" s="491">
        <v>0</v>
      </c>
      <c r="Y250" s="1025" t="b">
        <v>0</v>
      </c>
      <c r="Z250" s="331">
        <v>0</v>
      </c>
      <c r="AA250" s="331">
        <v>0</v>
      </c>
      <c r="AB250" s="331">
        <v>0</v>
      </c>
      <c r="AC250" s="331">
        <v>0</v>
      </c>
      <c r="AD250" s="1025" t="b">
        <v>0</v>
      </c>
      <c r="AE250" s="331">
        <v>0</v>
      </c>
      <c r="AF250" s="331">
        <v>0</v>
      </c>
      <c r="AG250" s="331">
        <v>0</v>
      </c>
      <c r="AH250" s="331">
        <v>0</v>
      </c>
      <c r="AI250" s="1025" t="b">
        <v>0</v>
      </c>
      <c r="AJ250" s="331">
        <v>0</v>
      </c>
      <c r="AK250" s="331">
        <v>0</v>
      </c>
      <c r="AL250" s="331">
        <v>0</v>
      </c>
      <c r="AM250" s="331">
        <v>4.84</v>
      </c>
      <c r="AN250" s="1025" t="b">
        <v>0</v>
      </c>
      <c r="AO250" s="331">
        <v>0</v>
      </c>
      <c r="AP250" s="331">
        <v>0</v>
      </c>
      <c r="AQ250" s="331">
        <v>0</v>
      </c>
      <c r="AR250" s="331">
        <v>0</v>
      </c>
      <c r="AS250" s="1025" t="b">
        <v>0</v>
      </c>
      <c r="AT250" s="1025" t="b">
        <v>0</v>
      </c>
      <c r="AU250" s="331">
        <v>159233</v>
      </c>
      <c r="AV250" s="491" t="s">
        <v>29</v>
      </c>
    </row>
    <row r="251" spans="1:48">
      <c r="A251" s="72">
        <v>19</v>
      </c>
      <c r="B251" s="391" t="s">
        <v>45</v>
      </c>
      <c r="C251" s="72">
        <f t="shared" si="9"/>
        <v>45</v>
      </c>
      <c r="D251" s="72" t="str">
        <f t="shared" si="10"/>
        <v>19-45</v>
      </c>
      <c r="E251" s="72">
        <v>65136</v>
      </c>
      <c r="F251" s="72" t="str">
        <f t="shared" si="11"/>
        <v>19-65136</v>
      </c>
      <c r="G251" s="391" t="s">
        <v>835</v>
      </c>
      <c r="H251" s="331">
        <v>10726.95</v>
      </c>
      <c r="I251" s="331">
        <v>9862.98</v>
      </c>
      <c r="J251" s="331">
        <v>10155.57</v>
      </c>
      <c r="K251" s="331">
        <v>12075.37</v>
      </c>
      <c r="L251" s="491" t="s">
        <v>29</v>
      </c>
      <c r="M251" s="491" t="s">
        <v>29</v>
      </c>
      <c r="N251" s="491" t="s">
        <v>29</v>
      </c>
      <c r="O251" s="491" t="s">
        <v>29</v>
      </c>
      <c r="P251" s="491">
        <v>0</v>
      </c>
      <c r="Q251" s="491">
        <v>0</v>
      </c>
      <c r="R251" s="491">
        <v>0</v>
      </c>
      <c r="S251" s="491">
        <v>0</v>
      </c>
      <c r="T251" s="1025" t="b">
        <v>0</v>
      </c>
      <c r="U251" s="491">
        <v>0</v>
      </c>
      <c r="V251" s="491">
        <v>0</v>
      </c>
      <c r="W251" s="491">
        <v>0</v>
      </c>
      <c r="X251" s="491">
        <v>0</v>
      </c>
      <c r="Y251" s="1025" t="b">
        <v>0</v>
      </c>
      <c r="Z251" s="331">
        <v>0</v>
      </c>
      <c r="AA251" s="331">
        <v>0</v>
      </c>
      <c r="AB251" s="331">
        <v>0</v>
      </c>
      <c r="AC251" s="331">
        <v>0</v>
      </c>
      <c r="AD251" s="1025" t="b">
        <v>0</v>
      </c>
      <c r="AE251" s="331">
        <v>0</v>
      </c>
      <c r="AF251" s="331">
        <v>0</v>
      </c>
      <c r="AG251" s="331">
        <v>0</v>
      </c>
      <c r="AH251" s="331">
        <v>0</v>
      </c>
      <c r="AI251" s="1025" t="b">
        <v>0</v>
      </c>
      <c r="AJ251" s="331">
        <v>0</v>
      </c>
      <c r="AK251" s="331">
        <v>0</v>
      </c>
      <c r="AL251" s="331">
        <v>0</v>
      </c>
      <c r="AM251" s="331">
        <v>18.600000000000001</v>
      </c>
      <c r="AN251" s="1025" t="b">
        <v>0</v>
      </c>
      <c r="AO251" s="331">
        <v>0</v>
      </c>
      <c r="AP251" s="331">
        <v>0</v>
      </c>
      <c r="AQ251" s="331">
        <v>0</v>
      </c>
      <c r="AR251" s="331">
        <v>0</v>
      </c>
      <c r="AS251" s="1025" t="b">
        <v>0</v>
      </c>
      <c r="AT251" s="1025" t="b">
        <v>0</v>
      </c>
      <c r="AU251" s="331">
        <v>224602</v>
      </c>
      <c r="AV251" s="491" t="s">
        <v>29</v>
      </c>
    </row>
    <row r="252" spans="1:48">
      <c r="A252" s="72">
        <v>19</v>
      </c>
      <c r="B252" s="391" t="s">
        <v>45</v>
      </c>
      <c r="C252" s="72">
        <f t="shared" si="9"/>
        <v>46</v>
      </c>
      <c r="D252" s="72" t="str">
        <f t="shared" si="10"/>
        <v>19-46</v>
      </c>
      <c r="E252" s="72">
        <v>73437</v>
      </c>
      <c r="F252" s="72" t="str">
        <f t="shared" si="11"/>
        <v>19-73437</v>
      </c>
      <c r="G252" s="391" t="s">
        <v>836</v>
      </c>
      <c r="H252" s="331">
        <v>14555.57</v>
      </c>
      <c r="I252" s="331">
        <v>13383.25</v>
      </c>
      <c r="J252" s="331">
        <v>13780.26</v>
      </c>
      <c r="K252" s="331">
        <v>16385.27</v>
      </c>
      <c r="L252" s="491" t="s">
        <v>29</v>
      </c>
      <c r="M252" s="491" t="s">
        <v>29</v>
      </c>
      <c r="N252" s="491" t="s">
        <v>29</v>
      </c>
      <c r="O252" s="491" t="s">
        <v>29</v>
      </c>
      <c r="P252" s="491">
        <v>0</v>
      </c>
      <c r="Q252" s="491">
        <v>0</v>
      </c>
      <c r="R252" s="491">
        <v>2.0099999999999998</v>
      </c>
      <c r="S252" s="491">
        <v>4.03</v>
      </c>
      <c r="T252" s="1025" t="b">
        <v>0</v>
      </c>
      <c r="U252" s="491">
        <v>0</v>
      </c>
      <c r="V252" s="491">
        <v>0</v>
      </c>
      <c r="W252" s="491">
        <v>0</v>
      </c>
      <c r="X252" s="491">
        <v>0</v>
      </c>
      <c r="Y252" s="1025" t="b">
        <v>0</v>
      </c>
      <c r="Z252" s="331">
        <v>0</v>
      </c>
      <c r="AA252" s="331">
        <v>0</v>
      </c>
      <c r="AB252" s="331">
        <v>0</v>
      </c>
      <c r="AC252" s="331">
        <v>0</v>
      </c>
      <c r="AD252" s="1025" t="b">
        <v>0</v>
      </c>
      <c r="AE252" s="331">
        <v>0</v>
      </c>
      <c r="AF252" s="331">
        <v>0</v>
      </c>
      <c r="AG252" s="331">
        <v>0</v>
      </c>
      <c r="AH252" s="331">
        <v>0</v>
      </c>
      <c r="AI252" s="1025" t="b">
        <v>0</v>
      </c>
      <c r="AJ252" s="331">
        <v>0</v>
      </c>
      <c r="AK252" s="331">
        <v>0</v>
      </c>
      <c r="AL252" s="331">
        <v>0</v>
      </c>
      <c r="AM252" s="331">
        <v>1.01</v>
      </c>
      <c r="AN252" s="1025" t="b">
        <v>0</v>
      </c>
      <c r="AO252" s="331">
        <v>0</v>
      </c>
      <c r="AP252" s="331">
        <v>0</v>
      </c>
      <c r="AQ252" s="331">
        <v>0</v>
      </c>
      <c r="AR252" s="331">
        <v>0</v>
      </c>
      <c r="AS252" s="1025" t="b">
        <v>0</v>
      </c>
      <c r="AT252" s="1025" t="b">
        <v>0</v>
      </c>
      <c r="AU252" s="331">
        <v>110280</v>
      </c>
      <c r="AV252" s="491" t="s">
        <v>29</v>
      </c>
    </row>
    <row r="253" spans="1:48">
      <c r="A253" s="72">
        <v>19</v>
      </c>
      <c r="B253" s="391" t="s">
        <v>45</v>
      </c>
      <c r="C253" s="72">
        <f t="shared" si="9"/>
        <v>47</v>
      </c>
      <c r="D253" s="72" t="str">
        <f t="shared" si="10"/>
        <v>19-47</v>
      </c>
      <c r="E253" s="72">
        <v>73445</v>
      </c>
      <c r="F253" s="72" t="str">
        <f t="shared" si="11"/>
        <v>19-73445</v>
      </c>
      <c r="G253" s="391" t="s">
        <v>837</v>
      </c>
      <c r="H253" s="331">
        <v>13009.95</v>
      </c>
      <c r="I253" s="331">
        <v>11962.11</v>
      </c>
      <c r="J253" s="331">
        <v>12316.96</v>
      </c>
      <c r="K253" s="331">
        <v>14645.35</v>
      </c>
      <c r="L253" s="491" t="s">
        <v>29</v>
      </c>
      <c r="M253" s="491" t="s">
        <v>29</v>
      </c>
      <c r="N253" s="491" t="s">
        <v>29</v>
      </c>
      <c r="O253" s="491" t="s">
        <v>29</v>
      </c>
      <c r="P253" s="491">
        <v>0</v>
      </c>
      <c r="Q253" s="491">
        <v>0</v>
      </c>
      <c r="R253" s="491">
        <v>0</v>
      </c>
      <c r="S253" s="491">
        <v>0</v>
      </c>
      <c r="T253" s="1025" t="b">
        <v>0</v>
      </c>
      <c r="U253" s="491">
        <v>0</v>
      </c>
      <c r="V253" s="491">
        <v>0</v>
      </c>
      <c r="W253" s="491">
        <v>0</v>
      </c>
      <c r="X253" s="491">
        <v>0</v>
      </c>
      <c r="Y253" s="1025" t="b">
        <v>0</v>
      </c>
      <c r="Z253" s="331">
        <v>0</v>
      </c>
      <c r="AA253" s="331">
        <v>0</v>
      </c>
      <c r="AB253" s="331">
        <v>0</v>
      </c>
      <c r="AC253" s="331">
        <v>0</v>
      </c>
      <c r="AD253" s="1025" t="b">
        <v>0</v>
      </c>
      <c r="AE253" s="331">
        <v>0</v>
      </c>
      <c r="AF253" s="331">
        <v>0</v>
      </c>
      <c r="AG253" s="331">
        <v>0</v>
      </c>
      <c r="AH253" s="331">
        <v>0</v>
      </c>
      <c r="AI253" s="1025" t="b">
        <v>0</v>
      </c>
      <c r="AJ253" s="331">
        <v>0</v>
      </c>
      <c r="AK253" s="331">
        <v>0</v>
      </c>
      <c r="AL253" s="331">
        <v>0</v>
      </c>
      <c r="AM253" s="331">
        <v>28.07</v>
      </c>
      <c r="AN253" s="1025" t="b">
        <v>0</v>
      </c>
      <c r="AO253" s="331">
        <v>0</v>
      </c>
      <c r="AP253" s="331">
        <v>0</v>
      </c>
      <c r="AQ253" s="331">
        <v>0</v>
      </c>
      <c r="AR253" s="331">
        <v>0</v>
      </c>
      <c r="AS253" s="1025" t="b">
        <v>0</v>
      </c>
      <c r="AT253" s="1025" t="b">
        <v>0</v>
      </c>
      <c r="AU253" s="331">
        <v>411095</v>
      </c>
      <c r="AV253" s="491" t="s">
        <v>29</v>
      </c>
    </row>
    <row r="254" spans="1:48">
      <c r="A254" s="72">
        <v>19</v>
      </c>
      <c r="B254" s="391" t="s">
        <v>45</v>
      </c>
      <c r="C254" s="72">
        <f t="shared" si="9"/>
        <v>48</v>
      </c>
      <c r="D254" s="72" t="str">
        <f t="shared" si="10"/>
        <v>19-48</v>
      </c>
      <c r="E254" s="72">
        <v>73452</v>
      </c>
      <c r="F254" s="72" t="str">
        <f t="shared" si="11"/>
        <v>19-73452</v>
      </c>
      <c r="G254" s="391" t="s">
        <v>838</v>
      </c>
      <c r="H254" s="331">
        <v>13279.16</v>
      </c>
      <c r="I254" s="331">
        <v>12209.64</v>
      </c>
      <c r="J254" s="331">
        <v>12571.83</v>
      </c>
      <c r="K254" s="331">
        <v>14948.41</v>
      </c>
      <c r="L254" s="491" t="s">
        <v>29</v>
      </c>
      <c r="M254" s="491" t="s">
        <v>29</v>
      </c>
      <c r="N254" s="491" t="s">
        <v>29</v>
      </c>
      <c r="O254" s="491" t="s">
        <v>29</v>
      </c>
      <c r="P254" s="491">
        <v>0</v>
      </c>
      <c r="Q254" s="491">
        <v>0</v>
      </c>
      <c r="R254" s="491">
        <v>0</v>
      </c>
      <c r="S254" s="491">
        <v>0.31</v>
      </c>
      <c r="T254" s="1025" t="b">
        <v>0</v>
      </c>
      <c r="U254" s="491">
        <v>0</v>
      </c>
      <c r="V254" s="491">
        <v>0</v>
      </c>
      <c r="W254" s="491">
        <v>0</v>
      </c>
      <c r="X254" s="491">
        <v>0</v>
      </c>
      <c r="Y254" s="1025" t="b">
        <v>0</v>
      </c>
      <c r="Z254" s="331">
        <v>0</v>
      </c>
      <c r="AA254" s="331">
        <v>0</v>
      </c>
      <c r="AB254" s="331">
        <v>0</v>
      </c>
      <c r="AC254" s="331">
        <v>0</v>
      </c>
      <c r="AD254" s="1025" t="b">
        <v>0</v>
      </c>
      <c r="AE254" s="331">
        <v>0</v>
      </c>
      <c r="AF254" s="331">
        <v>0</v>
      </c>
      <c r="AG254" s="331">
        <v>0</v>
      </c>
      <c r="AH254" s="331">
        <v>0</v>
      </c>
      <c r="AI254" s="1025" t="b">
        <v>0</v>
      </c>
      <c r="AJ254" s="331">
        <v>0</v>
      </c>
      <c r="AK254" s="331">
        <v>0</v>
      </c>
      <c r="AL254" s="331">
        <v>0</v>
      </c>
      <c r="AM254" s="331">
        <v>56.57</v>
      </c>
      <c r="AN254" s="1025" t="b">
        <v>0</v>
      </c>
      <c r="AO254" s="331">
        <v>0</v>
      </c>
      <c r="AP254" s="331">
        <v>0</v>
      </c>
      <c r="AQ254" s="331">
        <v>0</v>
      </c>
      <c r="AR254" s="331">
        <v>0</v>
      </c>
      <c r="AS254" s="1025" t="b">
        <v>0</v>
      </c>
      <c r="AT254" s="1025" t="b">
        <v>0</v>
      </c>
      <c r="AU254" s="331">
        <v>850266</v>
      </c>
      <c r="AV254" s="491" t="s">
        <v>29</v>
      </c>
    </row>
    <row r="255" spans="1:48">
      <c r="A255" s="72">
        <v>19</v>
      </c>
      <c r="B255" s="391" t="s">
        <v>45</v>
      </c>
      <c r="C255" s="72">
        <f t="shared" si="9"/>
        <v>49</v>
      </c>
      <c r="D255" s="72" t="str">
        <f t="shared" si="10"/>
        <v>19-49</v>
      </c>
      <c r="E255" s="72">
        <v>73460</v>
      </c>
      <c r="F255" s="72" t="str">
        <f t="shared" si="11"/>
        <v>19-73460</v>
      </c>
      <c r="G255" s="391" t="s">
        <v>839</v>
      </c>
      <c r="H255" s="331">
        <v>10782.4</v>
      </c>
      <c r="I255" s="331">
        <v>9913.9699999999993</v>
      </c>
      <c r="J255" s="331">
        <v>10208.06</v>
      </c>
      <c r="K255" s="331">
        <v>12137.79</v>
      </c>
      <c r="L255" s="491" t="s">
        <v>29</v>
      </c>
      <c r="M255" s="491" t="s">
        <v>29</v>
      </c>
      <c r="N255" s="491" t="s">
        <v>29</v>
      </c>
      <c r="O255" s="491" t="s">
        <v>29</v>
      </c>
      <c r="P255" s="491">
        <v>0</v>
      </c>
      <c r="Q255" s="491">
        <v>0</v>
      </c>
      <c r="R255" s="491">
        <v>0</v>
      </c>
      <c r="S255" s="491">
        <v>0</v>
      </c>
      <c r="T255" s="1025" t="b">
        <v>0</v>
      </c>
      <c r="U255" s="491">
        <v>0</v>
      </c>
      <c r="V255" s="491">
        <v>0</v>
      </c>
      <c r="W255" s="491">
        <v>0</v>
      </c>
      <c r="X255" s="491">
        <v>0</v>
      </c>
      <c r="Y255" s="1025" t="b">
        <v>0</v>
      </c>
      <c r="Z255" s="331">
        <v>0</v>
      </c>
      <c r="AA255" s="331">
        <v>0</v>
      </c>
      <c r="AB255" s="331">
        <v>0</v>
      </c>
      <c r="AC255" s="331">
        <v>0</v>
      </c>
      <c r="AD255" s="1025" t="b">
        <v>0</v>
      </c>
      <c r="AE255" s="331">
        <v>0</v>
      </c>
      <c r="AF255" s="331">
        <v>0</v>
      </c>
      <c r="AG255" s="331">
        <v>0</v>
      </c>
      <c r="AH255" s="331">
        <v>0</v>
      </c>
      <c r="AI255" s="1025" t="b">
        <v>0</v>
      </c>
      <c r="AJ255" s="331">
        <v>0</v>
      </c>
      <c r="AK255" s="331">
        <v>0</v>
      </c>
      <c r="AL255" s="331">
        <v>0</v>
      </c>
      <c r="AM255" s="331">
        <v>7.91</v>
      </c>
      <c r="AN255" s="1025" t="b">
        <v>0</v>
      </c>
      <c r="AO255" s="331">
        <v>0</v>
      </c>
      <c r="AP255" s="331">
        <v>0</v>
      </c>
      <c r="AQ255" s="331">
        <v>0</v>
      </c>
      <c r="AR255" s="331">
        <v>0</v>
      </c>
      <c r="AS255" s="1025" t="b">
        <v>0</v>
      </c>
      <c r="AT255" s="1025" t="b">
        <v>0</v>
      </c>
      <c r="AU255" s="331">
        <v>96010</v>
      </c>
      <c r="AV255" s="491" t="s">
        <v>29</v>
      </c>
    </row>
    <row r="256" spans="1:48">
      <c r="A256" s="72">
        <v>19</v>
      </c>
      <c r="B256" s="391" t="s">
        <v>45</v>
      </c>
      <c r="C256" s="72">
        <f t="shared" si="9"/>
        <v>50</v>
      </c>
      <c r="D256" s="72" t="str">
        <f t="shared" si="10"/>
        <v>19-50</v>
      </c>
      <c r="E256" s="72">
        <v>75291</v>
      </c>
      <c r="F256" s="72" t="str">
        <f t="shared" si="11"/>
        <v>19-75291</v>
      </c>
      <c r="G256" s="391" t="s">
        <v>840</v>
      </c>
      <c r="H256" s="331">
        <v>12259.93</v>
      </c>
      <c r="I256" s="331">
        <v>11272.49</v>
      </c>
      <c r="J256" s="331">
        <v>11606.89</v>
      </c>
      <c r="K256" s="331">
        <v>13801.05</v>
      </c>
      <c r="L256" s="491" t="s">
        <v>29</v>
      </c>
      <c r="M256" s="491" t="s">
        <v>29</v>
      </c>
      <c r="N256" s="491" t="s">
        <v>29</v>
      </c>
      <c r="O256" s="491" t="s">
        <v>29</v>
      </c>
      <c r="P256" s="491">
        <v>0</v>
      </c>
      <c r="Q256" s="491">
        <v>0</v>
      </c>
      <c r="R256" s="491">
        <v>0</v>
      </c>
      <c r="S256" s="491">
        <v>0</v>
      </c>
      <c r="T256" s="1025" t="b">
        <v>0</v>
      </c>
      <c r="U256" s="491">
        <v>0</v>
      </c>
      <c r="V256" s="491">
        <v>0</v>
      </c>
      <c r="W256" s="491">
        <v>0</v>
      </c>
      <c r="X256" s="491">
        <v>0</v>
      </c>
      <c r="Y256" s="1025" t="b">
        <v>0</v>
      </c>
      <c r="Z256" s="331">
        <v>0</v>
      </c>
      <c r="AA256" s="331">
        <v>0</v>
      </c>
      <c r="AB256" s="331">
        <v>0</v>
      </c>
      <c r="AC256" s="331">
        <v>0</v>
      </c>
      <c r="AD256" s="1025" t="b">
        <v>0</v>
      </c>
      <c r="AE256" s="331">
        <v>0</v>
      </c>
      <c r="AF256" s="331">
        <v>0</v>
      </c>
      <c r="AG256" s="331">
        <v>0</v>
      </c>
      <c r="AH256" s="331">
        <v>0</v>
      </c>
      <c r="AI256" s="1025" t="b">
        <v>0</v>
      </c>
      <c r="AJ256" s="331">
        <v>0</v>
      </c>
      <c r="AK256" s="331">
        <v>0</v>
      </c>
      <c r="AL256" s="331">
        <v>0</v>
      </c>
      <c r="AM256" s="331">
        <v>6</v>
      </c>
      <c r="AN256" s="1025" t="b">
        <v>0</v>
      </c>
      <c r="AO256" s="331">
        <v>0</v>
      </c>
      <c r="AP256" s="331">
        <v>0</v>
      </c>
      <c r="AQ256" s="331">
        <v>0</v>
      </c>
      <c r="AR256" s="331">
        <v>0</v>
      </c>
      <c r="AS256" s="1025" t="b">
        <v>0</v>
      </c>
      <c r="AT256" s="1025" t="b">
        <v>0</v>
      </c>
      <c r="AU256" s="331">
        <v>82806</v>
      </c>
      <c r="AV256" s="491" t="s">
        <v>29</v>
      </c>
    </row>
    <row r="257" spans="1:48">
      <c r="A257" s="72">
        <v>19</v>
      </c>
      <c r="B257" s="391" t="s">
        <v>45</v>
      </c>
      <c r="C257" s="72">
        <f t="shared" si="9"/>
        <v>51</v>
      </c>
      <c r="D257" s="72" t="str">
        <f t="shared" si="10"/>
        <v>19-51</v>
      </c>
      <c r="E257" s="72">
        <v>75333</v>
      </c>
      <c r="F257" s="72" t="str">
        <f t="shared" si="11"/>
        <v>19-75333</v>
      </c>
      <c r="G257" s="391" t="s">
        <v>841</v>
      </c>
      <c r="H257" s="331">
        <v>10238.200000000001</v>
      </c>
      <c r="I257" s="331">
        <v>9413.6</v>
      </c>
      <c r="J257" s="331">
        <v>9692.85</v>
      </c>
      <c r="K257" s="331">
        <v>11525.19</v>
      </c>
      <c r="L257" s="491" t="s">
        <v>29</v>
      </c>
      <c r="M257" s="491" t="s">
        <v>29</v>
      </c>
      <c r="N257" s="491" t="s">
        <v>29</v>
      </c>
      <c r="O257" s="491" t="s">
        <v>29</v>
      </c>
      <c r="P257" s="491">
        <v>0</v>
      </c>
      <c r="Q257" s="491">
        <v>0</v>
      </c>
      <c r="R257" s="491">
        <v>0</v>
      </c>
      <c r="S257" s="491">
        <v>0</v>
      </c>
      <c r="T257" s="1025" t="b">
        <v>0</v>
      </c>
      <c r="U257" s="491">
        <v>0</v>
      </c>
      <c r="V257" s="491">
        <v>0</v>
      </c>
      <c r="W257" s="491">
        <v>0</v>
      </c>
      <c r="X257" s="491">
        <v>0</v>
      </c>
      <c r="Y257" s="1025" t="b">
        <v>0</v>
      </c>
      <c r="Z257" s="331">
        <v>0</v>
      </c>
      <c r="AA257" s="331">
        <v>0</v>
      </c>
      <c r="AB257" s="331">
        <v>0</v>
      </c>
      <c r="AC257" s="331">
        <v>0</v>
      </c>
      <c r="AD257" s="1025" t="b">
        <v>0</v>
      </c>
      <c r="AE257" s="331">
        <v>0</v>
      </c>
      <c r="AF257" s="331">
        <v>0</v>
      </c>
      <c r="AG257" s="331">
        <v>0</v>
      </c>
      <c r="AH257" s="331">
        <v>0</v>
      </c>
      <c r="AI257" s="1025" t="b">
        <v>0</v>
      </c>
      <c r="AJ257" s="331">
        <v>0</v>
      </c>
      <c r="AK257" s="331">
        <v>0</v>
      </c>
      <c r="AL257" s="331">
        <v>0</v>
      </c>
      <c r="AM257" s="331">
        <v>1</v>
      </c>
      <c r="AN257" s="1025" t="b">
        <v>0</v>
      </c>
      <c r="AO257" s="331">
        <v>0</v>
      </c>
      <c r="AP257" s="331">
        <v>0</v>
      </c>
      <c r="AQ257" s="331">
        <v>0</v>
      </c>
      <c r="AR257" s="331">
        <v>0</v>
      </c>
      <c r="AS257" s="1025" t="b">
        <v>0</v>
      </c>
      <c r="AT257" s="1025" t="b">
        <v>0</v>
      </c>
      <c r="AU257" s="331">
        <v>11525</v>
      </c>
      <c r="AV257" s="491" t="s">
        <v>29</v>
      </c>
    </row>
    <row r="258" spans="1:48">
      <c r="A258" s="72">
        <v>19</v>
      </c>
      <c r="B258" s="391" t="s">
        <v>45</v>
      </c>
      <c r="C258" s="72">
        <f t="shared" si="9"/>
        <v>52</v>
      </c>
      <c r="D258" s="72" t="str">
        <f t="shared" si="10"/>
        <v>19-52</v>
      </c>
      <c r="E258" s="72">
        <v>75341</v>
      </c>
      <c r="F258" s="72" t="str">
        <f t="shared" si="11"/>
        <v>19-75341</v>
      </c>
      <c r="G258" s="391" t="s">
        <v>842</v>
      </c>
      <c r="H258" s="331">
        <v>10477.209999999999</v>
      </c>
      <c r="I258" s="331">
        <v>9633.36</v>
      </c>
      <c r="J258" s="331">
        <v>9919.1299999999992</v>
      </c>
      <c r="K258" s="331">
        <v>11794.24</v>
      </c>
      <c r="L258" s="491" t="s">
        <v>29</v>
      </c>
      <c r="M258" s="491" t="s">
        <v>29</v>
      </c>
      <c r="N258" s="491" t="s">
        <v>29</v>
      </c>
      <c r="O258" s="491" t="s">
        <v>29</v>
      </c>
      <c r="P258" s="491">
        <v>0</v>
      </c>
      <c r="Q258" s="491">
        <v>0</v>
      </c>
      <c r="R258" s="491">
        <v>0</v>
      </c>
      <c r="S258" s="491">
        <v>0</v>
      </c>
      <c r="T258" s="1025" t="b">
        <v>0</v>
      </c>
      <c r="U258" s="491">
        <v>0</v>
      </c>
      <c r="V258" s="491">
        <v>0</v>
      </c>
      <c r="W258" s="491">
        <v>0</v>
      </c>
      <c r="X258" s="491">
        <v>0</v>
      </c>
      <c r="Y258" s="1025" t="b">
        <v>0</v>
      </c>
      <c r="Z258" s="331">
        <v>0</v>
      </c>
      <c r="AA258" s="331">
        <v>0</v>
      </c>
      <c r="AB258" s="331">
        <v>0</v>
      </c>
      <c r="AC258" s="331">
        <v>0</v>
      </c>
      <c r="AD258" s="1025" t="b">
        <v>0</v>
      </c>
      <c r="AE258" s="331">
        <v>0</v>
      </c>
      <c r="AF258" s="331">
        <v>0</v>
      </c>
      <c r="AG258" s="331">
        <v>0</v>
      </c>
      <c r="AH258" s="331">
        <v>0</v>
      </c>
      <c r="AI258" s="1025" t="b">
        <v>0</v>
      </c>
      <c r="AJ258" s="331">
        <v>0</v>
      </c>
      <c r="AK258" s="331">
        <v>0</v>
      </c>
      <c r="AL258" s="331">
        <v>0</v>
      </c>
      <c r="AM258" s="331">
        <v>3.63</v>
      </c>
      <c r="AN258" s="1025" t="b">
        <v>0</v>
      </c>
      <c r="AO258" s="331">
        <v>0</v>
      </c>
      <c r="AP258" s="331">
        <v>0</v>
      </c>
      <c r="AQ258" s="331">
        <v>0</v>
      </c>
      <c r="AR258" s="331">
        <v>0</v>
      </c>
      <c r="AS258" s="1025" t="b">
        <v>0</v>
      </c>
      <c r="AT258" s="1025" t="b">
        <v>0</v>
      </c>
      <c r="AU258" s="331">
        <v>42813</v>
      </c>
      <c r="AV258" s="491" t="s">
        <v>29</v>
      </c>
    </row>
    <row r="259" spans="1:48">
      <c r="A259" s="72">
        <v>19</v>
      </c>
      <c r="B259" s="391" t="s">
        <v>45</v>
      </c>
      <c r="C259" s="72">
        <f t="shared" si="9"/>
        <v>53</v>
      </c>
      <c r="D259" s="72" t="str">
        <f t="shared" si="10"/>
        <v>19-53</v>
      </c>
      <c r="E259" s="72">
        <v>75713</v>
      </c>
      <c r="F259" s="72" t="str">
        <f t="shared" si="11"/>
        <v>19-75713</v>
      </c>
      <c r="G259" s="391" t="s">
        <v>843</v>
      </c>
      <c r="H259" s="331">
        <v>11913.3</v>
      </c>
      <c r="I259" s="331">
        <v>10953.79</v>
      </c>
      <c r="J259" s="331">
        <v>11278.73</v>
      </c>
      <c r="K259" s="331">
        <v>13410.85</v>
      </c>
      <c r="L259" s="491" t="s">
        <v>29</v>
      </c>
      <c r="M259" s="491" t="s">
        <v>29</v>
      </c>
      <c r="N259" s="491" t="s">
        <v>29</v>
      </c>
      <c r="O259" s="491" t="s">
        <v>29</v>
      </c>
      <c r="P259" s="491">
        <v>0</v>
      </c>
      <c r="Q259" s="491">
        <v>0</v>
      </c>
      <c r="R259" s="491">
        <v>0.34</v>
      </c>
      <c r="S259" s="491">
        <v>2.25</v>
      </c>
      <c r="T259" s="1025" t="b">
        <v>0</v>
      </c>
      <c r="U259" s="491">
        <v>0</v>
      </c>
      <c r="V259" s="491">
        <v>0</v>
      </c>
      <c r="W259" s="491">
        <v>0</v>
      </c>
      <c r="X259" s="491">
        <v>0</v>
      </c>
      <c r="Y259" s="1025" t="b">
        <v>0</v>
      </c>
      <c r="Z259" s="331">
        <v>0</v>
      </c>
      <c r="AA259" s="331">
        <v>0</v>
      </c>
      <c r="AB259" s="331">
        <v>0</v>
      </c>
      <c r="AC259" s="331">
        <v>0</v>
      </c>
      <c r="AD259" s="1025" t="b">
        <v>0</v>
      </c>
      <c r="AE259" s="331">
        <v>0</v>
      </c>
      <c r="AF259" s="331">
        <v>0</v>
      </c>
      <c r="AG259" s="331">
        <v>0</v>
      </c>
      <c r="AH259" s="331">
        <v>0</v>
      </c>
      <c r="AI259" s="1025" t="b">
        <v>0</v>
      </c>
      <c r="AJ259" s="331">
        <v>0</v>
      </c>
      <c r="AK259" s="331">
        <v>0</v>
      </c>
      <c r="AL259" s="331">
        <v>0</v>
      </c>
      <c r="AM259" s="331">
        <v>29.27</v>
      </c>
      <c r="AN259" s="1025" t="b">
        <v>0</v>
      </c>
      <c r="AO259" s="331">
        <v>0</v>
      </c>
      <c r="AP259" s="331">
        <v>0</v>
      </c>
      <c r="AQ259" s="331">
        <v>0</v>
      </c>
      <c r="AR259" s="331">
        <v>0</v>
      </c>
      <c r="AS259" s="1025" t="b">
        <v>0</v>
      </c>
      <c r="AT259" s="1025" t="b">
        <v>0</v>
      </c>
      <c r="AU259" s="331">
        <v>426545</v>
      </c>
      <c r="AV259" s="491" t="s">
        <v>29</v>
      </c>
    </row>
    <row r="260" spans="1:48">
      <c r="A260" s="72">
        <v>19</v>
      </c>
      <c r="B260" s="391" t="s">
        <v>45</v>
      </c>
      <c r="C260" s="72">
        <f t="shared" si="9"/>
        <v>54</v>
      </c>
      <c r="D260" s="72" t="str">
        <f t="shared" si="10"/>
        <v>19-54</v>
      </c>
      <c r="E260" s="72">
        <v>66514</v>
      </c>
      <c r="F260" s="72" t="str">
        <f t="shared" si="11"/>
        <v>19-66514</v>
      </c>
      <c r="G260" s="391" t="s">
        <v>844</v>
      </c>
      <c r="H260" s="331">
        <v>11226.42</v>
      </c>
      <c r="I260" s="331">
        <v>10322.23</v>
      </c>
      <c r="J260" s="331">
        <v>10628.44</v>
      </c>
      <c r="K260" s="331">
        <v>12637.63</v>
      </c>
      <c r="L260" s="491" t="s">
        <v>29</v>
      </c>
      <c r="M260" s="491" t="s">
        <v>29</v>
      </c>
      <c r="N260" s="491" t="s">
        <v>29</v>
      </c>
      <c r="O260" s="491" t="s">
        <v>29</v>
      </c>
      <c r="P260" s="491">
        <v>0</v>
      </c>
      <c r="Q260" s="491">
        <v>0</v>
      </c>
      <c r="R260" s="491">
        <v>0</v>
      </c>
      <c r="S260" s="491">
        <v>0</v>
      </c>
      <c r="T260" s="1025" t="b">
        <v>0</v>
      </c>
      <c r="U260" s="491">
        <v>0</v>
      </c>
      <c r="V260" s="491">
        <v>0</v>
      </c>
      <c r="W260" s="491">
        <v>0</v>
      </c>
      <c r="X260" s="491">
        <v>0</v>
      </c>
      <c r="Y260" s="1025" t="b">
        <v>0</v>
      </c>
      <c r="Z260" s="331">
        <v>0</v>
      </c>
      <c r="AA260" s="331">
        <v>0</v>
      </c>
      <c r="AB260" s="331">
        <v>0</v>
      </c>
      <c r="AC260" s="331">
        <v>0</v>
      </c>
      <c r="AD260" s="1025" t="b">
        <v>0</v>
      </c>
      <c r="AE260" s="331">
        <v>0</v>
      </c>
      <c r="AF260" s="331">
        <v>0</v>
      </c>
      <c r="AG260" s="331">
        <v>0</v>
      </c>
      <c r="AH260" s="331">
        <v>0</v>
      </c>
      <c r="AI260" s="1025" t="b">
        <v>0</v>
      </c>
      <c r="AJ260" s="331">
        <v>0</v>
      </c>
      <c r="AK260" s="331">
        <v>0</v>
      </c>
      <c r="AL260" s="331">
        <v>0</v>
      </c>
      <c r="AM260" s="331">
        <v>1.93</v>
      </c>
      <c r="AN260" s="1025" t="b">
        <v>0</v>
      </c>
      <c r="AO260" s="331">
        <v>0</v>
      </c>
      <c r="AP260" s="331">
        <v>0</v>
      </c>
      <c r="AQ260" s="331">
        <v>0</v>
      </c>
      <c r="AR260" s="331">
        <v>0</v>
      </c>
      <c r="AS260" s="1025" t="b">
        <v>0</v>
      </c>
      <c r="AT260" s="1025" t="b">
        <v>0</v>
      </c>
      <c r="AU260" s="331">
        <v>24391</v>
      </c>
      <c r="AV260" s="491" t="s">
        <v>29</v>
      </c>
    </row>
    <row r="261" spans="1:48">
      <c r="A261" s="72">
        <v>19</v>
      </c>
      <c r="B261" s="391" t="s">
        <v>45</v>
      </c>
      <c r="C261" s="72">
        <f t="shared" si="9"/>
        <v>55</v>
      </c>
      <c r="D261" s="72" t="str">
        <f t="shared" si="10"/>
        <v>19-55</v>
      </c>
      <c r="E261" s="72">
        <v>66522</v>
      </c>
      <c r="F261" s="72" t="str">
        <f t="shared" si="11"/>
        <v>19-66522</v>
      </c>
      <c r="G261" s="391" t="s">
        <v>946</v>
      </c>
      <c r="H261" s="331">
        <v>13242.18</v>
      </c>
      <c r="I261" s="331">
        <v>12175.63</v>
      </c>
      <c r="J261" s="331">
        <v>12536.82</v>
      </c>
      <c r="K261" s="331">
        <v>14906.78</v>
      </c>
      <c r="L261" s="491" t="s">
        <v>29</v>
      </c>
      <c r="M261" s="491" t="s">
        <v>29</v>
      </c>
      <c r="N261" s="491" t="s">
        <v>29</v>
      </c>
      <c r="O261" s="491" t="s">
        <v>29</v>
      </c>
      <c r="P261" s="491">
        <v>0</v>
      </c>
      <c r="Q261" s="491">
        <v>0</v>
      </c>
      <c r="R261" s="491">
        <v>0</v>
      </c>
      <c r="S261" s="491">
        <v>0.26</v>
      </c>
      <c r="T261" s="1025" t="b">
        <v>0</v>
      </c>
      <c r="U261" s="491">
        <v>0</v>
      </c>
      <c r="V261" s="491">
        <v>0</v>
      </c>
      <c r="W261" s="491">
        <v>0</v>
      </c>
      <c r="X261" s="491">
        <v>0</v>
      </c>
      <c r="Y261" s="1025" t="b">
        <v>0</v>
      </c>
      <c r="Z261" s="331">
        <v>0</v>
      </c>
      <c r="AA261" s="331">
        <v>0</v>
      </c>
      <c r="AB261" s="331">
        <v>0</v>
      </c>
      <c r="AC261" s="331">
        <v>0</v>
      </c>
      <c r="AD261" s="1025" t="b">
        <v>0</v>
      </c>
      <c r="AE261" s="331">
        <v>0</v>
      </c>
      <c r="AF261" s="331">
        <v>0</v>
      </c>
      <c r="AG261" s="331">
        <v>0</v>
      </c>
      <c r="AH261" s="331">
        <v>0</v>
      </c>
      <c r="AI261" s="1025" t="b">
        <v>0</v>
      </c>
      <c r="AJ261" s="331">
        <v>0</v>
      </c>
      <c r="AK261" s="331">
        <v>0</v>
      </c>
      <c r="AL261" s="331">
        <v>0</v>
      </c>
      <c r="AM261" s="331">
        <v>0</v>
      </c>
      <c r="AN261" s="1025" t="b">
        <v>0</v>
      </c>
      <c r="AO261" s="331">
        <v>0</v>
      </c>
      <c r="AP261" s="331">
        <v>0</v>
      </c>
      <c r="AQ261" s="331">
        <v>0</v>
      </c>
      <c r="AR261" s="331">
        <v>0</v>
      </c>
      <c r="AS261" s="1025" t="b">
        <v>0</v>
      </c>
      <c r="AT261" s="1025" t="b">
        <v>0</v>
      </c>
      <c r="AU261" s="331">
        <v>3876</v>
      </c>
      <c r="AV261" s="491" t="s">
        <v>29</v>
      </c>
    </row>
    <row r="262" spans="1:48">
      <c r="A262" s="72">
        <v>19</v>
      </c>
      <c r="B262" s="391" t="s">
        <v>45</v>
      </c>
      <c r="C262" s="72">
        <f t="shared" ref="C262:C325" si="12">IF(E262="N/A",0,IF(A261&lt;&gt;A262,1,C261+1))</f>
        <v>56</v>
      </c>
      <c r="D262" s="72" t="str">
        <f t="shared" ref="D262:D325" si="13">A262&amp;"-"&amp;C262</f>
        <v>19-56</v>
      </c>
      <c r="E262" s="72">
        <v>73650</v>
      </c>
      <c r="F262" s="72" t="str">
        <f t="shared" si="11"/>
        <v>19-73650</v>
      </c>
      <c r="G262" s="391" t="s">
        <v>961</v>
      </c>
      <c r="H262" s="331">
        <v>10720.47</v>
      </c>
      <c r="I262" s="331">
        <v>9857.0300000000007</v>
      </c>
      <c r="J262" s="331">
        <v>10149.44</v>
      </c>
      <c r="K262" s="331">
        <v>12068.08</v>
      </c>
      <c r="L262" s="491" t="s">
        <v>29</v>
      </c>
      <c r="M262" s="491" t="s">
        <v>29</v>
      </c>
      <c r="N262" s="491" t="s">
        <v>29</v>
      </c>
      <c r="O262" s="491" t="s">
        <v>29</v>
      </c>
      <c r="P262" s="491">
        <v>0</v>
      </c>
      <c r="Q262" s="491">
        <v>0</v>
      </c>
      <c r="R262" s="491">
        <v>0</v>
      </c>
      <c r="S262" s="491">
        <v>0</v>
      </c>
      <c r="T262" s="1025" t="b">
        <v>0</v>
      </c>
      <c r="U262" s="491">
        <v>0</v>
      </c>
      <c r="V262" s="491">
        <v>0</v>
      </c>
      <c r="W262" s="491">
        <v>0</v>
      </c>
      <c r="X262" s="491">
        <v>0</v>
      </c>
      <c r="Y262" s="1025" t="b">
        <v>0</v>
      </c>
      <c r="Z262" s="331">
        <v>0</v>
      </c>
      <c r="AA262" s="331">
        <v>0</v>
      </c>
      <c r="AB262" s="331">
        <v>0</v>
      </c>
      <c r="AC262" s="331">
        <v>0</v>
      </c>
      <c r="AD262" s="1025" t="b">
        <v>0</v>
      </c>
      <c r="AE262" s="331">
        <v>0</v>
      </c>
      <c r="AF262" s="331">
        <v>0</v>
      </c>
      <c r="AG262" s="331">
        <v>0</v>
      </c>
      <c r="AH262" s="331">
        <v>0</v>
      </c>
      <c r="AI262" s="1025" t="b">
        <v>0</v>
      </c>
      <c r="AJ262" s="331">
        <v>0</v>
      </c>
      <c r="AK262" s="331">
        <v>0</v>
      </c>
      <c r="AL262" s="331">
        <v>0</v>
      </c>
      <c r="AM262" s="331">
        <v>0.94</v>
      </c>
      <c r="AN262" s="1025" t="b">
        <v>0</v>
      </c>
      <c r="AO262" s="331">
        <v>0</v>
      </c>
      <c r="AP262" s="331">
        <v>0</v>
      </c>
      <c r="AQ262" s="331">
        <v>0</v>
      </c>
      <c r="AR262" s="331">
        <v>0</v>
      </c>
      <c r="AS262" s="1025" t="b">
        <v>0</v>
      </c>
      <c r="AT262" s="1025" t="b">
        <v>0</v>
      </c>
      <c r="AU262" s="331">
        <v>11344</v>
      </c>
      <c r="AV262" s="491" t="s">
        <v>29</v>
      </c>
    </row>
    <row r="263" spans="1:48">
      <c r="A263" s="72">
        <v>19</v>
      </c>
      <c r="B263" s="391" t="s">
        <v>45</v>
      </c>
      <c r="C263" s="72">
        <f t="shared" si="12"/>
        <v>57</v>
      </c>
      <c r="D263" s="72" t="str">
        <f t="shared" si="13"/>
        <v>19-57</v>
      </c>
      <c r="E263" s="72">
        <v>73924</v>
      </c>
      <c r="F263" s="72" t="str">
        <f t="shared" ref="F263:F326" si="14">A263&amp;"-"&amp;E263</f>
        <v>19-73924</v>
      </c>
      <c r="G263" s="391" t="s">
        <v>962</v>
      </c>
      <c r="H263" s="331">
        <v>10473.17</v>
      </c>
      <c r="I263" s="331">
        <v>9629.64</v>
      </c>
      <c r="J263" s="331">
        <v>9915.2999999999993</v>
      </c>
      <c r="K263" s="331">
        <v>11789.69</v>
      </c>
      <c r="L263" s="491" t="s">
        <v>29</v>
      </c>
      <c r="M263" s="491" t="s">
        <v>29</v>
      </c>
      <c r="N263" s="491" t="s">
        <v>29</v>
      </c>
      <c r="O263" s="491" t="s">
        <v>29</v>
      </c>
      <c r="P263" s="491">
        <v>0</v>
      </c>
      <c r="Q263" s="491">
        <v>0</v>
      </c>
      <c r="R263" s="491">
        <v>0</v>
      </c>
      <c r="S263" s="491">
        <v>0</v>
      </c>
      <c r="T263" s="1025" t="b">
        <v>0</v>
      </c>
      <c r="U263" s="491">
        <v>0</v>
      </c>
      <c r="V263" s="491">
        <v>0</v>
      </c>
      <c r="W263" s="491">
        <v>0</v>
      </c>
      <c r="X263" s="491">
        <v>0</v>
      </c>
      <c r="Y263" s="1025" t="b">
        <v>0</v>
      </c>
      <c r="Z263" s="331">
        <v>0</v>
      </c>
      <c r="AA263" s="331">
        <v>0</v>
      </c>
      <c r="AB263" s="331">
        <v>0</v>
      </c>
      <c r="AC263" s="331">
        <v>0</v>
      </c>
      <c r="AD263" s="1025" t="b">
        <v>0</v>
      </c>
      <c r="AE263" s="331">
        <v>0</v>
      </c>
      <c r="AF263" s="331">
        <v>0</v>
      </c>
      <c r="AG263" s="331">
        <v>0</v>
      </c>
      <c r="AH263" s="331">
        <v>0</v>
      </c>
      <c r="AI263" s="1025" t="b">
        <v>0</v>
      </c>
      <c r="AJ263" s="331">
        <v>0</v>
      </c>
      <c r="AK263" s="331">
        <v>0</v>
      </c>
      <c r="AL263" s="331">
        <v>0</v>
      </c>
      <c r="AM263" s="331">
        <v>0.06</v>
      </c>
      <c r="AN263" s="1025" t="b">
        <v>0</v>
      </c>
      <c r="AO263" s="331">
        <v>0</v>
      </c>
      <c r="AP263" s="331">
        <v>0</v>
      </c>
      <c r="AQ263" s="331">
        <v>0</v>
      </c>
      <c r="AR263" s="331">
        <v>0</v>
      </c>
      <c r="AS263" s="1025" t="b">
        <v>0</v>
      </c>
      <c r="AT263" s="1025" t="b">
        <v>0</v>
      </c>
      <c r="AU263" s="331">
        <v>707</v>
      </c>
      <c r="AV263" s="491" t="s">
        <v>29</v>
      </c>
    </row>
    <row r="264" spans="1:48">
      <c r="A264" s="72">
        <v>19</v>
      </c>
      <c r="B264" s="391" t="s">
        <v>45</v>
      </c>
      <c r="C264" s="72">
        <f t="shared" si="12"/>
        <v>58</v>
      </c>
      <c r="D264" s="72" t="str">
        <f t="shared" si="13"/>
        <v>19-58</v>
      </c>
      <c r="E264" s="72">
        <v>66985</v>
      </c>
      <c r="F264" s="72" t="str">
        <f t="shared" si="14"/>
        <v>19-66985</v>
      </c>
      <c r="G264" s="391" t="s">
        <v>846</v>
      </c>
      <c r="H264" s="331">
        <v>14392.15</v>
      </c>
      <c r="I264" s="331">
        <v>13232.99</v>
      </c>
      <c r="J264" s="331">
        <v>13625.54</v>
      </c>
      <c r="K264" s="331">
        <v>16201.31</v>
      </c>
      <c r="L264" s="491" t="s">
        <v>29</v>
      </c>
      <c r="M264" s="491" t="s">
        <v>29</v>
      </c>
      <c r="N264" s="491" t="s">
        <v>29</v>
      </c>
      <c r="O264" s="491" t="s">
        <v>29</v>
      </c>
      <c r="P264" s="491">
        <v>0</v>
      </c>
      <c r="Q264" s="491">
        <v>0</v>
      </c>
      <c r="R264" s="491">
        <v>0</v>
      </c>
      <c r="S264" s="491">
        <v>0</v>
      </c>
      <c r="T264" s="1025" t="b">
        <v>0</v>
      </c>
      <c r="U264" s="491">
        <v>0</v>
      </c>
      <c r="V264" s="491">
        <v>0</v>
      </c>
      <c r="W264" s="491">
        <v>0</v>
      </c>
      <c r="X264" s="491">
        <v>0</v>
      </c>
      <c r="Y264" s="1025" t="b">
        <v>0</v>
      </c>
      <c r="Z264" s="331">
        <v>0</v>
      </c>
      <c r="AA264" s="331">
        <v>0</v>
      </c>
      <c r="AB264" s="331">
        <v>0</v>
      </c>
      <c r="AC264" s="331">
        <v>0</v>
      </c>
      <c r="AD264" s="1025" t="b">
        <v>0</v>
      </c>
      <c r="AE264" s="331">
        <v>0</v>
      </c>
      <c r="AF264" s="331">
        <v>0</v>
      </c>
      <c r="AG264" s="331">
        <v>0</v>
      </c>
      <c r="AH264" s="331">
        <v>0</v>
      </c>
      <c r="AI264" s="1025" t="b">
        <v>0</v>
      </c>
      <c r="AJ264" s="331">
        <v>0</v>
      </c>
      <c r="AK264" s="331">
        <v>0</v>
      </c>
      <c r="AL264" s="331">
        <v>0</v>
      </c>
      <c r="AM264" s="331">
        <v>1</v>
      </c>
      <c r="AN264" s="1025" t="b">
        <v>0</v>
      </c>
      <c r="AO264" s="331">
        <v>0</v>
      </c>
      <c r="AP264" s="331">
        <v>0</v>
      </c>
      <c r="AQ264" s="331">
        <v>0</v>
      </c>
      <c r="AR264" s="331">
        <v>0</v>
      </c>
      <c r="AS264" s="1025" t="b">
        <v>0</v>
      </c>
      <c r="AT264" s="1025" t="b">
        <v>0</v>
      </c>
      <c r="AU264" s="331">
        <v>16201</v>
      </c>
      <c r="AV264" s="491" t="s">
        <v>29</v>
      </c>
    </row>
    <row r="265" spans="1:48">
      <c r="A265" s="72">
        <v>19</v>
      </c>
      <c r="B265" s="391" t="s">
        <v>45</v>
      </c>
      <c r="C265" s="72">
        <f t="shared" si="12"/>
        <v>59</v>
      </c>
      <c r="D265" s="72" t="str">
        <f t="shared" si="13"/>
        <v>19-59</v>
      </c>
      <c r="E265" s="72">
        <v>67033</v>
      </c>
      <c r="F265" s="72" t="str">
        <f t="shared" si="14"/>
        <v>19-67033</v>
      </c>
      <c r="G265" s="391" t="s">
        <v>847</v>
      </c>
      <c r="H265" s="331">
        <v>11771.38</v>
      </c>
      <c r="I265" s="331">
        <v>10823.3</v>
      </c>
      <c r="J265" s="331">
        <v>11144.37</v>
      </c>
      <c r="K265" s="331">
        <v>13251.09</v>
      </c>
      <c r="L265" s="491" t="s">
        <v>29</v>
      </c>
      <c r="M265" s="491" t="s">
        <v>29</v>
      </c>
      <c r="N265" s="491" t="s">
        <v>29</v>
      </c>
      <c r="O265" s="491" t="s">
        <v>29</v>
      </c>
      <c r="P265" s="491">
        <v>0</v>
      </c>
      <c r="Q265" s="491">
        <v>0</v>
      </c>
      <c r="R265" s="491">
        <v>0</v>
      </c>
      <c r="S265" s="491">
        <v>0</v>
      </c>
      <c r="T265" s="1025" t="b">
        <v>0</v>
      </c>
      <c r="U265" s="491">
        <v>0</v>
      </c>
      <c r="V265" s="491">
        <v>0</v>
      </c>
      <c r="W265" s="491">
        <v>0</v>
      </c>
      <c r="X265" s="491">
        <v>0</v>
      </c>
      <c r="Y265" s="1025" t="b">
        <v>0</v>
      </c>
      <c r="Z265" s="331">
        <v>0</v>
      </c>
      <c r="AA265" s="331">
        <v>0</v>
      </c>
      <c r="AB265" s="331">
        <v>0</v>
      </c>
      <c r="AC265" s="331">
        <v>0</v>
      </c>
      <c r="AD265" s="1025" t="b">
        <v>0</v>
      </c>
      <c r="AE265" s="331">
        <v>0</v>
      </c>
      <c r="AF265" s="331">
        <v>0</v>
      </c>
      <c r="AG265" s="331">
        <v>0</v>
      </c>
      <c r="AH265" s="331">
        <v>0</v>
      </c>
      <c r="AI265" s="1025" t="b">
        <v>0</v>
      </c>
      <c r="AJ265" s="331">
        <v>0</v>
      </c>
      <c r="AK265" s="331">
        <v>0</v>
      </c>
      <c r="AL265" s="331">
        <v>0</v>
      </c>
      <c r="AM265" s="331">
        <v>1.99</v>
      </c>
      <c r="AN265" s="1025" t="b">
        <v>0</v>
      </c>
      <c r="AO265" s="331">
        <v>0</v>
      </c>
      <c r="AP265" s="331">
        <v>0</v>
      </c>
      <c r="AQ265" s="331">
        <v>0</v>
      </c>
      <c r="AR265" s="331">
        <v>0</v>
      </c>
      <c r="AS265" s="1025" t="b">
        <v>0</v>
      </c>
      <c r="AT265" s="1025" t="b">
        <v>0</v>
      </c>
      <c r="AU265" s="331">
        <v>26370</v>
      </c>
      <c r="AV265" s="491" t="s">
        <v>29</v>
      </c>
    </row>
    <row r="266" spans="1:48">
      <c r="A266" s="72">
        <v>19</v>
      </c>
      <c r="B266" s="391" t="s">
        <v>45</v>
      </c>
      <c r="C266" s="72">
        <f t="shared" si="12"/>
        <v>60</v>
      </c>
      <c r="D266" s="72" t="str">
        <f t="shared" si="13"/>
        <v>19-60</v>
      </c>
      <c r="E266" s="72">
        <v>67090</v>
      </c>
      <c r="F266" s="72" t="str">
        <f t="shared" si="14"/>
        <v>19-67090</v>
      </c>
      <c r="G266" s="391" t="s">
        <v>966</v>
      </c>
      <c r="H266" s="331">
        <v>13498.49</v>
      </c>
      <c r="I266" s="331">
        <v>12411.3</v>
      </c>
      <c r="J266" s="331">
        <v>12779.48</v>
      </c>
      <c r="K266" s="331">
        <v>15195.31</v>
      </c>
      <c r="L266" s="491" t="s">
        <v>29</v>
      </c>
      <c r="M266" s="491" t="s">
        <v>29</v>
      </c>
      <c r="N266" s="491" t="s">
        <v>29</v>
      </c>
      <c r="O266" s="491" t="s">
        <v>29</v>
      </c>
      <c r="P266" s="491">
        <v>0</v>
      </c>
      <c r="Q266" s="491">
        <v>0</v>
      </c>
      <c r="R266" s="491">
        <v>0</v>
      </c>
      <c r="S266" s="491">
        <v>0</v>
      </c>
      <c r="T266" s="1025" t="b">
        <v>0</v>
      </c>
      <c r="U266" s="491">
        <v>0</v>
      </c>
      <c r="V266" s="491">
        <v>0</v>
      </c>
      <c r="W266" s="491">
        <v>0</v>
      </c>
      <c r="X266" s="491">
        <v>0</v>
      </c>
      <c r="Y266" s="1025" t="b">
        <v>0</v>
      </c>
      <c r="Z266" s="331">
        <v>0</v>
      </c>
      <c r="AA266" s="331">
        <v>0</v>
      </c>
      <c r="AB266" s="331">
        <v>0</v>
      </c>
      <c r="AC266" s="331">
        <v>0</v>
      </c>
      <c r="AD266" s="1025" t="b">
        <v>0</v>
      </c>
      <c r="AE266" s="331">
        <v>0</v>
      </c>
      <c r="AF266" s="331">
        <v>0</v>
      </c>
      <c r="AG266" s="331">
        <v>0</v>
      </c>
      <c r="AH266" s="331">
        <v>0</v>
      </c>
      <c r="AI266" s="1025" t="b">
        <v>0</v>
      </c>
      <c r="AJ266" s="331">
        <v>0</v>
      </c>
      <c r="AK266" s="331">
        <v>0</v>
      </c>
      <c r="AL266" s="331">
        <v>0</v>
      </c>
      <c r="AM266" s="331">
        <v>1.01</v>
      </c>
      <c r="AN266" s="1025" t="b">
        <v>0</v>
      </c>
      <c r="AO266" s="331">
        <v>0</v>
      </c>
      <c r="AP266" s="331">
        <v>0</v>
      </c>
      <c r="AQ266" s="331">
        <v>0</v>
      </c>
      <c r="AR266" s="331">
        <v>0</v>
      </c>
      <c r="AS266" s="1025" t="b">
        <v>0</v>
      </c>
      <c r="AT266" s="1025" t="b">
        <v>0</v>
      </c>
      <c r="AU266" s="331">
        <v>15347</v>
      </c>
      <c r="AV266" s="491" t="s">
        <v>29</v>
      </c>
    </row>
    <row r="267" spans="1:48">
      <c r="A267" s="72">
        <v>19</v>
      </c>
      <c r="B267" s="391" t="s">
        <v>45</v>
      </c>
      <c r="C267" s="72">
        <f t="shared" si="12"/>
        <v>61</v>
      </c>
      <c r="D267" s="72" t="str">
        <f t="shared" si="13"/>
        <v>19-61</v>
      </c>
      <c r="E267" s="72">
        <v>67124</v>
      </c>
      <c r="F267" s="72" t="str">
        <f t="shared" si="14"/>
        <v>19-67124</v>
      </c>
      <c r="G267" s="391" t="s">
        <v>967</v>
      </c>
      <c r="H267" s="331">
        <v>13367.76</v>
      </c>
      <c r="I267" s="331">
        <v>12291.1</v>
      </c>
      <c r="J267" s="331">
        <v>12655.71</v>
      </c>
      <c r="K267" s="331">
        <v>15048.14</v>
      </c>
      <c r="L267" s="491" t="s">
        <v>29</v>
      </c>
      <c r="M267" s="491" t="s">
        <v>29</v>
      </c>
      <c r="N267" s="491" t="s">
        <v>29</v>
      </c>
      <c r="O267" s="491" t="s">
        <v>29</v>
      </c>
      <c r="P267" s="491">
        <v>0</v>
      </c>
      <c r="Q267" s="491">
        <v>0</v>
      </c>
      <c r="R267" s="491">
        <v>0</v>
      </c>
      <c r="S267" s="491">
        <v>0</v>
      </c>
      <c r="T267" s="1025" t="b">
        <v>0</v>
      </c>
      <c r="U267" s="491">
        <v>0</v>
      </c>
      <c r="V267" s="491">
        <v>0</v>
      </c>
      <c r="W267" s="491">
        <v>0</v>
      </c>
      <c r="X267" s="491">
        <v>0</v>
      </c>
      <c r="Y267" s="1025" t="b">
        <v>0</v>
      </c>
      <c r="Z267" s="331">
        <v>0</v>
      </c>
      <c r="AA267" s="331">
        <v>0</v>
      </c>
      <c r="AB267" s="331">
        <v>0</v>
      </c>
      <c r="AC267" s="331">
        <v>0</v>
      </c>
      <c r="AD267" s="1025" t="b">
        <v>0</v>
      </c>
      <c r="AE267" s="331">
        <v>0</v>
      </c>
      <c r="AF267" s="331">
        <v>0</v>
      </c>
      <c r="AG267" s="331">
        <v>0</v>
      </c>
      <c r="AH267" s="331">
        <v>0</v>
      </c>
      <c r="AI267" s="1025" t="b">
        <v>0</v>
      </c>
      <c r="AJ267" s="331">
        <v>0</v>
      </c>
      <c r="AK267" s="331">
        <v>0</v>
      </c>
      <c r="AL267" s="331">
        <v>0</v>
      </c>
      <c r="AM267" s="331">
        <v>0.96</v>
      </c>
      <c r="AN267" s="1025" t="b">
        <v>0</v>
      </c>
      <c r="AO267" s="331">
        <v>0</v>
      </c>
      <c r="AP267" s="331">
        <v>0</v>
      </c>
      <c r="AQ267" s="331">
        <v>0</v>
      </c>
      <c r="AR267" s="331">
        <v>0</v>
      </c>
      <c r="AS267" s="1025" t="b">
        <v>0</v>
      </c>
      <c r="AT267" s="1025" t="b">
        <v>0</v>
      </c>
      <c r="AU267" s="331">
        <v>14446</v>
      </c>
      <c r="AV267" s="491" t="s">
        <v>29</v>
      </c>
    </row>
    <row r="268" spans="1:48">
      <c r="A268" s="72">
        <v>19</v>
      </c>
      <c r="B268" s="391" t="s">
        <v>45</v>
      </c>
      <c r="C268" s="72">
        <f t="shared" si="12"/>
        <v>62</v>
      </c>
      <c r="D268" s="72" t="str">
        <f t="shared" si="13"/>
        <v>19-62</v>
      </c>
      <c r="E268" s="72">
        <v>67215</v>
      </c>
      <c r="F268" s="72" t="str">
        <f t="shared" si="14"/>
        <v>19-67215</v>
      </c>
      <c r="G268" s="391" t="s">
        <v>848</v>
      </c>
      <c r="H268" s="331">
        <v>12853.41</v>
      </c>
      <c r="I268" s="331">
        <v>11818.17</v>
      </c>
      <c r="J268" s="331">
        <v>12168.76</v>
      </c>
      <c r="K268" s="331">
        <v>14469.13</v>
      </c>
      <c r="L268" s="491" t="s">
        <v>29</v>
      </c>
      <c r="M268" s="491" t="s">
        <v>29</v>
      </c>
      <c r="N268" s="491" t="s">
        <v>29</v>
      </c>
      <c r="O268" s="491" t="s">
        <v>29</v>
      </c>
      <c r="P268" s="491">
        <v>0</v>
      </c>
      <c r="Q268" s="491">
        <v>0</v>
      </c>
      <c r="R268" s="491">
        <v>0</v>
      </c>
      <c r="S268" s="491">
        <v>0</v>
      </c>
      <c r="T268" s="1025" t="b">
        <v>0</v>
      </c>
      <c r="U268" s="491">
        <v>0</v>
      </c>
      <c r="V268" s="491">
        <v>0</v>
      </c>
      <c r="W268" s="491">
        <v>0</v>
      </c>
      <c r="X268" s="491">
        <v>0</v>
      </c>
      <c r="Y268" s="1025" t="b">
        <v>0</v>
      </c>
      <c r="Z268" s="331">
        <v>0</v>
      </c>
      <c r="AA268" s="331">
        <v>0</v>
      </c>
      <c r="AB268" s="331">
        <v>0</v>
      </c>
      <c r="AC268" s="331">
        <v>0</v>
      </c>
      <c r="AD268" s="1025" t="b">
        <v>0</v>
      </c>
      <c r="AE268" s="331">
        <v>0</v>
      </c>
      <c r="AF268" s="331">
        <v>0</v>
      </c>
      <c r="AG268" s="331">
        <v>0</v>
      </c>
      <c r="AH268" s="331">
        <v>0</v>
      </c>
      <c r="AI268" s="1025" t="b">
        <v>0</v>
      </c>
      <c r="AJ268" s="331">
        <v>0</v>
      </c>
      <c r="AK268" s="331">
        <v>0</v>
      </c>
      <c r="AL268" s="331">
        <v>0</v>
      </c>
      <c r="AM268" s="331">
        <v>0.96</v>
      </c>
      <c r="AN268" s="1025" t="b">
        <v>0</v>
      </c>
      <c r="AO268" s="331">
        <v>0</v>
      </c>
      <c r="AP268" s="331">
        <v>0</v>
      </c>
      <c r="AQ268" s="331">
        <v>0</v>
      </c>
      <c r="AR268" s="331">
        <v>0</v>
      </c>
      <c r="AS268" s="1025" t="b">
        <v>0</v>
      </c>
      <c r="AT268" s="1025" t="b">
        <v>0</v>
      </c>
      <c r="AU268" s="331">
        <v>13890</v>
      </c>
      <c r="AV268" s="491" t="s">
        <v>29</v>
      </c>
    </row>
    <row r="269" spans="1:48">
      <c r="A269" s="72">
        <v>19</v>
      </c>
      <c r="B269" s="391" t="s">
        <v>45</v>
      </c>
      <c r="C269" s="72">
        <f t="shared" si="12"/>
        <v>63</v>
      </c>
      <c r="D269" s="72" t="str">
        <f t="shared" si="13"/>
        <v>19-63</v>
      </c>
      <c r="E269" s="72">
        <v>67652</v>
      </c>
      <c r="F269" s="72" t="str">
        <f t="shared" si="14"/>
        <v>19-67652</v>
      </c>
      <c r="G269" s="391" t="s">
        <v>849</v>
      </c>
      <c r="H269" s="331">
        <v>12136.07</v>
      </c>
      <c r="I269" s="331">
        <v>11158.61</v>
      </c>
      <c r="J269" s="331">
        <v>11489.63</v>
      </c>
      <c r="K269" s="331">
        <v>13661.62</v>
      </c>
      <c r="L269" s="491" t="s">
        <v>29</v>
      </c>
      <c r="M269" s="491" t="s">
        <v>29</v>
      </c>
      <c r="N269" s="491" t="s">
        <v>29</v>
      </c>
      <c r="O269" s="491" t="s">
        <v>29</v>
      </c>
      <c r="P269" s="491">
        <v>0</v>
      </c>
      <c r="Q269" s="491">
        <v>0</v>
      </c>
      <c r="R269" s="491">
        <v>0</v>
      </c>
      <c r="S269" s="491">
        <v>0.06</v>
      </c>
      <c r="T269" s="1025" t="b">
        <v>0</v>
      </c>
      <c r="U269" s="491">
        <v>0</v>
      </c>
      <c r="V269" s="491">
        <v>0</v>
      </c>
      <c r="W269" s="491">
        <v>0</v>
      </c>
      <c r="X269" s="491">
        <v>0</v>
      </c>
      <c r="Y269" s="1025" t="b">
        <v>0</v>
      </c>
      <c r="Z269" s="331">
        <v>0</v>
      </c>
      <c r="AA269" s="331">
        <v>0</v>
      </c>
      <c r="AB269" s="331">
        <v>0</v>
      </c>
      <c r="AC269" s="331">
        <v>0</v>
      </c>
      <c r="AD269" s="1025" t="b">
        <v>0</v>
      </c>
      <c r="AE269" s="331">
        <v>0</v>
      </c>
      <c r="AF269" s="331">
        <v>0</v>
      </c>
      <c r="AG269" s="331">
        <v>0</v>
      </c>
      <c r="AH269" s="331">
        <v>0</v>
      </c>
      <c r="AI269" s="1025" t="b">
        <v>0</v>
      </c>
      <c r="AJ269" s="331">
        <v>0</v>
      </c>
      <c r="AK269" s="331">
        <v>0</v>
      </c>
      <c r="AL269" s="331">
        <v>0</v>
      </c>
      <c r="AM269" s="331">
        <v>80.569999999999993</v>
      </c>
      <c r="AN269" s="1025" t="b">
        <v>0</v>
      </c>
      <c r="AO269" s="331">
        <v>0</v>
      </c>
      <c r="AP269" s="331">
        <v>0</v>
      </c>
      <c r="AQ269" s="331">
        <v>0</v>
      </c>
      <c r="AR269" s="331">
        <v>0</v>
      </c>
      <c r="AS269" s="1025" t="b">
        <v>0</v>
      </c>
      <c r="AT269" s="1025" t="b">
        <v>0</v>
      </c>
      <c r="AU269" s="331">
        <v>1101536</v>
      </c>
      <c r="AV269" s="491" t="s">
        <v>29</v>
      </c>
    </row>
    <row r="270" spans="1:48">
      <c r="A270" s="72">
        <v>19</v>
      </c>
      <c r="B270" s="391" t="s">
        <v>45</v>
      </c>
      <c r="C270" s="72">
        <f t="shared" si="12"/>
        <v>64</v>
      </c>
      <c r="D270" s="72" t="str">
        <f t="shared" si="13"/>
        <v>19-64</v>
      </c>
      <c r="E270" s="72">
        <v>67678</v>
      </c>
      <c r="F270" s="72" t="str">
        <f t="shared" si="14"/>
        <v>19-67678</v>
      </c>
      <c r="G270" s="391" t="s">
        <v>850</v>
      </c>
      <c r="H270" s="331">
        <v>11055.82</v>
      </c>
      <c r="I270" s="331">
        <v>10165.36</v>
      </c>
      <c r="J270" s="331">
        <v>10466.92</v>
      </c>
      <c r="K270" s="331">
        <v>12445.58</v>
      </c>
      <c r="L270" s="491" t="s">
        <v>29</v>
      </c>
      <c r="M270" s="491" t="s">
        <v>29</v>
      </c>
      <c r="N270" s="491" t="s">
        <v>29</v>
      </c>
      <c r="O270" s="491" t="s">
        <v>29</v>
      </c>
      <c r="P270" s="491">
        <v>0</v>
      </c>
      <c r="Q270" s="491">
        <v>0</v>
      </c>
      <c r="R270" s="491">
        <v>0</v>
      </c>
      <c r="S270" s="491">
        <v>0</v>
      </c>
      <c r="T270" s="1025" t="b">
        <v>0</v>
      </c>
      <c r="U270" s="491">
        <v>0</v>
      </c>
      <c r="V270" s="491">
        <v>0</v>
      </c>
      <c r="W270" s="491">
        <v>0</v>
      </c>
      <c r="X270" s="491">
        <v>0</v>
      </c>
      <c r="Y270" s="1025" t="b">
        <v>0</v>
      </c>
      <c r="Z270" s="331">
        <v>0</v>
      </c>
      <c r="AA270" s="331">
        <v>0</v>
      </c>
      <c r="AB270" s="331">
        <v>0</v>
      </c>
      <c r="AC270" s="331">
        <v>0</v>
      </c>
      <c r="AD270" s="1025" t="b">
        <v>0</v>
      </c>
      <c r="AE270" s="331">
        <v>0</v>
      </c>
      <c r="AF270" s="331">
        <v>0</v>
      </c>
      <c r="AG270" s="331">
        <v>0</v>
      </c>
      <c r="AH270" s="331">
        <v>0</v>
      </c>
      <c r="AI270" s="1025" t="b">
        <v>0</v>
      </c>
      <c r="AJ270" s="331">
        <v>0</v>
      </c>
      <c r="AK270" s="331">
        <v>0</v>
      </c>
      <c r="AL270" s="331">
        <v>0</v>
      </c>
      <c r="AM270" s="331">
        <v>28.3</v>
      </c>
      <c r="AN270" s="1025" t="b">
        <v>0</v>
      </c>
      <c r="AO270" s="331">
        <v>0</v>
      </c>
      <c r="AP270" s="331">
        <v>0</v>
      </c>
      <c r="AQ270" s="331">
        <v>0</v>
      </c>
      <c r="AR270" s="331">
        <v>0</v>
      </c>
      <c r="AS270" s="1025" t="b">
        <v>0</v>
      </c>
      <c r="AT270" s="1025" t="b">
        <v>0</v>
      </c>
      <c r="AU270" s="331">
        <v>352210</v>
      </c>
      <c r="AV270" s="491" t="s">
        <v>29</v>
      </c>
    </row>
    <row r="271" spans="1:48">
      <c r="A271" s="72">
        <v>19</v>
      </c>
      <c r="B271" s="391" t="s">
        <v>45</v>
      </c>
      <c r="C271" s="72">
        <f t="shared" si="12"/>
        <v>65</v>
      </c>
      <c r="D271" s="72" t="str">
        <f t="shared" si="13"/>
        <v>19-65</v>
      </c>
      <c r="E271" s="72">
        <v>67686</v>
      </c>
      <c r="F271" s="72" t="str">
        <f t="shared" si="14"/>
        <v>19-67686</v>
      </c>
      <c r="G271" s="391" t="s">
        <v>851</v>
      </c>
      <c r="H271" s="331">
        <v>13734.16</v>
      </c>
      <c r="I271" s="331">
        <v>12627.99</v>
      </c>
      <c r="J271" s="331">
        <v>13002.6</v>
      </c>
      <c r="K271" s="331">
        <v>15460.61</v>
      </c>
      <c r="L271" s="491" t="s">
        <v>29</v>
      </c>
      <c r="M271" s="491" t="s">
        <v>29</v>
      </c>
      <c r="N271" s="491" t="s">
        <v>29</v>
      </c>
      <c r="O271" s="491" t="s">
        <v>29</v>
      </c>
      <c r="P271" s="491">
        <v>0</v>
      </c>
      <c r="Q271" s="491">
        <v>0</v>
      </c>
      <c r="R271" s="491">
        <v>0</v>
      </c>
      <c r="S271" s="491">
        <v>0</v>
      </c>
      <c r="T271" s="1025" t="b">
        <v>0</v>
      </c>
      <c r="U271" s="491">
        <v>0</v>
      </c>
      <c r="V271" s="491">
        <v>0</v>
      </c>
      <c r="W271" s="491">
        <v>0</v>
      </c>
      <c r="X271" s="491">
        <v>0</v>
      </c>
      <c r="Y271" s="1025" t="b">
        <v>0</v>
      </c>
      <c r="Z271" s="331">
        <v>0</v>
      </c>
      <c r="AA271" s="331">
        <v>0</v>
      </c>
      <c r="AB271" s="331">
        <v>0</v>
      </c>
      <c r="AC271" s="331">
        <v>0</v>
      </c>
      <c r="AD271" s="1025" t="b">
        <v>0</v>
      </c>
      <c r="AE271" s="331">
        <v>0</v>
      </c>
      <c r="AF271" s="331">
        <v>0</v>
      </c>
      <c r="AG271" s="331">
        <v>0</v>
      </c>
      <c r="AH271" s="331">
        <v>0</v>
      </c>
      <c r="AI271" s="1025" t="b">
        <v>0</v>
      </c>
      <c r="AJ271" s="331">
        <v>0</v>
      </c>
      <c r="AK271" s="331">
        <v>0</v>
      </c>
      <c r="AL271" s="331">
        <v>0</v>
      </c>
      <c r="AM271" s="331">
        <v>4.84</v>
      </c>
      <c r="AN271" s="1025" t="b">
        <v>0</v>
      </c>
      <c r="AO271" s="331">
        <v>0</v>
      </c>
      <c r="AP271" s="331">
        <v>0</v>
      </c>
      <c r="AQ271" s="331">
        <v>0</v>
      </c>
      <c r="AR271" s="331">
        <v>0</v>
      </c>
      <c r="AS271" s="1025" t="b">
        <v>0</v>
      </c>
      <c r="AT271" s="1025" t="b">
        <v>0</v>
      </c>
      <c r="AU271" s="331">
        <v>74829</v>
      </c>
      <c r="AV271" s="491" t="s">
        <v>29</v>
      </c>
    </row>
    <row r="272" spans="1:48">
      <c r="A272" s="72">
        <v>19</v>
      </c>
      <c r="B272" s="391" t="s">
        <v>45</v>
      </c>
      <c r="C272" s="72">
        <f t="shared" si="12"/>
        <v>66</v>
      </c>
      <c r="D272" s="72" t="str">
        <f t="shared" si="13"/>
        <v>19-66</v>
      </c>
      <c r="E272" s="72">
        <v>67710</v>
      </c>
      <c r="F272" s="72" t="str">
        <f t="shared" si="14"/>
        <v>19-67710</v>
      </c>
      <c r="G272" s="391" t="s">
        <v>852</v>
      </c>
      <c r="H272" s="491">
        <v>13541.5</v>
      </c>
      <c r="I272" s="491">
        <v>12450.85</v>
      </c>
      <c r="J272" s="491">
        <v>12820.2</v>
      </c>
      <c r="K272" s="491">
        <v>15243.72</v>
      </c>
      <c r="L272" s="491" t="s">
        <v>29</v>
      </c>
      <c r="M272" s="491" t="s">
        <v>29</v>
      </c>
      <c r="N272" s="491" t="s">
        <v>29</v>
      </c>
      <c r="O272" s="491" t="s">
        <v>29</v>
      </c>
      <c r="P272" s="491">
        <v>0</v>
      </c>
      <c r="Q272" s="491">
        <v>0</v>
      </c>
      <c r="R272" s="491">
        <v>0</v>
      </c>
      <c r="S272" s="491">
        <v>0</v>
      </c>
      <c r="T272" s="1025" t="b">
        <v>0</v>
      </c>
      <c r="U272" s="491">
        <v>0</v>
      </c>
      <c r="V272" s="491">
        <v>0</v>
      </c>
      <c r="W272" s="491">
        <v>0</v>
      </c>
      <c r="X272" s="491">
        <v>0</v>
      </c>
      <c r="Y272" s="1025" t="b">
        <v>0</v>
      </c>
      <c r="Z272" s="491">
        <v>0</v>
      </c>
      <c r="AA272" s="491">
        <v>0</v>
      </c>
      <c r="AB272" s="491">
        <v>0</v>
      </c>
      <c r="AC272" s="491">
        <v>0</v>
      </c>
      <c r="AD272" s="1025" t="b">
        <v>0</v>
      </c>
      <c r="AE272" s="491">
        <v>0</v>
      </c>
      <c r="AF272" s="491">
        <v>0</v>
      </c>
      <c r="AG272" s="491">
        <v>0</v>
      </c>
      <c r="AH272" s="491">
        <v>0</v>
      </c>
      <c r="AI272" s="1025" t="b">
        <v>0</v>
      </c>
      <c r="AJ272" s="491">
        <v>0</v>
      </c>
      <c r="AK272" s="491">
        <v>0</v>
      </c>
      <c r="AL272" s="491">
        <v>0</v>
      </c>
      <c r="AM272" s="491">
        <v>9.77</v>
      </c>
      <c r="AN272" s="1025" t="b">
        <v>0</v>
      </c>
      <c r="AO272" s="491">
        <v>0</v>
      </c>
      <c r="AP272" s="491">
        <v>0</v>
      </c>
      <c r="AQ272" s="491">
        <v>0</v>
      </c>
      <c r="AR272" s="491">
        <v>0</v>
      </c>
      <c r="AS272" s="1025" t="b">
        <v>0</v>
      </c>
      <c r="AT272" s="1025" t="b">
        <v>0</v>
      </c>
      <c r="AU272" s="491">
        <v>148931</v>
      </c>
      <c r="AV272" s="491" t="s">
        <v>29</v>
      </c>
    </row>
    <row r="273" spans="1:48">
      <c r="A273" s="72">
        <v>19</v>
      </c>
      <c r="B273" s="391" t="s">
        <v>45</v>
      </c>
      <c r="C273" s="72">
        <f t="shared" si="12"/>
        <v>67</v>
      </c>
      <c r="D273" s="72" t="str">
        <f t="shared" si="13"/>
        <v>19-67</v>
      </c>
      <c r="E273" s="72">
        <v>67850</v>
      </c>
      <c r="F273" s="72" t="str">
        <f t="shared" si="14"/>
        <v>19-67850</v>
      </c>
      <c r="G273" s="391" t="s">
        <v>854</v>
      </c>
      <c r="H273" s="331">
        <v>13916.51</v>
      </c>
      <c r="I273" s="331">
        <v>12795.65</v>
      </c>
      <c r="J273" s="331">
        <v>13175.23</v>
      </c>
      <c r="K273" s="331">
        <v>15665.87</v>
      </c>
      <c r="L273" s="491" t="s">
        <v>29</v>
      </c>
      <c r="M273" s="491" t="s">
        <v>29</v>
      </c>
      <c r="N273" s="491" t="s">
        <v>29</v>
      </c>
      <c r="O273" s="491" t="s">
        <v>29</v>
      </c>
      <c r="P273" s="491">
        <v>0</v>
      </c>
      <c r="Q273" s="491">
        <v>0</v>
      </c>
      <c r="R273" s="491">
        <v>0</v>
      </c>
      <c r="S273" s="491">
        <v>0</v>
      </c>
      <c r="T273" s="1025" t="b">
        <v>0</v>
      </c>
      <c r="U273" s="491">
        <v>0</v>
      </c>
      <c r="V273" s="491">
        <v>0</v>
      </c>
      <c r="W273" s="491">
        <v>0</v>
      </c>
      <c r="X273" s="491">
        <v>0</v>
      </c>
      <c r="Y273" s="1025" t="b">
        <v>0</v>
      </c>
      <c r="Z273" s="331">
        <v>0</v>
      </c>
      <c r="AA273" s="331">
        <v>0</v>
      </c>
      <c r="AB273" s="331">
        <v>0</v>
      </c>
      <c r="AC273" s="331">
        <v>0</v>
      </c>
      <c r="AD273" s="1025" t="b">
        <v>0</v>
      </c>
      <c r="AE273" s="331">
        <v>0</v>
      </c>
      <c r="AF273" s="331">
        <v>0</v>
      </c>
      <c r="AG273" s="331">
        <v>0</v>
      </c>
      <c r="AH273" s="331">
        <v>0</v>
      </c>
      <c r="AI273" s="1025" t="b">
        <v>0</v>
      </c>
      <c r="AJ273" s="331">
        <v>0</v>
      </c>
      <c r="AK273" s="331">
        <v>0</v>
      </c>
      <c r="AL273" s="331">
        <v>0</v>
      </c>
      <c r="AM273" s="331">
        <v>4.7300000000000004</v>
      </c>
      <c r="AN273" s="1025" t="b">
        <v>0</v>
      </c>
      <c r="AO273" s="331">
        <v>0</v>
      </c>
      <c r="AP273" s="331">
        <v>0</v>
      </c>
      <c r="AQ273" s="331">
        <v>0</v>
      </c>
      <c r="AR273" s="331">
        <v>0</v>
      </c>
      <c r="AS273" s="1025" t="b">
        <v>0</v>
      </c>
      <c r="AT273" s="1025" t="b">
        <v>0</v>
      </c>
      <c r="AU273" s="331">
        <v>74100</v>
      </c>
      <c r="AV273" s="491" t="s">
        <v>29</v>
      </c>
    </row>
    <row r="274" spans="1:48">
      <c r="A274" s="72">
        <v>19</v>
      </c>
      <c r="B274" s="391" t="s">
        <v>45</v>
      </c>
      <c r="C274" s="72">
        <f t="shared" si="12"/>
        <v>68</v>
      </c>
      <c r="D274" s="72" t="str">
        <f t="shared" si="13"/>
        <v>19-68</v>
      </c>
      <c r="E274" s="72">
        <v>67876</v>
      </c>
      <c r="F274" s="72" t="str">
        <f t="shared" si="14"/>
        <v>19-67876</v>
      </c>
      <c r="G274" s="391" t="s">
        <v>855</v>
      </c>
      <c r="H274" s="331">
        <v>14301.84</v>
      </c>
      <c r="I274" s="331">
        <v>13149.95</v>
      </c>
      <c r="J274" s="331">
        <v>13540.04</v>
      </c>
      <c r="K274" s="331">
        <v>16099.64</v>
      </c>
      <c r="L274" s="491" t="s">
        <v>29</v>
      </c>
      <c r="M274" s="491" t="s">
        <v>29</v>
      </c>
      <c r="N274" s="491" t="s">
        <v>29</v>
      </c>
      <c r="O274" s="491" t="s">
        <v>29</v>
      </c>
      <c r="P274" s="491">
        <v>0</v>
      </c>
      <c r="Q274" s="491">
        <v>0</v>
      </c>
      <c r="R274" s="491">
        <v>0</v>
      </c>
      <c r="S274" s="491">
        <v>0</v>
      </c>
      <c r="T274" s="1025" t="b">
        <v>0</v>
      </c>
      <c r="U274" s="491">
        <v>0</v>
      </c>
      <c r="V274" s="491">
        <v>0</v>
      </c>
      <c r="W274" s="491">
        <v>0</v>
      </c>
      <c r="X274" s="491">
        <v>0</v>
      </c>
      <c r="Y274" s="1025" t="b">
        <v>0</v>
      </c>
      <c r="Z274" s="331">
        <v>0</v>
      </c>
      <c r="AA274" s="331">
        <v>0</v>
      </c>
      <c r="AB274" s="331">
        <v>0</v>
      </c>
      <c r="AC274" s="331">
        <v>0</v>
      </c>
      <c r="AD274" s="1025" t="b">
        <v>0</v>
      </c>
      <c r="AE274" s="331">
        <v>0</v>
      </c>
      <c r="AF274" s="331">
        <v>0</v>
      </c>
      <c r="AG274" s="331">
        <v>0</v>
      </c>
      <c r="AH274" s="331">
        <v>0</v>
      </c>
      <c r="AI274" s="1025" t="b">
        <v>0</v>
      </c>
      <c r="AJ274" s="331">
        <v>0</v>
      </c>
      <c r="AK274" s="331">
        <v>0</v>
      </c>
      <c r="AL274" s="331">
        <v>0</v>
      </c>
      <c r="AM274" s="331">
        <v>1.97</v>
      </c>
      <c r="AN274" s="1025" t="b">
        <v>0</v>
      </c>
      <c r="AO274" s="331">
        <v>0</v>
      </c>
      <c r="AP274" s="331">
        <v>0</v>
      </c>
      <c r="AQ274" s="331">
        <v>0</v>
      </c>
      <c r="AR274" s="331">
        <v>0</v>
      </c>
      <c r="AS274" s="1025" t="b">
        <v>0</v>
      </c>
      <c r="AT274" s="1025" t="b">
        <v>0</v>
      </c>
      <c r="AU274" s="331">
        <v>31716</v>
      </c>
      <c r="AV274" s="491" t="s">
        <v>29</v>
      </c>
    </row>
    <row r="275" spans="1:48">
      <c r="A275" s="72">
        <v>19</v>
      </c>
      <c r="B275" s="391" t="s">
        <v>45</v>
      </c>
      <c r="C275" s="72">
        <f t="shared" si="12"/>
        <v>69</v>
      </c>
      <c r="D275" s="72" t="str">
        <f t="shared" si="13"/>
        <v>19-69</v>
      </c>
      <c r="E275" s="72">
        <v>75069</v>
      </c>
      <c r="F275" s="72" t="str">
        <f t="shared" si="14"/>
        <v>19-75069</v>
      </c>
      <c r="G275" s="391" t="s">
        <v>857</v>
      </c>
      <c r="H275" s="331">
        <v>12076.72</v>
      </c>
      <c r="I275" s="331">
        <v>11104.04</v>
      </c>
      <c r="J275" s="331">
        <v>11433.44</v>
      </c>
      <c r="K275" s="331">
        <v>13594.82</v>
      </c>
      <c r="L275" s="491" t="s">
        <v>29</v>
      </c>
      <c r="M275" s="491" t="s">
        <v>29</v>
      </c>
      <c r="N275" s="491" t="s">
        <v>29</v>
      </c>
      <c r="O275" s="491" t="s">
        <v>29</v>
      </c>
      <c r="P275" s="491">
        <v>0</v>
      </c>
      <c r="Q275" s="491">
        <v>0</v>
      </c>
      <c r="R275" s="491">
        <v>0</v>
      </c>
      <c r="S275" s="491">
        <v>0</v>
      </c>
      <c r="T275" s="1025" t="b">
        <v>0</v>
      </c>
      <c r="U275" s="491">
        <v>0</v>
      </c>
      <c r="V275" s="491">
        <v>0</v>
      </c>
      <c r="W275" s="491">
        <v>0</v>
      </c>
      <c r="X275" s="491">
        <v>0</v>
      </c>
      <c r="Y275" s="1025" t="b">
        <v>0</v>
      </c>
      <c r="Z275" s="331">
        <v>0</v>
      </c>
      <c r="AA275" s="331">
        <v>0</v>
      </c>
      <c r="AB275" s="331">
        <v>0</v>
      </c>
      <c r="AC275" s="331">
        <v>0</v>
      </c>
      <c r="AD275" s="1025" t="b">
        <v>0</v>
      </c>
      <c r="AE275" s="331">
        <v>0</v>
      </c>
      <c r="AF275" s="331">
        <v>0</v>
      </c>
      <c r="AG275" s="331">
        <v>0</v>
      </c>
      <c r="AH275" s="331">
        <v>0</v>
      </c>
      <c r="AI275" s="1025" t="b">
        <v>0</v>
      </c>
      <c r="AJ275" s="331">
        <v>0</v>
      </c>
      <c r="AK275" s="331">
        <v>0</v>
      </c>
      <c r="AL275" s="331">
        <v>0</v>
      </c>
      <c r="AM275" s="331">
        <v>23.06</v>
      </c>
      <c r="AN275" s="1025" t="b">
        <v>0</v>
      </c>
      <c r="AO275" s="331">
        <v>0</v>
      </c>
      <c r="AP275" s="331">
        <v>0</v>
      </c>
      <c r="AQ275" s="331">
        <v>0</v>
      </c>
      <c r="AR275" s="331">
        <v>0</v>
      </c>
      <c r="AS275" s="1025" t="b">
        <v>0</v>
      </c>
      <c r="AT275" s="1025" t="b">
        <v>0</v>
      </c>
      <c r="AU275" s="331">
        <v>313497</v>
      </c>
      <c r="AV275" s="491" t="s">
        <v>29</v>
      </c>
    </row>
    <row r="276" spans="1:48">
      <c r="A276" s="72">
        <v>19</v>
      </c>
      <c r="B276" s="391" t="s">
        <v>45</v>
      </c>
      <c r="C276" s="72">
        <f t="shared" si="12"/>
        <v>70</v>
      </c>
      <c r="D276" s="72" t="str">
        <f t="shared" si="13"/>
        <v>19-70</v>
      </c>
      <c r="E276" s="72">
        <v>76786</v>
      </c>
      <c r="F276" s="72" t="str">
        <f t="shared" si="14"/>
        <v>19-76786</v>
      </c>
      <c r="G276" s="391" t="s">
        <v>1092</v>
      </c>
      <c r="H276" s="331">
        <v>11558.93</v>
      </c>
      <c r="I276" s="331">
        <v>10627.96</v>
      </c>
      <c r="J276" s="331">
        <v>10943.23</v>
      </c>
      <c r="K276" s="331">
        <v>13011.94</v>
      </c>
      <c r="L276" s="491" t="s">
        <v>29</v>
      </c>
      <c r="M276" s="491" t="s">
        <v>29</v>
      </c>
      <c r="N276" s="491" t="s">
        <v>29</v>
      </c>
      <c r="O276" s="491" t="s">
        <v>29</v>
      </c>
      <c r="P276" s="491">
        <v>0</v>
      </c>
      <c r="Q276" s="491">
        <v>0</v>
      </c>
      <c r="R276" s="491">
        <v>0</v>
      </c>
      <c r="S276" s="491">
        <v>0</v>
      </c>
      <c r="T276" s="1025" t="b">
        <v>0</v>
      </c>
      <c r="U276" s="491">
        <v>0</v>
      </c>
      <c r="V276" s="491">
        <v>0</v>
      </c>
      <c r="W276" s="491">
        <v>0</v>
      </c>
      <c r="X276" s="491">
        <v>0</v>
      </c>
      <c r="Y276" s="1025" t="b">
        <v>0</v>
      </c>
      <c r="Z276" s="331">
        <v>0</v>
      </c>
      <c r="AA276" s="331">
        <v>0</v>
      </c>
      <c r="AB276" s="331">
        <v>0</v>
      </c>
      <c r="AC276" s="331">
        <v>0</v>
      </c>
      <c r="AD276" s="1025" t="b">
        <v>0</v>
      </c>
      <c r="AE276" s="331">
        <v>0</v>
      </c>
      <c r="AF276" s="331">
        <v>0</v>
      </c>
      <c r="AG276" s="331">
        <v>0</v>
      </c>
      <c r="AH276" s="331">
        <v>0</v>
      </c>
      <c r="AI276" s="1025" t="b">
        <v>0</v>
      </c>
      <c r="AJ276" s="331">
        <v>0</v>
      </c>
      <c r="AK276" s="331">
        <v>0</v>
      </c>
      <c r="AL276" s="331">
        <v>0</v>
      </c>
      <c r="AM276" s="331">
        <v>1</v>
      </c>
      <c r="AN276" s="1025" t="b">
        <v>0</v>
      </c>
      <c r="AO276" s="331">
        <v>0</v>
      </c>
      <c r="AP276" s="331">
        <v>0</v>
      </c>
      <c r="AQ276" s="331">
        <v>0</v>
      </c>
      <c r="AR276" s="331">
        <v>0</v>
      </c>
      <c r="AS276" s="1025" t="b">
        <v>0</v>
      </c>
      <c r="AT276" s="1025" t="b">
        <v>0</v>
      </c>
      <c r="AU276" s="331">
        <v>13012</v>
      </c>
      <c r="AV276" s="491" t="s">
        <v>29</v>
      </c>
    </row>
    <row r="277" spans="1:48">
      <c r="A277" s="72">
        <v>19</v>
      </c>
      <c r="B277" s="391" t="s">
        <v>45</v>
      </c>
      <c r="C277" s="72">
        <f t="shared" si="12"/>
        <v>0</v>
      </c>
      <c r="D277" s="72" t="str">
        <f t="shared" si="13"/>
        <v>19-0</v>
      </c>
      <c r="E277" s="72" t="s">
        <v>29</v>
      </c>
      <c r="F277" s="72" t="str">
        <f t="shared" si="14"/>
        <v>19-N/A</v>
      </c>
      <c r="G277" s="391" t="s">
        <v>29</v>
      </c>
      <c r="H277" s="491" t="s">
        <v>29</v>
      </c>
      <c r="I277" s="491" t="s">
        <v>29</v>
      </c>
      <c r="J277" s="491" t="s">
        <v>29</v>
      </c>
      <c r="K277" s="491" t="s">
        <v>29</v>
      </c>
      <c r="L277" s="491" t="s">
        <v>29</v>
      </c>
      <c r="M277" s="491" t="s">
        <v>29</v>
      </c>
      <c r="N277" s="491" t="s">
        <v>29</v>
      </c>
      <c r="O277" s="491" t="s">
        <v>29</v>
      </c>
      <c r="P277" s="491" t="s">
        <v>29</v>
      </c>
      <c r="Q277" s="491" t="s">
        <v>29</v>
      </c>
      <c r="R277" s="491" t="s">
        <v>29</v>
      </c>
      <c r="S277" s="491" t="s">
        <v>29</v>
      </c>
      <c r="T277" s="1025" t="s">
        <v>29</v>
      </c>
      <c r="U277" s="491" t="s">
        <v>29</v>
      </c>
      <c r="V277" s="491" t="s">
        <v>29</v>
      </c>
      <c r="W277" s="491" t="s">
        <v>29</v>
      </c>
      <c r="X277" s="491" t="s">
        <v>29</v>
      </c>
      <c r="Y277" s="1025" t="s">
        <v>29</v>
      </c>
      <c r="Z277" s="491" t="s">
        <v>29</v>
      </c>
      <c r="AA277" s="491" t="s">
        <v>29</v>
      </c>
      <c r="AB277" s="491" t="s">
        <v>29</v>
      </c>
      <c r="AC277" s="491" t="s">
        <v>29</v>
      </c>
      <c r="AD277" s="1025" t="s">
        <v>29</v>
      </c>
      <c r="AE277" s="491" t="s">
        <v>29</v>
      </c>
      <c r="AF277" s="491" t="s">
        <v>29</v>
      </c>
      <c r="AG277" s="491" t="s">
        <v>29</v>
      </c>
      <c r="AH277" s="491" t="s">
        <v>29</v>
      </c>
      <c r="AI277" s="1025" t="s">
        <v>29</v>
      </c>
      <c r="AJ277" s="491" t="s">
        <v>29</v>
      </c>
      <c r="AK277" s="491" t="s">
        <v>29</v>
      </c>
      <c r="AL277" s="491" t="s">
        <v>29</v>
      </c>
      <c r="AM277" s="491" t="s">
        <v>29</v>
      </c>
      <c r="AN277" s="1025" t="s">
        <v>29</v>
      </c>
      <c r="AO277" s="491" t="s">
        <v>29</v>
      </c>
      <c r="AP277" s="491" t="s">
        <v>29</v>
      </c>
      <c r="AQ277" s="491" t="s">
        <v>29</v>
      </c>
      <c r="AR277" s="491" t="s">
        <v>29</v>
      </c>
      <c r="AS277" s="1025" t="s">
        <v>29</v>
      </c>
      <c r="AT277" s="1025" t="s">
        <v>29</v>
      </c>
      <c r="AU277" s="491" t="s">
        <v>29</v>
      </c>
      <c r="AV277" s="491">
        <v>16076785</v>
      </c>
    </row>
    <row r="278" spans="1:48">
      <c r="A278" s="72">
        <v>20</v>
      </c>
      <c r="B278" s="391" t="s">
        <v>124</v>
      </c>
      <c r="C278" s="72">
        <f t="shared" si="12"/>
        <v>1</v>
      </c>
      <c r="D278" s="72" t="str">
        <f t="shared" si="13"/>
        <v>20-1</v>
      </c>
      <c r="E278" s="72">
        <v>65177</v>
      </c>
      <c r="F278" s="72" t="str">
        <f t="shared" si="14"/>
        <v>20-65177</v>
      </c>
      <c r="G278" s="391" t="s">
        <v>859</v>
      </c>
      <c r="H278" s="331">
        <v>12425.93</v>
      </c>
      <c r="I278" s="331">
        <v>11425.13</v>
      </c>
      <c r="J278" s="331">
        <v>11764.05</v>
      </c>
      <c r="K278" s="331">
        <v>13987.92</v>
      </c>
      <c r="L278" s="491" t="s">
        <v>29</v>
      </c>
      <c r="M278" s="491" t="s">
        <v>29</v>
      </c>
      <c r="N278" s="491" t="s">
        <v>29</v>
      </c>
      <c r="O278" s="491" t="s">
        <v>29</v>
      </c>
      <c r="P278" s="491">
        <v>0</v>
      </c>
      <c r="Q278" s="491">
        <v>0</v>
      </c>
      <c r="R278" s="491">
        <v>0</v>
      </c>
      <c r="S278" s="491">
        <v>0</v>
      </c>
      <c r="T278" s="1025" t="b">
        <v>0</v>
      </c>
      <c r="U278" s="491">
        <v>0.11</v>
      </c>
      <c r="V278" s="491">
        <v>0.92</v>
      </c>
      <c r="W278" s="491">
        <v>1.72</v>
      </c>
      <c r="X278" s="491">
        <v>0</v>
      </c>
      <c r="Y278" s="1025" t="b">
        <v>0</v>
      </c>
      <c r="Z278" s="331">
        <v>0</v>
      </c>
      <c r="AA278" s="331">
        <v>0</v>
      </c>
      <c r="AB278" s="331">
        <v>0</v>
      </c>
      <c r="AC278" s="331">
        <v>0</v>
      </c>
      <c r="AD278" s="1025" t="b">
        <v>0</v>
      </c>
      <c r="AE278" s="331">
        <v>0</v>
      </c>
      <c r="AF278" s="331">
        <v>0</v>
      </c>
      <c r="AG278" s="331">
        <v>0</v>
      </c>
      <c r="AH278" s="331">
        <v>0</v>
      </c>
      <c r="AI278" s="1025" t="b">
        <v>0</v>
      </c>
      <c r="AJ278" s="331">
        <v>0</v>
      </c>
      <c r="AK278" s="331">
        <v>0</v>
      </c>
      <c r="AL278" s="331">
        <v>0</v>
      </c>
      <c r="AM278" s="331">
        <v>0</v>
      </c>
      <c r="AN278" s="1025" t="b">
        <v>0</v>
      </c>
      <c r="AO278" s="331">
        <v>0</v>
      </c>
      <c r="AP278" s="331">
        <v>0</v>
      </c>
      <c r="AQ278" s="331">
        <v>0</v>
      </c>
      <c r="AR278" s="331">
        <v>0</v>
      </c>
      <c r="AS278" s="1025" t="b">
        <v>0</v>
      </c>
      <c r="AT278" s="1025" t="b">
        <v>0</v>
      </c>
      <c r="AU278" s="331">
        <v>32112</v>
      </c>
      <c r="AV278" s="491" t="s">
        <v>29</v>
      </c>
    </row>
    <row r="279" spans="1:48">
      <c r="A279" s="72">
        <v>20</v>
      </c>
      <c r="B279" s="391" t="s">
        <v>124</v>
      </c>
      <c r="C279" s="72">
        <f t="shared" si="12"/>
        <v>2</v>
      </c>
      <c r="D279" s="72" t="str">
        <f t="shared" si="13"/>
        <v>20-2</v>
      </c>
      <c r="E279" s="72">
        <v>65185</v>
      </c>
      <c r="F279" s="72" t="str">
        <f t="shared" si="14"/>
        <v>20-65185</v>
      </c>
      <c r="G279" s="391" t="s">
        <v>860</v>
      </c>
      <c r="H279" s="491">
        <v>11813.53</v>
      </c>
      <c r="I279" s="491">
        <v>10862.05</v>
      </c>
      <c r="J279" s="491">
        <v>11184.27</v>
      </c>
      <c r="K279" s="491">
        <v>13298.54</v>
      </c>
      <c r="L279" s="491" t="s">
        <v>29</v>
      </c>
      <c r="M279" s="491" t="s">
        <v>29</v>
      </c>
      <c r="N279" s="491" t="s">
        <v>29</v>
      </c>
      <c r="O279" s="491" t="s">
        <v>29</v>
      </c>
      <c r="P279" s="491">
        <v>0</v>
      </c>
      <c r="Q279" s="491">
        <v>0</v>
      </c>
      <c r="R279" s="491">
        <v>0</v>
      </c>
      <c r="S279" s="491">
        <v>0</v>
      </c>
      <c r="T279" s="1025" t="b">
        <v>0</v>
      </c>
      <c r="U279" s="491">
        <v>2.3199999999999998</v>
      </c>
      <c r="V279" s="491">
        <v>1.74</v>
      </c>
      <c r="W279" s="491">
        <v>0.78</v>
      </c>
      <c r="X279" s="491">
        <v>0</v>
      </c>
      <c r="Y279" s="1025" t="b">
        <v>0</v>
      </c>
      <c r="Z279" s="491">
        <v>0</v>
      </c>
      <c r="AA279" s="491">
        <v>0</v>
      </c>
      <c r="AB279" s="491">
        <v>0</v>
      </c>
      <c r="AC279" s="491">
        <v>0</v>
      </c>
      <c r="AD279" s="1025" t="b">
        <v>0</v>
      </c>
      <c r="AE279" s="491">
        <v>0.2</v>
      </c>
      <c r="AF279" s="491">
        <v>0</v>
      </c>
      <c r="AG279" s="491">
        <v>0</v>
      </c>
      <c r="AH279" s="491">
        <v>0</v>
      </c>
      <c r="AI279" s="1025" t="b">
        <v>0</v>
      </c>
      <c r="AJ279" s="491">
        <v>0</v>
      </c>
      <c r="AK279" s="491">
        <v>0</v>
      </c>
      <c r="AL279" s="491">
        <v>0</v>
      </c>
      <c r="AM279" s="491">
        <v>0</v>
      </c>
      <c r="AN279" s="1025" t="b">
        <v>0</v>
      </c>
      <c r="AO279" s="491">
        <v>0</v>
      </c>
      <c r="AP279" s="491">
        <v>0</v>
      </c>
      <c r="AQ279" s="491">
        <v>0</v>
      </c>
      <c r="AR279" s="491">
        <v>0</v>
      </c>
      <c r="AS279" s="1025" t="b">
        <v>0</v>
      </c>
      <c r="AT279" s="1025" t="b">
        <v>0</v>
      </c>
      <c r="AU279" s="491">
        <v>57394</v>
      </c>
      <c r="AV279" s="491" t="s">
        <v>29</v>
      </c>
    </row>
    <row r="280" spans="1:48">
      <c r="A280" s="72">
        <v>20</v>
      </c>
      <c r="B280" s="391" t="s">
        <v>124</v>
      </c>
      <c r="C280" s="72">
        <f t="shared" si="12"/>
        <v>3</v>
      </c>
      <c r="D280" s="72" t="str">
        <f t="shared" si="13"/>
        <v>20-3</v>
      </c>
      <c r="E280" s="72">
        <v>65193</v>
      </c>
      <c r="F280" s="72" t="str">
        <f t="shared" si="14"/>
        <v>20-65193</v>
      </c>
      <c r="G280" s="391" t="s">
        <v>861</v>
      </c>
      <c r="H280" s="331">
        <v>14064.45</v>
      </c>
      <c r="I280" s="331">
        <v>12931.68</v>
      </c>
      <c r="J280" s="331">
        <v>13315.29</v>
      </c>
      <c r="K280" s="331">
        <v>15832.41</v>
      </c>
      <c r="L280" s="491" t="s">
        <v>29</v>
      </c>
      <c r="M280" s="491" t="s">
        <v>29</v>
      </c>
      <c r="N280" s="491" t="s">
        <v>29</v>
      </c>
      <c r="O280" s="491" t="s">
        <v>29</v>
      </c>
      <c r="P280" s="491">
        <v>0</v>
      </c>
      <c r="Q280" s="491">
        <v>0</v>
      </c>
      <c r="R280" s="491">
        <v>0</v>
      </c>
      <c r="S280" s="491">
        <v>0</v>
      </c>
      <c r="T280" s="1025" t="b">
        <v>0</v>
      </c>
      <c r="U280" s="491">
        <v>8.3800000000000008</v>
      </c>
      <c r="V280" s="491">
        <v>6.82</v>
      </c>
      <c r="W280" s="491">
        <v>2.54</v>
      </c>
      <c r="X280" s="491">
        <v>0</v>
      </c>
      <c r="Y280" s="1025" t="b">
        <v>0</v>
      </c>
      <c r="Z280" s="331">
        <v>0</v>
      </c>
      <c r="AA280" s="331">
        <v>0</v>
      </c>
      <c r="AB280" s="331">
        <v>0</v>
      </c>
      <c r="AC280" s="331">
        <v>0</v>
      </c>
      <c r="AD280" s="1025" t="b">
        <v>0</v>
      </c>
      <c r="AE280" s="331">
        <v>0.47</v>
      </c>
      <c r="AF280" s="331">
        <v>0.31</v>
      </c>
      <c r="AG280" s="331">
        <v>0.25</v>
      </c>
      <c r="AH280" s="331">
        <v>0</v>
      </c>
      <c r="AI280" s="1025" t="b">
        <v>0</v>
      </c>
      <c r="AJ280" s="331">
        <v>0</v>
      </c>
      <c r="AK280" s="331">
        <v>0</v>
      </c>
      <c r="AL280" s="331">
        <v>0</v>
      </c>
      <c r="AM280" s="331">
        <v>0</v>
      </c>
      <c r="AN280" s="1025" t="b">
        <v>0</v>
      </c>
      <c r="AO280" s="331">
        <v>0</v>
      </c>
      <c r="AP280" s="331">
        <v>0</v>
      </c>
      <c r="AQ280" s="331">
        <v>0</v>
      </c>
      <c r="AR280" s="331">
        <v>0</v>
      </c>
      <c r="AS280" s="1025" t="b">
        <v>0</v>
      </c>
      <c r="AT280" s="1025" t="b">
        <v>0</v>
      </c>
      <c r="AU280" s="331">
        <v>253823</v>
      </c>
      <c r="AV280" s="491" t="s">
        <v>29</v>
      </c>
    </row>
    <row r="281" spans="1:48">
      <c r="A281" s="72">
        <v>20</v>
      </c>
      <c r="B281" s="391" t="s">
        <v>124</v>
      </c>
      <c r="C281" s="72">
        <f t="shared" si="12"/>
        <v>4</v>
      </c>
      <c r="D281" s="72" t="str">
        <f t="shared" si="13"/>
        <v>20-4</v>
      </c>
      <c r="E281" s="72">
        <v>65201</v>
      </c>
      <c r="F281" s="72" t="str">
        <f t="shared" si="14"/>
        <v>20-65201</v>
      </c>
      <c r="G281" s="391" t="s">
        <v>862</v>
      </c>
      <c r="H281" s="331">
        <v>13454.63</v>
      </c>
      <c r="I281" s="331">
        <v>12370.97</v>
      </c>
      <c r="J281" s="331">
        <v>12737.95</v>
      </c>
      <c r="K281" s="331">
        <v>15145.93</v>
      </c>
      <c r="L281" s="491" t="s">
        <v>29</v>
      </c>
      <c r="M281" s="491" t="s">
        <v>29</v>
      </c>
      <c r="N281" s="491" t="s">
        <v>29</v>
      </c>
      <c r="O281" s="491" t="s">
        <v>29</v>
      </c>
      <c r="P281" s="491">
        <v>0</v>
      </c>
      <c r="Q281" s="491">
        <v>0</v>
      </c>
      <c r="R281" s="491">
        <v>0</v>
      </c>
      <c r="S281" s="491">
        <v>0</v>
      </c>
      <c r="T281" s="1025" t="b">
        <v>0</v>
      </c>
      <c r="U281" s="491">
        <v>0</v>
      </c>
      <c r="V281" s="491">
        <v>0</v>
      </c>
      <c r="W281" s="491">
        <v>0</v>
      </c>
      <c r="X281" s="491">
        <v>21.27</v>
      </c>
      <c r="Y281" s="1025" t="b">
        <v>0</v>
      </c>
      <c r="Z281" s="331">
        <v>0</v>
      </c>
      <c r="AA281" s="331">
        <v>0</v>
      </c>
      <c r="AB281" s="331">
        <v>0</v>
      </c>
      <c r="AC281" s="331">
        <v>0</v>
      </c>
      <c r="AD281" s="1025" t="b">
        <v>0</v>
      </c>
      <c r="AE281" s="331">
        <v>0</v>
      </c>
      <c r="AF281" s="331">
        <v>0</v>
      </c>
      <c r="AG281" s="331">
        <v>0</v>
      </c>
      <c r="AH281" s="331">
        <v>0.89</v>
      </c>
      <c r="AI281" s="1025" t="b">
        <v>0</v>
      </c>
      <c r="AJ281" s="331">
        <v>0</v>
      </c>
      <c r="AK281" s="331">
        <v>0</v>
      </c>
      <c r="AL281" s="331">
        <v>0</v>
      </c>
      <c r="AM281" s="331">
        <v>0</v>
      </c>
      <c r="AN281" s="1025" t="b">
        <v>0</v>
      </c>
      <c r="AO281" s="331">
        <v>0</v>
      </c>
      <c r="AP281" s="331">
        <v>0</v>
      </c>
      <c r="AQ281" s="331">
        <v>0</v>
      </c>
      <c r="AR281" s="331">
        <v>0</v>
      </c>
      <c r="AS281" s="1025" t="b">
        <v>0</v>
      </c>
      <c r="AT281" s="1025" t="b">
        <v>0</v>
      </c>
      <c r="AU281" s="331">
        <v>335634</v>
      </c>
      <c r="AV281" s="491" t="s">
        <v>29</v>
      </c>
    </row>
    <row r="282" spans="1:48">
      <c r="A282" s="72">
        <v>20</v>
      </c>
      <c r="B282" s="391" t="s">
        <v>124</v>
      </c>
      <c r="C282" s="72">
        <f t="shared" si="12"/>
        <v>5</v>
      </c>
      <c r="D282" s="72" t="str">
        <f t="shared" si="13"/>
        <v>20-5</v>
      </c>
      <c r="E282" s="72">
        <v>65243</v>
      </c>
      <c r="F282" s="72" t="str">
        <f t="shared" si="14"/>
        <v>20-65243</v>
      </c>
      <c r="G282" s="391" t="s">
        <v>863</v>
      </c>
      <c r="H282" s="491">
        <v>14332.8</v>
      </c>
      <c r="I282" s="491">
        <v>13178.42</v>
      </c>
      <c r="J282" s="491">
        <v>13569.35</v>
      </c>
      <c r="K282" s="491">
        <v>16134.5</v>
      </c>
      <c r="L282" s="491" t="s">
        <v>29</v>
      </c>
      <c r="M282" s="491" t="s">
        <v>29</v>
      </c>
      <c r="N282" s="491" t="s">
        <v>29</v>
      </c>
      <c r="O282" s="491" t="s">
        <v>29</v>
      </c>
      <c r="P282" s="491">
        <v>0</v>
      </c>
      <c r="Q282" s="491">
        <v>0</v>
      </c>
      <c r="R282" s="491">
        <v>0</v>
      </c>
      <c r="S282" s="491">
        <v>0</v>
      </c>
      <c r="T282" s="1025" t="b">
        <v>0</v>
      </c>
      <c r="U282" s="491">
        <v>65.25</v>
      </c>
      <c r="V282" s="491">
        <v>34.58</v>
      </c>
      <c r="W282" s="491">
        <v>27.66</v>
      </c>
      <c r="X282" s="491">
        <v>85.31</v>
      </c>
      <c r="Y282" s="1025" t="b">
        <v>0</v>
      </c>
      <c r="Z282" s="491">
        <v>0</v>
      </c>
      <c r="AA282" s="491">
        <v>0</v>
      </c>
      <c r="AB282" s="491">
        <v>0</v>
      </c>
      <c r="AC282" s="491">
        <v>0</v>
      </c>
      <c r="AD282" s="1025" t="b">
        <v>0</v>
      </c>
      <c r="AE282" s="491">
        <v>3.42</v>
      </c>
      <c r="AF282" s="491">
        <v>1.58</v>
      </c>
      <c r="AG282" s="491">
        <v>1.1499999999999999</v>
      </c>
      <c r="AH282" s="491">
        <v>4.0599999999999996</v>
      </c>
      <c r="AI282" s="1025" t="b">
        <v>0</v>
      </c>
      <c r="AJ282" s="491">
        <v>0</v>
      </c>
      <c r="AK282" s="491">
        <v>0</v>
      </c>
      <c r="AL282" s="491">
        <v>0</v>
      </c>
      <c r="AM282" s="491">
        <v>0</v>
      </c>
      <c r="AN282" s="1025" t="b">
        <v>0</v>
      </c>
      <c r="AO282" s="491">
        <v>0</v>
      </c>
      <c r="AP282" s="491">
        <v>0</v>
      </c>
      <c r="AQ282" s="491">
        <v>0</v>
      </c>
      <c r="AR282" s="491">
        <v>0</v>
      </c>
      <c r="AS282" s="1025" t="b">
        <v>0</v>
      </c>
      <c r="AT282" s="1025" t="b">
        <v>0</v>
      </c>
      <c r="AU282" s="491">
        <v>3293638</v>
      </c>
      <c r="AV282" s="491" t="s">
        <v>29</v>
      </c>
    </row>
    <row r="283" spans="1:48">
      <c r="A283" s="72">
        <v>20</v>
      </c>
      <c r="B283" s="391" t="s">
        <v>124</v>
      </c>
      <c r="C283" s="72">
        <f t="shared" si="12"/>
        <v>6</v>
      </c>
      <c r="D283" s="72" t="str">
        <f t="shared" si="13"/>
        <v>20-6</v>
      </c>
      <c r="E283" s="72">
        <v>65276</v>
      </c>
      <c r="F283" s="72" t="str">
        <f t="shared" si="14"/>
        <v>20-65276</v>
      </c>
      <c r="G283" s="391" t="s">
        <v>864</v>
      </c>
      <c r="H283" s="331">
        <v>11770.52</v>
      </c>
      <c r="I283" s="331">
        <v>10822.51</v>
      </c>
      <c r="J283" s="331">
        <v>11143.55</v>
      </c>
      <c r="K283" s="331">
        <v>13250.13</v>
      </c>
      <c r="L283" s="491" t="s">
        <v>29</v>
      </c>
      <c r="M283" s="491" t="s">
        <v>29</v>
      </c>
      <c r="N283" s="491" t="s">
        <v>29</v>
      </c>
      <c r="O283" s="491" t="s">
        <v>29</v>
      </c>
      <c r="P283" s="491">
        <v>0</v>
      </c>
      <c r="Q283" s="491">
        <v>0</v>
      </c>
      <c r="R283" s="491">
        <v>0</v>
      </c>
      <c r="S283" s="491">
        <v>0</v>
      </c>
      <c r="T283" s="1025" t="b">
        <v>0</v>
      </c>
      <c r="U283" s="491">
        <v>0.92</v>
      </c>
      <c r="V283" s="491">
        <v>0</v>
      </c>
      <c r="W283" s="491">
        <v>0</v>
      </c>
      <c r="X283" s="491">
        <v>0</v>
      </c>
      <c r="Y283" s="1025" t="b">
        <v>0</v>
      </c>
      <c r="Z283" s="331">
        <v>0</v>
      </c>
      <c r="AA283" s="331">
        <v>0</v>
      </c>
      <c r="AB283" s="331">
        <v>0</v>
      </c>
      <c r="AC283" s="331">
        <v>0</v>
      </c>
      <c r="AD283" s="1025" t="b">
        <v>0</v>
      </c>
      <c r="AE283" s="331">
        <v>0.08</v>
      </c>
      <c r="AF283" s="331">
        <v>0</v>
      </c>
      <c r="AG283" s="331">
        <v>0</v>
      </c>
      <c r="AH283" s="331">
        <v>0</v>
      </c>
      <c r="AI283" s="1025" t="b">
        <v>0</v>
      </c>
      <c r="AJ283" s="331">
        <v>0</v>
      </c>
      <c r="AK283" s="331">
        <v>0</v>
      </c>
      <c r="AL283" s="331">
        <v>0</v>
      </c>
      <c r="AM283" s="331">
        <v>0</v>
      </c>
      <c r="AN283" s="1025" t="b">
        <v>0</v>
      </c>
      <c r="AO283" s="331">
        <v>0</v>
      </c>
      <c r="AP283" s="331">
        <v>0</v>
      </c>
      <c r="AQ283" s="331">
        <v>0</v>
      </c>
      <c r="AR283" s="331">
        <v>0</v>
      </c>
      <c r="AS283" s="1025" t="b">
        <v>0</v>
      </c>
      <c r="AT283" s="1025" t="b">
        <v>0</v>
      </c>
      <c r="AU283" s="331">
        <v>11771</v>
      </c>
      <c r="AV283" s="491" t="s">
        <v>29</v>
      </c>
    </row>
    <row r="284" spans="1:48">
      <c r="A284" s="72">
        <v>20</v>
      </c>
      <c r="B284" s="391" t="s">
        <v>124</v>
      </c>
      <c r="C284" s="72">
        <f t="shared" si="12"/>
        <v>7</v>
      </c>
      <c r="D284" s="72" t="str">
        <f t="shared" si="13"/>
        <v>20-7</v>
      </c>
      <c r="E284" s="72">
        <v>75580</v>
      </c>
      <c r="F284" s="72" t="str">
        <f t="shared" si="14"/>
        <v>20-75580</v>
      </c>
      <c r="G284" s="391" t="s">
        <v>865</v>
      </c>
      <c r="H284" s="331">
        <v>10991.06</v>
      </c>
      <c r="I284" s="331">
        <v>10105.82</v>
      </c>
      <c r="J284" s="331">
        <v>10405.6</v>
      </c>
      <c r="K284" s="331">
        <v>12372.68</v>
      </c>
      <c r="L284" s="491" t="s">
        <v>29</v>
      </c>
      <c r="M284" s="491" t="s">
        <v>29</v>
      </c>
      <c r="N284" s="491" t="s">
        <v>29</v>
      </c>
      <c r="O284" s="491" t="s">
        <v>29</v>
      </c>
      <c r="P284" s="491">
        <v>0</v>
      </c>
      <c r="Q284" s="491">
        <v>0</v>
      </c>
      <c r="R284" s="491">
        <v>0</v>
      </c>
      <c r="S284" s="491">
        <v>0</v>
      </c>
      <c r="T284" s="1025" t="b">
        <v>0</v>
      </c>
      <c r="U284" s="491">
        <v>1.52</v>
      </c>
      <c r="V284" s="491">
        <v>0.79</v>
      </c>
      <c r="W284" s="491">
        <v>1</v>
      </c>
      <c r="X284" s="491">
        <v>4.4400000000000004</v>
      </c>
      <c r="Y284" s="1025" t="b">
        <v>0</v>
      </c>
      <c r="Z284" s="331">
        <v>0</v>
      </c>
      <c r="AA284" s="331">
        <v>0</v>
      </c>
      <c r="AB284" s="331">
        <v>0</v>
      </c>
      <c r="AC284" s="331">
        <v>0</v>
      </c>
      <c r="AD284" s="1025" t="b">
        <v>0</v>
      </c>
      <c r="AE284" s="331">
        <v>0.22</v>
      </c>
      <c r="AF284" s="331">
        <v>0.08</v>
      </c>
      <c r="AG284" s="331">
        <v>0.08</v>
      </c>
      <c r="AH284" s="331">
        <v>0.23</v>
      </c>
      <c r="AI284" s="1025" t="b">
        <v>0</v>
      </c>
      <c r="AJ284" s="331">
        <v>0</v>
      </c>
      <c r="AK284" s="331">
        <v>0</v>
      </c>
      <c r="AL284" s="331">
        <v>0</v>
      </c>
      <c r="AM284" s="331">
        <v>0</v>
      </c>
      <c r="AN284" s="1025" t="b">
        <v>0</v>
      </c>
      <c r="AO284" s="331">
        <v>0</v>
      </c>
      <c r="AP284" s="331">
        <v>0</v>
      </c>
      <c r="AQ284" s="331">
        <v>0</v>
      </c>
      <c r="AR284" s="331">
        <v>0</v>
      </c>
      <c r="AS284" s="1025" t="b">
        <v>0</v>
      </c>
      <c r="AT284" s="1025" t="b">
        <v>0</v>
      </c>
      <c r="AU284" s="331">
        <v>96934</v>
      </c>
      <c r="AV284" s="491" t="s">
        <v>29</v>
      </c>
    </row>
    <row r="285" spans="1:48">
      <c r="A285" s="72">
        <v>20</v>
      </c>
      <c r="B285" s="391" t="s">
        <v>124</v>
      </c>
      <c r="C285" s="72">
        <f t="shared" si="12"/>
        <v>8</v>
      </c>
      <c r="D285" s="72" t="str">
        <f t="shared" si="13"/>
        <v>20-8</v>
      </c>
      <c r="E285" s="72">
        <v>75606</v>
      </c>
      <c r="F285" s="72" t="str">
        <f t="shared" si="14"/>
        <v>20-75606</v>
      </c>
      <c r="G285" s="391" t="s">
        <v>866</v>
      </c>
      <c r="H285" s="331">
        <v>11183.72</v>
      </c>
      <c r="I285" s="331">
        <v>10282.969999999999</v>
      </c>
      <c r="J285" s="331">
        <v>10588.01</v>
      </c>
      <c r="K285" s="331">
        <v>12589.56</v>
      </c>
      <c r="L285" s="491" t="s">
        <v>29</v>
      </c>
      <c r="M285" s="491" t="s">
        <v>29</v>
      </c>
      <c r="N285" s="491" t="s">
        <v>29</v>
      </c>
      <c r="O285" s="491" t="s">
        <v>29</v>
      </c>
      <c r="P285" s="491">
        <v>0</v>
      </c>
      <c r="Q285" s="491">
        <v>0</v>
      </c>
      <c r="R285" s="491">
        <v>0</v>
      </c>
      <c r="S285" s="491">
        <v>0</v>
      </c>
      <c r="T285" s="1025" t="b">
        <v>0</v>
      </c>
      <c r="U285" s="491">
        <v>0.85</v>
      </c>
      <c r="V285" s="491">
        <v>0</v>
      </c>
      <c r="W285" s="491">
        <v>0</v>
      </c>
      <c r="X285" s="491">
        <v>1.52</v>
      </c>
      <c r="Y285" s="1025" t="b">
        <v>0</v>
      </c>
      <c r="Z285" s="331">
        <v>0</v>
      </c>
      <c r="AA285" s="331">
        <v>0</v>
      </c>
      <c r="AB285" s="331">
        <v>0</v>
      </c>
      <c r="AC285" s="331">
        <v>0</v>
      </c>
      <c r="AD285" s="1025" t="b">
        <v>0</v>
      </c>
      <c r="AE285" s="331">
        <v>0</v>
      </c>
      <c r="AF285" s="331">
        <v>0</v>
      </c>
      <c r="AG285" s="331">
        <v>0</v>
      </c>
      <c r="AH285" s="331">
        <v>0.03</v>
      </c>
      <c r="AI285" s="1025" t="b">
        <v>0</v>
      </c>
      <c r="AJ285" s="331">
        <v>0</v>
      </c>
      <c r="AK285" s="331">
        <v>0</v>
      </c>
      <c r="AL285" s="331">
        <v>0</v>
      </c>
      <c r="AM285" s="331">
        <v>0</v>
      </c>
      <c r="AN285" s="1025" t="b">
        <v>0</v>
      </c>
      <c r="AO285" s="331">
        <v>0</v>
      </c>
      <c r="AP285" s="331">
        <v>0</v>
      </c>
      <c r="AQ285" s="331">
        <v>0</v>
      </c>
      <c r="AR285" s="331">
        <v>0</v>
      </c>
      <c r="AS285" s="1025" t="b">
        <v>0</v>
      </c>
      <c r="AT285" s="1025" t="b">
        <v>0</v>
      </c>
      <c r="AU285" s="331">
        <v>29020</v>
      </c>
      <c r="AV285" s="491" t="s">
        <v>29</v>
      </c>
    </row>
    <row r="286" spans="1:48">
      <c r="A286" s="72">
        <v>20</v>
      </c>
      <c r="B286" s="391" t="s">
        <v>124</v>
      </c>
      <c r="C286" s="72">
        <f t="shared" si="12"/>
        <v>9</v>
      </c>
      <c r="D286" s="72" t="str">
        <f t="shared" si="13"/>
        <v>20-9</v>
      </c>
      <c r="E286" s="72">
        <v>76414</v>
      </c>
      <c r="F286" s="72" t="str">
        <f t="shared" si="14"/>
        <v>20-76414</v>
      </c>
      <c r="G286" s="391" t="s">
        <v>867</v>
      </c>
      <c r="H286" s="331">
        <v>11470.34</v>
      </c>
      <c r="I286" s="331">
        <v>10546.5</v>
      </c>
      <c r="J286" s="331">
        <v>10859.36</v>
      </c>
      <c r="K286" s="331">
        <v>12912.21</v>
      </c>
      <c r="L286" s="491" t="s">
        <v>29</v>
      </c>
      <c r="M286" s="491" t="s">
        <v>29</v>
      </c>
      <c r="N286" s="491" t="s">
        <v>29</v>
      </c>
      <c r="O286" s="491" t="s">
        <v>29</v>
      </c>
      <c r="P286" s="491">
        <v>0</v>
      </c>
      <c r="Q286" s="491">
        <v>0</v>
      </c>
      <c r="R286" s="491">
        <v>0</v>
      </c>
      <c r="S286" s="491">
        <v>0</v>
      </c>
      <c r="T286" s="1025" t="b">
        <v>0</v>
      </c>
      <c r="U286" s="491">
        <v>5.03</v>
      </c>
      <c r="V286" s="491">
        <v>2.52</v>
      </c>
      <c r="W286" s="491">
        <v>0.77</v>
      </c>
      <c r="X286" s="491">
        <v>7.93</v>
      </c>
      <c r="Y286" s="1025" t="b">
        <v>0</v>
      </c>
      <c r="Z286" s="331">
        <v>0</v>
      </c>
      <c r="AA286" s="331">
        <v>0</v>
      </c>
      <c r="AB286" s="331">
        <v>0</v>
      </c>
      <c r="AC286" s="331">
        <v>0</v>
      </c>
      <c r="AD286" s="1025" t="b">
        <v>0</v>
      </c>
      <c r="AE286" s="331">
        <v>0.15</v>
      </c>
      <c r="AF286" s="331">
        <v>0.11</v>
      </c>
      <c r="AG286" s="331">
        <v>0</v>
      </c>
      <c r="AH286" s="331">
        <v>0.3</v>
      </c>
      <c r="AI286" s="1025" t="b">
        <v>0</v>
      </c>
      <c r="AJ286" s="331">
        <v>0</v>
      </c>
      <c r="AK286" s="331">
        <v>0</v>
      </c>
      <c r="AL286" s="331">
        <v>0</v>
      </c>
      <c r="AM286" s="331">
        <v>0</v>
      </c>
      <c r="AN286" s="1025" t="b">
        <v>0</v>
      </c>
      <c r="AO286" s="331">
        <v>0</v>
      </c>
      <c r="AP286" s="331">
        <v>0</v>
      </c>
      <c r="AQ286" s="331">
        <v>0</v>
      </c>
      <c r="AR286" s="331">
        <v>0</v>
      </c>
      <c r="AS286" s="1025" t="b">
        <v>0</v>
      </c>
      <c r="AT286" s="1025" t="b">
        <v>0</v>
      </c>
      <c r="AU286" s="331">
        <v>201782</v>
      </c>
      <c r="AV286" s="491" t="s">
        <v>29</v>
      </c>
    </row>
    <row r="287" spans="1:48">
      <c r="A287" s="72">
        <v>20</v>
      </c>
      <c r="B287" s="391" t="s">
        <v>124</v>
      </c>
      <c r="C287" s="72">
        <f t="shared" si="12"/>
        <v>0</v>
      </c>
      <c r="D287" s="72" t="str">
        <f t="shared" si="13"/>
        <v>20-0</v>
      </c>
      <c r="E287" s="72" t="s">
        <v>29</v>
      </c>
      <c r="F287" s="72" t="str">
        <f t="shared" si="14"/>
        <v>20-N/A</v>
      </c>
      <c r="G287" s="391" t="s">
        <v>29</v>
      </c>
      <c r="H287" s="491" t="s">
        <v>29</v>
      </c>
      <c r="I287" s="491" t="s">
        <v>29</v>
      </c>
      <c r="J287" s="491" t="s">
        <v>29</v>
      </c>
      <c r="K287" s="491" t="s">
        <v>29</v>
      </c>
      <c r="L287" s="491" t="s">
        <v>29</v>
      </c>
      <c r="M287" s="491" t="s">
        <v>29</v>
      </c>
      <c r="N287" s="491" t="s">
        <v>29</v>
      </c>
      <c r="O287" s="491" t="s">
        <v>29</v>
      </c>
      <c r="P287" s="491" t="s">
        <v>29</v>
      </c>
      <c r="Q287" s="491" t="s">
        <v>29</v>
      </c>
      <c r="R287" s="491" t="s">
        <v>29</v>
      </c>
      <c r="S287" s="491" t="s">
        <v>29</v>
      </c>
      <c r="T287" s="1025" t="s">
        <v>29</v>
      </c>
      <c r="U287" s="491" t="s">
        <v>29</v>
      </c>
      <c r="V287" s="491" t="s">
        <v>29</v>
      </c>
      <c r="W287" s="491" t="s">
        <v>29</v>
      </c>
      <c r="X287" s="491" t="s">
        <v>29</v>
      </c>
      <c r="Y287" s="1025" t="s">
        <v>29</v>
      </c>
      <c r="Z287" s="491" t="s">
        <v>29</v>
      </c>
      <c r="AA287" s="491" t="s">
        <v>29</v>
      </c>
      <c r="AB287" s="491" t="s">
        <v>29</v>
      </c>
      <c r="AC287" s="491" t="s">
        <v>29</v>
      </c>
      <c r="AD287" s="1025" t="s">
        <v>29</v>
      </c>
      <c r="AE287" s="491" t="s">
        <v>29</v>
      </c>
      <c r="AF287" s="491" t="s">
        <v>29</v>
      </c>
      <c r="AG287" s="491" t="s">
        <v>29</v>
      </c>
      <c r="AH287" s="491" t="s">
        <v>29</v>
      </c>
      <c r="AI287" s="1025" t="s">
        <v>29</v>
      </c>
      <c r="AJ287" s="491" t="s">
        <v>29</v>
      </c>
      <c r="AK287" s="491" t="s">
        <v>29</v>
      </c>
      <c r="AL287" s="491" t="s">
        <v>29</v>
      </c>
      <c r="AM287" s="491" t="s">
        <v>29</v>
      </c>
      <c r="AN287" s="1025" t="s">
        <v>29</v>
      </c>
      <c r="AO287" s="491" t="s">
        <v>29</v>
      </c>
      <c r="AP287" s="491" t="s">
        <v>29</v>
      </c>
      <c r="AQ287" s="491" t="s">
        <v>29</v>
      </c>
      <c r="AR287" s="491" t="s">
        <v>29</v>
      </c>
      <c r="AS287" s="1025" t="s">
        <v>29</v>
      </c>
      <c r="AT287" s="1025" t="s">
        <v>29</v>
      </c>
      <c r="AU287" s="491" t="s">
        <v>29</v>
      </c>
      <c r="AV287" s="491">
        <v>4312108</v>
      </c>
    </row>
    <row r="288" spans="1:48">
      <c r="A288" s="72">
        <v>21</v>
      </c>
      <c r="B288" s="391" t="s">
        <v>62</v>
      </c>
      <c r="C288" s="72">
        <f t="shared" si="12"/>
        <v>1</v>
      </c>
      <c r="D288" s="72" t="str">
        <f t="shared" si="13"/>
        <v>21-1</v>
      </c>
      <c r="E288" s="72">
        <v>65318</v>
      </c>
      <c r="F288" s="72" t="str">
        <f t="shared" si="14"/>
        <v>21-65318</v>
      </c>
      <c r="G288" s="391" t="s">
        <v>868</v>
      </c>
      <c r="H288" s="331">
        <v>10561.4</v>
      </c>
      <c r="I288" s="331">
        <v>9710.77</v>
      </c>
      <c r="J288" s="331">
        <v>9998.84</v>
      </c>
      <c r="K288" s="331">
        <v>11889.01</v>
      </c>
      <c r="L288" s="1072">
        <v>0</v>
      </c>
      <c r="M288" s="1072">
        <v>0</v>
      </c>
      <c r="N288" s="1072">
        <v>0</v>
      </c>
      <c r="O288" s="1072">
        <v>0</v>
      </c>
      <c r="P288" s="491">
        <v>0</v>
      </c>
      <c r="Q288" s="491">
        <v>0</v>
      </c>
      <c r="R288" s="491">
        <v>0</v>
      </c>
      <c r="S288" s="491">
        <v>0</v>
      </c>
      <c r="T288" s="1025" t="b">
        <v>0</v>
      </c>
      <c r="U288" s="491">
        <v>7.08</v>
      </c>
      <c r="V288" s="491">
        <v>1.1299999999999999</v>
      </c>
      <c r="W288" s="491">
        <v>1.99</v>
      </c>
      <c r="X288" s="491">
        <v>0</v>
      </c>
      <c r="Y288" s="1025" t="b">
        <v>1</v>
      </c>
      <c r="Z288" s="331">
        <v>0.34</v>
      </c>
      <c r="AA288" s="331">
        <v>1.46</v>
      </c>
      <c r="AB288" s="331">
        <v>0.2</v>
      </c>
      <c r="AC288" s="331">
        <v>0</v>
      </c>
      <c r="AD288" s="1025" t="b">
        <v>1</v>
      </c>
      <c r="AE288" s="331">
        <v>0.67</v>
      </c>
      <c r="AF288" s="331">
        <v>1.39</v>
      </c>
      <c r="AG288" s="331">
        <v>0.19</v>
      </c>
      <c r="AH288" s="331">
        <v>0</v>
      </c>
      <c r="AI288" s="1025" t="b">
        <v>1</v>
      </c>
      <c r="AJ288" s="331">
        <v>0</v>
      </c>
      <c r="AK288" s="331">
        <v>0</v>
      </c>
      <c r="AL288" s="331">
        <v>0</v>
      </c>
      <c r="AM288" s="331">
        <v>0</v>
      </c>
      <c r="AN288" s="1025" t="b">
        <v>0</v>
      </c>
      <c r="AO288" s="331">
        <v>0</v>
      </c>
      <c r="AP288" s="331">
        <v>0</v>
      </c>
      <c r="AQ288" s="331">
        <v>0</v>
      </c>
      <c r="AR288" s="331">
        <v>0</v>
      </c>
      <c r="AS288" s="1025" t="b">
        <v>0</v>
      </c>
      <c r="AT288" s="1025" t="b">
        <v>1</v>
      </c>
      <c r="AU288" s="331">
        <v>0</v>
      </c>
      <c r="AV288" s="491" t="s">
        <v>29</v>
      </c>
    </row>
    <row r="289" spans="1:48">
      <c r="A289" s="72">
        <v>21</v>
      </c>
      <c r="B289" s="391" t="s">
        <v>62</v>
      </c>
      <c r="C289" s="72">
        <f t="shared" si="12"/>
        <v>2</v>
      </c>
      <c r="D289" s="72" t="str">
        <f t="shared" si="13"/>
        <v>21-2</v>
      </c>
      <c r="E289" s="72">
        <v>65334</v>
      </c>
      <c r="F289" s="72" t="str">
        <f t="shared" si="14"/>
        <v>21-65334</v>
      </c>
      <c r="G289" s="391" t="s">
        <v>869</v>
      </c>
      <c r="H289" s="491">
        <v>10406.58</v>
      </c>
      <c r="I289" s="491">
        <v>9568.42</v>
      </c>
      <c r="J289" s="491">
        <v>9852.26</v>
      </c>
      <c r="K289" s="491">
        <v>11714.73</v>
      </c>
      <c r="L289" s="1072">
        <v>0</v>
      </c>
      <c r="M289" s="1072">
        <v>0</v>
      </c>
      <c r="N289" s="1072">
        <v>0</v>
      </c>
      <c r="O289" s="1072">
        <v>0</v>
      </c>
      <c r="P289" s="491">
        <v>0</v>
      </c>
      <c r="Q289" s="491">
        <v>0</v>
      </c>
      <c r="R289" s="491">
        <v>0</v>
      </c>
      <c r="S289" s="491">
        <v>0</v>
      </c>
      <c r="T289" s="1025" t="b">
        <v>0</v>
      </c>
      <c r="U289" s="491">
        <v>2.33</v>
      </c>
      <c r="V289" s="491">
        <v>1.94</v>
      </c>
      <c r="W289" s="491">
        <v>1</v>
      </c>
      <c r="X289" s="491">
        <v>0</v>
      </c>
      <c r="Y289" s="1025" t="b">
        <v>1</v>
      </c>
      <c r="Z289" s="491">
        <v>0.99</v>
      </c>
      <c r="AA289" s="491">
        <v>0</v>
      </c>
      <c r="AB289" s="491">
        <v>0</v>
      </c>
      <c r="AC289" s="491">
        <v>0</v>
      </c>
      <c r="AD289" s="1025" t="b">
        <v>1</v>
      </c>
      <c r="AE289" s="491">
        <v>0.65</v>
      </c>
      <c r="AF289" s="491">
        <v>0.22</v>
      </c>
      <c r="AG289" s="491">
        <v>0</v>
      </c>
      <c r="AH289" s="491">
        <v>0</v>
      </c>
      <c r="AI289" s="1025" t="b">
        <v>1</v>
      </c>
      <c r="AJ289" s="491">
        <v>0</v>
      </c>
      <c r="AK289" s="491">
        <v>0</v>
      </c>
      <c r="AL289" s="491">
        <v>0</v>
      </c>
      <c r="AM289" s="491">
        <v>0</v>
      </c>
      <c r="AN289" s="1025" t="b">
        <v>0</v>
      </c>
      <c r="AO289" s="491">
        <v>0</v>
      </c>
      <c r="AP289" s="491">
        <v>0</v>
      </c>
      <c r="AQ289" s="491">
        <v>0</v>
      </c>
      <c r="AR289" s="491">
        <v>0</v>
      </c>
      <c r="AS289" s="1025" t="b">
        <v>0</v>
      </c>
      <c r="AT289" s="1025" t="b">
        <v>1</v>
      </c>
      <c r="AU289" s="491">
        <v>0</v>
      </c>
      <c r="AV289" s="491" t="s">
        <v>29</v>
      </c>
    </row>
    <row r="290" spans="1:48">
      <c r="A290" s="72">
        <v>21</v>
      </c>
      <c r="B290" s="391" t="s">
        <v>62</v>
      </c>
      <c r="C290" s="72">
        <f t="shared" si="12"/>
        <v>3</v>
      </c>
      <c r="D290" s="72" t="str">
        <f t="shared" si="13"/>
        <v>21-3</v>
      </c>
      <c r="E290" s="72">
        <v>65359</v>
      </c>
      <c r="F290" s="72" t="str">
        <f t="shared" si="14"/>
        <v>21-65359</v>
      </c>
      <c r="G290" s="391" t="s">
        <v>870</v>
      </c>
      <c r="H290" s="331">
        <v>10496.84</v>
      </c>
      <c r="I290" s="331">
        <v>9651.41</v>
      </c>
      <c r="J290" s="331">
        <v>9937.7199999999993</v>
      </c>
      <c r="K290" s="331">
        <v>11816.34</v>
      </c>
      <c r="L290" s="1072">
        <v>0</v>
      </c>
      <c r="M290" s="1072">
        <v>0</v>
      </c>
      <c r="N290" s="1072">
        <v>0</v>
      </c>
      <c r="O290" s="1072">
        <v>0</v>
      </c>
      <c r="P290" s="491">
        <v>0</v>
      </c>
      <c r="Q290" s="491">
        <v>0</v>
      </c>
      <c r="R290" s="491">
        <v>0</v>
      </c>
      <c r="S290" s="491">
        <v>0</v>
      </c>
      <c r="T290" s="1025" t="b">
        <v>0</v>
      </c>
      <c r="U290" s="491">
        <v>0</v>
      </c>
      <c r="V290" s="491">
        <v>0.7</v>
      </c>
      <c r="W290" s="491">
        <v>0.97</v>
      </c>
      <c r="X290" s="491">
        <v>0</v>
      </c>
      <c r="Y290" s="1025" t="b">
        <v>1</v>
      </c>
      <c r="Z290" s="331">
        <v>0</v>
      </c>
      <c r="AA290" s="331">
        <v>0</v>
      </c>
      <c r="AB290" s="331">
        <v>0</v>
      </c>
      <c r="AC290" s="331">
        <v>0</v>
      </c>
      <c r="AD290" s="1025" t="b">
        <v>0</v>
      </c>
      <c r="AE290" s="331">
        <v>0</v>
      </c>
      <c r="AF290" s="331">
        <v>0.12</v>
      </c>
      <c r="AG290" s="331">
        <v>0.1</v>
      </c>
      <c r="AH290" s="331">
        <v>0</v>
      </c>
      <c r="AI290" s="1025" t="b">
        <v>1</v>
      </c>
      <c r="AJ290" s="331">
        <v>0</v>
      </c>
      <c r="AK290" s="331">
        <v>0</v>
      </c>
      <c r="AL290" s="331">
        <v>0</v>
      </c>
      <c r="AM290" s="331">
        <v>0</v>
      </c>
      <c r="AN290" s="1025" t="b">
        <v>0</v>
      </c>
      <c r="AO290" s="331">
        <v>0</v>
      </c>
      <c r="AP290" s="331">
        <v>0</v>
      </c>
      <c r="AQ290" s="331">
        <v>0</v>
      </c>
      <c r="AR290" s="331">
        <v>0</v>
      </c>
      <c r="AS290" s="1025" t="b">
        <v>0</v>
      </c>
      <c r="AT290" s="1025" t="b">
        <v>1</v>
      </c>
      <c r="AU290" s="331">
        <v>0</v>
      </c>
      <c r="AV290" s="491" t="s">
        <v>29</v>
      </c>
    </row>
    <row r="291" spans="1:48">
      <c r="A291" s="72">
        <v>21</v>
      </c>
      <c r="B291" s="391" t="s">
        <v>62</v>
      </c>
      <c r="C291" s="72">
        <f t="shared" si="12"/>
        <v>4</v>
      </c>
      <c r="D291" s="72" t="str">
        <f t="shared" si="13"/>
        <v>21-4</v>
      </c>
      <c r="E291" s="72">
        <v>65367</v>
      </c>
      <c r="F291" s="72" t="str">
        <f t="shared" si="14"/>
        <v>21-65367</v>
      </c>
      <c r="G291" s="391" t="s">
        <v>871</v>
      </c>
      <c r="H291" s="331">
        <v>10350.93</v>
      </c>
      <c r="I291" s="331">
        <v>9517.25</v>
      </c>
      <c r="J291" s="331">
        <v>9799.57</v>
      </c>
      <c r="K291" s="331">
        <v>11652.08</v>
      </c>
      <c r="L291" s="1072">
        <v>0</v>
      </c>
      <c r="M291" s="1072">
        <v>0</v>
      </c>
      <c r="N291" s="1072">
        <v>0</v>
      </c>
      <c r="O291" s="1072">
        <v>0</v>
      </c>
      <c r="P291" s="491">
        <v>0</v>
      </c>
      <c r="Q291" s="491">
        <v>0</v>
      </c>
      <c r="R291" s="491">
        <v>0</v>
      </c>
      <c r="S291" s="491">
        <v>0</v>
      </c>
      <c r="T291" s="1025" t="b">
        <v>0</v>
      </c>
      <c r="U291" s="491">
        <v>2.39</v>
      </c>
      <c r="V291" s="491">
        <v>1.99</v>
      </c>
      <c r="W291" s="491">
        <v>1</v>
      </c>
      <c r="X291" s="491">
        <v>0</v>
      </c>
      <c r="Y291" s="1025" t="b">
        <v>1</v>
      </c>
      <c r="Z291" s="331">
        <v>0</v>
      </c>
      <c r="AA291" s="331">
        <v>0</v>
      </c>
      <c r="AB291" s="331">
        <v>0</v>
      </c>
      <c r="AC291" s="331">
        <v>0</v>
      </c>
      <c r="AD291" s="1025" t="b">
        <v>0</v>
      </c>
      <c r="AE291" s="331">
        <v>0.19</v>
      </c>
      <c r="AF291" s="331">
        <v>0.21</v>
      </c>
      <c r="AG291" s="331">
        <v>0</v>
      </c>
      <c r="AH291" s="331">
        <v>0</v>
      </c>
      <c r="AI291" s="1025" t="b">
        <v>1</v>
      </c>
      <c r="AJ291" s="331">
        <v>0</v>
      </c>
      <c r="AK291" s="331">
        <v>0</v>
      </c>
      <c r="AL291" s="331">
        <v>0</v>
      </c>
      <c r="AM291" s="331">
        <v>0</v>
      </c>
      <c r="AN291" s="1025" t="b">
        <v>0</v>
      </c>
      <c r="AO291" s="331">
        <v>0</v>
      </c>
      <c r="AP291" s="331">
        <v>0</v>
      </c>
      <c r="AQ291" s="331">
        <v>0</v>
      </c>
      <c r="AR291" s="331">
        <v>0</v>
      </c>
      <c r="AS291" s="1025" t="b">
        <v>0</v>
      </c>
      <c r="AT291" s="1025" t="b">
        <v>1</v>
      </c>
      <c r="AU291" s="331">
        <v>0</v>
      </c>
      <c r="AV291" s="491" t="s">
        <v>29</v>
      </c>
    </row>
    <row r="292" spans="1:48">
      <c r="A292" s="72">
        <v>21</v>
      </c>
      <c r="B292" s="391" t="s">
        <v>62</v>
      </c>
      <c r="C292" s="72">
        <f t="shared" si="12"/>
        <v>5</v>
      </c>
      <c r="D292" s="72" t="str">
        <f t="shared" si="13"/>
        <v>21-5</v>
      </c>
      <c r="E292" s="72">
        <v>65391</v>
      </c>
      <c r="F292" s="72" t="str">
        <f t="shared" si="14"/>
        <v>21-65391</v>
      </c>
      <c r="G292" s="391" t="s">
        <v>872</v>
      </c>
      <c r="H292" s="331">
        <v>10296.280000000001</v>
      </c>
      <c r="I292" s="331">
        <v>9467.01</v>
      </c>
      <c r="J292" s="331">
        <v>9747.84</v>
      </c>
      <c r="K292" s="331">
        <v>11590.57</v>
      </c>
      <c r="L292" s="1072">
        <v>0</v>
      </c>
      <c r="M292" s="1072">
        <v>0</v>
      </c>
      <c r="N292" s="1072">
        <v>0</v>
      </c>
      <c r="O292" s="1072">
        <v>0</v>
      </c>
      <c r="P292" s="491">
        <v>0</v>
      </c>
      <c r="Q292" s="491">
        <v>0</v>
      </c>
      <c r="R292" s="491">
        <v>0</v>
      </c>
      <c r="S292" s="491">
        <v>0</v>
      </c>
      <c r="T292" s="1025" t="b">
        <v>0</v>
      </c>
      <c r="U292" s="491">
        <v>1.8</v>
      </c>
      <c r="V292" s="491">
        <v>2.87</v>
      </c>
      <c r="W292" s="491">
        <v>1.46</v>
      </c>
      <c r="X292" s="491">
        <v>0</v>
      </c>
      <c r="Y292" s="1025" t="b">
        <v>1</v>
      </c>
      <c r="Z292" s="331">
        <v>0</v>
      </c>
      <c r="AA292" s="331">
        <v>0</v>
      </c>
      <c r="AB292" s="331">
        <v>0</v>
      </c>
      <c r="AC292" s="331">
        <v>0</v>
      </c>
      <c r="AD292" s="1025" t="b">
        <v>0</v>
      </c>
      <c r="AE292" s="331">
        <v>0.1</v>
      </c>
      <c r="AF292" s="331">
        <v>0.26</v>
      </c>
      <c r="AG292" s="331">
        <v>0</v>
      </c>
      <c r="AH292" s="331">
        <v>0</v>
      </c>
      <c r="AI292" s="1025" t="b">
        <v>1</v>
      </c>
      <c r="AJ292" s="331">
        <v>0</v>
      </c>
      <c r="AK292" s="331">
        <v>0</v>
      </c>
      <c r="AL292" s="331">
        <v>0</v>
      </c>
      <c r="AM292" s="331">
        <v>0</v>
      </c>
      <c r="AN292" s="1025" t="b">
        <v>0</v>
      </c>
      <c r="AO292" s="331">
        <v>0</v>
      </c>
      <c r="AP292" s="331">
        <v>0</v>
      </c>
      <c r="AQ292" s="331">
        <v>0</v>
      </c>
      <c r="AR292" s="331">
        <v>0</v>
      </c>
      <c r="AS292" s="1025" t="b">
        <v>0</v>
      </c>
      <c r="AT292" s="1025" t="b">
        <v>1</v>
      </c>
      <c r="AU292" s="331">
        <v>0</v>
      </c>
      <c r="AV292" s="491" t="s">
        <v>29</v>
      </c>
    </row>
    <row r="293" spans="1:48">
      <c r="A293" s="72">
        <v>21</v>
      </c>
      <c r="B293" s="391" t="s">
        <v>62</v>
      </c>
      <c r="C293" s="72">
        <f t="shared" si="12"/>
        <v>6</v>
      </c>
      <c r="D293" s="72" t="str">
        <f t="shared" si="13"/>
        <v>21-6</v>
      </c>
      <c r="E293" s="72">
        <v>65417</v>
      </c>
      <c r="F293" s="72" t="str">
        <f t="shared" si="14"/>
        <v>21-65417</v>
      </c>
      <c r="G293" s="391" t="s">
        <v>873</v>
      </c>
      <c r="H293" s="331">
        <v>10902.82</v>
      </c>
      <c r="I293" s="331">
        <v>10024.69</v>
      </c>
      <c r="J293" s="331">
        <v>10322.07</v>
      </c>
      <c r="K293" s="331">
        <v>12273.35</v>
      </c>
      <c r="L293" s="1072">
        <v>0</v>
      </c>
      <c r="M293" s="1072">
        <v>0</v>
      </c>
      <c r="N293" s="1072">
        <v>0</v>
      </c>
      <c r="O293" s="1072">
        <v>0</v>
      </c>
      <c r="P293" s="491">
        <v>0</v>
      </c>
      <c r="Q293" s="491">
        <v>0</v>
      </c>
      <c r="R293" s="491">
        <v>4.01</v>
      </c>
      <c r="S293" s="491">
        <v>2.4700000000000002</v>
      </c>
      <c r="T293" s="1025" t="b">
        <v>1</v>
      </c>
      <c r="U293" s="491">
        <v>11.94</v>
      </c>
      <c r="V293" s="491">
        <v>8.68</v>
      </c>
      <c r="W293" s="491">
        <v>4.7300000000000004</v>
      </c>
      <c r="X293" s="491">
        <v>4.78</v>
      </c>
      <c r="Y293" s="1025" t="b">
        <v>1</v>
      </c>
      <c r="Z293" s="331">
        <v>0</v>
      </c>
      <c r="AA293" s="331">
        <v>0</v>
      </c>
      <c r="AB293" s="331">
        <v>0</v>
      </c>
      <c r="AC293" s="331">
        <v>0</v>
      </c>
      <c r="AD293" s="1025" t="b">
        <v>0</v>
      </c>
      <c r="AE293" s="331">
        <v>1.29</v>
      </c>
      <c r="AF293" s="331">
        <v>1.05</v>
      </c>
      <c r="AG293" s="331">
        <v>0.26</v>
      </c>
      <c r="AH293" s="331">
        <v>0.95</v>
      </c>
      <c r="AI293" s="1025" t="b">
        <v>1</v>
      </c>
      <c r="AJ293" s="331">
        <v>0</v>
      </c>
      <c r="AK293" s="331">
        <v>0</v>
      </c>
      <c r="AL293" s="331">
        <v>0</v>
      </c>
      <c r="AM293" s="331">
        <v>0</v>
      </c>
      <c r="AN293" s="1025" t="b">
        <v>0</v>
      </c>
      <c r="AO293" s="331">
        <v>0</v>
      </c>
      <c r="AP293" s="331">
        <v>0</v>
      </c>
      <c r="AQ293" s="331">
        <v>0</v>
      </c>
      <c r="AR293" s="331">
        <v>0</v>
      </c>
      <c r="AS293" s="1025" t="b">
        <v>0</v>
      </c>
      <c r="AT293" s="1025" t="b">
        <v>1</v>
      </c>
      <c r="AU293" s="331">
        <v>0</v>
      </c>
      <c r="AV293" s="491" t="s">
        <v>29</v>
      </c>
    </row>
    <row r="294" spans="1:48">
      <c r="A294" s="72">
        <v>21</v>
      </c>
      <c r="B294" s="391" t="s">
        <v>62</v>
      </c>
      <c r="C294" s="72">
        <f t="shared" si="12"/>
        <v>7</v>
      </c>
      <c r="D294" s="72" t="str">
        <f t="shared" si="13"/>
        <v>21-7</v>
      </c>
      <c r="E294" s="72">
        <v>65425</v>
      </c>
      <c r="F294" s="72" t="str">
        <f t="shared" si="14"/>
        <v>21-65425</v>
      </c>
      <c r="G294" s="391" t="s">
        <v>874</v>
      </c>
      <c r="H294" s="331">
        <v>10261.07</v>
      </c>
      <c r="I294" s="331">
        <v>9434.6299999999992</v>
      </c>
      <c r="J294" s="331">
        <v>9714.5</v>
      </c>
      <c r="K294" s="331">
        <v>11550.93</v>
      </c>
      <c r="L294" s="1072">
        <v>0</v>
      </c>
      <c r="M294" s="1072">
        <v>0</v>
      </c>
      <c r="N294" s="1072">
        <v>0</v>
      </c>
      <c r="O294" s="1072">
        <v>0</v>
      </c>
      <c r="P294" s="491">
        <v>0</v>
      </c>
      <c r="Q294" s="491">
        <v>0</v>
      </c>
      <c r="R294" s="491">
        <v>0</v>
      </c>
      <c r="S294" s="491">
        <v>0</v>
      </c>
      <c r="T294" s="1025" t="b">
        <v>0</v>
      </c>
      <c r="U294" s="491">
        <v>0</v>
      </c>
      <c r="V294" s="491">
        <v>0.8</v>
      </c>
      <c r="W294" s="491">
        <v>1.97</v>
      </c>
      <c r="X294" s="491">
        <v>0</v>
      </c>
      <c r="Y294" s="1025" t="b">
        <v>1</v>
      </c>
      <c r="Z294" s="331">
        <v>0</v>
      </c>
      <c r="AA294" s="331">
        <v>0</v>
      </c>
      <c r="AB294" s="331">
        <v>0</v>
      </c>
      <c r="AC294" s="331">
        <v>0</v>
      </c>
      <c r="AD294" s="1025" t="b">
        <v>0</v>
      </c>
      <c r="AE294" s="331">
        <v>7.0000000000000007E-2</v>
      </c>
      <c r="AF294" s="331">
        <v>0.1</v>
      </c>
      <c r="AG294" s="331">
        <v>0.21</v>
      </c>
      <c r="AH294" s="331">
        <v>0</v>
      </c>
      <c r="AI294" s="1025" t="b">
        <v>1</v>
      </c>
      <c r="AJ294" s="331">
        <v>0</v>
      </c>
      <c r="AK294" s="331">
        <v>0</v>
      </c>
      <c r="AL294" s="331">
        <v>0</v>
      </c>
      <c r="AM294" s="331">
        <v>0</v>
      </c>
      <c r="AN294" s="1025" t="b">
        <v>0</v>
      </c>
      <c r="AO294" s="331">
        <v>0</v>
      </c>
      <c r="AP294" s="331">
        <v>0</v>
      </c>
      <c r="AQ294" s="331">
        <v>0</v>
      </c>
      <c r="AR294" s="331">
        <v>0</v>
      </c>
      <c r="AS294" s="1025" t="b">
        <v>0</v>
      </c>
      <c r="AT294" s="1025" t="b">
        <v>1</v>
      </c>
      <c r="AU294" s="331">
        <v>0</v>
      </c>
      <c r="AV294" s="491" t="s">
        <v>29</v>
      </c>
    </row>
    <row r="295" spans="1:48">
      <c r="A295" s="72">
        <v>21</v>
      </c>
      <c r="B295" s="391" t="s">
        <v>62</v>
      </c>
      <c r="C295" s="72">
        <f t="shared" si="12"/>
        <v>8</v>
      </c>
      <c r="D295" s="72" t="str">
        <f t="shared" si="13"/>
        <v>21-8</v>
      </c>
      <c r="E295" s="72">
        <v>65458</v>
      </c>
      <c r="F295" s="72" t="str">
        <f t="shared" si="14"/>
        <v>21-65458</v>
      </c>
      <c r="G295" s="391" t="s">
        <v>875</v>
      </c>
      <c r="H295" s="331">
        <v>12714.07</v>
      </c>
      <c r="I295" s="331">
        <v>11690.06</v>
      </c>
      <c r="J295" s="331">
        <v>12036.84</v>
      </c>
      <c r="K295" s="331">
        <v>14312.28</v>
      </c>
      <c r="L295" s="1072">
        <v>0</v>
      </c>
      <c r="M295" s="1072">
        <v>0</v>
      </c>
      <c r="N295" s="1072">
        <v>0</v>
      </c>
      <c r="O295" s="1072">
        <v>0</v>
      </c>
      <c r="P295" s="491">
        <v>0</v>
      </c>
      <c r="Q295" s="491">
        <v>0</v>
      </c>
      <c r="R295" s="491">
        <v>2.2599999999999998</v>
      </c>
      <c r="S295" s="491">
        <v>0</v>
      </c>
      <c r="T295" s="1025" t="b">
        <v>1</v>
      </c>
      <c r="U295" s="491">
        <v>12.44</v>
      </c>
      <c r="V295" s="491">
        <v>5.24</v>
      </c>
      <c r="W295" s="491">
        <v>2.61</v>
      </c>
      <c r="X295" s="491">
        <v>0</v>
      </c>
      <c r="Y295" s="1025" t="b">
        <v>1</v>
      </c>
      <c r="Z295" s="331">
        <v>0</v>
      </c>
      <c r="AA295" s="331">
        <v>0</v>
      </c>
      <c r="AB295" s="331">
        <v>0</v>
      </c>
      <c r="AC295" s="331">
        <v>0</v>
      </c>
      <c r="AD295" s="1025" t="b">
        <v>0</v>
      </c>
      <c r="AE295" s="331">
        <v>0.78</v>
      </c>
      <c r="AF295" s="331">
        <v>0.34</v>
      </c>
      <c r="AG295" s="331">
        <v>0</v>
      </c>
      <c r="AH295" s="331">
        <v>0</v>
      </c>
      <c r="AI295" s="1025" t="b">
        <v>1</v>
      </c>
      <c r="AJ295" s="331">
        <v>0</v>
      </c>
      <c r="AK295" s="331">
        <v>0</v>
      </c>
      <c r="AL295" s="331">
        <v>0</v>
      </c>
      <c r="AM295" s="331">
        <v>0</v>
      </c>
      <c r="AN295" s="1025" t="b">
        <v>0</v>
      </c>
      <c r="AO295" s="331">
        <v>0</v>
      </c>
      <c r="AP295" s="331">
        <v>0</v>
      </c>
      <c r="AQ295" s="331">
        <v>0</v>
      </c>
      <c r="AR295" s="331">
        <v>0</v>
      </c>
      <c r="AS295" s="1025" t="b">
        <v>0</v>
      </c>
      <c r="AT295" s="1025" t="b">
        <v>1</v>
      </c>
      <c r="AU295" s="331">
        <v>0</v>
      </c>
      <c r="AV295" s="491" t="s">
        <v>29</v>
      </c>
    </row>
    <row r="296" spans="1:48">
      <c r="A296" s="72">
        <v>21</v>
      </c>
      <c r="B296" s="391" t="s">
        <v>62</v>
      </c>
      <c r="C296" s="72">
        <f t="shared" si="12"/>
        <v>9</v>
      </c>
      <c r="D296" s="72" t="str">
        <f t="shared" si="13"/>
        <v>21-9</v>
      </c>
      <c r="E296" s="72">
        <v>65466</v>
      </c>
      <c r="F296" s="72" t="str">
        <f t="shared" si="14"/>
        <v>21-65466</v>
      </c>
      <c r="G296" s="391" t="s">
        <v>876</v>
      </c>
      <c r="H296" s="331">
        <v>11331.86</v>
      </c>
      <c r="I296" s="331">
        <v>10419.18</v>
      </c>
      <c r="J296" s="331">
        <v>10728.26</v>
      </c>
      <c r="K296" s="331">
        <v>12756.33</v>
      </c>
      <c r="L296" s="1072">
        <v>0</v>
      </c>
      <c r="M296" s="1072">
        <v>0</v>
      </c>
      <c r="N296" s="1072">
        <v>0</v>
      </c>
      <c r="O296" s="1072">
        <v>0</v>
      </c>
      <c r="P296" s="491">
        <v>0</v>
      </c>
      <c r="Q296" s="491">
        <v>0</v>
      </c>
      <c r="R296" s="491">
        <v>0</v>
      </c>
      <c r="S296" s="491">
        <v>10.94</v>
      </c>
      <c r="T296" s="1025" t="b">
        <v>1</v>
      </c>
      <c r="U296" s="491">
        <v>0</v>
      </c>
      <c r="V296" s="491">
        <v>0</v>
      </c>
      <c r="W296" s="491">
        <v>0</v>
      </c>
      <c r="X296" s="491">
        <v>8.92</v>
      </c>
      <c r="Y296" s="1025" t="b">
        <v>1</v>
      </c>
      <c r="Z296" s="331">
        <v>0</v>
      </c>
      <c r="AA296" s="331">
        <v>0</v>
      </c>
      <c r="AB296" s="331">
        <v>0</v>
      </c>
      <c r="AC296" s="331">
        <v>0.56000000000000005</v>
      </c>
      <c r="AD296" s="1025" t="b">
        <v>1</v>
      </c>
      <c r="AE296" s="331">
        <v>0</v>
      </c>
      <c r="AF296" s="331">
        <v>0</v>
      </c>
      <c r="AG296" s="331">
        <v>0</v>
      </c>
      <c r="AH296" s="331">
        <v>0.99</v>
      </c>
      <c r="AI296" s="1025" t="b">
        <v>1</v>
      </c>
      <c r="AJ296" s="331">
        <v>0</v>
      </c>
      <c r="AK296" s="331">
        <v>0</v>
      </c>
      <c r="AL296" s="331">
        <v>0</v>
      </c>
      <c r="AM296" s="331">
        <v>0</v>
      </c>
      <c r="AN296" s="1025" t="b">
        <v>0</v>
      </c>
      <c r="AO296" s="331">
        <v>0</v>
      </c>
      <c r="AP296" s="331">
        <v>0</v>
      </c>
      <c r="AQ296" s="331">
        <v>0</v>
      </c>
      <c r="AR296" s="331">
        <v>0</v>
      </c>
      <c r="AS296" s="1025" t="b">
        <v>0</v>
      </c>
      <c r="AT296" s="1025" t="b">
        <v>1</v>
      </c>
      <c r="AU296" s="331">
        <v>0</v>
      </c>
      <c r="AV296" s="491" t="s">
        <v>29</v>
      </c>
    </row>
    <row r="297" spans="1:48">
      <c r="A297" s="72">
        <v>21</v>
      </c>
      <c r="B297" s="391" t="s">
        <v>62</v>
      </c>
      <c r="C297" s="72">
        <f t="shared" si="12"/>
        <v>10</v>
      </c>
      <c r="D297" s="72" t="str">
        <f t="shared" si="13"/>
        <v>21-10</v>
      </c>
      <c r="E297" s="72">
        <v>65474</v>
      </c>
      <c r="F297" s="72" t="str">
        <f t="shared" si="14"/>
        <v>21-65474</v>
      </c>
      <c r="G297" s="391" t="s">
        <v>877</v>
      </c>
      <c r="H297" s="491">
        <v>11601.08</v>
      </c>
      <c r="I297" s="491">
        <v>10666.71</v>
      </c>
      <c r="J297" s="491">
        <v>10983.13</v>
      </c>
      <c r="K297" s="491">
        <v>13059.38</v>
      </c>
      <c r="L297" s="1072">
        <v>0</v>
      </c>
      <c r="M297" s="1072">
        <v>0</v>
      </c>
      <c r="N297" s="1072">
        <v>0</v>
      </c>
      <c r="O297" s="1072">
        <v>0</v>
      </c>
      <c r="P297" s="491">
        <v>0</v>
      </c>
      <c r="Q297" s="491">
        <v>0</v>
      </c>
      <c r="R297" s="491">
        <v>0</v>
      </c>
      <c r="S297" s="491">
        <v>0</v>
      </c>
      <c r="T297" s="1025" t="b">
        <v>0</v>
      </c>
      <c r="U297" s="491">
        <v>4.1399999999999997</v>
      </c>
      <c r="V297" s="491">
        <v>0.84</v>
      </c>
      <c r="W297" s="491">
        <v>0</v>
      </c>
      <c r="X297" s="491">
        <v>0</v>
      </c>
      <c r="Y297" s="1025" t="b">
        <v>1</v>
      </c>
      <c r="Z297" s="491">
        <v>0</v>
      </c>
      <c r="AA297" s="491">
        <v>0.49</v>
      </c>
      <c r="AB297" s="491">
        <v>0</v>
      </c>
      <c r="AC297" s="491">
        <v>0</v>
      </c>
      <c r="AD297" s="1025" t="b">
        <v>1</v>
      </c>
      <c r="AE297" s="491">
        <v>0.62</v>
      </c>
      <c r="AF297" s="491">
        <v>0.05</v>
      </c>
      <c r="AG297" s="491">
        <v>0</v>
      </c>
      <c r="AH297" s="491">
        <v>0</v>
      </c>
      <c r="AI297" s="1025" t="b">
        <v>1</v>
      </c>
      <c r="AJ297" s="491">
        <v>0</v>
      </c>
      <c r="AK297" s="491">
        <v>0</v>
      </c>
      <c r="AL297" s="491">
        <v>0</v>
      </c>
      <c r="AM297" s="491">
        <v>0</v>
      </c>
      <c r="AN297" s="1025" t="b">
        <v>0</v>
      </c>
      <c r="AO297" s="491">
        <v>0</v>
      </c>
      <c r="AP297" s="491">
        <v>0</v>
      </c>
      <c r="AQ297" s="491">
        <v>0</v>
      </c>
      <c r="AR297" s="491">
        <v>0</v>
      </c>
      <c r="AS297" s="1025" t="b">
        <v>0</v>
      </c>
      <c r="AT297" s="1025" t="b">
        <v>1</v>
      </c>
      <c r="AU297" s="491">
        <v>0</v>
      </c>
      <c r="AV297" s="491" t="s">
        <v>29</v>
      </c>
    </row>
    <row r="298" spans="1:48">
      <c r="A298" s="72">
        <v>21</v>
      </c>
      <c r="B298" s="391" t="s">
        <v>62</v>
      </c>
      <c r="C298" s="72">
        <f t="shared" si="12"/>
        <v>11</v>
      </c>
      <c r="D298" s="72" t="str">
        <f t="shared" si="13"/>
        <v>21-11</v>
      </c>
      <c r="E298" s="72">
        <v>65482</v>
      </c>
      <c r="F298" s="72" t="str">
        <f t="shared" si="14"/>
        <v>21-65482</v>
      </c>
      <c r="G298" s="391" t="s">
        <v>878</v>
      </c>
      <c r="H298" s="331">
        <v>10344.450000000001</v>
      </c>
      <c r="I298" s="331">
        <v>9511.2900000000009</v>
      </c>
      <c r="J298" s="331">
        <v>9793.44</v>
      </c>
      <c r="K298" s="331">
        <v>11644.79</v>
      </c>
      <c r="L298" s="1072">
        <v>0</v>
      </c>
      <c r="M298" s="1072">
        <v>0</v>
      </c>
      <c r="N298" s="1072">
        <v>0</v>
      </c>
      <c r="O298" s="1072">
        <v>0</v>
      </c>
      <c r="P298" s="491">
        <v>0</v>
      </c>
      <c r="Q298" s="491">
        <v>0</v>
      </c>
      <c r="R298" s="491">
        <v>0</v>
      </c>
      <c r="S298" s="491">
        <v>0.99</v>
      </c>
      <c r="T298" s="1025" t="b">
        <v>1</v>
      </c>
      <c r="U298" s="491">
        <v>0</v>
      </c>
      <c r="V298" s="491">
        <v>0</v>
      </c>
      <c r="W298" s="491">
        <v>0</v>
      </c>
      <c r="X298" s="491">
        <v>14.26</v>
      </c>
      <c r="Y298" s="1025" t="b">
        <v>1</v>
      </c>
      <c r="Z298" s="331">
        <v>0</v>
      </c>
      <c r="AA298" s="331">
        <v>0</v>
      </c>
      <c r="AB298" s="331">
        <v>0</v>
      </c>
      <c r="AC298" s="331">
        <v>1.49</v>
      </c>
      <c r="AD298" s="1025" t="b">
        <v>1</v>
      </c>
      <c r="AE298" s="331">
        <v>0</v>
      </c>
      <c r="AF298" s="331">
        <v>0</v>
      </c>
      <c r="AG298" s="331">
        <v>0</v>
      </c>
      <c r="AH298" s="331">
        <v>2.2400000000000002</v>
      </c>
      <c r="AI298" s="1025" t="b">
        <v>1</v>
      </c>
      <c r="AJ298" s="331">
        <v>0</v>
      </c>
      <c r="AK298" s="331">
        <v>0</v>
      </c>
      <c r="AL298" s="331">
        <v>0</v>
      </c>
      <c r="AM298" s="331">
        <v>0</v>
      </c>
      <c r="AN298" s="1025" t="b">
        <v>0</v>
      </c>
      <c r="AO298" s="331">
        <v>0</v>
      </c>
      <c r="AP298" s="331">
        <v>0</v>
      </c>
      <c r="AQ298" s="331">
        <v>0</v>
      </c>
      <c r="AR298" s="331">
        <v>0</v>
      </c>
      <c r="AS298" s="1025" t="b">
        <v>0</v>
      </c>
      <c r="AT298" s="1025" t="b">
        <v>1</v>
      </c>
      <c r="AU298" s="331">
        <v>0</v>
      </c>
      <c r="AV298" s="491" t="s">
        <v>29</v>
      </c>
    </row>
    <row r="299" spans="1:48">
      <c r="A299" s="72">
        <v>21</v>
      </c>
      <c r="B299" s="391" t="s">
        <v>62</v>
      </c>
      <c r="C299" s="72">
        <f t="shared" si="12"/>
        <v>12</v>
      </c>
      <c r="D299" s="72" t="str">
        <f t="shared" si="13"/>
        <v>21-12</v>
      </c>
      <c r="E299" s="72">
        <v>73361</v>
      </c>
      <c r="F299" s="72" t="str">
        <f t="shared" si="14"/>
        <v>21-73361</v>
      </c>
      <c r="G299" s="391" t="s">
        <v>879</v>
      </c>
      <c r="H299" s="491">
        <v>11962.33</v>
      </c>
      <c r="I299" s="491">
        <v>10998.86</v>
      </c>
      <c r="J299" s="491">
        <v>11325.14</v>
      </c>
      <c r="K299" s="491">
        <v>13466.04</v>
      </c>
      <c r="L299" s="1072">
        <v>0</v>
      </c>
      <c r="M299" s="1072">
        <v>0</v>
      </c>
      <c r="N299" s="1072">
        <v>0</v>
      </c>
      <c r="O299" s="1072">
        <v>0</v>
      </c>
      <c r="P299" s="491">
        <v>0</v>
      </c>
      <c r="Q299" s="491">
        <v>0</v>
      </c>
      <c r="R299" s="491">
        <v>0</v>
      </c>
      <c r="S299" s="491">
        <v>0</v>
      </c>
      <c r="T299" s="1025" t="b">
        <v>0</v>
      </c>
      <c r="U299" s="491">
        <v>0</v>
      </c>
      <c r="V299" s="491">
        <v>0.9</v>
      </c>
      <c r="W299" s="491">
        <v>0</v>
      </c>
      <c r="X299" s="491">
        <v>3.04</v>
      </c>
      <c r="Y299" s="1025" t="b">
        <v>1</v>
      </c>
      <c r="Z299" s="491">
        <v>0</v>
      </c>
      <c r="AA299" s="491">
        <v>0</v>
      </c>
      <c r="AB299" s="491">
        <v>0</v>
      </c>
      <c r="AC299" s="491">
        <v>0</v>
      </c>
      <c r="AD299" s="1025" t="b">
        <v>0</v>
      </c>
      <c r="AE299" s="491">
        <v>0</v>
      </c>
      <c r="AF299" s="491">
        <v>0</v>
      </c>
      <c r="AG299" s="491">
        <v>0.14000000000000001</v>
      </c>
      <c r="AH299" s="491">
        <v>0.02</v>
      </c>
      <c r="AI299" s="1025" t="b">
        <v>1</v>
      </c>
      <c r="AJ299" s="491">
        <v>0</v>
      </c>
      <c r="AK299" s="491">
        <v>0</v>
      </c>
      <c r="AL299" s="491">
        <v>0</v>
      </c>
      <c r="AM299" s="491">
        <v>0</v>
      </c>
      <c r="AN299" s="1025" t="b">
        <v>0</v>
      </c>
      <c r="AO299" s="491">
        <v>0</v>
      </c>
      <c r="AP299" s="491">
        <v>0</v>
      </c>
      <c r="AQ299" s="491">
        <v>0</v>
      </c>
      <c r="AR299" s="491">
        <v>0</v>
      </c>
      <c r="AS299" s="1025" t="b">
        <v>0</v>
      </c>
      <c r="AT299" s="1025" t="b">
        <v>1</v>
      </c>
      <c r="AU299" s="491">
        <v>0</v>
      </c>
      <c r="AV299" s="491" t="s">
        <v>29</v>
      </c>
    </row>
    <row r="300" spans="1:48">
      <c r="A300" s="72">
        <v>21</v>
      </c>
      <c r="B300" s="391" t="s">
        <v>62</v>
      </c>
      <c r="C300" s="72">
        <f t="shared" si="12"/>
        <v>13</v>
      </c>
      <c r="D300" s="72" t="str">
        <f t="shared" si="13"/>
        <v>21-13</v>
      </c>
      <c r="E300" s="72">
        <v>75002</v>
      </c>
      <c r="F300" s="72" t="str">
        <f t="shared" si="14"/>
        <v>21-75002</v>
      </c>
      <c r="G300" s="391" t="s">
        <v>880</v>
      </c>
      <c r="H300" s="331">
        <v>10368.74</v>
      </c>
      <c r="I300" s="331">
        <v>9533.6200000000008</v>
      </c>
      <c r="J300" s="331">
        <v>9816.43</v>
      </c>
      <c r="K300" s="331">
        <v>11672.13</v>
      </c>
      <c r="L300" s="1072">
        <v>0</v>
      </c>
      <c r="M300" s="1072">
        <v>0</v>
      </c>
      <c r="N300" s="1072">
        <v>0</v>
      </c>
      <c r="O300" s="1072">
        <v>0</v>
      </c>
      <c r="P300" s="491">
        <v>0</v>
      </c>
      <c r="Q300" s="491">
        <v>0</v>
      </c>
      <c r="R300" s="491">
        <v>0</v>
      </c>
      <c r="S300" s="491">
        <v>0</v>
      </c>
      <c r="T300" s="1025" t="b">
        <v>0</v>
      </c>
      <c r="U300" s="491">
        <v>5.69</v>
      </c>
      <c r="V300" s="491">
        <v>5.89</v>
      </c>
      <c r="W300" s="491">
        <v>0.93</v>
      </c>
      <c r="X300" s="491">
        <v>0</v>
      </c>
      <c r="Y300" s="1025" t="b">
        <v>1</v>
      </c>
      <c r="Z300" s="331">
        <v>0</v>
      </c>
      <c r="AA300" s="331">
        <v>0</v>
      </c>
      <c r="AB300" s="331">
        <v>0</v>
      </c>
      <c r="AC300" s="331">
        <v>0</v>
      </c>
      <c r="AD300" s="1025" t="b">
        <v>0</v>
      </c>
      <c r="AE300" s="331">
        <v>0.51</v>
      </c>
      <c r="AF300" s="331">
        <v>0.24</v>
      </c>
      <c r="AG300" s="331">
        <v>7.0000000000000007E-2</v>
      </c>
      <c r="AH300" s="331">
        <v>0</v>
      </c>
      <c r="AI300" s="1025" t="b">
        <v>1</v>
      </c>
      <c r="AJ300" s="331">
        <v>0</v>
      </c>
      <c r="AK300" s="331">
        <v>0</v>
      </c>
      <c r="AL300" s="331">
        <v>0</v>
      </c>
      <c r="AM300" s="331">
        <v>0</v>
      </c>
      <c r="AN300" s="1025" t="b">
        <v>0</v>
      </c>
      <c r="AO300" s="331">
        <v>0</v>
      </c>
      <c r="AP300" s="331">
        <v>0</v>
      </c>
      <c r="AQ300" s="331">
        <v>0</v>
      </c>
      <c r="AR300" s="331">
        <v>0</v>
      </c>
      <c r="AS300" s="1025" t="b">
        <v>0</v>
      </c>
      <c r="AT300" s="1025" t="b">
        <v>1</v>
      </c>
      <c r="AU300" s="331">
        <v>0</v>
      </c>
      <c r="AV300" s="491" t="s">
        <v>29</v>
      </c>
    </row>
    <row r="301" spans="1:48">
      <c r="A301" s="72">
        <v>21</v>
      </c>
      <c r="B301" s="391" t="s">
        <v>62</v>
      </c>
      <c r="C301" s="72">
        <f t="shared" si="12"/>
        <v>0</v>
      </c>
      <c r="D301" s="72" t="str">
        <f t="shared" si="13"/>
        <v>21-0</v>
      </c>
      <c r="E301" s="72" t="s">
        <v>29</v>
      </c>
      <c r="F301" s="72" t="str">
        <f t="shared" si="14"/>
        <v>21-N/A</v>
      </c>
      <c r="G301" s="391" t="s">
        <v>29</v>
      </c>
      <c r="H301" s="491" t="s">
        <v>29</v>
      </c>
      <c r="I301" s="491" t="s">
        <v>29</v>
      </c>
      <c r="J301" s="491" t="s">
        <v>29</v>
      </c>
      <c r="K301" s="491" t="s">
        <v>29</v>
      </c>
      <c r="L301" s="491" t="s">
        <v>29</v>
      </c>
      <c r="M301" s="491" t="s">
        <v>29</v>
      </c>
      <c r="N301" s="491" t="s">
        <v>29</v>
      </c>
      <c r="O301" s="491" t="s">
        <v>29</v>
      </c>
      <c r="P301" s="491" t="s">
        <v>29</v>
      </c>
      <c r="Q301" s="491" t="s">
        <v>29</v>
      </c>
      <c r="R301" s="491" t="s">
        <v>29</v>
      </c>
      <c r="S301" s="491" t="s">
        <v>29</v>
      </c>
      <c r="T301" s="1025" t="s">
        <v>29</v>
      </c>
      <c r="U301" s="491" t="s">
        <v>29</v>
      </c>
      <c r="V301" s="491" t="s">
        <v>29</v>
      </c>
      <c r="W301" s="491" t="s">
        <v>29</v>
      </c>
      <c r="X301" s="491" t="s">
        <v>29</v>
      </c>
      <c r="Y301" s="1025" t="s">
        <v>29</v>
      </c>
      <c r="Z301" s="491" t="s">
        <v>29</v>
      </c>
      <c r="AA301" s="491" t="s">
        <v>29</v>
      </c>
      <c r="AB301" s="491" t="s">
        <v>29</v>
      </c>
      <c r="AC301" s="491" t="s">
        <v>29</v>
      </c>
      <c r="AD301" s="1025" t="s">
        <v>29</v>
      </c>
      <c r="AE301" s="491" t="s">
        <v>29</v>
      </c>
      <c r="AF301" s="491" t="s">
        <v>29</v>
      </c>
      <c r="AG301" s="491" t="s">
        <v>29</v>
      </c>
      <c r="AH301" s="491" t="s">
        <v>29</v>
      </c>
      <c r="AI301" s="1025" t="s">
        <v>29</v>
      </c>
      <c r="AJ301" s="491" t="s">
        <v>29</v>
      </c>
      <c r="AK301" s="491" t="s">
        <v>29</v>
      </c>
      <c r="AL301" s="491" t="s">
        <v>29</v>
      </c>
      <c r="AM301" s="491" t="s">
        <v>29</v>
      </c>
      <c r="AN301" s="1025" t="s">
        <v>29</v>
      </c>
      <c r="AO301" s="491" t="s">
        <v>29</v>
      </c>
      <c r="AP301" s="491" t="s">
        <v>29</v>
      </c>
      <c r="AQ301" s="491" t="s">
        <v>29</v>
      </c>
      <c r="AR301" s="491" t="s">
        <v>29</v>
      </c>
      <c r="AS301" s="1025" t="s">
        <v>29</v>
      </c>
      <c r="AT301" s="1025" t="s">
        <v>29</v>
      </c>
      <c r="AU301" s="491" t="s">
        <v>29</v>
      </c>
      <c r="AV301" s="491">
        <v>0</v>
      </c>
    </row>
    <row r="302" spans="1:48">
      <c r="A302" s="72">
        <v>22</v>
      </c>
      <c r="B302" s="391" t="s">
        <v>63</v>
      </c>
      <c r="C302" s="72">
        <f t="shared" si="12"/>
        <v>1</v>
      </c>
      <c r="D302" s="72" t="str">
        <f t="shared" si="13"/>
        <v>22-1</v>
      </c>
      <c r="E302" s="72">
        <v>65532</v>
      </c>
      <c r="F302" s="72" t="str">
        <f t="shared" si="14"/>
        <v>22-65532</v>
      </c>
      <c r="G302" s="391" t="s">
        <v>881</v>
      </c>
      <c r="H302" s="331">
        <v>12341.64</v>
      </c>
      <c r="I302" s="331">
        <v>11347.62</v>
      </c>
      <c r="J302" s="331">
        <v>11684.25</v>
      </c>
      <c r="K302" s="331">
        <v>13893.03</v>
      </c>
      <c r="L302" s="491" t="s">
        <v>29</v>
      </c>
      <c r="M302" s="491" t="s">
        <v>29</v>
      </c>
      <c r="N302" s="491" t="s">
        <v>29</v>
      </c>
      <c r="O302" s="491" t="s">
        <v>29</v>
      </c>
      <c r="P302" s="491">
        <v>0</v>
      </c>
      <c r="Q302" s="491">
        <v>0</v>
      </c>
      <c r="R302" s="491">
        <v>0.26</v>
      </c>
      <c r="S302" s="491">
        <v>0.64</v>
      </c>
      <c r="T302" s="1025" t="b">
        <v>0</v>
      </c>
      <c r="U302" s="491">
        <v>11.83</v>
      </c>
      <c r="V302" s="491">
        <v>13.57</v>
      </c>
      <c r="W302" s="491">
        <v>7.01</v>
      </c>
      <c r="X302" s="491">
        <v>8.2799999999999994</v>
      </c>
      <c r="Y302" s="1025" t="b">
        <v>0</v>
      </c>
      <c r="Z302" s="331">
        <v>0</v>
      </c>
      <c r="AA302" s="331">
        <v>0</v>
      </c>
      <c r="AB302" s="331">
        <v>0</v>
      </c>
      <c r="AC302" s="331">
        <v>0</v>
      </c>
      <c r="AD302" s="1025" t="b">
        <v>0</v>
      </c>
      <c r="AE302" s="331">
        <v>0</v>
      </c>
      <c r="AF302" s="331">
        <v>0</v>
      </c>
      <c r="AG302" s="331">
        <v>0</v>
      </c>
      <c r="AH302" s="331">
        <v>0</v>
      </c>
      <c r="AI302" s="1025" t="b">
        <v>0</v>
      </c>
      <c r="AJ302" s="331">
        <v>0</v>
      </c>
      <c r="AK302" s="331">
        <v>0</v>
      </c>
      <c r="AL302" s="331">
        <v>0</v>
      </c>
      <c r="AM302" s="331">
        <v>0</v>
      </c>
      <c r="AN302" s="1025" t="b">
        <v>0</v>
      </c>
      <c r="AO302" s="331">
        <v>0</v>
      </c>
      <c r="AP302" s="331">
        <v>0</v>
      </c>
      <c r="AQ302" s="331">
        <v>0</v>
      </c>
      <c r="AR302" s="331">
        <v>0</v>
      </c>
      <c r="AS302" s="1025" t="b">
        <v>0</v>
      </c>
      <c r="AT302" s="1025" t="b">
        <v>0</v>
      </c>
      <c r="AU302" s="331">
        <v>508859</v>
      </c>
      <c r="AV302" s="491" t="s">
        <v>29</v>
      </c>
    </row>
    <row r="303" spans="1:48">
      <c r="A303" s="72">
        <v>22</v>
      </c>
      <c r="B303" s="391" t="s">
        <v>63</v>
      </c>
      <c r="C303" s="72">
        <f t="shared" si="12"/>
        <v>0</v>
      </c>
      <c r="D303" s="72" t="str">
        <f t="shared" si="13"/>
        <v>22-0</v>
      </c>
      <c r="E303" s="72" t="s">
        <v>29</v>
      </c>
      <c r="F303" s="72" t="str">
        <f t="shared" si="14"/>
        <v>22-N/A</v>
      </c>
      <c r="G303" s="391" t="s">
        <v>29</v>
      </c>
      <c r="H303" s="491" t="s">
        <v>29</v>
      </c>
      <c r="I303" s="491" t="s">
        <v>29</v>
      </c>
      <c r="J303" s="491" t="s">
        <v>29</v>
      </c>
      <c r="K303" s="491" t="s">
        <v>29</v>
      </c>
      <c r="L303" s="491" t="s">
        <v>29</v>
      </c>
      <c r="M303" s="491" t="s">
        <v>29</v>
      </c>
      <c r="N303" s="491" t="s">
        <v>29</v>
      </c>
      <c r="O303" s="491" t="s">
        <v>29</v>
      </c>
      <c r="P303" s="491" t="s">
        <v>29</v>
      </c>
      <c r="Q303" s="491" t="s">
        <v>29</v>
      </c>
      <c r="R303" s="491" t="s">
        <v>29</v>
      </c>
      <c r="S303" s="491" t="s">
        <v>29</v>
      </c>
      <c r="T303" s="1025" t="s">
        <v>29</v>
      </c>
      <c r="U303" s="491" t="s">
        <v>29</v>
      </c>
      <c r="V303" s="491" t="s">
        <v>29</v>
      </c>
      <c r="W303" s="491" t="s">
        <v>29</v>
      </c>
      <c r="X303" s="491" t="s">
        <v>29</v>
      </c>
      <c r="Y303" s="1025" t="s">
        <v>29</v>
      </c>
      <c r="Z303" s="491" t="s">
        <v>29</v>
      </c>
      <c r="AA303" s="491" t="s">
        <v>29</v>
      </c>
      <c r="AB303" s="491" t="s">
        <v>29</v>
      </c>
      <c r="AC303" s="491" t="s">
        <v>29</v>
      </c>
      <c r="AD303" s="1025" t="s">
        <v>29</v>
      </c>
      <c r="AE303" s="491" t="s">
        <v>29</v>
      </c>
      <c r="AF303" s="491" t="s">
        <v>29</v>
      </c>
      <c r="AG303" s="491" t="s">
        <v>29</v>
      </c>
      <c r="AH303" s="491" t="s">
        <v>29</v>
      </c>
      <c r="AI303" s="1025" t="s">
        <v>29</v>
      </c>
      <c r="AJ303" s="491" t="s">
        <v>29</v>
      </c>
      <c r="AK303" s="491" t="s">
        <v>29</v>
      </c>
      <c r="AL303" s="491" t="s">
        <v>29</v>
      </c>
      <c r="AM303" s="491" t="s">
        <v>29</v>
      </c>
      <c r="AN303" s="1025" t="s">
        <v>29</v>
      </c>
      <c r="AO303" s="491" t="s">
        <v>29</v>
      </c>
      <c r="AP303" s="491" t="s">
        <v>29</v>
      </c>
      <c r="AQ303" s="491" t="s">
        <v>29</v>
      </c>
      <c r="AR303" s="491" t="s">
        <v>29</v>
      </c>
      <c r="AS303" s="1025" t="s">
        <v>29</v>
      </c>
      <c r="AT303" s="1025" t="s">
        <v>29</v>
      </c>
      <c r="AU303" s="491" t="s">
        <v>29</v>
      </c>
      <c r="AV303" s="491">
        <v>508859</v>
      </c>
    </row>
    <row r="304" spans="1:48">
      <c r="A304" s="72">
        <v>23</v>
      </c>
      <c r="B304" s="391" t="s">
        <v>64</v>
      </c>
      <c r="C304" s="72">
        <f t="shared" si="12"/>
        <v>1</v>
      </c>
      <c r="D304" s="72" t="str">
        <f t="shared" si="13"/>
        <v>23-1</v>
      </c>
      <c r="E304" s="72">
        <v>65565</v>
      </c>
      <c r="F304" s="72" t="str">
        <f t="shared" si="14"/>
        <v>23-65565</v>
      </c>
      <c r="G304" s="391" t="s">
        <v>883</v>
      </c>
      <c r="H304" s="331">
        <v>13454.63</v>
      </c>
      <c r="I304" s="331">
        <v>12370.97</v>
      </c>
      <c r="J304" s="331">
        <v>12737.95</v>
      </c>
      <c r="K304" s="331">
        <v>15145.93</v>
      </c>
      <c r="L304" s="491" t="s">
        <v>29</v>
      </c>
      <c r="M304" s="491" t="s">
        <v>29</v>
      </c>
      <c r="N304" s="491" t="s">
        <v>29</v>
      </c>
      <c r="O304" s="491" t="s">
        <v>29</v>
      </c>
      <c r="P304" s="491">
        <v>0</v>
      </c>
      <c r="Q304" s="491">
        <v>0</v>
      </c>
      <c r="R304" s="491">
        <v>0</v>
      </c>
      <c r="S304" s="491">
        <v>0</v>
      </c>
      <c r="T304" s="1025" t="b">
        <v>0</v>
      </c>
      <c r="U304" s="491">
        <v>0.81</v>
      </c>
      <c r="V304" s="491">
        <v>4.24</v>
      </c>
      <c r="W304" s="491">
        <v>3.62</v>
      </c>
      <c r="X304" s="491">
        <v>3.29</v>
      </c>
      <c r="Y304" s="1025" t="b">
        <v>0</v>
      </c>
      <c r="Z304" s="331">
        <v>0</v>
      </c>
      <c r="AA304" s="331">
        <v>0</v>
      </c>
      <c r="AB304" s="331">
        <v>0</v>
      </c>
      <c r="AC304" s="331">
        <v>0</v>
      </c>
      <c r="AD304" s="1025" t="b">
        <v>0</v>
      </c>
      <c r="AE304" s="331">
        <v>0</v>
      </c>
      <c r="AF304" s="331">
        <v>0.14000000000000001</v>
      </c>
      <c r="AG304" s="331">
        <v>0.1</v>
      </c>
      <c r="AH304" s="331">
        <v>0.04</v>
      </c>
      <c r="AI304" s="1025" t="b">
        <v>0</v>
      </c>
      <c r="AJ304" s="331">
        <v>0</v>
      </c>
      <c r="AK304" s="331">
        <v>0</v>
      </c>
      <c r="AL304" s="331">
        <v>0</v>
      </c>
      <c r="AM304" s="331">
        <v>0</v>
      </c>
      <c r="AN304" s="1025" t="b">
        <v>0</v>
      </c>
      <c r="AO304" s="331">
        <v>0</v>
      </c>
      <c r="AP304" s="331">
        <v>0</v>
      </c>
      <c r="AQ304" s="331">
        <v>0</v>
      </c>
      <c r="AR304" s="331">
        <v>0</v>
      </c>
      <c r="AS304" s="1025" t="b">
        <v>0</v>
      </c>
      <c r="AT304" s="1025" t="b">
        <v>0</v>
      </c>
      <c r="AU304" s="331">
        <v>162904</v>
      </c>
      <c r="AV304" s="491" t="s">
        <v>29</v>
      </c>
    </row>
    <row r="305" spans="1:48">
      <c r="A305" s="72">
        <v>23</v>
      </c>
      <c r="B305" s="391" t="s">
        <v>64</v>
      </c>
      <c r="C305" s="72">
        <f t="shared" si="12"/>
        <v>2</v>
      </c>
      <c r="D305" s="72" t="str">
        <f t="shared" si="13"/>
        <v>23-2</v>
      </c>
      <c r="E305" s="72">
        <v>65581</v>
      </c>
      <c r="F305" s="72" t="str">
        <f t="shared" si="14"/>
        <v>23-65581</v>
      </c>
      <c r="G305" s="391" t="s">
        <v>1745</v>
      </c>
      <c r="H305" s="491">
        <v>11206.59</v>
      </c>
      <c r="I305" s="491">
        <v>10303.99</v>
      </c>
      <c r="J305" s="491">
        <v>10609.66</v>
      </c>
      <c r="K305" s="491">
        <v>12615.3</v>
      </c>
      <c r="L305" s="491" t="s">
        <v>29</v>
      </c>
      <c r="M305" s="491" t="s">
        <v>29</v>
      </c>
      <c r="N305" s="491" t="s">
        <v>29</v>
      </c>
      <c r="O305" s="491" t="s">
        <v>29</v>
      </c>
      <c r="P305" s="491">
        <v>0</v>
      </c>
      <c r="Q305" s="491">
        <v>0</v>
      </c>
      <c r="R305" s="491">
        <v>0</v>
      </c>
      <c r="S305" s="491">
        <v>0</v>
      </c>
      <c r="T305" s="1025" t="b">
        <v>0</v>
      </c>
      <c r="U305" s="491">
        <v>0</v>
      </c>
      <c r="V305" s="491">
        <v>0</v>
      </c>
      <c r="W305" s="491">
        <v>0</v>
      </c>
      <c r="X305" s="491">
        <v>0.76</v>
      </c>
      <c r="Y305" s="1025" t="b">
        <v>0</v>
      </c>
      <c r="Z305" s="491">
        <v>0</v>
      </c>
      <c r="AA305" s="491">
        <v>0</v>
      </c>
      <c r="AB305" s="491">
        <v>0</v>
      </c>
      <c r="AC305" s="491">
        <v>0</v>
      </c>
      <c r="AD305" s="1025" t="b">
        <v>0</v>
      </c>
      <c r="AE305" s="491">
        <v>0</v>
      </c>
      <c r="AF305" s="491">
        <v>0</v>
      </c>
      <c r="AG305" s="491">
        <v>0</v>
      </c>
      <c r="AH305" s="491">
        <v>0</v>
      </c>
      <c r="AI305" s="1025" t="b">
        <v>0</v>
      </c>
      <c r="AJ305" s="491">
        <v>0</v>
      </c>
      <c r="AK305" s="491">
        <v>0</v>
      </c>
      <c r="AL305" s="491">
        <v>0</v>
      </c>
      <c r="AM305" s="491">
        <v>0</v>
      </c>
      <c r="AN305" s="1025" t="b">
        <v>0</v>
      </c>
      <c r="AO305" s="491">
        <v>0</v>
      </c>
      <c r="AP305" s="491">
        <v>0</v>
      </c>
      <c r="AQ305" s="491">
        <v>0</v>
      </c>
      <c r="AR305" s="491">
        <v>0</v>
      </c>
      <c r="AS305" s="1025" t="b">
        <v>0</v>
      </c>
      <c r="AT305" s="1025" t="b">
        <v>0</v>
      </c>
      <c r="AU305" s="491">
        <v>9588</v>
      </c>
      <c r="AV305" s="491" t="s">
        <v>29</v>
      </c>
    </row>
    <row r="306" spans="1:48">
      <c r="A306" s="72">
        <v>23</v>
      </c>
      <c r="B306" s="391" t="s">
        <v>64</v>
      </c>
      <c r="C306" s="72">
        <f t="shared" si="12"/>
        <v>3</v>
      </c>
      <c r="D306" s="72" t="str">
        <f t="shared" si="13"/>
        <v>23-3</v>
      </c>
      <c r="E306" s="72">
        <v>65615</v>
      </c>
      <c r="F306" s="72" t="str">
        <f t="shared" si="14"/>
        <v>23-65615</v>
      </c>
      <c r="G306" s="391" t="s">
        <v>884</v>
      </c>
      <c r="H306" s="331">
        <v>13411.62</v>
      </c>
      <c r="I306" s="331">
        <v>12331.43</v>
      </c>
      <c r="J306" s="331">
        <v>12697.24</v>
      </c>
      <c r="K306" s="331">
        <v>15097.52</v>
      </c>
      <c r="L306" s="491" t="s">
        <v>29</v>
      </c>
      <c r="M306" s="491" t="s">
        <v>29</v>
      </c>
      <c r="N306" s="491" t="s">
        <v>29</v>
      </c>
      <c r="O306" s="491" t="s">
        <v>29</v>
      </c>
      <c r="P306" s="491">
        <v>0</v>
      </c>
      <c r="Q306" s="491">
        <v>0</v>
      </c>
      <c r="R306" s="491">
        <v>0</v>
      </c>
      <c r="S306" s="491">
        <v>0</v>
      </c>
      <c r="T306" s="1025" t="b">
        <v>0</v>
      </c>
      <c r="U306" s="491">
        <v>2.72</v>
      </c>
      <c r="V306" s="491">
        <v>4.0599999999999996</v>
      </c>
      <c r="W306" s="491">
        <v>5.67</v>
      </c>
      <c r="X306" s="491">
        <v>8.35</v>
      </c>
      <c r="Y306" s="1025" t="b">
        <v>0</v>
      </c>
      <c r="Z306" s="331">
        <v>0</v>
      </c>
      <c r="AA306" s="331">
        <v>0</v>
      </c>
      <c r="AB306" s="331">
        <v>0</v>
      </c>
      <c r="AC306" s="331">
        <v>4.99</v>
      </c>
      <c r="AD306" s="1025" t="b">
        <v>0</v>
      </c>
      <c r="AE306" s="331">
        <v>0.09</v>
      </c>
      <c r="AF306" s="331">
        <v>0.63</v>
      </c>
      <c r="AG306" s="331">
        <v>0.33</v>
      </c>
      <c r="AH306" s="331">
        <v>0.59</v>
      </c>
      <c r="AI306" s="1025" t="b">
        <v>0</v>
      </c>
      <c r="AJ306" s="331">
        <v>0</v>
      </c>
      <c r="AK306" s="331">
        <v>0</v>
      </c>
      <c r="AL306" s="331">
        <v>0</v>
      </c>
      <c r="AM306" s="331">
        <v>0</v>
      </c>
      <c r="AN306" s="1025" t="b">
        <v>0</v>
      </c>
      <c r="AO306" s="331">
        <v>0</v>
      </c>
      <c r="AP306" s="331">
        <v>0</v>
      </c>
      <c r="AQ306" s="331">
        <v>0</v>
      </c>
      <c r="AR306" s="331">
        <v>0</v>
      </c>
      <c r="AS306" s="1025" t="b">
        <v>0</v>
      </c>
      <c r="AT306" s="1025" t="b">
        <v>0</v>
      </c>
      <c r="AU306" s="331">
        <v>382012</v>
      </c>
      <c r="AV306" s="491" t="s">
        <v>29</v>
      </c>
    </row>
    <row r="307" spans="1:48">
      <c r="A307" s="72">
        <v>23</v>
      </c>
      <c r="B307" s="391" t="s">
        <v>64</v>
      </c>
      <c r="C307" s="72">
        <f t="shared" si="12"/>
        <v>4</v>
      </c>
      <c r="D307" s="72" t="str">
        <f t="shared" si="13"/>
        <v>23-4</v>
      </c>
      <c r="E307" s="72">
        <v>65623</v>
      </c>
      <c r="F307" s="72" t="str">
        <f t="shared" si="14"/>
        <v>23-65623</v>
      </c>
      <c r="G307" s="391" t="s">
        <v>885</v>
      </c>
      <c r="H307" s="491">
        <v>11956.31</v>
      </c>
      <c r="I307" s="491">
        <v>10993.33</v>
      </c>
      <c r="J307" s="491">
        <v>11319.44</v>
      </c>
      <c r="K307" s="491">
        <v>13459.26</v>
      </c>
      <c r="L307" s="491" t="s">
        <v>29</v>
      </c>
      <c r="M307" s="491" t="s">
        <v>29</v>
      </c>
      <c r="N307" s="491" t="s">
        <v>29</v>
      </c>
      <c r="O307" s="491" t="s">
        <v>29</v>
      </c>
      <c r="P307" s="491">
        <v>0</v>
      </c>
      <c r="Q307" s="491">
        <v>0</v>
      </c>
      <c r="R307" s="491">
        <v>0</v>
      </c>
      <c r="S307" s="491">
        <v>0</v>
      </c>
      <c r="T307" s="1025" t="b">
        <v>0</v>
      </c>
      <c r="U307" s="491">
        <v>3.53</v>
      </c>
      <c r="V307" s="491">
        <v>0.94</v>
      </c>
      <c r="W307" s="491">
        <v>0.68</v>
      </c>
      <c r="X307" s="491">
        <v>2.56</v>
      </c>
      <c r="Y307" s="1025" t="b">
        <v>0</v>
      </c>
      <c r="Z307" s="491">
        <v>0</v>
      </c>
      <c r="AA307" s="491">
        <v>0</v>
      </c>
      <c r="AB307" s="491">
        <v>0</v>
      </c>
      <c r="AC307" s="491">
        <v>0</v>
      </c>
      <c r="AD307" s="1025" t="b">
        <v>0</v>
      </c>
      <c r="AE307" s="491">
        <v>0.22</v>
      </c>
      <c r="AF307" s="491">
        <v>0.11</v>
      </c>
      <c r="AG307" s="491">
        <v>0</v>
      </c>
      <c r="AH307" s="491">
        <v>0</v>
      </c>
      <c r="AI307" s="1025" t="b">
        <v>0</v>
      </c>
      <c r="AJ307" s="491">
        <v>0</v>
      </c>
      <c r="AK307" s="491">
        <v>0</v>
      </c>
      <c r="AL307" s="491">
        <v>0</v>
      </c>
      <c r="AM307" s="491">
        <v>0</v>
      </c>
      <c r="AN307" s="1025" t="b">
        <v>0</v>
      </c>
      <c r="AO307" s="491">
        <v>0</v>
      </c>
      <c r="AP307" s="491">
        <v>0</v>
      </c>
      <c r="AQ307" s="491">
        <v>0</v>
      </c>
      <c r="AR307" s="491">
        <v>0</v>
      </c>
      <c r="AS307" s="1025" t="b">
        <v>0</v>
      </c>
      <c r="AT307" s="1025" t="b">
        <v>0</v>
      </c>
      <c r="AU307" s="491">
        <v>98532</v>
      </c>
      <c r="AV307" s="491" t="s">
        <v>29</v>
      </c>
    </row>
    <row r="308" spans="1:48">
      <c r="A308" s="72">
        <v>23</v>
      </c>
      <c r="B308" s="391" t="s">
        <v>64</v>
      </c>
      <c r="C308" s="72">
        <f t="shared" si="12"/>
        <v>5</v>
      </c>
      <c r="D308" s="72" t="str">
        <f t="shared" si="13"/>
        <v>23-5</v>
      </c>
      <c r="E308" s="72">
        <v>73866</v>
      </c>
      <c r="F308" s="72" t="str">
        <f t="shared" si="14"/>
        <v>23-73866</v>
      </c>
      <c r="G308" s="391" t="s">
        <v>886</v>
      </c>
      <c r="H308" s="331">
        <v>11558.07</v>
      </c>
      <c r="I308" s="331">
        <v>10627.17</v>
      </c>
      <c r="J308" s="331">
        <v>10942.42</v>
      </c>
      <c r="K308" s="331">
        <v>13010.97</v>
      </c>
      <c r="L308" s="491" t="s">
        <v>29</v>
      </c>
      <c r="M308" s="491" t="s">
        <v>29</v>
      </c>
      <c r="N308" s="491" t="s">
        <v>29</v>
      </c>
      <c r="O308" s="491" t="s">
        <v>29</v>
      </c>
      <c r="P308" s="491">
        <v>0</v>
      </c>
      <c r="Q308" s="491">
        <v>0</v>
      </c>
      <c r="R308" s="491">
        <v>0</v>
      </c>
      <c r="S308" s="491">
        <v>0</v>
      </c>
      <c r="T308" s="1025" t="b">
        <v>0</v>
      </c>
      <c r="U308" s="491">
        <v>0</v>
      </c>
      <c r="V308" s="491">
        <v>0</v>
      </c>
      <c r="W308" s="491">
        <v>1.1299999999999999</v>
      </c>
      <c r="X308" s="491">
        <v>0</v>
      </c>
      <c r="Y308" s="1025" t="b">
        <v>0</v>
      </c>
      <c r="Z308" s="331">
        <v>0</v>
      </c>
      <c r="AA308" s="331">
        <v>0</v>
      </c>
      <c r="AB308" s="331">
        <v>0</v>
      </c>
      <c r="AC308" s="331">
        <v>0</v>
      </c>
      <c r="AD308" s="1025" t="b">
        <v>0</v>
      </c>
      <c r="AE308" s="331">
        <v>0</v>
      </c>
      <c r="AF308" s="331">
        <v>0</v>
      </c>
      <c r="AG308" s="331">
        <v>0.05</v>
      </c>
      <c r="AH308" s="331">
        <v>0</v>
      </c>
      <c r="AI308" s="1025" t="b">
        <v>0</v>
      </c>
      <c r="AJ308" s="331">
        <v>0</v>
      </c>
      <c r="AK308" s="331">
        <v>0</v>
      </c>
      <c r="AL308" s="331">
        <v>0</v>
      </c>
      <c r="AM308" s="331">
        <v>0</v>
      </c>
      <c r="AN308" s="1025" t="b">
        <v>0</v>
      </c>
      <c r="AO308" s="331">
        <v>0</v>
      </c>
      <c r="AP308" s="331">
        <v>0</v>
      </c>
      <c r="AQ308" s="331">
        <v>0</v>
      </c>
      <c r="AR308" s="331">
        <v>0</v>
      </c>
      <c r="AS308" s="1025" t="b">
        <v>0</v>
      </c>
      <c r="AT308" s="1025" t="b">
        <v>0</v>
      </c>
      <c r="AU308" s="331">
        <v>12912</v>
      </c>
      <c r="AV308" s="491" t="s">
        <v>29</v>
      </c>
    </row>
    <row r="309" spans="1:48">
      <c r="A309" s="72">
        <v>23</v>
      </c>
      <c r="B309" s="391" t="s">
        <v>64</v>
      </c>
      <c r="C309" s="72">
        <f t="shared" si="12"/>
        <v>6</v>
      </c>
      <c r="D309" s="72" t="str">
        <f t="shared" si="13"/>
        <v>23-6</v>
      </c>
      <c r="E309" s="72">
        <v>73916</v>
      </c>
      <c r="F309" s="72" t="str">
        <f t="shared" si="14"/>
        <v>23-73916</v>
      </c>
      <c r="G309" s="391" t="s">
        <v>1647</v>
      </c>
      <c r="H309" s="331">
        <v>12556.67</v>
      </c>
      <c r="I309" s="331">
        <v>11545.33</v>
      </c>
      <c r="J309" s="331">
        <v>11887.82</v>
      </c>
      <c r="K309" s="331">
        <v>14135.09</v>
      </c>
      <c r="L309" s="491" t="s">
        <v>29</v>
      </c>
      <c r="M309" s="491" t="s">
        <v>29</v>
      </c>
      <c r="N309" s="491" t="s">
        <v>29</v>
      </c>
      <c r="O309" s="491" t="s">
        <v>29</v>
      </c>
      <c r="P309" s="491">
        <v>0</v>
      </c>
      <c r="Q309" s="491">
        <v>0</v>
      </c>
      <c r="R309" s="491">
        <v>0</v>
      </c>
      <c r="S309" s="491">
        <v>0</v>
      </c>
      <c r="T309" s="1025" t="b">
        <v>0</v>
      </c>
      <c r="U309" s="491">
        <v>0</v>
      </c>
      <c r="V309" s="491">
        <v>0</v>
      </c>
      <c r="W309" s="491">
        <v>0</v>
      </c>
      <c r="X309" s="491">
        <v>0.79</v>
      </c>
      <c r="Y309" s="1025" t="b">
        <v>0</v>
      </c>
      <c r="Z309" s="331">
        <v>0</v>
      </c>
      <c r="AA309" s="331">
        <v>0</v>
      </c>
      <c r="AB309" s="331">
        <v>0</v>
      </c>
      <c r="AC309" s="331">
        <v>0</v>
      </c>
      <c r="AD309" s="1025" t="b">
        <v>0</v>
      </c>
      <c r="AE309" s="331">
        <v>0</v>
      </c>
      <c r="AF309" s="331">
        <v>0</v>
      </c>
      <c r="AG309" s="331">
        <v>0</v>
      </c>
      <c r="AH309" s="331">
        <v>0</v>
      </c>
      <c r="AI309" s="1025" t="b">
        <v>0</v>
      </c>
      <c r="AJ309" s="331">
        <v>0</v>
      </c>
      <c r="AK309" s="331">
        <v>0</v>
      </c>
      <c r="AL309" s="331">
        <v>0</v>
      </c>
      <c r="AM309" s="331">
        <v>0</v>
      </c>
      <c r="AN309" s="1025" t="b">
        <v>0</v>
      </c>
      <c r="AO309" s="331">
        <v>0</v>
      </c>
      <c r="AP309" s="331">
        <v>0</v>
      </c>
      <c r="AQ309" s="331">
        <v>0</v>
      </c>
      <c r="AR309" s="331">
        <v>0</v>
      </c>
      <c r="AS309" s="1025" t="b">
        <v>0</v>
      </c>
      <c r="AT309" s="1025" t="b">
        <v>0</v>
      </c>
      <c r="AU309" s="331">
        <v>11167</v>
      </c>
      <c r="AV309" s="491" t="s">
        <v>29</v>
      </c>
    </row>
    <row r="310" spans="1:48">
      <c r="A310" s="72">
        <v>23</v>
      </c>
      <c r="B310" s="391" t="s">
        <v>64</v>
      </c>
      <c r="C310" s="72">
        <f t="shared" si="12"/>
        <v>0</v>
      </c>
      <c r="D310" s="72" t="str">
        <f t="shared" si="13"/>
        <v>23-0</v>
      </c>
      <c r="E310" s="72" t="s">
        <v>29</v>
      </c>
      <c r="F310" s="72" t="str">
        <f t="shared" si="14"/>
        <v>23-N/A</v>
      </c>
      <c r="G310" s="391" t="s">
        <v>29</v>
      </c>
      <c r="H310" s="491" t="s">
        <v>29</v>
      </c>
      <c r="I310" s="491" t="s">
        <v>29</v>
      </c>
      <c r="J310" s="491" t="s">
        <v>29</v>
      </c>
      <c r="K310" s="491" t="s">
        <v>29</v>
      </c>
      <c r="L310" s="491" t="s">
        <v>29</v>
      </c>
      <c r="M310" s="491" t="s">
        <v>29</v>
      </c>
      <c r="N310" s="491" t="s">
        <v>29</v>
      </c>
      <c r="O310" s="491" t="s">
        <v>29</v>
      </c>
      <c r="P310" s="491" t="s">
        <v>29</v>
      </c>
      <c r="Q310" s="491" t="s">
        <v>29</v>
      </c>
      <c r="R310" s="491" t="s">
        <v>29</v>
      </c>
      <c r="S310" s="491" t="s">
        <v>29</v>
      </c>
      <c r="T310" s="1025" t="s">
        <v>29</v>
      </c>
      <c r="U310" s="491" t="s">
        <v>29</v>
      </c>
      <c r="V310" s="491" t="s">
        <v>29</v>
      </c>
      <c r="W310" s="491" t="s">
        <v>29</v>
      </c>
      <c r="X310" s="491" t="s">
        <v>29</v>
      </c>
      <c r="Y310" s="1025" t="s">
        <v>29</v>
      </c>
      <c r="Z310" s="491" t="s">
        <v>29</v>
      </c>
      <c r="AA310" s="491" t="s">
        <v>29</v>
      </c>
      <c r="AB310" s="491" t="s">
        <v>29</v>
      </c>
      <c r="AC310" s="491" t="s">
        <v>29</v>
      </c>
      <c r="AD310" s="1025" t="s">
        <v>29</v>
      </c>
      <c r="AE310" s="491" t="s">
        <v>29</v>
      </c>
      <c r="AF310" s="491" t="s">
        <v>29</v>
      </c>
      <c r="AG310" s="491" t="s">
        <v>29</v>
      </c>
      <c r="AH310" s="491" t="s">
        <v>29</v>
      </c>
      <c r="AI310" s="1025" t="s">
        <v>29</v>
      </c>
      <c r="AJ310" s="491" t="s">
        <v>29</v>
      </c>
      <c r="AK310" s="491" t="s">
        <v>29</v>
      </c>
      <c r="AL310" s="491" t="s">
        <v>29</v>
      </c>
      <c r="AM310" s="491" t="s">
        <v>29</v>
      </c>
      <c r="AN310" s="1025" t="s">
        <v>29</v>
      </c>
      <c r="AO310" s="491" t="s">
        <v>29</v>
      </c>
      <c r="AP310" s="491" t="s">
        <v>29</v>
      </c>
      <c r="AQ310" s="491" t="s">
        <v>29</v>
      </c>
      <c r="AR310" s="491" t="s">
        <v>29</v>
      </c>
      <c r="AS310" s="1025" t="s">
        <v>29</v>
      </c>
      <c r="AT310" s="1025" t="s">
        <v>29</v>
      </c>
      <c r="AU310" s="491" t="s">
        <v>29</v>
      </c>
      <c r="AV310" s="491">
        <v>677115</v>
      </c>
    </row>
    <row r="311" spans="1:48">
      <c r="A311" s="72">
        <v>24</v>
      </c>
      <c r="B311" s="391" t="s">
        <v>65</v>
      </c>
      <c r="C311" s="72">
        <f t="shared" si="12"/>
        <v>1</v>
      </c>
      <c r="D311" s="72" t="str">
        <f t="shared" si="13"/>
        <v>24-1</v>
      </c>
      <c r="E311" s="72">
        <v>65532</v>
      </c>
      <c r="F311" s="72" t="str">
        <f t="shared" si="14"/>
        <v>24-65532</v>
      </c>
      <c r="G311" s="391" t="s">
        <v>881</v>
      </c>
      <c r="H311" s="331">
        <v>12341.64</v>
      </c>
      <c r="I311" s="331">
        <v>11347.62</v>
      </c>
      <c r="J311" s="331">
        <v>11684.25</v>
      </c>
      <c r="K311" s="331">
        <v>13893.03</v>
      </c>
      <c r="L311" s="491" t="s">
        <v>29</v>
      </c>
      <c r="M311" s="491" t="s">
        <v>29</v>
      </c>
      <c r="N311" s="491" t="s">
        <v>29</v>
      </c>
      <c r="O311" s="491" t="s">
        <v>29</v>
      </c>
      <c r="P311" s="491">
        <v>0</v>
      </c>
      <c r="Q311" s="491">
        <v>0</v>
      </c>
      <c r="R311" s="491">
        <v>0</v>
      </c>
      <c r="S311" s="491">
        <v>1.1399999999999999</v>
      </c>
      <c r="T311" s="1025" t="b">
        <v>0</v>
      </c>
      <c r="U311" s="491">
        <v>0</v>
      </c>
      <c r="V311" s="491">
        <v>0</v>
      </c>
      <c r="W311" s="491">
        <v>0</v>
      </c>
      <c r="X311" s="491">
        <v>0</v>
      </c>
      <c r="Y311" s="1025" t="b">
        <v>0</v>
      </c>
      <c r="Z311" s="331">
        <v>0</v>
      </c>
      <c r="AA311" s="331">
        <v>0</v>
      </c>
      <c r="AB311" s="331">
        <v>0</v>
      </c>
      <c r="AC311" s="331">
        <v>0</v>
      </c>
      <c r="AD311" s="1025" t="b">
        <v>0</v>
      </c>
      <c r="AE311" s="331">
        <v>0</v>
      </c>
      <c r="AF311" s="331">
        <v>0</v>
      </c>
      <c r="AG311" s="331">
        <v>0</v>
      </c>
      <c r="AH311" s="331">
        <v>0</v>
      </c>
      <c r="AI311" s="1025" t="b">
        <v>0</v>
      </c>
      <c r="AJ311" s="331">
        <v>0</v>
      </c>
      <c r="AK311" s="331">
        <v>0</v>
      </c>
      <c r="AL311" s="331">
        <v>0</v>
      </c>
      <c r="AM311" s="331">
        <v>0</v>
      </c>
      <c r="AN311" s="1025" t="b">
        <v>0</v>
      </c>
      <c r="AO311" s="331">
        <v>0</v>
      </c>
      <c r="AP311" s="331">
        <v>0</v>
      </c>
      <c r="AQ311" s="331">
        <v>0</v>
      </c>
      <c r="AR311" s="331">
        <v>0</v>
      </c>
      <c r="AS311" s="1025" t="b">
        <v>0</v>
      </c>
      <c r="AT311" s="1025" t="b">
        <v>0</v>
      </c>
      <c r="AU311" s="331">
        <v>15838</v>
      </c>
      <c r="AV311" s="491" t="s">
        <v>29</v>
      </c>
    </row>
    <row r="312" spans="1:48">
      <c r="A312" s="72">
        <v>24</v>
      </c>
      <c r="B312" s="391" t="s">
        <v>65</v>
      </c>
      <c r="C312" s="72">
        <f t="shared" si="12"/>
        <v>2</v>
      </c>
      <c r="D312" s="72" t="str">
        <f t="shared" si="13"/>
        <v>24-2</v>
      </c>
      <c r="E312" s="72">
        <v>65631</v>
      </c>
      <c r="F312" s="72" t="str">
        <f t="shared" si="14"/>
        <v>24-65631</v>
      </c>
      <c r="G312" s="391" t="s">
        <v>887</v>
      </c>
      <c r="H312" s="331">
        <v>13534.62</v>
      </c>
      <c r="I312" s="331">
        <v>12444.52</v>
      </c>
      <c r="J312" s="331">
        <v>12813.68</v>
      </c>
      <c r="K312" s="331">
        <v>15235.98</v>
      </c>
      <c r="L312" s="491" t="s">
        <v>29</v>
      </c>
      <c r="M312" s="491" t="s">
        <v>29</v>
      </c>
      <c r="N312" s="491" t="s">
        <v>29</v>
      </c>
      <c r="O312" s="491" t="s">
        <v>29</v>
      </c>
      <c r="P312" s="491">
        <v>0</v>
      </c>
      <c r="Q312" s="491">
        <v>0</v>
      </c>
      <c r="R312" s="491">
        <v>0.56000000000000005</v>
      </c>
      <c r="S312" s="491">
        <v>0</v>
      </c>
      <c r="T312" s="1025" t="b">
        <v>0</v>
      </c>
      <c r="U312" s="491">
        <v>41.39</v>
      </c>
      <c r="V312" s="491">
        <v>19.73</v>
      </c>
      <c r="W312" s="491">
        <v>16.98</v>
      </c>
      <c r="X312" s="491">
        <v>0</v>
      </c>
      <c r="Y312" s="1025" t="b">
        <v>0</v>
      </c>
      <c r="Z312" s="331">
        <v>0</v>
      </c>
      <c r="AA312" s="331">
        <v>0</v>
      </c>
      <c r="AB312" s="331">
        <v>0</v>
      </c>
      <c r="AC312" s="331">
        <v>0</v>
      </c>
      <c r="AD312" s="1025" t="b">
        <v>0</v>
      </c>
      <c r="AE312" s="331">
        <v>0.22</v>
      </c>
      <c r="AF312" s="331">
        <v>0.1</v>
      </c>
      <c r="AG312" s="331">
        <v>7.0000000000000007E-2</v>
      </c>
      <c r="AH312" s="331">
        <v>0</v>
      </c>
      <c r="AI312" s="1025" t="b">
        <v>0</v>
      </c>
      <c r="AJ312" s="331">
        <v>0</v>
      </c>
      <c r="AK312" s="331">
        <v>0</v>
      </c>
      <c r="AL312" s="331">
        <v>0</v>
      </c>
      <c r="AM312" s="331">
        <v>0</v>
      </c>
      <c r="AN312" s="1025" t="b">
        <v>0</v>
      </c>
      <c r="AO312" s="331">
        <v>0</v>
      </c>
      <c r="AP312" s="331">
        <v>0</v>
      </c>
      <c r="AQ312" s="331">
        <v>0</v>
      </c>
      <c r="AR312" s="331">
        <v>0</v>
      </c>
      <c r="AS312" s="1025" t="b">
        <v>0</v>
      </c>
      <c r="AT312" s="1025" t="b">
        <v>0</v>
      </c>
      <c r="AU312" s="331">
        <v>1035600</v>
      </c>
      <c r="AV312" s="491" t="s">
        <v>29</v>
      </c>
    </row>
    <row r="313" spans="1:48">
      <c r="A313" s="72">
        <v>24</v>
      </c>
      <c r="B313" s="391" t="s">
        <v>65</v>
      </c>
      <c r="C313" s="72">
        <f t="shared" si="12"/>
        <v>3</v>
      </c>
      <c r="D313" s="72" t="str">
        <f t="shared" si="13"/>
        <v>24-3</v>
      </c>
      <c r="E313" s="72">
        <v>65649</v>
      </c>
      <c r="F313" s="72" t="str">
        <f t="shared" si="14"/>
        <v>24-65649</v>
      </c>
      <c r="G313" s="391" t="s">
        <v>888</v>
      </c>
      <c r="H313" s="331">
        <v>11343.9</v>
      </c>
      <c r="I313" s="331">
        <v>10430.25</v>
      </c>
      <c r="J313" s="331">
        <v>10739.66</v>
      </c>
      <c r="K313" s="331">
        <v>12769.88</v>
      </c>
      <c r="L313" s="491" t="s">
        <v>29</v>
      </c>
      <c r="M313" s="491" t="s">
        <v>29</v>
      </c>
      <c r="N313" s="491" t="s">
        <v>29</v>
      </c>
      <c r="O313" s="491" t="s">
        <v>29</v>
      </c>
      <c r="P313" s="491">
        <v>0</v>
      </c>
      <c r="Q313" s="491">
        <v>0</v>
      </c>
      <c r="R313" s="491">
        <v>0</v>
      </c>
      <c r="S313" s="491">
        <v>0</v>
      </c>
      <c r="T313" s="1025" t="b">
        <v>0</v>
      </c>
      <c r="U313" s="491">
        <v>1.7</v>
      </c>
      <c r="V313" s="491">
        <v>0</v>
      </c>
      <c r="W313" s="491">
        <v>0</v>
      </c>
      <c r="X313" s="491">
        <v>0</v>
      </c>
      <c r="Y313" s="1025" t="b">
        <v>0</v>
      </c>
      <c r="Z313" s="331">
        <v>0</v>
      </c>
      <c r="AA313" s="331">
        <v>0</v>
      </c>
      <c r="AB313" s="331">
        <v>0</v>
      </c>
      <c r="AC313" s="331">
        <v>0</v>
      </c>
      <c r="AD313" s="1025" t="b">
        <v>0</v>
      </c>
      <c r="AE313" s="331">
        <v>0.01</v>
      </c>
      <c r="AF313" s="331">
        <v>0</v>
      </c>
      <c r="AG313" s="331">
        <v>0</v>
      </c>
      <c r="AH313" s="331">
        <v>0</v>
      </c>
      <c r="AI313" s="1025" t="b">
        <v>0</v>
      </c>
      <c r="AJ313" s="331">
        <v>0</v>
      </c>
      <c r="AK313" s="331">
        <v>0</v>
      </c>
      <c r="AL313" s="331">
        <v>0</v>
      </c>
      <c r="AM313" s="331">
        <v>0</v>
      </c>
      <c r="AN313" s="1025" t="b">
        <v>0</v>
      </c>
      <c r="AO313" s="331">
        <v>0</v>
      </c>
      <c r="AP313" s="331">
        <v>0</v>
      </c>
      <c r="AQ313" s="331">
        <v>0</v>
      </c>
      <c r="AR313" s="331">
        <v>0</v>
      </c>
      <c r="AS313" s="1025" t="b">
        <v>0</v>
      </c>
      <c r="AT313" s="1025" t="b">
        <v>0</v>
      </c>
      <c r="AU313" s="331">
        <v>19398</v>
      </c>
      <c r="AV313" s="491" t="s">
        <v>29</v>
      </c>
    </row>
    <row r="314" spans="1:48">
      <c r="A314" s="72">
        <v>24</v>
      </c>
      <c r="B314" s="391" t="s">
        <v>65</v>
      </c>
      <c r="C314" s="72">
        <f t="shared" si="12"/>
        <v>4</v>
      </c>
      <c r="D314" s="72" t="str">
        <f t="shared" si="13"/>
        <v>24-4</v>
      </c>
      <c r="E314" s="72">
        <v>65680</v>
      </c>
      <c r="F314" s="72" t="str">
        <f t="shared" si="14"/>
        <v>24-65680</v>
      </c>
      <c r="G314" s="391" t="s">
        <v>889</v>
      </c>
      <c r="H314" s="491">
        <v>14694.91</v>
      </c>
      <c r="I314" s="491">
        <v>13511.36</v>
      </c>
      <c r="J314" s="491">
        <v>13912.17</v>
      </c>
      <c r="K314" s="491">
        <v>16542.12</v>
      </c>
      <c r="L314" s="491" t="s">
        <v>29</v>
      </c>
      <c r="M314" s="491" t="s">
        <v>29</v>
      </c>
      <c r="N314" s="491" t="s">
        <v>29</v>
      </c>
      <c r="O314" s="491" t="s">
        <v>29</v>
      </c>
      <c r="P314" s="491">
        <v>0</v>
      </c>
      <c r="Q314" s="491">
        <v>0</v>
      </c>
      <c r="R314" s="491">
        <v>0</v>
      </c>
      <c r="S314" s="491">
        <v>0</v>
      </c>
      <c r="T314" s="1025" t="b">
        <v>0</v>
      </c>
      <c r="U314" s="491">
        <v>0.78</v>
      </c>
      <c r="V314" s="491">
        <v>0.8</v>
      </c>
      <c r="W314" s="491">
        <v>0</v>
      </c>
      <c r="X314" s="491">
        <v>0</v>
      </c>
      <c r="Y314" s="1025" t="b">
        <v>0</v>
      </c>
      <c r="Z314" s="491">
        <v>0</v>
      </c>
      <c r="AA314" s="491">
        <v>0</v>
      </c>
      <c r="AB314" s="491">
        <v>0</v>
      </c>
      <c r="AC314" s="491">
        <v>0</v>
      </c>
      <c r="AD314" s="1025" t="b">
        <v>0</v>
      </c>
      <c r="AE314" s="491">
        <v>0.01</v>
      </c>
      <c r="AF314" s="491">
        <v>0</v>
      </c>
      <c r="AG314" s="491">
        <v>0</v>
      </c>
      <c r="AH314" s="491">
        <v>0</v>
      </c>
      <c r="AI314" s="1025" t="b">
        <v>0</v>
      </c>
      <c r="AJ314" s="491">
        <v>0</v>
      </c>
      <c r="AK314" s="491">
        <v>0</v>
      </c>
      <c r="AL314" s="491">
        <v>0</v>
      </c>
      <c r="AM314" s="491">
        <v>0</v>
      </c>
      <c r="AN314" s="1025" t="b">
        <v>0</v>
      </c>
      <c r="AO314" s="491">
        <v>0</v>
      </c>
      <c r="AP314" s="491">
        <v>0</v>
      </c>
      <c r="AQ314" s="491">
        <v>0</v>
      </c>
      <c r="AR314" s="491">
        <v>0</v>
      </c>
      <c r="AS314" s="1025" t="b">
        <v>0</v>
      </c>
      <c r="AT314" s="1025" t="b">
        <v>0</v>
      </c>
      <c r="AU314" s="491">
        <v>22418</v>
      </c>
      <c r="AV314" s="491" t="s">
        <v>29</v>
      </c>
    </row>
    <row r="315" spans="1:48">
      <c r="A315" s="72">
        <v>24</v>
      </c>
      <c r="B315" s="391" t="s">
        <v>65</v>
      </c>
      <c r="C315" s="72">
        <f t="shared" si="12"/>
        <v>5</v>
      </c>
      <c r="D315" s="72" t="str">
        <f t="shared" si="13"/>
        <v>24-5</v>
      </c>
      <c r="E315" s="72">
        <v>65698</v>
      </c>
      <c r="F315" s="72" t="str">
        <f t="shared" si="14"/>
        <v>24-65698</v>
      </c>
      <c r="G315" s="391" t="s">
        <v>890</v>
      </c>
      <c r="H315" s="331">
        <v>11450.56</v>
      </c>
      <c r="I315" s="331">
        <v>10528.31</v>
      </c>
      <c r="J315" s="331">
        <v>10840.63</v>
      </c>
      <c r="K315" s="331">
        <v>12889.94</v>
      </c>
      <c r="L315" s="491" t="s">
        <v>29</v>
      </c>
      <c r="M315" s="491" t="s">
        <v>29</v>
      </c>
      <c r="N315" s="491" t="s">
        <v>29</v>
      </c>
      <c r="O315" s="491" t="s">
        <v>29</v>
      </c>
      <c r="P315" s="491">
        <v>0</v>
      </c>
      <c r="Q315" s="491">
        <v>0</v>
      </c>
      <c r="R315" s="491">
        <v>0</v>
      </c>
      <c r="S315" s="491">
        <v>0.3</v>
      </c>
      <c r="T315" s="1025" t="b">
        <v>0</v>
      </c>
      <c r="U315" s="491">
        <v>5.68</v>
      </c>
      <c r="V315" s="491">
        <v>1.8</v>
      </c>
      <c r="W315" s="491">
        <v>1.52</v>
      </c>
      <c r="X315" s="491">
        <v>9.5299999999999994</v>
      </c>
      <c r="Y315" s="1025" t="b">
        <v>0</v>
      </c>
      <c r="Z315" s="331">
        <v>0</v>
      </c>
      <c r="AA315" s="331">
        <v>0</v>
      </c>
      <c r="AB315" s="331">
        <v>0</v>
      </c>
      <c r="AC315" s="331">
        <v>0</v>
      </c>
      <c r="AD315" s="1025" t="b">
        <v>0</v>
      </c>
      <c r="AE315" s="331">
        <v>0.01</v>
      </c>
      <c r="AF315" s="331">
        <v>0</v>
      </c>
      <c r="AG315" s="331">
        <v>0.01</v>
      </c>
      <c r="AH315" s="331">
        <v>0.05</v>
      </c>
      <c r="AI315" s="1025" t="b">
        <v>0</v>
      </c>
      <c r="AJ315" s="331">
        <v>0</v>
      </c>
      <c r="AK315" s="331">
        <v>0</v>
      </c>
      <c r="AL315" s="331">
        <v>0</v>
      </c>
      <c r="AM315" s="331">
        <v>0</v>
      </c>
      <c r="AN315" s="1025" t="b">
        <v>0</v>
      </c>
      <c r="AO315" s="331">
        <v>0</v>
      </c>
      <c r="AP315" s="331">
        <v>0</v>
      </c>
      <c r="AQ315" s="331">
        <v>0</v>
      </c>
      <c r="AR315" s="331">
        <v>0</v>
      </c>
      <c r="AS315" s="1025" t="b">
        <v>0</v>
      </c>
      <c r="AT315" s="1025" t="b">
        <v>0</v>
      </c>
      <c r="AU315" s="331">
        <v>228044</v>
      </c>
      <c r="AV315" s="491" t="s">
        <v>29</v>
      </c>
    </row>
    <row r="316" spans="1:48">
      <c r="A316" s="72">
        <v>24</v>
      </c>
      <c r="B316" s="391" t="s">
        <v>65</v>
      </c>
      <c r="C316" s="72">
        <f t="shared" si="12"/>
        <v>6</v>
      </c>
      <c r="D316" s="72" t="str">
        <f t="shared" si="13"/>
        <v>24-6</v>
      </c>
      <c r="E316" s="72">
        <v>65722</v>
      </c>
      <c r="F316" s="72" t="str">
        <f t="shared" si="14"/>
        <v>24-65722</v>
      </c>
      <c r="G316" s="391" t="s">
        <v>891</v>
      </c>
      <c r="H316" s="331">
        <v>13679.98</v>
      </c>
      <c r="I316" s="331">
        <v>12578.17</v>
      </c>
      <c r="J316" s="331">
        <v>12951.3</v>
      </c>
      <c r="K316" s="331">
        <v>15399.61</v>
      </c>
      <c r="L316" s="491" t="s">
        <v>29</v>
      </c>
      <c r="M316" s="491" t="s">
        <v>29</v>
      </c>
      <c r="N316" s="491" t="s">
        <v>29</v>
      </c>
      <c r="O316" s="491" t="s">
        <v>29</v>
      </c>
      <c r="P316" s="491">
        <v>0</v>
      </c>
      <c r="Q316" s="491">
        <v>0</v>
      </c>
      <c r="R316" s="491">
        <v>0.83</v>
      </c>
      <c r="S316" s="491">
        <v>0</v>
      </c>
      <c r="T316" s="1025" t="b">
        <v>0</v>
      </c>
      <c r="U316" s="491">
        <v>2.52</v>
      </c>
      <c r="V316" s="491">
        <v>0.56999999999999995</v>
      </c>
      <c r="W316" s="491">
        <v>0.96</v>
      </c>
      <c r="X316" s="491">
        <v>0</v>
      </c>
      <c r="Y316" s="1025" t="b">
        <v>0</v>
      </c>
      <c r="Z316" s="331">
        <v>0</v>
      </c>
      <c r="AA316" s="331">
        <v>0</v>
      </c>
      <c r="AB316" s="331">
        <v>0</v>
      </c>
      <c r="AC316" s="331">
        <v>0</v>
      </c>
      <c r="AD316" s="1025" t="b">
        <v>0</v>
      </c>
      <c r="AE316" s="331">
        <v>0.01</v>
      </c>
      <c r="AF316" s="331">
        <v>0</v>
      </c>
      <c r="AG316" s="331">
        <v>0</v>
      </c>
      <c r="AH316" s="331">
        <v>0</v>
      </c>
      <c r="AI316" s="1025" t="b">
        <v>0</v>
      </c>
      <c r="AJ316" s="331">
        <v>0</v>
      </c>
      <c r="AK316" s="331">
        <v>0</v>
      </c>
      <c r="AL316" s="331">
        <v>0</v>
      </c>
      <c r="AM316" s="331">
        <v>0</v>
      </c>
      <c r="AN316" s="1025" t="b">
        <v>0</v>
      </c>
      <c r="AO316" s="331">
        <v>0</v>
      </c>
      <c r="AP316" s="331">
        <v>0</v>
      </c>
      <c r="AQ316" s="331">
        <v>0</v>
      </c>
      <c r="AR316" s="331">
        <v>0</v>
      </c>
      <c r="AS316" s="1025" t="b">
        <v>0</v>
      </c>
      <c r="AT316" s="1025" t="b">
        <v>0</v>
      </c>
      <c r="AU316" s="331">
        <v>64963</v>
      </c>
      <c r="AV316" s="491" t="s">
        <v>29</v>
      </c>
    </row>
    <row r="317" spans="1:48">
      <c r="A317" s="72">
        <v>24</v>
      </c>
      <c r="B317" s="391" t="s">
        <v>65</v>
      </c>
      <c r="C317" s="72">
        <f t="shared" si="12"/>
        <v>7</v>
      </c>
      <c r="D317" s="72" t="str">
        <f t="shared" si="13"/>
        <v>24-7</v>
      </c>
      <c r="E317" s="72">
        <v>65730</v>
      </c>
      <c r="F317" s="72" t="str">
        <f t="shared" si="14"/>
        <v>24-65730</v>
      </c>
      <c r="G317" s="391" t="s">
        <v>892</v>
      </c>
      <c r="H317" s="331">
        <v>13840.82</v>
      </c>
      <c r="I317" s="331">
        <v>12726.06</v>
      </c>
      <c r="J317" s="331">
        <v>13103.57</v>
      </c>
      <c r="K317" s="331">
        <v>15580.67</v>
      </c>
      <c r="L317" s="491" t="s">
        <v>29</v>
      </c>
      <c r="M317" s="491" t="s">
        <v>29</v>
      </c>
      <c r="N317" s="491" t="s">
        <v>29</v>
      </c>
      <c r="O317" s="491" t="s">
        <v>29</v>
      </c>
      <c r="P317" s="491">
        <v>0</v>
      </c>
      <c r="Q317" s="491">
        <v>0</v>
      </c>
      <c r="R317" s="491">
        <v>0</v>
      </c>
      <c r="S317" s="491">
        <v>3.23</v>
      </c>
      <c r="T317" s="1025" t="b">
        <v>0</v>
      </c>
      <c r="U317" s="491">
        <v>0</v>
      </c>
      <c r="V317" s="491">
        <v>0</v>
      </c>
      <c r="W317" s="491">
        <v>0</v>
      </c>
      <c r="X317" s="491">
        <v>5.36</v>
      </c>
      <c r="Y317" s="1025" t="b">
        <v>0</v>
      </c>
      <c r="Z317" s="331">
        <v>0</v>
      </c>
      <c r="AA317" s="331">
        <v>0</v>
      </c>
      <c r="AB317" s="331">
        <v>0</v>
      </c>
      <c r="AC317" s="331">
        <v>0</v>
      </c>
      <c r="AD317" s="1025" t="b">
        <v>0</v>
      </c>
      <c r="AE317" s="331">
        <v>0</v>
      </c>
      <c r="AF317" s="331">
        <v>0</v>
      </c>
      <c r="AG317" s="331">
        <v>0</v>
      </c>
      <c r="AH317" s="331">
        <v>0.02</v>
      </c>
      <c r="AI317" s="1025" t="b">
        <v>0</v>
      </c>
      <c r="AJ317" s="331">
        <v>0</v>
      </c>
      <c r="AK317" s="331">
        <v>0</v>
      </c>
      <c r="AL317" s="331">
        <v>0</v>
      </c>
      <c r="AM317" s="331">
        <v>0</v>
      </c>
      <c r="AN317" s="1025" t="b">
        <v>0</v>
      </c>
      <c r="AO317" s="331">
        <v>0</v>
      </c>
      <c r="AP317" s="331">
        <v>0</v>
      </c>
      <c r="AQ317" s="331">
        <v>0</v>
      </c>
      <c r="AR317" s="331">
        <v>0</v>
      </c>
      <c r="AS317" s="1025" t="b">
        <v>0</v>
      </c>
      <c r="AT317" s="1025" t="b">
        <v>0</v>
      </c>
      <c r="AU317" s="331">
        <v>134150</v>
      </c>
      <c r="AV317" s="491" t="s">
        <v>29</v>
      </c>
    </row>
    <row r="318" spans="1:48">
      <c r="A318" s="72">
        <v>24</v>
      </c>
      <c r="B318" s="391" t="s">
        <v>65</v>
      </c>
      <c r="C318" s="72">
        <f t="shared" si="12"/>
        <v>8</v>
      </c>
      <c r="D318" s="72" t="str">
        <f t="shared" si="13"/>
        <v>24-8</v>
      </c>
      <c r="E318" s="72">
        <v>65748</v>
      </c>
      <c r="F318" s="72" t="str">
        <f t="shared" si="14"/>
        <v>24-65748</v>
      </c>
      <c r="G318" s="391" t="s">
        <v>893</v>
      </c>
      <c r="H318" s="331">
        <v>13838.24</v>
      </c>
      <c r="I318" s="331">
        <v>12723.69</v>
      </c>
      <c r="J318" s="331">
        <v>13101.13</v>
      </c>
      <c r="K318" s="331">
        <v>15577.76</v>
      </c>
      <c r="L318" s="491" t="s">
        <v>29</v>
      </c>
      <c r="M318" s="491" t="s">
        <v>29</v>
      </c>
      <c r="N318" s="491" t="s">
        <v>29</v>
      </c>
      <c r="O318" s="491" t="s">
        <v>29</v>
      </c>
      <c r="P318" s="491">
        <v>0</v>
      </c>
      <c r="Q318" s="491">
        <v>0.54</v>
      </c>
      <c r="R318" s="491">
        <v>0</v>
      </c>
      <c r="S318" s="491">
        <v>0</v>
      </c>
      <c r="T318" s="1025" t="b">
        <v>0</v>
      </c>
      <c r="U318" s="491">
        <v>14.27</v>
      </c>
      <c r="V318" s="491">
        <v>6.97</v>
      </c>
      <c r="W318" s="491">
        <v>2.85</v>
      </c>
      <c r="X318" s="491">
        <v>0</v>
      </c>
      <c r="Y318" s="1025" t="b">
        <v>0</v>
      </c>
      <c r="Z318" s="331">
        <v>0</v>
      </c>
      <c r="AA318" s="331">
        <v>0</v>
      </c>
      <c r="AB318" s="331">
        <v>0</v>
      </c>
      <c r="AC318" s="331">
        <v>0</v>
      </c>
      <c r="AD318" s="1025" t="b">
        <v>0</v>
      </c>
      <c r="AE318" s="331">
        <v>0.15</v>
      </c>
      <c r="AF318" s="331">
        <v>0.02</v>
      </c>
      <c r="AG318" s="331">
        <v>0.03</v>
      </c>
      <c r="AH318" s="331">
        <v>0</v>
      </c>
      <c r="AI318" s="1025" t="b">
        <v>0</v>
      </c>
      <c r="AJ318" s="331">
        <v>0</v>
      </c>
      <c r="AK318" s="331">
        <v>0</v>
      </c>
      <c r="AL318" s="331">
        <v>0</v>
      </c>
      <c r="AM318" s="331">
        <v>0</v>
      </c>
      <c r="AN318" s="1025" t="b">
        <v>0</v>
      </c>
      <c r="AO318" s="331">
        <v>0</v>
      </c>
      <c r="AP318" s="331">
        <v>0</v>
      </c>
      <c r="AQ318" s="331">
        <v>0</v>
      </c>
      <c r="AR318" s="331">
        <v>0</v>
      </c>
      <c r="AS318" s="1025" t="b">
        <v>0</v>
      </c>
      <c r="AT318" s="1025" t="b">
        <v>0</v>
      </c>
      <c r="AU318" s="331">
        <v>333087</v>
      </c>
      <c r="AV318" s="491" t="s">
        <v>29</v>
      </c>
    </row>
    <row r="319" spans="1:48">
      <c r="A319" s="72">
        <v>24</v>
      </c>
      <c r="B319" s="391" t="s">
        <v>65</v>
      </c>
      <c r="C319" s="72">
        <f t="shared" si="12"/>
        <v>9</v>
      </c>
      <c r="D319" s="72" t="str">
        <f t="shared" si="13"/>
        <v>24-9</v>
      </c>
      <c r="E319" s="72">
        <v>65755</v>
      </c>
      <c r="F319" s="72" t="str">
        <f t="shared" si="14"/>
        <v>24-65755</v>
      </c>
      <c r="G319" s="391" t="s">
        <v>894</v>
      </c>
      <c r="H319" s="331">
        <v>13206.05</v>
      </c>
      <c r="I319" s="331">
        <v>12142.42</v>
      </c>
      <c r="J319" s="331">
        <v>12502.62</v>
      </c>
      <c r="K319" s="331">
        <v>14866.11</v>
      </c>
      <c r="L319" s="491" t="s">
        <v>29</v>
      </c>
      <c r="M319" s="491" t="s">
        <v>29</v>
      </c>
      <c r="N319" s="491" t="s">
        <v>29</v>
      </c>
      <c r="O319" s="491" t="s">
        <v>29</v>
      </c>
      <c r="P319" s="491">
        <v>0</v>
      </c>
      <c r="Q319" s="491">
        <v>0</v>
      </c>
      <c r="R319" s="491">
        <v>0</v>
      </c>
      <c r="S319" s="491">
        <v>136.38999999999999</v>
      </c>
      <c r="T319" s="1025" t="b">
        <v>0</v>
      </c>
      <c r="U319" s="491">
        <v>20.73</v>
      </c>
      <c r="V319" s="491">
        <v>16.7</v>
      </c>
      <c r="W319" s="491">
        <v>9.85</v>
      </c>
      <c r="X319" s="491">
        <v>37.18</v>
      </c>
      <c r="Y319" s="1025" t="b">
        <v>0</v>
      </c>
      <c r="Z319" s="331">
        <v>0</v>
      </c>
      <c r="AA319" s="331">
        <v>0</v>
      </c>
      <c r="AB319" s="331">
        <v>0</v>
      </c>
      <c r="AC319" s="331">
        <v>0</v>
      </c>
      <c r="AD319" s="1025" t="b">
        <v>0</v>
      </c>
      <c r="AE319" s="331">
        <v>0.11</v>
      </c>
      <c r="AF319" s="331">
        <v>0.06</v>
      </c>
      <c r="AG319" s="331">
        <v>0.06</v>
      </c>
      <c r="AH319" s="331">
        <v>0.17</v>
      </c>
      <c r="AI319" s="1025" t="b">
        <v>0</v>
      </c>
      <c r="AJ319" s="331">
        <v>0</v>
      </c>
      <c r="AK319" s="331">
        <v>0</v>
      </c>
      <c r="AL319" s="331">
        <v>0</v>
      </c>
      <c r="AM319" s="331">
        <v>0</v>
      </c>
      <c r="AN319" s="1025" t="b">
        <v>0</v>
      </c>
      <c r="AO319" s="331">
        <v>0</v>
      </c>
      <c r="AP319" s="331">
        <v>0</v>
      </c>
      <c r="AQ319" s="331">
        <v>0</v>
      </c>
      <c r="AR319" s="331">
        <v>0</v>
      </c>
      <c r="AS319" s="1025" t="b">
        <v>0</v>
      </c>
      <c r="AT319" s="1025" t="b">
        <v>0</v>
      </c>
      <c r="AU319" s="331">
        <v>3185460</v>
      </c>
      <c r="AV319" s="491" t="s">
        <v>29</v>
      </c>
    </row>
    <row r="320" spans="1:48">
      <c r="A320" s="72">
        <v>24</v>
      </c>
      <c r="B320" s="391" t="s">
        <v>65</v>
      </c>
      <c r="C320" s="72">
        <f t="shared" si="12"/>
        <v>10</v>
      </c>
      <c r="D320" s="72" t="str">
        <f t="shared" si="13"/>
        <v>24-10</v>
      </c>
      <c r="E320" s="72">
        <v>65763</v>
      </c>
      <c r="F320" s="72" t="str">
        <f t="shared" si="14"/>
        <v>24-65763</v>
      </c>
      <c r="G320" s="391" t="s">
        <v>895</v>
      </c>
      <c r="H320" s="331">
        <v>10929.53</v>
      </c>
      <c r="I320" s="331">
        <v>10049.25</v>
      </c>
      <c r="J320" s="331">
        <v>10347.36</v>
      </c>
      <c r="K320" s="331">
        <v>12303.42</v>
      </c>
      <c r="L320" s="491" t="s">
        <v>29</v>
      </c>
      <c r="M320" s="491" t="s">
        <v>29</v>
      </c>
      <c r="N320" s="491" t="s">
        <v>29</v>
      </c>
      <c r="O320" s="491" t="s">
        <v>29</v>
      </c>
      <c r="P320" s="491">
        <v>0</v>
      </c>
      <c r="Q320" s="491">
        <v>0.26</v>
      </c>
      <c r="R320" s="491">
        <v>0.27</v>
      </c>
      <c r="S320" s="491">
        <v>0</v>
      </c>
      <c r="T320" s="1025" t="b">
        <v>0</v>
      </c>
      <c r="U320" s="491">
        <v>0</v>
      </c>
      <c r="V320" s="491">
        <v>2.59</v>
      </c>
      <c r="W320" s="491">
        <v>0.85</v>
      </c>
      <c r="X320" s="491">
        <v>0</v>
      </c>
      <c r="Y320" s="1025" t="b">
        <v>0</v>
      </c>
      <c r="Z320" s="331">
        <v>0</v>
      </c>
      <c r="AA320" s="331">
        <v>0</v>
      </c>
      <c r="AB320" s="331">
        <v>0</v>
      </c>
      <c r="AC320" s="331">
        <v>0</v>
      </c>
      <c r="AD320" s="1025" t="b">
        <v>0</v>
      </c>
      <c r="AE320" s="331">
        <v>0</v>
      </c>
      <c r="AF320" s="331">
        <v>0.02</v>
      </c>
      <c r="AG320" s="331">
        <v>0</v>
      </c>
      <c r="AH320" s="331">
        <v>0</v>
      </c>
      <c r="AI320" s="1025" t="b">
        <v>0</v>
      </c>
      <c r="AJ320" s="331">
        <v>0</v>
      </c>
      <c r="AK320" s="331">
        <v>0</v>
      </c>
      <c r="AL320" s="331">
        <v>0</v>
      </c>
      <c r="AM320" s="331">
        <v>0</v>
      </c>
      <c r="AN320" s="1025" t="b">
        <v>0</v>
      </c>
      <c r="AO320" s="331">
        <v>0</v>
      </c>
      <c r="AP320" s="331">
        <v>0</v>
      </c>
      <c r="AQ320" s="331">
        <v>0</v>
      </c>
      <c r="AR320" s="331">
        <v>0</v>
      </c>
      <c r="AS320" s="1025" t="b">
        <v>0</v>
      </c>
      <c r="AT320" s="1025" t="b">
        <v>0</v>
      </c>
      <c r="AU320" s="331">
        <v>40430</v>
      </c>
      <c r="AV320" s="491" t="s">
        <v>29</v>
      </c>
    </row>
    <row r="321" spans="1:48">
      <c r="A321" s="72">
        <v>24</v>
      </c>
      <c r="B321" s="391" t="s">
        <v>65</v>
      </c>
      <c r="C321" s="72">
        <f t="shared" si="12"/>
        <v>11</v>
      </c>
      <c r="D321" s="72" t="str">
        <f t="shared" si="13"/>
        <v>24-11</v>
      </c>
      <c r="E321" s="72">
        <v>65771</v>
      </c>
      <c r="F321" s="72" t="str">
        <f t="shared" si="14"/>
        <v>24-65771</v>
      </c>
      <c r="G321" s="391" t="s">
        <v>896</v>
      </c>
      <c r="H321" s="331">
        <v>13319.59</v>
      </c>
      <c r="I321" s="331">
        <v>12246.81</v>
      </c>
      <c r="J321" s="331">
        <v>12610.11</v>
      </c>
      <c r="K321" s="331">
        <v>14993.92</v>
      </c>
      <c r="L321" s="491" t="s">
        <v>29</v>
      </c>
      <c r="M321" s="491" t="s">
        <v>29</v>
      </c>
      <c r="N321" s="491" t="s">
        <v>29</v>
      </c>
      <c r="O321" s="491" t="s">
        <v>29</v>
      </c>
      <c r="P321" s="491">
        <v>0</v>
      </c>
      <c r="Q321" s="491">
        <v>0</v>
      </c>
      <c r="R321" s="491">
        <v>3.83</v>
      </c>
      <c r="S321" s="491">
        <v>0</v>
      </c>
      <c r="T321" s="1025" t="b">
        <v>0</v>
      </c>
      <c r="U321" s="491">
        <v>66.900000000000006</v>
      </c>
      <c r="V321" s="491">
        <v>55.02</v>
      </c>
      <c r="W321" s="491">
        <v>31.97</v>
      </c>
      <c r="X321" s="491">
        <v>0</v>
      </c>
      <c r="Y321" s="1025" t="b">
        <v>0</v>
      </c>
      <c r="Z321" s="331">
        <v>0</v>
      </c>
      <c r="AA321" s="331">
        <v>0</v>
      </c>
      <c r="AB321" s="331">
        <v>0</v>
      </c>
      <c r="AC321" s="331">
        <v>0</v>
      </c>
      <c r="AD321" s="1025" t="b">
        <v>0</v>
      </c>
      <c r="AE321" s="331">
        <v>0.39</v>
      </c>
      <c r="AF321" s="331">
        <v>0.26</v>
      </c>
      <c r="AG321" s="331">
        <v>0.09</v>
      </c>
      <c r="AH321" s="331">
        <v>0</v>
      </c>
      <c r="AI321" s="1025" t="b">
        <v>0</v>
      </c>
      <c r="AJ321" s="331">
        <v>0</v>
      </c>
      <c r="AK321" s="331">
        <v>0</v>
      </c>
      <c r="AL321" s="331">
        <v>0</v>
      </c>
      <c r="AM321" s="331">
        <v>0</v>
      </c>
      <c r="AN321" s="1025" t="b">
        <v>0</v>
      </c>
      <c r="AO321" s="331">
        <v>0</v>
      </c>
      <c r="AP321" s="331">
        <v>0</v>
      </c>
      <c r="AQ321" s="331">
        <v>0</v>
      </c>
      <c r="AR321" s="331">
        <v>0</v>
      </c>
      <c r="AS321" s="1025" t="b">
        <v>0</v>
      </c>
      <c r="AT321" s="1025" t="b">
        <v>0</v>
      </c>
      <c r="AU321" s="331">
        <v>2025856</v>
      </c>
      <c r="AV321" s="491" t="s">
        <v>29</v>
      </c>
    </row>
    <row r="322" spans="1:48">
      <c r="A322" s="72">
        <v>24</v>
      </c>
      <c r="B322" s="391" t="s">
        <v>65</v>
      </c>
      <c r="C322" s="72">
        <f t="shared" si="12"/>
        <v>12</v>
      </c>
      <c r="D322" s="72" t="str">
        <f t="shared" si="13"/>
        <v>24-12</v>
      </c>
      <c r="E322" s="72">
        <v>65789</v>
      </c>
      <c r="F322" s="72" t="str">
        <f t="shared" si="14"/>
        <v>24-65789</v>
      </c>
      <c r="G322" s="391" t="s">
        <v>897</v>
      </c>
      <c r="H322" s="331">
        <v>13224.98</v>
      </c>
      <c r="I322" s="331">
        <v>12159.82</v>
      </c>
      <c r="J322" s="331">
        <v>12520.53</v>
      </c>
      <c r="K322" s="331">
        <v>14887.41</v>
      </c>
      <c r="L322" s="491" t="s">
        <v>29</v>
      </c>
      <c r="M322" s="491" t="s">
        <v>29</v>
      </c>
      <c r="N322" s="491" t="s">
        <v>29</v>
      </c>
      <c r="O322" s="491" t="s">
        <v>29</v>
      </c>
      <c r="P322" s="491">
        <v>0</v>
      </c>
      <c r="Q322" s="491">
        <v>0</v>
      </c>
      <c r="R322" s="491">
        <v>0</v>
      </c>
      <c r="S322" s="491">
        <v>56.13</v>
      </c>
      <c r="T322" s="1025" t="b">
        <v>0</v>
      </c>
      <c r="U322" s="491">
        <v>0</v>
      </c>
      <c r="V322" s="491">
        <v>0</v>
      </c>
      <c r="W322" s="491">
        <v>0</v>
      </c>
      <c r="X322" s="491">
        <v>216.67</v>
      </c>
      <c r="Y322" s="1025" t="b">
        <v>0</v>
      </c>
      <c r="Z322" s="331">
        <v>0</v>
      </c>
      <c r="AA322" s="331">
        <v>0</v>
      </c>
      <c r="AB322" s="331">
        <v>0</v>
      </c>
      <c r="AC322" s="331">
        <v>0</v>
      </c>
      <c r="AD322" s="1025" t="b">
        <v>0</v>
      </c>
      <c r="AE322" s="331">
        <v>0</v>
      </c>
      <c r="AF322" s="331">
        <v>0</v>
      </c>
      <c r="AG322" s="331">
        <v>0</v>
      </c>
      <c r="AH322" s="331">
        <v>0.71</v>
      </c>
      <c r="AI322" s="1025" t="b">
        <v>0</v>
      </c>
      <c r="AJ322" s="331">
        <v>0</v>
      </c>
      <c r="AK322" s="331">
        <v>0</v>
      </c>
      <c r="AL322" s="331">
        <v>0</v>
      </c>
      <c r="AM322" s="331">
        <v>0</v>
      </c>
      <c r="AN322" s="1025" t="b">
        <v>0</v>
      </c>
      <c r="AO322" s="331">
        <v>0</v>
      </c>
      <c r="AP322" s="331">
        <v>0</v>
      </c>
      <c r="AQ322" s="331">
        <v>0</v>
      </c>
      <c r="AR322" s="331">
        <v>0</v>
      </c>
      <c r="AS322" s="1025" t="b">
        <v>0</v>
      </c>
      <c r="AT322" s="1025" t="b">
        <v>0</v>
      </c>
      <c r="AU322" s="331">
        <v>4071856</v>
      </c>
      <c r="AV322" s="491" t="s">
        <v>29</v>
      </c>
    </row>
    <row r="323" spans="1:48">
      <c r="A323" s="72">
        <v>24</v>
      </c>
      <c r="B323" s="391" t="s">
        <v>65</v>
      </c>
      <c r="C323" s="72">
        <f t="shared" si="12"/>
        <v>13</v>
      </c>
      <c r="D323" s="72" t="str">
        <f t="shared" si="13"/>
        <v>24-13</v>
      </c>
      <c r="E323" s="72">
        <v>65821</v>
      </c>
      <c r="F323" s="72" t="str">
        <f t="shared" si="14"/>
        <v>24-65821</v>
      </c>
      <c r="G323" s="391" t="s">
        <v>898</v>
      </c>
      <c r="H323" s="331">
        <v>14693.19</v>
      </c>
      <c r="I323" s="331">
        <v>13509.78</v>
      </c>
      <c r="J323" s="331">
        <v>13910.54</v>
      </c>
      <c r="K323" s="331">
        <v>16540.189999999999</v>
      </c>
      <c r="L323" s="491" t="s">
        <v>29</v>
      </c>
      <c r="M323" s="491" t="s">
        <v>29</v>
      </c>
      <c r="N323" s="491" t="s">
        <v>29</v>
      </c>
      <c r="O323" s="491" t="s">
        <v>29</v>
      </c>
      <c r="P323" s="491">
        <v>0</v>
      </c>
      <c r="Q323" s="491">
        <v>0</v>
      </c>
      <c r="R323" s="491">
        <v>0</v>
      </c>
      <c r="S323" s="491">
        <v>0</v>
      </c>
      <c r="T323" s="1025" t="b">
        <v>0</v>
      </c>
      <c r="U323" s="491">
        <v>6.75</v>
      </c>
      <c r="V323" s="491">
        <v>3.67</v>
      </c>
      <c r="W323" s="491">
        <v>3.17</v>
      </c>
      <c r="X323" s="491">
        <v>0</v>
      </c>
      <c r="Y323" s="1025" t="b">
        <v>0</v>
      </c>
      <c r="Z323" s="331">
        <v>0</v>
      </c>
      <c r="AA323" s="331">
        <v>0</v>
      </c>
      <c r="AB323" s="331">
        <v>0</v>
      </c>
      <c r="AC323" s="331">
        <v>0</v>
      </c>
      <c r="AD323" s="1025" t="b">
        <v>0</v>
      </c>
      <c r="AE323" s="331">
        <v>0.02</v>
      </c>
      <c r="AF323" s="331">
        <v>0.03</v>
      </c>
      <c r="AG323" s="331">
        <v>0.01</v>
      </c>
      <c r="AH323" s="331">
        <v>0</v>
      </c>
      <c r="AI323" s="1025" t="b">
        <v>0</v>
      </c>
      <c r="AJ323" s="331">
        <v>0</v>
      </c>
      <c r="AK323" s="331">
        <v>0</v>
      </c>
      <c r="AL323" s="331">
        <v>0</v>
      </c>
      <c r="AM323" s="331">
        <v>0</v>
      </c>
      <c r="AN323" s="1025" t="b">
        <v>0</v>
      </c>
      <c r="AO323" s="331">
        <v>0</v>
      </c>
      <c r="AP323" s="331">
        <v>0</v>
      </c>
      <c r="AQ323" s="331">
        <v>0</v>
      </c>
      <c r="AR323" s="331">
        <v>0</v>
      </c>
      <c r="AS323" s="1025" t="b">
        <v>0</v>
      </c>
      <c r="AT323" s="1025" t="b">
        <v>0</v>
      </c>
      <c r="AU323" s="331">
        <v>193695</v>
      </c>
      <c r="AV323" s="491" t="s">
        <v>29</v>
      </c>
    </row>
    <row r="324" spans="1:48" ht="26.4">
      <c r="A324" s="72">
        <v>24</v>
      </c>
      <c r="B324" s="391" t="s">
        <v>65</v>
      </c>
      <c r="C324" s="72">
        <f t="shared" si="12"/>
        <v>14</v>
      </c>
      <c r="D324" s="72" t="str">
        <f t="shared" si="13"/>
        <v>24-14</v>
      </c>
      <c r="E324" s="72">
        <v>65839</v>
      </c>
      <c r="F324" s="72" t="str">
        <f t="shared" si="14"/>
        <v>24-65839</v>
      </c>
      <c r="G324" s="391" t="s">
        <v>899</v>
      </c>
      <c r="H324" s="331">
        <v>13427.96</v>
      </c>
      <c r="I324" s="331">
        <v>12346.45</v>
      </c>
      <c r="J324" s="331">
        <v>12712.71</v>
      </c>
      <c r="K324" s="331">
        <v>15115.91</v>
      </c>
      <c r="L324" s="491" t="s">
        <v>29</v>
      </c>
      <c r="M324" s="491" t="s">
        <v>29</v>
      </c>
      <c r="N324" s="491" t="s">
        <v>29</v>
      </c>
      <c r="O324" s="491" t="s">
        <v>29</v>
      </c>
      <c r="P324" s="491">
        <v>0</v>
      </c>
      <c r="Q324" s="491">
        <v>0</v>
      </c>
      <c r="R324" s="491">
        <v>0</v>
      </c>
      <c r="S324" s="491">
        <v>0</v>
      </c>
      <c r="T324" s="1025" t="b">
        <v>0</v>
      </c>
      <c r="U324" s="491">
        <v>0.2</v>
      </c>
      <c r="V324" s="491">
        <v>0</v>
      </c>
      <c r="W324" s="491">
        <v>0.9</v>
      </c>
      <c r="X324" s="491">
        <v>0</v>
      </c>
      <c r="Y324" s="1025" t="b">
        <v>0</v>
      </c>
      <c r="Z324" s="331">
        <v>0</v>
      </c>
      <c r="AA324" s="331">
        <v>0</v>
      </c>
      <c r="AB324" s="331">
        <v>0</v>
      </c>
      <c r="AC324" s="331">
        <v>0</v>
      </c>
      <c r="AD324" s="1025" t="b">
        <v>0</v>
      </c>
      <c r="AE324" s="331">
        <v>0</v>
      </c>
      <c r="AF324" s="331">
        <v>0</v>
      </c>
      <c r="AG324" s="331">
        <v>0</v>
      </c>
      <c r="AH324" s="331">
        <v>0</v>
      </c>
      <c r="AI324" s="1025" t="b">
        <v>0</v>
      </c>
      <c r="AJ324" s="331">
        <v>0</v>
      </c>
      <c r="AK324" s="331">
        <v>0</v>
      </c>
      <c r="AL324" s="331">
        <v>0</v>
      </c>
      <c r="AM324" s="331">
        <v>0</v>
      </c>
      <c r="AN324" s="1025" t="b">
        <v>0</v>
      </c>
      <c r="AO324" s="331">
        <v>0</v>
      </c>
      <c r="AP324" s="331">
        <v>0</v>
      </c>
      <c r="AQ324" s="331">
        <v>0</v>
      </c>
      <c r="AR324" s="331">
        <v>0</v>
      </c>
      <c r="AS324" s="1025" t="b">
        <v>0</v>
      </c>
      <c r="AT324" s="1025" t="b">
        <v>0</v>
      </c>
      <c r="AU324" s="331">
        <v>14127</v>
      </c>
      <c r="AV324" s="491" t="s">
        <v>29</v>
      </c>
    </row>
    <row r="325" spans="1:48">
      <c r="A325" s="72">
        <v>24</v>
      </c>
      <c r="B325" s="391" t="s">
        <v>65</v>
      </c>
      <c r="C325" s="72">
        <f t="shared" si="12"/>
        <v>15</v>
      </c>
      <c r="D325" s="72" t="str">
        <f t="shared" si="13"/>
        <v>24-15</v>
      </c>
      <c r="E325" s="72">
        <v>65862</v>
      </c>
      <c r="F325" s="72" t="str">
        <f t="shared" si="14"/>
        <v>24-65862</v>
      </c>
      <c r="G325" s="391" t="s">
        <v>900</v>
      </c>
      <c r="H325" s="331">
        <v>13461.51</v>
      </c>
      <c r="I325" s="331">
        <v>12377.3</v>
      </c>
      <c r="J325" s="331">
        <v>12744.47</v>
      </c>
      <c r="K325" s="331">
        <v>15153.68</v>
      </c>
      <c r="L325" s="491" t="s">
        <v>29</v>
      </c>
      <c r="M325" s="491" t="s">
        <v>29</v>
      </c>
      <c r="N325" s="491" t="s">
        <v>29</v>
      </c>
      <c r="O325" s="491" t="s">
        <v>29</v>
      </c>
      <c r="P325" s="491">
        <v>0</v>
      </c>
      <c r="Q325" s="491">
        <v>0.59</v>
      </c>
      <c r="R325" s="491">
        <v>0.9</v>
      </c>
      <c r="S325" s="491">
        <v>0</v>
      </c>
      <c r="T325" s="1025" t="b">
        <v>0</v>
      </c>
      <c r="U325" s="491">
        <v>16.37</v>
      </c>
      <c r="V325" s="491">
        <v>5.94</v>
      </c>
      <c r="W325" s="491">
        <v>6.15</v>
      </c>
      <c r="X325" s="491">
        <v>0</v>
      </c>
      <c r="Y325" s="1025" t="b">
        <v>0</v>
      </c>
      <c r="Z325" s="331">
        <v>0</v>
      </c>
      <c r="AA325" s="331">
        <v>0</v>
      </c>
      <c r="AB325" s="331">
        <v>0</v>
      </c>
      <c r="AC325" s="331">
        <v>0</v>
      </c>
      <c r="AD325" s="1025" t="b">
        <v>0</v>
      </c>
      <c r="AE325" s="331">
        <v>0.05</v>
      </c>
      <c r="AF325" s="331">
        <v>0.04</v>
      </c>
      <c r="AG325" s="331">
        <v>0.01</v>
      </c>
      <c r="AH325" s="331">
        <v>0</v>
      </c>
      <c r="AI325" s="1025" t="b">
        <v>0</v>
      </c>
      <c r="AJ325" s="331">
        <v>0</v>
      </c>
      <c r="AK325" s="331">
        <v>0</v>
      </c>
      <c r="AL325" s="331">
        <v>0</v>
      </c>
      <c r="AM325" s="331">
        <v>0</v>
      </c>
      <c r="AN325" s="1025" t="b">
        <v>0</v>
      </c>
      <c r="AO325" s="331">
        <v>0</v>
      </c>
      <c r="AP325" s="331">
        <v>0</v>
      </c>
      <c r="AQ325" s="331">
        <v>0</v>
      </c>
      <c r="AR325" s="331">
        <v>0</v>
      </c>
      <c r="AS325" s="1025" t="b">
        <v>0</v>
      </c>
      <c r="AT325" s="1025" t="b">
        <v>0</v>
      </c>
      <c r="AU325" s="331">
        <v>392333</v>
      </c>
      <c r="AV325" s="491" t="s">
        <v>29</v>
      </c>
    </row>
    <row r="326" spans="1:48">
      <c r="A326" s="72">
        <v>24</v>
      </c>
      <c r="B326" s="391" t="s">
        <v>65</v>
      </c>
      <c r="C326" s="72">
        <f t="shared" ref="C326:C389" si="15">IF(E326="N/A",0,IF(A325&lt;&gt;A326,1,C325+1))</f>
        <v>16</v>
      </c>
      <c r="D326" s="72" t="str">
        <f t="shared" ref="D326:D389" si="16">A326&amp;"-"&amp;C326</f>
        <v>24-16</v>
      </c>
      <c r="E326" s="72">
        <v>65870</v>
      </c>
      <c r="F326" s="72" t="str">
        <f t="shared" si="14"/>
        <v>24-65870</v>
      </c>
      <c r="G326" s="391" t="s">
        <v>901</v>
      </c>
      <c r="H326" s="331">
        <v>14621.8</v>
      </c>
      <c r="I326" s="331">
        <v>13444.14</v>
      </c>
      <c r="J326" s="331">
        <v>13842.96</v>
      </c>
      <c r="K326" s="331">
        <v>16459.82</v>
      </c>
      <c r="L326" s="491" t="s">
        <v>29</v>
      </c>
      <c r="M326" s="491" t="s">
        <v>29</v>
      </c>
      <c r="N326" s="491" t="s">
        <v>29</v>
      </c>
      <c r="O326" s="491" t="s">
        <v>29</v>
      </c>
      <c r="P326" s="491">
        <v>0</v>
      </c>
      <c r="Q326" s="491">
        <v>0</v>
      </c>
      <c r="R326" s="491">
        <v>0.81</v>
      </c>
      <c r="S326" s="491">
        <v>0</v>
      </c>
      <c r="T326" s="1025" t="b">
        <v>0</v>
      </c>
      <c r="U326" s="491">
        <v>10.97</v>
      </c>
      <c r="V326" s="491">
        <v>11.89</v>
      </c>
      <c r="W326" s="491">
        <v>4.3600000000000003</v>
      </c>
      <c r="X326" s="491">
        <v>0</v>
      </c>
      <c r="Y326" s="1025" t="b">
        <v>0</v>
      </c>
      <c r="Z326" s="331">
        <v>0</v>
      </c>
      <c r="AA326" s="331">
        <v>0</v>
      </c>
      <c r="AB326" s="331">
        <v>0</v>
      </c>
      <c r="AC326" s="331">
        <v>0</v>
      </c>
      <c r="AD326" s="1025" t="b">
        <v>0</v>
      </c>
      <c r="AE326" s="331">
        <v>0.08</v>
      </c>
      <c r="AF326" s="331">
        <v>0.05</v>
      </c>
      <c r="AG326" s="331">
        <v>0.03</v>
      </c>
      <c r="AH326" s="331">
        <v>0</v>
      </c>
      <c r="AI326" s="1025" t="b">
        <v>0</v>
      </c>
      <c r="AJ326" s="331">
        <v>0</v>
      </c>
      <c r="AK326" s="331">
        <v>0</v>
      </c>
      <c r="AL326" s="331">
        <v>0</v>
      </c>
      <c r="AM326" s="331">
        <v>0</v>
      </c>
      <c r="AN326" s="1025" t="b">
        <v>0</v>
      </c>
      <c r="AO326" s="331">
        <v>0</v>
      </c>
      <c r="AP326" s="331">
        <v>0</v>
      </c>
      <c r="AQ326" s="331">
        <v>0</v>
      </c>
      <c r="AR326" s="331">
        <v>0</v>
      </c>
      <c r="AS326" s="1025" t="b">
        <v>0</v>
      </c>
      <c r="AT326" s="1025" t="b">
        <v>0</v>
      </c>
      <c r="AU326" s="331">
        <v>394077</v>
      </c>
      <c r="AV326" s="491" t="s">
        <v>29</v>
      </c>
    </row>
    <row r="327" spans="1:48">
      <c r="A327" s="72">
        <v>24</v>
      </c>
      <c r="B327" s="391" t="s">
        <v>65</v>
      </c>
      <c r="C327" s="72">
        <f t="shared" si="15"/>
        <v>17</v>
      </c>
      <c r="D327" s="72" t="str">
        <f t="shared" si="16"/>
        <v>24-17</v>
      </c>
      <c r="E327" s="72">
        <v>73619</v>
      </c>
      <c r="F327" s="72" t="str">
        <f t="shared" ref="F327:F390" si="17">A327&amp;"-"&amp;E327</f>
        <v>24-73619</v>
      </c>
      <c r="G327" s="391" t="s">
        <v>902</v>
      </c>
      <c r="H327" s="331">
        <v>13673.1</v>
      </c>
      <c r="I327" s="331">
        <v>12571.84</v>
      </c>
      <c r="J327" s="331">
        <v>12944.78</v>
      </c>
      <c r="K327" s="331">
        <v>15391.86</v>
      </c>
      <c r="L327" s="491" t="s">
        <v>29</v>
      </c>
      <c r="M327" s="491" t="s">
        <v>29</v>
      </c>
      <c r="N327" s="491" t="s">
        <v>29</v>
      </c>
      <c r="O327" s="491" t="s">
        <v>29</v>
      </c>
      <c r="P327" s="491">
        <v>0</v>
      </c>
      <c r="Q327" s="491">
        <v>0</v>
      </c>
      <c r="R327" s="491">
        <v>0</v>
      </c>
      <c r="S327" s="491">
        <v>0.54</v>
      </c>
      <c r="T327" s="1025" t="b">
        <v>0</v>
      </c>
      <c r="U327" s="491">
        <v>5.97</v>
      </c>
      <c r="V327" s="491">
        <v>5.5</v>
      </c>
      <c r="W327" s="491">
        <v>2.2200000000000002</v>
      </c>
      <c r="X327" s="491">
        <v>6.66</v>
      </c>
      <c r="Y327" s="1025" t="b">
        <v>0</v>
      </c>
      <c r="Z327" s="331">
        <v>0</v>
      </c>
      <c r="AA327" s="331">
        <v>0</v>
      </c>
      <c r="AB327" s="331">
        <v>0</v>
      </c>
      <c r="AC327" s="331">
        <v>0</v>
      </c>
      <c r="AD327" s="1025" t="b">
        <v>0</v>
      </c>
      <c r="AE327" s="331">
        <v>0.04</v>
      </c>
      <c r="AF327" s="331">
        <v>0.03</v>
      </c>
      <c r="AG327" s="331">
        <v>0.01</v>
      </c>
      <c r="AH327" s="331">
        <v>0.03</v>
      </c>
      <c r="AI327" s="1025" t="b">
        <v>0</v>
      </c>
      <c r="AJ327" s="331">
        <v>0</v>
      </c>
      <c r="AK327" s="331">
        <v>0</v>
      </c>
      <c r="AL327" s="331">
        <v>0</v>
      </c>
      <c r="AM327" s="331">
        <v>0</v>
      </c>
      <c r="AN327" s="1025" t="b">
        <v>0</v>
      </c>
      <c r="AO327" s="331">
        <v>0</v>
      </c>
      <c r="AP327" s="331">
        <v>0</v>
      </c>
      <c r="AQ327" s="331">
        <v>0</v>
      </c>
      <c r="AR327" s="331">
        <v>0</v>
      </c>
      <c r="AS327" s="1025" t="b">
        <v>0</v>
      </c>
      <c r="AT327" s="1025" t="b">
        <v>0</v>
      </c>
      <c r="AU327" s="331">
        <v>291847</v>
      </c>
      <c r="AV327" s="491" t="s">
        <v>29</v>
      </c>
    </row>
    <row r="328" spans="1:48">
      <c r="A328" s="72">
        <v>24</v>
      </c>
      <c r="B328" s="391" t="s">
        <v>65</v>
      </c>
      <c r="C328" s="72">
        <f t="shared" si="15"/>
        <v>18</v>
      </c>
      <c r="D328" s="72" t="str">
        <f t="shared" si="16"/>
        <v>24-18</v>
      </c>
      <c r="E328" s="72">
        <v>73726</v>
      </c>
      <c r="F328" s="72" t="str">
        <f t="shared" si="17"/>
        <v>24-73726</v>
      </c>
      <c r="G328" s="391" t="s">
        <v>903</v>
      </c>
      <c r="H328" s="331">
        <v>13839.96</v>
      </c>
      <c r="I328" s="331">
        <v>12725.27</v>
      </c>
      <c r="J328" s="331">
        <v>13102.76</v>
      </c>
      <c r="K328" s="331">
        <v>15579.7</v>
      </c>
      <c r="L328" s="491" t="s">
        <v>29</v>
      </c>
      <c r="M328" s="491" t="s">
        <v>29</v>
      </c>
      <c r="N328" s="491" t="s">
        <v>29</v>
      </c>
      <c r="O328" s="491" t="s">
        <v>29</v>
      </c>
      <c r="P328" s="491">
        <v>0</v>
      </c>
      <c r="Q328" s="491">
        <v>0</v>
      </c>
      <c r="R328" s="491">
        <v>0.28999999999999998</v>
      </c>
      <c r="S328" s="491">
        <v>0</v>
      </c>
      <c r="T328" s="1025" t="b">
        <v>0</v>
      </c>
      <c r="U328" s="491">
        <v>0</v>
      </c>
      <c r="V328" s="491">
        <v>0</v>
      </c>
      <c r="W328" s="491">
        <v>0</v>
      </c>
      <c r="X328" s="491">
        <v>0</v>
      </c>
      <c r="Y328" s="1025" t="b">
        <v>0</v>
      </c>
      <c r="Z328" s="331">
        <v>0</v>
      </c>
      <c r="AA328" s="331">
        <v>0</v>
      </c>
      <c r="AB328" s="331">
        <v>0</v>
      </c>
      <c r="AC328" s="331">
        <v>0</v>
      </c>
      <c r="AD328" s="1025" t="b">
        <v>0</v>
      </c>
      <c r="AE328" s="331">
        <v>0</v>
      </c>
      <c r="AF328" s="331">
        <v>0</v>
      </c>
      <c r="AG328" s="331">
        <v>0</v>
      </c>
      <c r="AH328" s="331">
        <v>0</v>
      </c>
      <c r="AI328" s="1025" t="b">
        <v>0</v>
      </c>
      <c r="AJ328" s="331">
        <v>0</v>
      </c>
      <c r="AK328" s="331">
        <v>0</v>
      </c>
      <c r="AL328" s="331">
        <v>0</v>
      </c>
      <c r="AM328" s="331">
        <v>0</v>
      </c>
      <c r="AN328" s="1025" t="b">
        <v>0</v>
      </c>
      <c r="AO328" s="331">
        <v>0</v>
      </c>
      <c r="AP328" s="331">
        <v>0</v>
      </c>
      <c r="AQ328" s="331">
        <v>0</v>
      </c>
      <c r="AR328" s="331">
        <v>0</v>
      </c>
      <c r="AS328" s="1025" t="b">
        <v>0</v>
      </c>
      <c r="AT328" s="1025" t="b">
        <v>0</v>
      </c>
      <c r="AU328" s="331">
        <v>3800</v>
      </c>
      <c r="AV328" s="491" t="s">
        <v>29</v>
      </c>
    </row>
    <row r="329" spans="1:48">
      <c r="A329" s="72">
        <v>24</v>
      </c>
      <c r="B329" s="391" t="s">
        <v>65</v>
      </c>
      <c r="C329" s="72">
        <f t="shared" si="15"/>
        <v>19</v>
      </c>
      <c r="D329" s="72" t="str">
        <f t="shared" si="16"/>
        <v>24-19</v>
      </c>
      <c r="E329" s="72">
        <v>75317</v>
      </c>
      <c r="F329" s="72" t="str">
        <f t="shared" si="17"/>
        <v>24-75317</v>
      </c>
      <c r="G329" s="391" t="s">
        <v>904</v>
      </c>
      <c r="H329" s="491">
        <v>14278.62</v>
      </c>
      <c r="I329" s="491">
        <v>13128.6</v>
      </c>
      <c r="J329" s="491">
        <v>13518.05</v>
      </c>
      <c r="K329" s="491">
        <v>16073.5</v>
      </c>
      <c r="L329" s="491" t="s">
        <v>29</v>
      </c>
      <c r="M329" s="491" t="s">
        <v>29</v>
      </c>
      <c r="N329" s="491" t="s">
        <v>29</v>
      </c>
      <c r="O329" s="491" t="s">
        <v>29</v>
      </c>
      <c r="P329" s="491">
        <v>0</v>
      </c>
      <c r="Q329" s="491">
        <v>0</v>
      </c>
      <c r="R329" s="491">
        <v>0</v>
      </c>
      <c r="S329" s="491">
        <v>0</v>
      </c>
      <c r="T329" s="1025" t="b">
        <v>0</v>
      </c>
      <c r="U329" s="491">
        <v>6.14</v>
      </c>
      <c r="V329" s="491">
        <v>7.47</v>
      </c>
      <c r="W329" s="491">
        <v>7.21</v>
      </c>
      <c r="X329" s="491">
        <v>14.05</v>
      </c>
      <c r="Y329" s="1025" t="b">
        <v>0</v>
      </c>
      <c r="Z329" s="491">
        <v>0</v>
      </c>
      <c r="AA329" s="491">
        <v>0</v>
      </c>
      <c r="AB329" s="491">
        <v>0</v>
      </c>
      <c r="AC329" s="491">
        <v>0</v>
      </c>
      <c r="AD329" s="1025" t="b">
        <v>0</v>
      </c>
      <c r="AE329" s="491">
        <v>0.03</v>
      </c>
      <c r="AF329" s="491">
        <v>0.03</v>
      </c>
      <c r="AG329" s="491">
        <v>0.08</v>
      </c>
      <c r="AH329" s="491">
        <v>0.05</v>
      </c>
      <c r="AI329" s="1025" t="b">
        <v>0</v>
      </c>
      <c r="AJ329" s="491">
        <v>0</v>
      </c>
      <c r="AK329" s="491">
        <v>0</v>
      </c>
      <c r="AL329" s="491">
        <v>0</v>
      </c>
      <c r="AM329" s="491">
        <v>0</v>
      </c>
      <c r="AN329" s="1025" t="b">
        <v>0</v>
      </c>
      <c r="AO329" s="491">
        <v>0</v>
      </c>
      <c r="AP329" s="491">
        <v>0</v>
      </c>
      <c r="AQ329" s="491">
        <v>0</v>
      </c>
      <c r="AR329" s="491">
        <v>0</v>
      </c>
      <c r="AS329" s="1025" t="b">
        <v>0</v>
      </c>
      <c r="AT329" s="1025" t="b">
        <v>0</v>
      </c>
      <c r="AU329" s="491">
        <v>511747</v>
      </c>
      <c r="AV329" s="491" t="s">
        <v>29</v>
      </c>
    </row>
    <row r="330" spans="1:48">
      <c r="A330" s="72">
        <v>24</v>
      </c>
      <c r="B330" s="391" t="s">
        <v>65</v>
      </c>
      <c r="C330" s="72">
        <f t="shared" si="15"/>
        <v>20</v>
      </c>
      <c r="D330" s="72" t="str">
        <f t="shared" si="16"/>
        <v>24-20</v>
      </c>
      <c r="E330" s="72">
        <v>75366</v>
      </c>
      <c r="F330" s="72" t="str">
        <f t="shared" si="17"/>
        <v>24-75366</v>
      </c>
      <c r="G330" s="391" t="s">
        <v>905</v>
      </c>
      <c r="H330" s="331">
        <v>14034.34</v>
      </c>
      <c r="I330" s="331">
        <v>12904</v>
      </c>
      <c r="J330" s="331">
        <v>13286.79</v>
      </c>
      <c r="K330" s="331">
        <v>15798.52</v>
      </c>
      <c r="L330" s="491" t="s">
        <v>29</v>
      </c>
      <c r="M330" s="491" t="s">
        <v>29</v>
      </c>
      <c r="N330" s="491" t="s">
        <v>29</v>
      </c>
      <c r="O330" s="491" t="s">
        <v>29</v>
      </c>
      <c r="P330" s="491">
        <v>0</v>
      </c>
      <c r="Q330" s="491">
        <v>0</v>
      </c>
      <c r="R330" s="491">
        <v>0</v>
      </c>
      <c r="S330" s="491">
        <v>6.96</v>
      </c>
      <c r="T330" s="1025" t="b">
        <v>0</v>
      </c>
      <c r="U330" s="491">
        <v>8.51</v>
      </c>
      <c r="V330" s="491">
        <v>2.72</v>
      </c>
      <c r="W330" s="491">
        <v>1.65</v>
      </c>
      <c r="X330" s="491">
        <v>17.809999999999999</v>
      </c>
      <c r="Y330" s="1025" t="b">
        <v>0</v>
      </c>
      <c r="Z330" s="331">
        <v>0</v>
      </c>
      <c r="AA330" s="331">
        <v>0</v>
      </c>
      <c r="AB330" s="331">
        <v>0</v>
      </c>
      <c r="AC330" s="331">
        <v>0</v>
      </c>
      <c r="AD330" s="1025" t="b">
        <v>0</v>
      </c>
      <c r="AE330" s="331">
        <v>0.05</v>
      </c>
      <c r="AF330" s="331">
        <v>0.03</v>
      </c>
      <c r="AG330" s="331">
        <v>0.01</v>
      </c>
      <c r="AH330" s="331">
        <v>0.09</v>
      </c>
      <c r="AI330" s="1025" t="b">
        <v>0</v>
      </c>
      <c r="AJ330" s="331">
        <v>0</v>
      </c>
      <c r="AK330" s="331">
        <v>0</v>
      </c>
      <c r="AL330" s="331">
        <v>0</v>
      </c>
      <c r="AM330" s="331">
        <v>0</v>
      </c>
      <c r="AN330" s="1025" t="b">
        <v>0</v>
      </c>
      <c r="AO330" s="331">
        <v>0</v>
      </c>
      <c r="AP330" s="331">
        <v>0</v>
      </c>
      <c r="AQ330" s="331">
        <v>0</v>
      </c>
      <c r="AR330" s="331">
        <v>0</v>
      </c>
      <c r="AS330" s="1025" t="b">
        <v>0</v>
      </c>
      <c r="AT330" s="1025" t="b">
        <v>0</v>
      </c>
      <c r="AU330" s="331">
        <v>570427</v>
      </c>
      <c r="AV330" s="491" t="s">
        <v>29</v>
      </c>
    </row>
    <row r="331" spans="1:48">
      <c r="A331" s="72">
        <v>24</v>
      </c>
      <c r="B331" s="391" t="s">
        <v>65</v>
      </c>
      <c r="C331" s="72">
        <f t="shared" si="15"/>
        <v>0</v>
      </c>
      <c r="D331" s="72" t="str">
        <f t="shared" si="16"/>
        <v>24-0</v>
      </c>
      <c r="E331" s="72" t="s">
        <v>29</v>
      </c>
      <c r="F331" s="72" t="str">
        <f t="shared" si="17"/>
        <v>24-N/A</v>
      </c>
      <c r="G331" s="391" t="s">
        <v>29</v>
      </c>
      <c r="H331" s="491" t="s">
        <v>29</v>
      </c>
      <c r="I331" s="491" t="s">
        <v>29</v>
      </c>
      <c r="J331" s="491" t="s">
        <v>29</v>
      </c>
      <c r="K331" s="491" t="s">
        <v>29</v>
      </c>
      <c r="L331" s="491" t="s">
        <v>29</v>
      </c>
      <c r="M331" s="491" t="s">
        <v>29</v>
      </c>
      <c r="N331" s="491" t="s">
        <v>29</v>
      </c>
      <c r="O331" s="491" t="s">
        <v>29</v>
      </c>
      <c r="P331" s="491" t="s">
        <v>29</v>
      </c>
      <c r="Q331" s="491" t="s">
        <v>29</v>
      </c>
      <c r="R331" s="491" t="s">
        <v>29</v>
      </c>
      <c r="S331" s="491" t="s">
        <v>29</v>
      </c>
      <c r="T331" s="1025" t="s">
        <v>29</v>
      </c>
      <c r="U331" s="491" t="s">
        <v>29</v>
      </c>
      <c r="V331" s="491" t="s">
        <v>29</v>
      </c>
      <c r="W331" s="491" t="s">
        <v>29</v>
      </c>
      <c r="X331" s="491" t="s">
        <v>29</v>
      </c>
      <c r="Y331" s="1025" t="s">
        <v>29</v>
      </c>
      <c r="Z331" s="491" t="s">
        <v>29</v>
      </c>
      <c r="AA331" s="491" t="s">
        <v>29</v>
      </c>
      <c r="AB331" s="491" t="s">
        <v>29</v>
      </c>
      <c r="AC331" s="491" t="s">
        <v>29</v>
      </c>
      <c r="AD331" s="1025" t="s">
        <v>29</v>
      </c>
      <c r="AE331" s="491" t="s">
        <v>29</v>
      </c>
      <c r="AF331" s="491" t="s">
        <v>29</v>
      </c>
      <c r="AG331" s="491" t="s">
        <v>29</v>
      </c>
      <c r="AH331" s="491" t="s">
        <v>29</v>
      </c>
      <c r="AI331" s="1025" t="s">
        <v>29</v>
      </c>
      <c r="AJ331" s="491" t="s">
        <v>29</v>
      </c>
      <c r="AK331" s="491" t="s">
        <v>29</v>
      </c>
      <c r="AL331" s="491" t="s">
        <v>29</v>
      </c>
      <c r="AM331" s="491" t="s">
        <v>29</v>
      </c>
      <c r="AN331" s="1025" t="s">
        <v>29</v>
      </c>
      <c r="AO331" s="491" t="s">
        <v>29</v>
      </c>
      <c r="AP331" s="491" t="s">
        <v>29</v>
      </c>
      <c r="AQ331" s="491" t="s">
        <v>29</v>
      </c>
      <c r="AR331" s="491" t="s">
        <v>29</v>
      </c>
      <c r="AS331" s="1025" t="s">
        <v>29</v>
      </c>
      <c r="AT331" s="1025" t="s">
        <v>29</v>
      </c>
      <c r="AU331" s="491" t="s">
        <v>29</v>
      </c>
      <c r="AV331" s="491">
        <v>13549153</v>
      </c>
    </row>
    <row r="332" spans="1:48">
      <c r="A332" s="72">
        <v>25</v>
      </c>
      <c r="B332" s="391" t="s">
        <v>66</v>
      </c>
      <c r="C332" s="72">
        <f t="shared" si="15"/>
        <v>1</v>
      </c>
      <c r="D332" s="72" t="str">
        <f t="shared" si="16"/>
        <v>25-1</v>
      </c>
      <c r="E332" s="72">
        <v>73585</v>
      </c>
      <c r="F332" s="72" t="str">
        <f t="shared" si="17"/>
        <v>25-73585</v>
      </c>
      <c r="G332" s="391" t="s">
        <v>907</v>
      </c>
      <c r="H332" s="331">
        <v>12009.63</v>
      </c>
      <c r="I332" s="331">
        <v>11042.36</v>
      </c>
      <c r="J332" s="331">
        <v>11369.93</v>
      </c>
      <c r="K332" s="331">
        <v>13519.29</v>
      </c>
      <c r="L332" s="1072">
        <v>0</v>
      </c>
      <c r="M332" s="1072">
        <v>0</v>
      </c>
      <c r="N332" s="1072">
        <v>0</v>
      </c>
      <c r="O332" s="1072">
        <v>0</v>
      </c>
      <c r="P332" s="491">
        <v>0</v>
      </c>
      <c r="Q332" s="491">
        <v>0</v>
      </c>
      <c r="R332" s="491">
        <v>0</v>
      </c>
      <c r="S332" s="491">
        <v>0</v>
      </c>
      <c r="T332" s="1025" t="b">
        <v>0</v>
      </c>
      <c r="U332" s="491">
        <v>0</v>
      </c>
      <c r="V332" s="491">
        <v>0</v>
      </c>
      <c r="W332" s="491">
        <v>0</v>
      </c>
      <c r="X332" s="491">
        <v>0</v>
      </c>
      <c r="Y332" s="1025" t="b">
        <v>0</v>
      </c>
      <c r="Z332" s="331">
        <v>0</v>
      </c>
      <c r="AA332" s="331">
        <v>0</v>
      </c>
      <c r="AB332" s="331">
        <v>0</v>
      </c>
      <c r="AC332" s="331">
        <v>0</v>
      </c>
      <c r="AD332" s="1025" t="b">
        <v>0</v>
      </c>
      <c r="AE332" s="331">
        <v>0</v>
      </c>
      <c r="AF332" s="331">
        <v>0</v>
      </c>
      <c r="AG332" s="331">
        <v>0</v>
      </c>
      <c r="AH332" s="331">
        <v>0</v>
      </c>
      <c r="AI332" s="1025" t="b">
        <v>0</v>
      </c>
      <c r="AJ332" s="331">
        <v>0</v>
      </c>
      <c r="AK332" s="331">
        <v>0</v>
      </c>
      <c r="AL332" s="331">
        <v>0</v>
      </c>
      <c r="AM332" s="331">
        <v>0</v>
      </c>
      <c r="AN332" s="1025" t="b">
        <v>0</v>
      </c>
      <c r="AO332" s="331">
        <v>0.96</v>
      </c>
      <c r="AP332" s="331">
        <v>3.83</v>
      </c>
      <c r="AQ332" s="331">
        <v>1.91</v>
      </c>
      <c r="AR332" s="331">
        <v>5.74</v>
      </c>
      <c r="AS332" s="1025" t="b">
        <v>1</v>
      </c>
      <c r="AT332" s="1025" t="b">
        <v>1</v>
      </c>
      <c r="AU332" s="331">
        <v>0</v>
      </c>
      <c r="AV332" s="491" t="s">
        <v>29</v>
      </c>
    </row>
    <row r="333" spans="1:48">
      <c r="A333" s="72">
        <v>25</v>
      </c>
      <c r="B333" s="391" t="s">
        <v>66</v>
      </c>
      <c r="C333" s="72">
        <f t="shared" si="15"/>
        <v>0</v>
      </c>
      <c r="D333" s="72" t="str">
        <f t="shared" si="16"/>
        <v>25-0</v>
      </c>
      <c r="E333" s="72" t="s">
        <v>29</v>
      </c>
      <c r="F333" s="72" t="str">
        <f t="shared" si="17"/>
        <v>25-N/A</v>
      </c>
      <c r="G333" s="391" t="s">
        <v>29</v>
      </c>
      <c r="H333" s="491" t="s">
        <v>29</v>
      </c>
      <c r="I333" s="491" t="s">
        <v>29</v>
      </c>
      <c r="J333" s="491" t="s">
        <v>29</v>
      </c>
      <c r="K333" s="491" t="s">
        <v>29</v>
      </c>
      <c r="L333" s="491" t="s">
        <v>29</v>
      </c>
      <c r="M333" s="491" t="s">
        <v>29</v>
      </c>
      <c r="N333" s="491" t="s">
        <v>29</v>
      </c>
      <c r="O333" s="491" t="s">
        <v>29</v>
      </c>
      <c r="P333" s="491" t="s">
        <v>29</v>
      </c>
      <c r="Q333" s="491" t="s">
        <v>29</v>
      </c>
      <c r="R333" s="491" t="s">
        <v>29</v>
      </c>
      <c r="S333" s="491" t="s">
        <v>29</v>
      </c>
      <c r="T333" s="1025" t="s">
        <v>29</v>
      </c>
      <c r="U333" s="491" t="s">
        <v>29</v>
      </c>
      <c r="V333" s="491" t="s">
        <v>29</v>
      </c>
      <c r="W333" s="491" t="s">
        <v>29</v>
      </c>
      <c r="X333" s="491" t="s">
        <v>29</v>
      </c>
      <c r="Y333" s="1025" t="s">
        <v>29</v>
      </c>
      <c r="Z333" s="491" t="s">
        <v>29</v>
      </c>
      <c r="AA333" s="491" t="s">
        <v>29</v>
      </c>
      <c r="AB333" s="491" t="s">
        <v>29</v>
      </c>
      <c r="AC333" s="491" t="s">
        <v>29</v>
      </c>
      <c r="AD333" s="1025" t="s">
        <v>29</v>
      </c>
      <c r="AE333" s="491" t="s">
        <v>29</v>
      </c>
      <c r="AF333" s="491" t="s">
        <v>29</v>
      </c>
      <c r="AG333" s="491" t="s">
        <v>29</v>
      </c>
      <c r="AH333" s="491" t="s">
        <v>29</v>
      </c>
      <c r="AI333" s="1025" t="s">
        <v>29</v>
      </c>
      <c r="AJ333" s="491" t="s">
        <v>29</v>
      </c>
      <c r="AK333" s="491" t="s">
        <v>29</v>
      </c>
      <c r="AL333" s="491" t="s">
        <v>29</v>
      </c>
      <c r="AM333" s="491" t="s">
        <v>29</v>
      </c>
      <c r="AN333" s="1025" t="s">
        <v>29</v>
      </c>
      <c r="AO333" s="491" t="s">
        <v>29</v>
      </c>
      <c r="AP333" s="491" t="s">
        <v>29</v>
      </c>
      <c r="AQ333" s="491" t="s">
        <v>29</v>
      </c>
      <c r="AR333" s="491" t="s">
        <v>29</v>
      </c>
      <c r="AS333" s="1025" t="s">
        <v>29</v>
      </c>
      <c r="AT333" s="1025" t="s">
        <v>29</v>
      </c>
      <c r="AU333" s="491" t="s">
        <v>29</v>
      </c>
      <c r="AV333" s="491">
        <v>0</v>
      </c>
    </row>
    <row r="334" spans="1:48">
      <c r="A334" s="72">
        <v>26</v>
      </c>
      <c r="B334" s="391" t="s">
        <v>35</v>
      </c>
      <c r="C334" s="72">
        <f t="shared" si="15"/>
        <v>1</v>
      </c>
      <c r="D334" s="72" t="str">
        <f t="shared" si="16"/>
        <v>26-1</v>
      </c>
      <c r="E334" s="72">
        <v>73668</v>
      </c>
      <c r="F334" s="72" t="str">
        <f t="shared" si="17"/>
        <v>26-73668</v>
      </c>
      <c r="G334" s="391" t="s">
        <v>908</v>
      </c>
      <c r="H334" s="331">
        <v>11195.86</v>
      </c>
      <c r="I334" s="331">
        <v>10294.129999999999</v>
      </c>
      <c r="J334" s="331">
        <v>10599.5</v>
      </c>
      <c r="K334" s="331">
        <v>12603.23</v>
      </c>
      <c r="L334" s="491" t="s">
        <v>29</v>
      </c>
      <c r="M334" s="491" t="s">
        <v>29</v>
      </c>
      <c r="N334" s="1072">
        <v>0</v>
      </c>
      <c r="O334" s="1072">
        <v>0</v>
      </c>
      <c r="P334" s="491">
        <v>0</v>
      </c>
      <c r="Q334" s="491">
        <v>0</v>
      </c>
      <c r="R334" s="491">
        <v>2.72</v>
      </c>
      <c r="S334" s="491">
        <v>2.0699999999999998</v>
      </c>
      <c r="T334" s="1025" t="b">
        <v>1</v>
      </c>
      <c r="U334" s="491">
        <v>0</v>
      </c>
      <c r="V334" s="491">
        <v>0</v>
      </c>
      <c r="W334" s="491">
        <v>0</v>
      </c>
      <c r="X334" s="491">
        <v>0</v>
      </c>
      <c r="Y334" s="1025" t="b">
        <v>0</v>
      </c>
      <c r="Z334" s="331">
        <v>0</v>
      </c>
      <c r="AA334" s="331">
        <v>0</v>
      </c>
      <c r="AB334" s="331">
        <v>0</v>
      </c>
      <c r="AC334" s="331">
        <v>0</v>
      </c>
      <c r="AD334" s="1025" t="b">
        <v>0</v>
      </c>
      <c r="AE334" s="331">
        <v>0</v>
      </c>
      <c r="AF334" s="331">
        <v>0</v>
      </c>
      <c r="AG334" s="331">
        <v>0</v>
      </c>
      <c r="AH334" s="331">
        <v>0</v>
      </c>
      <c r="AI334" s="1025" t="b">
        <v>0</v>
      </c>
      <c r="AJ334" s="331">
        <v>0</v>
      </c>
      <c r="AK334" s="331">
        <v>0</v>
      </c>
      <c r="AL334" s="331">
        <v>0</v>
      </c>
      <c r="AM334" s="331">
        <v>0</v>
      </c>
      <c r="AN334" s="1025" t="b">
        <v>0</v>
      </c>
      <c r="AO334" s="331">
        <v>0</v>
      </c>
      <c r="AP334" s="331">
        <v>0</v>
      </c>
      <c r="AQ334" s="331">
        <v>0</v>
      </c>
      <c r="AR334" s="331">
        <v>0</v>
      </c>
      <c r="AS334" s="1025" t="b">
        <v>0</v>
      </c>
      <c r="AT334" s="1025" t="b">
        <v>1</v>
      </c>
      <c r="AU334" s="331">
        <v>0</v>
      </c>
      <c r="AV334" s="491" t="s">
        <v>29</v>
      </c>
    </row>
    <row r="335" spans="1:48">
      <c r="A335" s="72">
        <v>26</v>
      </c>
      <c r="B335" s="391" t="s">
        <v>35</v>
      </c>
      <c r="C335" s="72">
        <f t="shared" si="15"/>
        <v>2</v>
      </c>
      <c r="D335" s="72" t="str">
        <f t="shared" si="16"/>
        <v>26-2</v>
      </c>
      <c r="E335" s="72">
        <v>73692</v>
      </c>
      <c r="F335" s="72" t="str">
        <f t="shared" si="17"/>
        <v>26-73692</v>
      </c>
      <c r="G335" s="391" t="s">
        <v>909</v>
      </c>
      <c r="H335" s="331">
        <v>11219.54</v>
      </c>
      <c r="I335" s="331">
        <v>10315.9</v>
      </c>
      <c r="J335" s="331">
        <v>10621.92</v>
      </c>
      <c r="K335" s="331">
        <v>12629.89</v>
      </c>
      <c r="L335" s="491" t="s">
        <v>29</v>
      </c>
      <c r="M335" s="491" t="s">
        <v>29</v>
      </c>
      <c r="N335" s="491" t="s">
        <v>29</v>
      </c>
      <c r="O335" s="1072">
        <v>0</v>
      </c>
      <c r="P335" s="491">
        <v>0</v>
      </c>
      <c r="Q335" s="491">
        <v>0</v>
      </c>
      <c r="R335" s="491">
        <v>0</v>
      </c>
      <c r="S335" s="491">
        <v>9.9700000000000006</v>
      </c>
      <c r="T335" s="1025" t="b">
        <v>1</v>
      </c>
      <c r="U335" s="491">
        <v>0</v>
      </c>
      <c r="V335" s="491">
        <v>0</v>
      </c>
      <c r="W335" s="491">
        <v>0</v>
      </c>
      <c r="X335" s="491">
        <v>0</v>
      </c>
      <c r="Y335" s="1025" t="b">
        <v>0</v>
      </c>
      <c r="Z335" s="331">
        <v>0</v>
      </c>
      <c r="AA335" s="331">
        <v>0</v>
      </c>
      <c r="AB335" s="331">
        <v>0</v>
      </c>
      <c r="AC335" s="331">
        <v>0</v>
      </c>
      <c r="AD335" s="1025" t="b">
        <v>0</v>
      </c>
      <c r="AE335" s="331">
        <v>0</v>
      </c>
      <c r="AF335" s="331">
        <v>0</v>
      </c>
      <c r="AG335" s="331">
        <v>0</v>
      </c>
      <c r="AH335" s="331">
        <v>0</v>
      </c>
      <c r="AI335" s="1025" t="b">
        <v>0</v>
      </c>
      <c r="AJ335" s="331">
        <v>0</v>
      </c>
      <c r="AK335" s="331">
        <v>0</v>
      </c>
      <c r="AL335" s="331">
        <v>0</v>
      </c>
      <c r="AM335" s="331">
        <v>0</v>
      </c>
      <c r="AN335" s="1025" t="b">
        <v>0</v>
      </c>
      <c r="AO335" s="331">
        <v>0</v>
      </c>
      <c r="AP335" s="331">
        <v>0</v>
      </c>
      <c r="AQ335" s="331">
        <v>0</v>
      </c>
      <c r="AR335" s="331">
        <v>0</v>
      </c>
      <c r="AS335" s="1025" t="b">
        <v>0</v>
      </c>
      <c r="AT335" s="1025" t="b">
        <v>1</v>
      </c>
      <c r="AU335" s="331">
        <v>0</v>
      </c>
      <c r="AV335" s="491" t="s">
        <v>29</v>
      </c>
    </row>
    <row r="336" spans="1:48">
      <c r="A336" s="72">
        <v>26</v>
      </c>
      <c r="B336" s="391" t="s">
        <v>35</v>
      </c>
      <c r="C336" s="72">
        <f t="shared" si="15"/>
        <v>0</v>
      </c>
      <c r="D336" s="72" t="str">
        <f t="shared" si="16"/>
        <v>26-0</v>
      </c>
      <c r="E336" s="72" t="s">
        <v>29</v>
      </c>
      <c r="F336" s="72" t="str">
        <f t="shared" si="17"/>
        <v>26-N/A</v>
      </c>
      <c r="G336" s="391" t="s">
        <v>29</v>
      </c>
      <c r="H336" s="491" t="s">
        <v>29</v>
      </c>
      <c r="I336" s="491" t="s">
        <v>29</v>
      </c>
      <c r="J336" s="491" t="s">
        <v>29</v>
      </c>
      <c r="K336" s="491" t="s">
        <v>29</v>
      </c>
      <c r="L336" s="491" t="s">
        <v>29</v>
      </c>
      <c r="M336" s="491" t="s">
        <v>29</v>
      </c>
      <c r="N336" s="491" t="s">
        <v>29</v>
      </c>
      <c r="O336" s="491" t="s">
        <v>29</v>
      </c>
      <c r="P336" s="491" t="s">
        <v>29</v>
      </c>
      <c r="Q336" s="491" t="s">
        <v>29</v>
      </c>
      <c r="R336" s="491" t="s">
        <v>29</v>
      </c>
      <c r="S336" s="491" t="s">
        <v>29</v>
      </c>
      <c r="T336" s="1025" t="s">
        <v>29</v>
      </c>
      <c r="U336" s="491" t="s">
        <v>29</v>
      </c>
      <c r="V336" s="491" t="s">
        <v>29</v>
      </c>
      <c r="W336" s="491" t="s">
        <v>29</v>
      </c>
      <c r="X336" s="491" t="s">
        <v>29</v>
      </c>
      <c r="Y336" s="1025" t="s">
        <v>29</v>
      </c>
      <c r="Z336" s="491" t="s">
        <v>29</v>
      </c>
      <c r="AA336" s="491" t="s">
        <v>29</v>
      </c>
      <c r="AB336" s="491" t="s">
        <v>29</v>
      </c>
      <c r="AC336" s="491" t="s">
        <v>29</v>
      </c>
      <c r="AD336" s="1025" t="s">
        <v>29</v>
      </c>
      <c r="AE336" s="491" t="s">
        <v>29</v>
      </c>
      <c r="AF336" s="491" t="s">
        <v>29</v>
      </c>
      <c r="AG336" s="491" t="s">
        <v>29</v>
      </c>
      <c r="AH336" s="491" t="s">
        <v>29</v>
      </c>
      <c r="AI336" s="1025" t="s">
        <v>29</v>
      </c>
      <c r="AJ336" s="491" t="s">
        <v>29</v>
      </c>
      <c r="AK336" s="491" t="s">
        <v>29</v>
      </c>
      <c r="AL336" s="491" t="s">
        <v>29</v>
      </c>
      <c r="AM336" s="491" t="s">
        <v>29</v>
      </c>
      <c r="AN336" s="1025" t="s">
        <v>29</v>
      </c>
      <c r="AO336" s="491" t="s">
        <v>29</v>
      </c>
      <c r="AP336" s="491" t="s">
        <v>29</v>
      </c>
      <c r="AQ336" s="491" t="s">
        <v>29</v>
      </c>
      <c r="AR336" s="491" t="s">
        <v>29</v>
      </c>
      <c r="AS336" s="1025" t="s">
        <v>29</v>
      </c>
      <c r="AT336" s="1025" t="s">
        <v>29</v>
      </c>
      <c r="AU336" s="491" t="s">
        <v>29</v>
      </c>
      <c r="AV336" s="331">
        <v>0</v>
      </c>
    </row>
    <row r="337" spans="1:48">
      <c r="A337" s="72">
        <v>27</v>
      </c>
      <c r="B337" s="391" t="s">
        <v>44</v>
      </c>
      <c r="C337" s="72">
        <f t="shared" si="15"/>
        <v>1</v>
      </c>
      <c r="D337" s="72" t="str">
        <f t="shared" si="16"/>
        <v>27-1</v>
      </c>
      <c r="E337" s="72">
        <v>65961</v>
      </c>
      <c r="F337" s="72" t="str">
        <f t="shared" si="17"/>
        <v>27-65961</v>
      </c>
      <c r="G337" s="391" t="s">
        <v>910</v>
      </c>
      <c r="H337" s="331">
        <v>14621.8</v>
      </c>
      <c r="I337" s="331">
        <v>13444.14</v>
      </c>
      <c r="J337" s="331">
        <v>13842.96</v>
      </c>
      <c r="K337" s="331">
        <v>16459.82</v>
      </c>
      <c r="L337" s="491" t="s">
        <v>29</v>
      </c>
      <c r="M337" s="491" t="s">
        <v>29</v>
      </c>
      <c r="N337" s="491" t="s">
        <v>29</v>
      </c>
      <c r="O337" s="491" t="s">
        <v>29</v>
      </c>
      <c r="P337" s="491">
        <v>0</v>
      </c>
      <c r="Q337" s="491">
        <v>0</v>
      </c>
      <c r="R337" s="491">
        <v>0</v>
      </c>
      <c r="S337" s="491">
        <v>0</v>
      </c>
      <c r="T337" s="1025" t="b">
        <v>0</v>
      </c>
      <c r="U337" s="491">
        <v>15.64</v>
      </c>
      <c r="V337" s="491">
        <v>9.26</v>
      </c>
      <c r="W337" s="491">
        <v>0</v>
      </c>
      <c r="X337" s="491">
        <v>0</v>
      </c>
      <c r="Y337" s="1025" t="b">
        <v>0</v>
      </c>
      <c r="Z337" s="331">
        <v>0</v>
      </c>
      <c r="AA337" s="331">
        <v>0</v>
      </c>
      <c r="AB337" s="331">
        <v>0</v>
      </c>
      <c r="AC337" s="331">
        <v>0</v>
      </c>
      <c r="AD337" s="1025" t="b">
        <v>0</v>
      </c>
      <c r="AE337" s="331">
        <v>0</v>
      </c>
      <c r="AF337" s="331">
        <v>0</v>
      </c>
      <c r="AG337" s="331">
        <v>0</v>
      </c>
      <c r="AH337" s="331">
        <v>0</v>
      </c>
      <c r="AI337" s="1025" t="b">
        <v>0</v>
      </c>
      <c r="AJ337" s="331">
        <v>0</v>
      </c>
      <c r="AK337" s="331">
        <v>0</v>
      </c>
      <c r="AL337" s="331">
        <v>0</v>
      </c>
      <c r="AM337" s="331">
        <v>0</v>
      </c>
      <c r="AN337" s="1025" t="b">
        <v>0</v>
      </c>
      <c r="AO337" s="331">
        <v>0</v>
      </c>
      <c r="AP337" s="331">
        <v>0</v>
      </c>
      <c r="AQ337" s="331">
        <v>0</v>
      </c>
      <c r="AR337" s="331">
        <v>0</v>
      </c>
      <c r="AS337" s="1025" t="b">
        <v>0</v>
      </c>
      <c r="AT337" s="1025" t="b">
        <v>0</v>
      </c>
      <c r="AU337" s="331">
        <v>353178</v>
      </c>
      <c r="AV337" s="491" t="s">
        <v>29</v>
      </c>
    </row>
    <row r="338" spans="1:48">
      <c r="A338" s="72">
        <v>27</v>
      </c>
      <c r="B338" s="391" t="s">
        <v>44</v>
      </c>
      <c r="C338" s="72">
        <f t="shared" si="15"/>
        <v>2</v>
      </c>
      <c r="D338" s="72" t="str">
        <f t="shared" si="16"/>
        <v>27-2</v>
      </c>
      <c r="E338" s="72">
        <v>65987</v>
      </c>
      <c r="F338" s="72" t="str">
        <f t="shared" si="17"/>
        <v>27-65987</v>
      </c>
      <c r="G338" s="391" t="s">
        <v>911</v>
      </c>
      <c r="H338" s="491">
        <v>10497.86</v>
      </c>
      <c r="I338" s="491">
        <v>9652.34</v>
      </c>
      <c r="J338" s="491">
        <v>9938.68</v>
      </c>
      <c r="K338" s="491">
        <v>11817.48</v>
      </c>
      <c r="L338" s="491" t="s">
        <v>29</v>
      </c>
      <c r="M338" s="491" t="s">
        <v>29</v>
      </c>
      <c r="N338" s="491" t="s">
        <v>29</v>
      </c>
      <c r="O338" s="491" t="s">
        <v>29</v>
      </c>
      <c r="P338" s="491">
        <v>0</v>
      </c>
      <c r="Q338" s="491">
        <v>0</v>
      </c>
      <c r="R338" s="491">
        <v>0</v>
      </c>
      <c r="S338" s="491">
        <v>0</v>
      </c>
      <c r="T338" s="1025" t="b">
        <v>0</v>
      </c>
      <c r="U338" s="491">
        <v>0</v>
      </c>
      <c r="V338" s="491">
        <v>0.66</v>
      </c>
      <c r="W338" s="491">
        <v>0</v>
      </c>
      <c r="X338" s="491">
        <v>0.06</v>
      </c>
      <c r="Y338" s="1025" t="b">
        <v>0</v>
      </c>
      <c r="Z338" s="491">
        <v>0</v>
      </c>
      <c r="AA338" s="491">
        <v>0</v>
      </c>
      <c r="AB338" s="491">
        <v>0</v>
      </c>
      <c r="AC338" s="491">
        <v>0</v>
      </c>
      <c r="AD338" s="1025" t="b">
        <v>0</v>
      </c>
      <c r="AE338" s="491">
        <v>0</v>
      </c>
      <c r="AF338" s="491">
        <v>0</v>
      </c>
      <c r="AG338" s="491">
        <v>0</v>
      </c>
      <c r="AH338" s="491">
        <v>0</v>
      </c>
      <c r="AI338" s="1025" t="b">
        <v>0</v>
      </c>
      <c r="AJ338" s="491">
        <v>0</v>
      </c>
      <c r="AK338" s="491">
        <v>0</v>
      </c>
      <c r="AL338" s="491">
        <v>0</v>
      </c>
      <c r="AM338" s="491">
        <v>0</v>
      </c>
      <c r="AN338" s="1025" t="b">
        <v>0</v>
      </c>
      <c r="AO338" s="491">
        <v>0</v>
      </c>
      <c r="AP338" s="491">
        <v>0</v>
      </c>
      <c r="AQ338" s="491">
        <v>0</v>
      </c>
      <c r="AR338" s="491">
        <v>0</v>
      </c>
      <c r="AS338" s="1025" t="b">
        <v>0</v>
      </c>
      <c r="AT338" s="1025" t="b">
        <v>1</v>
      </c>
      <c r="AU338" s="491">
        <v>7080</v>
      </c>
      <c r="AV338" s="491" t="s">
        <v>29</v>
      </c>
    </row>
    <row r="339" spans="1:48">
      <c r="A339" s="72">
        <v>27</v>
      </c>
      <c r="B339" s="391" t="s">
        <v>44</v>
      </c>
      <c r="C339" s="72">
        <f t="shared" si="15"/>
        <v>3</v>
      </c>
      <c r="D339" s="72" t="str">
        <f t="shared" si="16"/>
        <v>27-3</v>
      </c>
      <c r="E339" s="72">
        <v>65995</v>
      </c>
      <c r="F339" s="72" t="str">
        <f t="shared" si="17"/>
        <v>27-65995</v>
      </c>
      <c r="G339" s="391" t="s">
        <v>912</v>
      </c>
      <c r="H339" s="331">
        <v>14737.06</v>
      </c>
      <c r="I339" s="331">
        <v>13550.11</v>
      </c>
      <c r="J339" s="331">
        <v>13952.07</v>
      </c>
      <c r="K339" s="331">
        <v>16589.57</v>
      </c>
      <c r="L339" s="491" t="s">
        <v>29</v>
      </c>
      <c r="M339" s="491" t="s">
        <v>29</v>
      </c>
      <c r="N339" s="491" t="s">
        <v>29</v>
      </c>
      <c r="O339" s="491" t="s">
        <v>29</v>
      </c>
      <c r="P339" s="491">
        <v>0</v>
      </c>
      <c r="Q339" s="491">
        <v>0</v>
      </c>
      <c r="R339" s="491">
        <v>0</v>
      </c>
      <c r="S339" s="491">
        <v>0</v>
      </c>
      <c r="T339" s="1025" t="b">
        <v>0</v>
      </c>
      <c r="U339" s="491">
        <v>0.88</v>
      </c>
      <c r="V339" s="491">
        <v>0.99</v>
      </c>
      <c r="W339" s="491">
        <v>0</v>
      </c>
      <c r="X339" s="491">
        <v>0</v>
      </c>
      <c r="Y339" s="1025" t="b">
        <v>0</v>
      </c>
      <c r="Z339" s="331">
        <v>0</v>
      </c>
      <c r="AA339" s="331">
        <v>0</v>
      </c>
      <c r="AB339" s="331">
        <v>0</v>
      </c>
      <c r="AC339" s="331">
        <v>0</v>
      </c>
      <c r="AD339" s="1025" t="b">
        <v>0</v>
      </c>
      <c r="AE339" s="331">
        <v>0</v>
      </c>
      <c r="AF339" s="331">
        <v>0</v>
      </c>
      <c r="AG339" s="331">
        <v>0</v>
      </c>
      <c r="AH339" s="331">
        <v>0</v>
      </c>
      <c r="AI339" s="1025" t="b">
        <v>0</v>
      </c>
      <c r="AJ339" s="331">
        <v>0</v>
      </c>
      <c r="AK339" s="331">
        <v>0</v>
      </c>
      <c r="AL339" s="331">
        <v>0</v>
      </c>
      <c r="AM339" s="331">
        <v>0</v>
      </c>
      <c r="AN339" s="1025" t="b">
        <v>0</v>
      </c>
      <c r="AO339" s="331">
        <v>0</v>
      </c>
      <c r="AP339" s="331">
        <v>0</v>
      </c>
      <c r="AQ339" s="331">
        <v>0</v>
      </c>
      <c r="AR339" s="331">
        <v>0</v>
      </c>
      <c r="AS339" s="1025" t="b">
        <v>0</v>
      </c>
      <c r="AT339" s="1025" t="b">
        <v>0</v>
      </c>
      <c r="AU339" s="331">
        <v>26384</v>
      </c>
      <c r="AV339" s="491" t="s">
        <v>29</v>
      </c>
    </row>
    <row r="340" spans="1:48">
      <c r="A340" s="72">
        <v>27</v>
      </c>
      <c r="B340" s="391" t="s">
        <v>44</v>
      </c>
      <c r="C340" s="72">
        <f t="shared" si="15"/>
        <v>4</v>
      </c>
      <c r="D340" s="72" t="str">
        <f t="shared" si="16"/>
        <v>27-4</v>
      </c>
      <c r="E340" s="72">
        <v>66035</v>
      </c>
      <c r="F340" s="72" t="str">
        <f t="shared" si="17"/>
        <v>27-66035</v>
      </c>
      <c r="G340" s="391" t="s">
        <v>913</v>
      </c>
      <c r="H340" s="331">
        <v>14154.76</v>
      </c>
      <c r="I340" s="331">
        <v>13014.71</v>
      </c>
      <c r="J340" s="331">
        <v>13400.79</v>
      </c>
      <c r="K340" s="331">
        <v>15934.07</v>
      </c>
      <c r="L340" s="491" t="s">
        <v>29</v>
      </c>
      <c r="M340" s="491" t="s">
        <v>29</v>
      </c>
      <c r="N340" s="491" t="s">
        <v>29</v>
      </c>
      <c r="O340" s="491" t="s">
        <v>29</v>
      </c>
      <c r="P340" s="491">
        <v>0</v>
      </c>
      <c r="Q340" s="491">
        <v>0</v>
      </c>
      <c r="R340" s="491">
        <v>0</v>
      </c>
      <c r="S340" s="491">
        <v>0</v>
      </c>
      <c r="T340" s="1025" t="b">
        <v>0</v>
      </c>
      <c r="U340" s="491">
        <v>20.52</v>
      </c>
      <c r="V340" s="491">
        <v>8.11</v>
      </c>
      <c r="W340" s="491">
        <v>4.72</v>
      </c>
      <c r="X340" s="491">
        <v>0</v>
      </c>
      <c r="Y340" s="1025" t="b">
        <v>0</v>
      </c>
      <c r="Z340" s="331">
        <v>0</v>
      </c>
      <c r="AA340" s="331">
        <v>0</v>
      </c>
      <c r="AB340" s="331">
        <v>0</v>
      </c>
      <c r="AC340" s="331">
        <v>0</v>
      </c>
      <c r="AD340" s="1025" t="b">
        <v>0</v>
      </c>
      <c r="AE340" s="331">
        <v>0</v>
      </c>
      <c r="AF340" s="331">
        <v>0</v>
      </c>
      <c r="AG340" s="331">
        <v>0</v>
      </c>
      <c r="AH340" s="331">
        <v>0</v>
      </c>
      <c r="AI340" s="1025" t="b">
        <v>0</v>
      </c>
      <c r="AJ340" s="331">
        <v>0</v>
      </c>
      <c r="AK340" s="331">
        <v>0</v>
      </c>
      <c r="AL340" s="331">
        <v>0</v>
      </c>
      <c r="AM340" s="331">
        <v>0</v>
      </c>
      <c r="AN340" s="1025" t="b">
        <v>0</v>
      </c>
      <c r="AO340" s="331">
        <v>0</v>
      </c>
      <c r="AP340" s="331">
        <v>0</v>
      </c>
      <c r="AQ340" s="331">
        <v>0</v>
      </c>
      <c r="AR340" s="331">
        <v>0</v>
      </c>
      <c r="AS340" s="1025" t="b">
        <v>0</v>
      </c>
      <c r="AT340" s="1025" t="b">
        <v>1</v>
      </c>
      <c r="AU340" s="331">
        <v>459257</v>
      </c>
      <c r="AV340" s="491" t="s">
        <v>29</v>
      </c>
    </row>
    <row r="341" spans="1:48">
      <c r="A341" s="72">
        <v>27</v>
      </c>
      <c r="B341" s="391" t="s">
        <v>44</v>
      </c>
      <c r="C341" s="72">
        <f t="shared" si="15"/>
        <v>5</v>
      </c>
      <c r="D341" s="72" t="str">
        <f t="shared" si="16"/>
        <v>27-5</v>
      </c>
      <c r="E341" s="72">
        <v>66050</v>
      </c>
      <c r="F341" s="72" t="str">
        <f t="shared" si="17"/>
        <v>27-66050</v>
      </c>
      <c r="G341" s="391" t="s">
        <v>914</v>
      </c>
      <c r="H341" s="491">
        <v>14418.82</v>
      </c>
      <c r="I341" s="491">
        <v>13257.5</v>
      </c>
      <c r="J341" s="491">
        <v>13650.78</v>
      </c>
      <c r="K341" s="491">
        <v>16231.32</v>
      </c>
      <c r="L341" s="491" t="s">
        <v>29</v>
      </c>
      <c r="M341" s="491" t="s">
        <v>29</v>
      </c>
      <c r="N341" s="491" t="s">
        <v>29</v>
      </c>
      <c r="O341" s="491" t="s">
        <v>29</v>
      </c>
      <c r="P341" s="491">
        <v>0</v>
      </c>
      <c r="Q341" s="491">
        <v>0</v>
      </c>
      <c r="R341" s="491">
        <v>0</v>
      </c>
      <c r="S341" s="491">
        <v>0</v>
      </c>
      <c r="T341" s="1025" t="b">
        <v>0</v>
      </c>
      <c r="U341" s="491">
        <v>21.98</v>
      </c>
      <c r="V341" s="491">
        <v>6.97</v>
      </c>
      <c r="W341" s="491">
        <v>3.6</v>
      </c>
      <c r="X341" s="491">
        <v>0</v>
      </c>
      <c r="Y341" s="1025" t="b">
        <v>0</v>
      </c>
      <c r="Z341" s="491">
        <v>0</v>
      </c>
      <c r="AA341" s="491">
        <v>0</v>
      </c>
      <c r="AB341" s="491">
        <v>0</v>
      </c>
      <c r="AC341" s="491">
        <v>0</v>
      </c>
      <c r="AD341" s="1025" t="b">
        <v>0</v>
      </c>
      <c r="AE341" s="491">
        <v>0</v>
      </c>
      <c r="AF341" s="491">
        <v>0</v>
      </c>
      <c r="AG341" s="491">
        <v>0</v>
      </c>
      <c r="AH341" s="491">
        <v>0</v>
      </c>
      <c r="AI341" s="1025" t="b">
        <v>0</v>
      </c>
      <c r="AJ341" s="491">
        <v>0</v>
      </c>
      <c r="AK341" s="491">
        <v>0</v>
      </c>
      <c r="AL341" s="491">
        <v>0</v>
      </c>
      <c r="AM341" s="491">
        <v>0</v>
      </c>
      <c r="AN341" s="1025" t="b">
        <v>0</v>
      </c>
      <c r="AO341" s="491">
        <v>0</v>
      </c>
      <c r="AP341" s="491">
        <v>0</v>
      </c>
      <c r="AQ341" s="491">
        <v>0</v>
      </c>
      <c r="AR341" s="491">
        <v>0</v>
      </c>
      <c r="AS341" s="1025" t="b">
        <v>0</v>
      </c>
      <c r="AT341" s="1025" t="b">
        <v>1</v>
      </c>
      <c r="AU341" s="491">
        <v>458474</v>
      </c>
      <c r="AV341" s="491" t="s">
        <v>29</v>
      </c>
    </row>
    <row r="342" spans="1:48" ht="26.4">
      <c r="A342" s="72">
        <v>27</v>
      </c>
      <c r="B342" s="391" t="s">
        <v>44</v>
      </c>
      <c r="C342" s="72">
        <f t="shared" si="15"/>
        <v>6</v>
      </c>
      <c r="D342" s="72" t="str">
        <f t="shared" si="16"/>
        <v>27-6</v>
      </c>
      <c r="E342" s="72">
        <v>66068</v>
      </c>
      <c r="F342" s="72" t="str">
        <f t="shared" si="17"/>
        <v>27-66068</v>
      </c>
      <c r="G342" s="391" t="s">
        <v>915</v>
      </c>
      <c r="H342" s="331">
        <v>13819.32</v>
      </c>
      <c r="I342" s="331">
        <v>12706.29</v>
      </c>
      <c r="J342" s="331">
        <v>13083.21</v>
      </c>
      <c r="K342" s="331">
        <v>15556.46</v>
      </c>
      <c r="L342" s="491" t="s">
        <v>29</v>
      </c>
      <c r="M342" s="491" t="s">
        <v>29</v>
      </c>
      <c r="N342" s="491" t="s">
        <v>29</v>
      </c>
      <c r="O342" s="491" t="s">
        <v>29</v>
      </c>
      <c r="P342" s="491">
        <v>0</v>
      </c>
      <c r="Q342" s="491">
        <v>0</v>
      </c>
      <c r="R342" s="491">
        <v>0</v>
      </c>
      <c r="S342" s="491">
        <v>3.93</v>
      </c>
      <c r="T342" s="1025" t="b">
        <v>0</v>
      </c>
      <c r="U342" s="491">
        <v>0</v>
      </c>
      <c r="V342" s="491">
        <v>0</v>
      </c>
      <c r="W342" s="491">
        <v>0</v>
      </c>
      <c r="X342" s="491">
        <v>2.4900000000000002</v>
      </c>
      <c r="Y342" s="1025" t="b">
        <v>0</v>
      </c>
      <c r="Z342" s="331">
        <v>0</v>
      </c>
      <c r="AA342" s="331">
        <v>0</v>
      </c>
      <c r="AB342" s="331">
        <v>0</v>
      </c>
      <c r="AC342" s="331">
        <v>0</v>
      </c>
      <c r="AD342" s="1025" t="b">
        <v>0</v>
      </c>
      <c r="AE342" s="331">
        <v>0</v>
      </c>
      <c r="AF342" s="331">
        <v>0</v>
      </c>
      <c r="AG342" s="331">
        <v>0</v>
      </c>
      <c r="AH342" s="331">
        <v>0</v>
      </c>
      <c r="AI342" s="1025" t="b">
        <v>0</v>
      </c>
      <c r="AJ342" s="331">
        <v>0</v>
      </c>
      <c r="AK342" s="331">
        <v>0</v>
      </c>
      <c r="AL342" s="331">
        <v>0</v>
      </c>
      <c r="AM342" s="331">
        <v>0</v>
      </c>
      <c r="AN342" s="1025" t="b">
        <v>0</v>
      </c>
      <c r="AO342" s="331">
        <v>0</v>
      </c>
      <c r="AP342" s="331">
        <v>0</v>
      </c>
      <c r="AQ342" s="331">
        <v>0</v>
      </c>
      <c r="AR342" s="331">
        <v>0</v>
      </c>
      <c r="AS342" s="1025" t="b">
        <v>0</v>
      </c>
      <c r="AT342" s="1025" t="b">
        <v>0</v>
      </c>
      <c r="AU342" s="331">
        <v>99872</v>
      </c>
      <c r="AV342" s="491" t="s">
        <v>29</v>
      </c>
    </row>
    <row r="343" spans="1:48">
      <c r="A343" s="72">
        <v>27</v>
      </c>
      <c r="B343" s="391" t="s">
        <v>44</v>
      </c>
      <c r="C343" s="72">
        <f t="shared" si="15"/>
        <v>7</v>
      </c>
      <c r="D343" s="72" t="str">
        <f t="shared" si="16"/>
        <v>27-7</v>
      </c>
      <c r="E343" s="72">
        <v>66092</v>
      </c>
      <c r="F343" s="72" t="str">
        <f t="shared" si="17"/>
        <v>27-66092</v>
      </c>
      <c r="G343" s="391" t="s">
        <v>916</v>
      </c>
      <c r="H343" s="331">
        <v>12490.44</v>
      </c>
      <c r="I343" s="331">
        <v>11484.44</v>
      </c>
      <c r="J343" s="331">
        <v>11825.12</v>
      </c>
      <c r="K343" s="331">
        <v>14060.54</v>
      </c>
      <c r="L343" s="491" t="s">
        <v>29</v>
      </c>
      <c r="M343" s="491" t="s">
        <v>29</v>
      </c>
      <c r="N343" s="491" t="s">
        <v>29</v>
      </c>
      <c r="O343" s="491" t="s">
        <v>29</v>
      </c>
      <c r="P343" s="491">
        <v>0</v>
      </c>
      <c r="Q343" s="491">
        <v>0</v>
      </c>
      <c r="R343" s="491">
        <v>0</v>
      </c>
      <c r="S343" s="491">
        <v>0</v>
      </c>
      <c r="T343" s="1025" t="b">
        <v>0</v>
      </c>
      <c r="U343" s="491">
        <v>0.95</v>
      </c>
      <c r="V343" s="491">
        <v>0.84</v>
      </c>
      <c r="W343" s="491">
        <v>0</v>
      </c>
      <c r="X343" s="491">
        <v>0.89</v>
      </c>
      <c r="Y343" s="1025" t="b">
        <v>0</v>
      </c>
      <c r="Z343" s="331">
        <v>0</v>
      </c>
      <c r="AA343" s="331">
        <v>0</v>
      </c>
      <c r="AB343" s="331">
        <v>0</v>
      </c>
      <c r="AC343" s="331">
        <v>0</v>
      </c>
      <c r="AD343" s="1025" t="b">
        <v>0</v>
      </c>
      <c r="AE343" s="331">
        <v>0</v>
      </c>
      <c r="AF343" s="331">
        <v>0</v>
      </c>
      <c r="AG343" s="331">
        <v>0</v>
      </c>
      <c r="AH343" s="331">
        <v>0</v>
      </c>
      <c r="AI343" s="1025" t="b">
        <v>0</v>
      </c>
      <c r="AJ343" s="331">
        <v>0</v>
      </c>
      <c r="AK343" s="331">
        <v>0</v>
      </c>
      <c r="AL343" s="331">
        <v>0</v>
      </c>
      <c r="AM343" s="331">
        <v>0</v>
      </c>
      <c r="AN343" s="1025" t="b">
        <v>0</v>
      </c>
      <c r="AO343" s="331">
        <v>0</v>
      </c>
      <c r="AP343" s="331">
        <v>0</v>
      </c>
      <c r="AQ343" s="331">
        <v>0</v>
      </c>
      <c r="AR343" s="331">
        <v>0</v>
      </c>
      <c r="AS343" s="1025" t="b">
        <v>0</v>
      </c>
      <c r="AT343" s="1025" t="b">
        <v>0</v>
      </c>
      <c r="AU343" s="331">
        <v>34027</v>
      </c>
      <c r="AV343" s="491" t="s">
        <v>29</v>
      </c>
    </row>
    <row r="344" spans="1:48">
      <c r="A344" s="72">
        <v>27</v>
      </c>
      <c r="B344" s="391" t="s">
        <v>44</v>
      </c>
      <c r="C344" s="72">
        <f t="shared" si="15"/>
        <v>8</v>
      </c>
      <c r="D344" s="72" t="str">
        <f t="shared" si="16"/>
        <v>27-8</v>
      </c>
      <c r="E344" s="72">
        <v>66142</v>
      </c>
      <c r="F344" s="72" t="str">
        <f t="shared" si="17"/>
        <v>27-66142</v>
      </c>
      <c r="G344" s="391" t="s">
        <v>917</v>
      </c>
      <c r="H344" s="331">
        <v>13430.54</v>
      </c>
      <c r="I344" s="331">
        <v>12348.83</v>
      </c>
      <c r="J344" s="331">
        <v>12715.15</v>
      </c>
      <c r="K344" s="331">
        <v>15118.82</v>
      </c>
      <c r="L344" s="491" t="s">
        <v>29</v>
      </c>
      <c r="M344" s="491" t="s">
        <v>29</v>
      </c>
      <c r="N344" s="491" t="s">
        <v>29</v>
      </c>
      <c r="O344" s="491" t="s">
        <v>29</v>
      </c>
      <c r="P344" s="491">
        <v>0</v>
      </c>
      <c r="Q344" s="491">
        <v>0</v>
      </c>
      <c r="R344" s="491">
        <v>0</v>
      </c>
      <c r="S344" s="491">
        <v>0</v>
      </c>
      <c r="T344" s="1025" t="b">
        <v>0</v>
      </c>
      <c r="U344" s="491">
        <v>10.84</v>
      </c>
      <c r="V344" s="491">
        <v>12.49</v>
      </c>
      <c r="W344" s="491">
        <v>0</v>
      </c>
      <c r="X344" s="491">
        <v>0</v>
      </c>
      <c r="Y344" s="1025" t="b">
        <v>0</v>
      </c>
      <c r="Z344" s="331">
        <v>0</v>
      </c>
      <c r="AA344" s="331">
        <v>0</v>
      </c>
      <c r="AB344" s="331">
        <v>0</v>
      </c>
      <c r="AC344" s="331">
        <v>0</v>
      </c>
      <c r="AD344" s="1025" t="b">
        <v>0</v>
      </c>
      <c r="AE344" s="331">
        <v>0</v>
      </c>
      <c r="AF344" s="331">
        <v>0</v>
      </c>
      <c r="AG344" s="331">
        <v>0</v>
      </c>
      <c r="AH344" s="331">
        <v>0</v>
      </c>
      <c r="AI344" s="1025" t="b">
        <v>0</v>
      </c>
      <c r="AJ344" s="331">
        <v>0</v>
      </c>
      <c r="AK344" s="331">
        <v>0</v>
      </c>
      <c r="AL344" s="331">
        <v>0</v>
      </c>
      <c r="AM344" s="331">
        <v>0</v>
      </c>
      <c r="AN344" s="1025" t="b">
        <v>0</v>
      </c>
      <c r="AO344" s="331">
        <v>0</v>
      </c>
      <c r="AP344" s="331">
        <v>0</v>
      </c>
      <c r="AQ344" s="331">
        <v>0</v>
      </c>
      <c r="AR344" s="331">
        <v>0</v>
      </c>
      <c r="AS344" s="1025" t="b">
        <v>0</v>
      </c>
      <c r="AT344" s="1025" t="b">
        <v>0</v>
      </c>
      <c r="AU344" s="331">
        <v>299824</v>
      </c>
      <c r="AV344" s="491" t="s">
        <v>29</v>
      </c>
    </row>
    <row r="345" spans="1:48">
      <c r="A345" s="72">
        <v>27</v>
      </c>
      <c r="B345" s="391" t="s">
        <v>44</v>
      </c>
      <c r="C345" s="72">
        <f t="shared" si="15"/>
        <v>9</v>
      </c>
      <c r="D345" s="72" t="str">
        <f t="shared" si="16"/>
        <v>27-9</v>
      </c>
      <c r="E345" s="72">
        <v>66159</v>
      </c>
      <c r="F345" s="72" t="str">
        <f t="shared" si="17"/>
        <v>27-66159</v>
      </c>
      <c r="G345" s="391" t="s">
        <v>918</v>
      </c>
      <c r="H345" s="331">
        <v>14013.7</v>
      </c>
      <c r="I345" s="331">
        <v>12885.02</v>
      </c>
      <c r="J345" s="331">
        <v>13267.25</v>
      </c>
      <c r="K345" s="331">
        <v>15775.28</v>
      </c>
      <c r="L345" s="491" t="s">
        <v>29</v>
      </c>
      <c r="M345" s="491" t="s">
        <v>29</v>
      </c>
      <c r="N345" s="491" t="s">
        <v>29</v>
      </c>
      <c r="O345" s="491" t="s">
        <v>29</v>
      </c>
      <c r="P345" s="491">
        <v>0</v>
      </c>
      <c r="Q345" s="491">
        <v>0</v>
      </c>
      <c r="R345" s="491">
        <v>0</v>
      </c>
      <c r="S345" s="491">
        <v>53.46</v>
      </c>
      <c r="T345" s="1025" t="b">
        <v>0</v>
      </c>
      <c r="U345" s="491">
        <v>0</v>
      </c>
      <c r="V345" s="491">
        <v>0</v>
      </c>
      <c r="W345" s="491">
        <v>9.3699999999999992</v>
      </c>
      <c r="X345" s="491">
        <v>15.42</v>
      </c>
      <c r="Y345" s="1025" t="b">
        <v>0</v>
      </c>
      <c r="Z345" s="331">
        <v>0</v>
      </c>
      <c r="AA345" s="331">
        <v>0</v>
      </c>
      <c r="AB345" s="331">
        <v>0</v>
      </c>
      <c r="AC345" s="331">
        <v>0</v>
      </c>
      <c r="AD345" s="1025" t="b">
        <v>0</v>
      </c>
      <c r="AE345" s="331">
        <v>0</v>
      </c>
      <c r="AF345" s="331">
        <v>0</v>
      </c>
      <c r="AG345" s="331">
        <v>0</v>
      </c>
      <c r="AH345" s="331">
        <v>0</v>
      </c>
      <c r="AI345" s="1025" t="b">
        <v>0</v>
      </c>
      <c r="AJ345" s="331">
        <v>0</v>
      </c>
      <c r="AK345" s="331">
        <v>0</v>
      </c>
      <c r="AL345" s="331">
        <v>0</v>
      </c>
      <c r="AM345" s="331">
        <v>0</v>
      </c>
      <c r="AN345" s="1025" t="b">
        <v>0</v>
      </c>
      <c r="AO345" s="331">
        <v>0</v>
      </c>
      <c r="AP345" s="331">
        <v>0</v>
      </c>
      <c r="AQ345" s="331">
        <v>0</v>
      </c>
      <c r="AR345" s="331">
        <v>0</v>
      </c>
      <c r="AS345" s="1025" t="b">
        <v>0</v>
      </c>
      <c r="AT345" s="1025" t="b">
        <v>0</v>
      </c>
      <c r="AU345" s="331">
        <v>1210915</v>
      </c>
      <c r="AV345" s="491" t="s">
        <v>29</v>
      </c>
    </row>
    <row r="346" spans="1:48">
      <c r="A346" s="72">
        <v>27</v>
      </c>
      <c r="B346" s="391" t="s">
        <v>44</v>
      </c>
      <c r="C346" s="72">
        <f t="shared" si="15"/>
        <v>10</v>
      </c>
      <c r="D346" s="72" t="str">
        <f t="shared" si="16"/>
        <v>27-10</v>
      </c>
      <c r="E346" s="72">
        <v>66167</v>
      </c>
      <c r="F346" s="72" t="str">
        <f t="shared" si="17"/>
        <v>27-66167</v>
      </c>
      <c r="G346" s="391" t="s">
        <v>919</v>
      </c>
      <c r="H346" s="331">
        <v>11345.63</v>
      </c>
      <c r="I346" s="331">
        <v>10431.83</v>
      </c>
      <c r="J346" s="331">
        <v>10741.29</v>
      </c>
      <c r="K346" s="331">
        <v>12771.82</v>
      </c>
      <c r="L346" s="491" t="s">
        <v>29</v>
      </c>
      <c r="M346" s="491" t="s">
        <v>29</v>
      </c>
      <c r="N346" s="491" t="s">
        <v>29</v>
      </c>
      <c r="O346" s="491" t="s">
        <v>29</v>
      </c>
      <c r="P346" s="491">
        <v>0</v>
      </c>
      <c r="Q346" s="491">
        <v>0</v>
      </c>
      <c r="R346" s="491">
        <v>0</v>
      </c>
      <c r="S346" s="491">
        <v>0</v>
      </c>
      <c r="T346" s="1025" t="b">
        <v>0</v>
      </c>
      <c r="U346" s="491">
        <v>0</v>
      </c>
      <c r="V346" s="491">
        <v>0</v>
      </c>
      <c r="W346" s="491">
        <v>0.3</v>
      </c>
      <c r="X346" s="491">
        <v>0</v>
      </c>
      <c r="Y346" s="1025" t="b">
        <v>0</v>
      </c>
      <c r="Z346" s="331">
        <v>0</v>
      </c>
      <c r="AA346" s="331">
        <v>0</v>
      </c>
      <c r="AB346" s="331">
        <v>0</v>
      </c>
      <c r="AC346" s="331">
        <v>0</v>
      </c>
      <c r="AD346" s="1025" t="b">
        <v>0</v>
      </c>
      <c r="AE346" s="331">
        <v>0</v>
      </c>
      <c r="AF346" s="331">
        <v>0</v>
      </c>
      <c r="AG346" s="331">
        <v>0</v>
      </c>
      <c r="AH346" s="331">
        <v>0</v>
      </c>
      <c r="AI346" s="1025" t="b">
        <v>0</v>
      </c>
      <c r="AJ346" s="331">
        <v>0</v>
      </c>
      <c r="AK346" s="331">
        <v>0</v>
      </c>
      <c r="AL346" s="331">
        <v>0</v>
      </c>
      <c r="AM346" s="331">
        <v>0</v>
      </c>
      <c r="AN346" s="1025" t="b">
        <v>0</v>
      </c>
      <c r="AO346" s="331">
        <v>0</v>
      </c>
      <c r="AP346" s="331">
        <v>0</v>
      </c>
      <c r="AQ346" s="331">
        <v>0</v>
      </c>
      <c r="AR346" s="331">
        <v>0</v>
      </c>
      <c r="AS346" s="1025" t="b">
        <v>0</v>
      </c>
      <c r="AT346" s="1025" t="b">
        <v>0</v>
      </c>
      <c r="AU346" s="331">
        <v>3222</v>
      </c>
      <c r="AV346" s="491" t="s">
        <v>29</v>
      </c>
    </row>
    <row r="347" spans="1:48">
      <c r="A347" s="72">
        <v>27</v>
      </c>
      <c r="B347" s="391" t="s">
        <v>44</v>
      </c>
      <c r="C347" s="72">
        <f t="shared" si="15"/>
        <v>11</v>
      </c>
      <c r="D347" s="72" t="str">
        <f t="shared" si="16"/>
        <v>27-11</v>
      </c>
      <c r="E347" s="72">
        <v>66183</v>
      </c>
      <c r="F347" s="72" t="str">
        <f t="shared" si="17"/>
        <v>27-66183</v>
      </c>
      <c r="G347" s="391" t="s">
        <v>1648</v>
      </c>
      <c r="H347" s="331">
        <v>14386.13</v>
      </c>
      <c r="I347" s="331">
        <v>13227.45</v>
      </c>
      <c r="J347" s="331">
        <v>13619.84</v>
      </c>
      <c r="K347" s="331">
        <v>16194.53</v>
      </c>
      <c r="L347" s="491" t="s">
        <v>29</v>
      </c>
      <c r="M347" s="491" t="s">
        <v>29</v>
      </c>
      <c r="N347" s="491" t="s">
        <v>29</v>
      </c>
      <c r="O347" s="491" t="s">
        <v>29</v>
      </c>
      <c r="P347" s="491">
        <v>0</v>
      </c>
      <c r="Q347" s="491">
        <v>0</v>
      </c>
      <c r="R347" s="491">
        <v>0</v>
      </c>
      <c r="S347" s="491">
        <v>0</v>
      </c>
      <c r="T347" s="1025" t="b">
        <v>0</v>
      </c>
      <c r="U347" s="491">
        <v>0.92</v>
      </c>
      <c r="V347" s="491">
        <v>0</v>
      </c>
      <c r="W347" s="491">
        <v>0</v>
      </c>
      <c r="X347" s="491">
        <v>0</v>
      </c>
      <c r="Y347" s="1025" t="b">
        <v>0</v>
      </c>
      <c r="Z347" s="331">
        <v>0</v>
      </c>
      <c r="AA347" s="331">
        <v>0</v>
      </c>
      <c r="AB347" s="331">
        <v>0</v>
      </c>
      <c r="AC347" s="331">
        <v>0</v>
      </c>
      <c r="AD347" s="1025" t="b">
        <v>0</v>
      </c>
      <c r="AE347" s="331">
        <v>0</v>
      </c>
      <c r="AF347" s="331">
        <v>0</v>
      </c>
      <c r="AG347" s="331">
        <v>0</v>
      </c>
      <c r="AH347" s="331">
        <v>0</v>
      </c>
      <c r="AI347" s="1025" t="b">
        <v>0</v>
      </c>
      <c r="AJ347" s="331">
        <v>0</v>
      </c>
      <c r="AK347" s="331">
        <v>0</v>
      </c>
      <c r="AL347" s="331">
        <v>0</v>
      </c>
      <c r="AM347" s="331">
        <v>0</v>
      </c>
      <c r="AN347" s="1025" t="b">
        <v>0</v>
      </c>
      <c r="AO347" s="331">
        <v>0</v>
      </c>
      <c r="AP347" s="331">
        <v>0</v>
      </c>
      <c r="AQ347" s="331">
        <v>0</v>
      </c>
      <c r="AR347" s="331">
        <v>0</v>
      </c>
      <c r="AS347" s="1025" t="b">
        <v>0</v>
      </c>
      <c r="AT347" s="1025" t="b">
        <v>0</v>
      </c>
      <c r="AU347" s="331">
        <v>13235</v>
      </c>
      <c r="AV347" s="491" t="s">
        <v>29</v>
      </c>
    </row>
    <row r="348" spans="1:48">
      <c r="A348" s="72">
        <v>27</v>
      </c>
      <c r="B348" s="391" t="s">
        <v>44</v>
      </c>
      <c r="C348" s="72">
        <f t="shared" si="15"/>
        <v>12</v>
      </c>
      <c r="D348" s="72" t="str">
        <f t="shared" si="16"/>
        <v>27-12</v>
      </c>
      <c r="E348" s="72">
        <v>66191</v>
      </c>
      <c r="F348" s="72" t="str">
        <f t="shared" si="17"/>
        <v>27-66191</v>
      </c>
      <c r="G348" s="391" t="s">
        <v>920</v>
      </c>
      <c r="H348" s="331">
        <v>13457.21</v>
      </c>
      <c r="I348" s="331">
        <v>12373.34</v>
      </c>
      <c r="J348" s="331">
        <v>12740.39</v>
      </c>
      <c r="K348" s="331">
        <v>15148.83</v>
      </c>
      <c r="L348" s="491" t="s">
        <v>29</v>
      </c>
      <c r="M348" s="491" t="s">
        <v>29</v>
      </c>
      <c r="N348" s="491" t="s">
        <v>29</v>
      </c>
      <c r="O348" s="491" t="s">
        <v>29</v>
      </c>
      <c r="P348" s="491">
        <v>0</v>
      </c>
      <c r="Q348" s="491">
        <v>0</v>
      </c>
      <c r="R348" s="491">
        <v>0</v>
      </c>
      <c r="S348" s="491">
        <v>0</v>
      </c>
      <c r="T348" s="1025" t="b">
        <v>0</v>
      </c>
      <c r="U348" s="491">
        <v>9.2899999999999991</v>
      </c>
      <c r="V348" s="491">
        <v>9.0299999999999994</v>
      </c>
      <c r="W348" s="491">
        <v>3.38</v>
      </c>
      <c r="X348" s="491">
        <v>0</v>
      </c>
      <c r="Y348" s="1025" t="b">
        <v>0</v>
      </c>
      <c r="Z348" s="331">
        <v>0</v>
      </c>
      <c r="AA348" s="331">
        <v>0</v>
      </c>
      <c r="AB348" s="331">
        <v>0</v>
      </c>
      <c r="AC348" s="331">
        <v>0</v>
      </c>
      <c r="AD348" s="1025" t="b">
        <v>0</v>
      </c>
      <c r="AE348" s="331">
        <v>0</v>
      </c>
      <c r="AF348" s="331">
        <v>0</v>
      </c>
      <c r="AG348" s="331">
        <v>0</v>
      </c>
      <c r="AH348" s="331">
        <v>0</v>
      </c>
      <c r="AI348" s="1025" t="b">
        <v>0</v>
      </c>
      <c r="AJ348" s="331">
        <v>0</v>
      </c>
      <c r="AK348" s="331">
        <v>0</v>
      </c>
      <c r="AL348" s="331">
        <v>0</v>
      </c>
      <c r="AM348" s="331">
        <v>0</v>
      </c>
      <c r="AN348" s="1025" t="b">
        <v>0</v>
      </c>
      <c r="AO348" s="331">
        <v>0</v>
      </c>
      <c r="AP348" s="331">
        <v>0</v>
      </c>
      <c r="AQ348" s="331">
        <v>0</v>
      </c>
      <c r="AR348" s="331">
        <v>0</v>
      </c>
      <c r="AS348" s="1025" t="b">
        <v>0</v>
      </c>
      <c r="AT348" s="1025" t="b">
        <v>0</v>
      </c>
      <c r="AU348" s="331">
        <v>279811</v>
      </c>
      <c r="AV348" s="491" t="s">
        <v>29</v>
      </c>
    </row>
    <row r="349" spans="1:48">
      <c r="A349" s="72">
        <v>27</v>
      </c>
      <c r="B349" s="391" t="s">
        <v>44</v>
      </c>
      <c r="C349" s="72">
        <f t="shared" si="15"/>
        <v>13</v>
      </c>
      <c r="D349" s="72" t="str">
        <f t="shared" si="16"/>
        <v>27-13</v>
      </c>
      <c r="E349" s="72">
        <v>66225</v>
      </c>
      <c r="F349" s="72" t="str">
        <f t="shared" si="17"/>
        <v>27-66225</v>
      </c>
      <c r="G349" s="391" t="s">
        <v>921</v>
      </c>
      <c r="H349" s="331">
        <v>10512.63</v>
      </c>
      <c r="I349" s="331">
        <v>9665.93</v>
      </c>
      <c r="J349" s="331">
        <v>9952.66</v>
      </c>
      <c r="K349" s="331">
        <v>11834.11</v>
      </c>
      <c r="L349" s="491" t="s">
        <v>29</v>
      </c>
      <c r="M349" s="491" t="s">
        <v>29</v>
      </c>
      <c r="N349" s="491" t="s">
        <v>29</v>
      </c>
      <c r="O349" s="491" t="s">
        <v>29</v>
      </c>
      <c r="P349" s="491">
        <v>0</v>
      </c>
      <c r="Q349" s="491">
        <v>0</v>
      </c>
      <c r="R349" s="491">
        <v>0</v>
      </c>
      <c r="S349" s="491">
        <v>0</v>
      </c>
      <c r="T349" s="1025" t="b">
        <v>0</v>
      </c>
      <c r="U349" s="491">
        <v>2.62</v>
      </c>
      <c r="V349" s="491">
        <v>0</v>
      </c>
      <c r="W349" s="491">
        <v>1.39</v>
      </c>
      <c r="X349" s="491">
        <v>0</v>
      </c>
      <c r="Y349" s="1025" t="b">
        <v>0</v>
      </c>
      <c r="Z349" s="331">
        <v>0</v>
      </c>
      <c r="AA349" s="331">
        <v>0</v>
      </c>
      <c r="AB349" s="331">
        <v>0</v>
      </c>
      <c r="AC349" s="331">
        <v>0</v>
      </c>
      <c r="AD349" s="1025" t="b">
        <v>0</v>
      </c>
      <c r="AE349" s="331">
        <v>0</v>
      </c>
      <c r="AF349" s="331">
        <v>0</v>
      </c>
      <c r="AG349" s="331">
        <v>0</v>
      </c>
      <c r="AH349" s="331">
        <v>0</v>
      </c>
      <c r="AI349" s="1025" t="b">
        <v>0</v>
      </c>
      <c r="AJ349" s="331">
        <v>0</v>
      </c>
      <c r="AK349" s="331">
        <v>0</v>
      </c>
      <c r="AL349" s="331">
        <v>0</v>
      </c>
      <c r="AM349" s="331">
        <v>0</v>
      </c>
      <c r="AN349" s="1025" t="b">
        <v>0</v>
      </c>
      <c r="AO349" s="331">
        <v>0</v>
      </c>
      <c r="AP349" s="331">
        <v>0</v>
      </c>
      <c r="AQ349" s="331">
        <v>0</v>
      </c>
      <c r="AR349" s="331">
        <v>0</v>
      </c>
      <c r="AS349" s="1025" t="b">
        <v>0</v>
      </c>
      <c r="AT349" s="1025" t="b">
        <v>0</v>
      </c>
      <c r="AU349" s="331">
        <v>41377</v>
      </c>
      <c r="AV349" s="491" t="s">
        <v>29</v>
      </c>
    </row>
    <row r="350" spans="1:48">
      <c r="A350" s="72">
        <v>27</v>
      </c>
      <c r="B350" s="391" t="s">
        <v>44</v>
      </c>
      <c r="C350" s="72">
        <f t="shared" si="15"/>
        <v>14</v>
      </c>
      <c r="D350" s="72" t="str">
        <f t="shared" si="16"/>
        <v>27-14</v>
      </c>
      <c r="E350" s="72">
        <v>66233</v>
      </c>
      <c r="F350" s="72" t="str">
        <f t="shared" si="17"/>
        <v>27-66233</v>
      </c>
      <c r="G350" s="391" t="s">
        <v>922</v>
      </c>
      <c r="H350" s="331">
        <v>10409.209999999999</v>
      </c>
      <c r="I350" s="331">
        <v>9570.84</v>
      </c>
      <c r="J350" s="331">
        <v>9854.75</v>
      </c>
      <c r="K350" s="331">
        <v>11717.69</v>
      </c>
      <c r="L350" s="491" t="s">
        <v>29</v>
      </c>
      <c r="M350" s="491" t="s">
        <v>29</v>
      </c>
      <c r="N350" s="491" t="s">
        <v>29</v>
      </c>
      <c r="O350" s="491" t="s">
        <v>29</v>
      </c>
      <c r="P350" s="491">
        <v>0</v>
      </c>
      <c r="Q350" s="491">
        <v>0</v>
      </c>
      <c r="R350" s="491">
        <v>0</v>
      </c>
      <c r="S350" s="491">
        <v>0</v>
      </c>
      <c r="T350" s="1025" t="b">
        <v>0</v>
      </c>
      <c r="U350" s="491">
        <v>0.97</v>
      </c>
      <c r="V350" s="491">
        <v>0.59</v>
      </c>
      <c r="W350" s="491">
        <v>0.9</v>
      </c>
      <c r="X350" s="491">
        <v>0</v>
      </c>
      <c r="Y350" s="1025" t="b">
        <v>0</v>
      </c>
      <c r="Z350" s="331">
        <v>0</v>
      </c>
      <c r="AA350" s="331">
        <v>0</v>
      </c>
      <c r="AB350" s="331">
        <v>0</v>
      </c>
      <c r="AC350" s="331">
        <v>0</v>
      </c>
      <c r="AD350" s="1025" t="b">
        <v>0</v>
      </c>
      <c r="AE350" s="331">
        <v>0</v>
      </c>
      <c r="AF350" s="331">
        <v>0</v>
      </c>
      <c r="AG350" s="331">
        <v>0</v>
      </c>
      <c r="AH350" s="331">
        <v>0</v>
      </c>
      <c r="AI350" s="1025" t="b">
        <v>0</v>
      </c>
      <c r="AJ350" s="331">
        <v>0</v>
      </c>
      <c r="AK350" s="331">
        <v>0</v>
      </c>
      <c r="AL350" s="331">
        <v>0</v>
      </c>
      <c r="AM350" s="331">
        <v>0</v>
      </c>
      <c r="AN350" s="1025" t="b">
        <v>0</v>
      </c>
      <c r="AO350" s="331">
        <v>0</v>
      </c>
      <c r="AP350" s="331">
        <v>0</v>
      </c>
      <c r="AQ350" s="331">
        <v>0</v>
      </c>
      <c r="AR350" s="331">
        <v>0</v>
      </c>
      <c r="AS350" s="1025" t="b">
        <v>0</v>
      </c>
      <c r="AT350" s="1025" t="b">
        <v>0</v>
      </c>
      <c r="AU350" s="331">
        <v>24613</v>
      </c>
      <c r="AV350" s="491" t="s">
        <v>29</v>
      </c>
    </row>
    <row r="351" spans="1:48">
      <c r="A351" s="72">
        <v>27</v>
      </c>
      <c r="B351" s="391" t="s">
        <v>44</v>
      </c>
      <c r="C351" s="72">
        <f t="shared" si="15"/>
        <v>15</v>
      </c>
      <c r="D351" s="72" t="str">
        <f t="shared" si="16"/>
        <v>27-15</v>
      </c>
      <c r="E351" s="72">
        <v>73825</v>
      </c>
      <c r="F351" s="72" t="str">
        <f t="shared" si="17"/>
        <v>27-73825</v>
      </c>
      <c r="G351" s="391" t="s">
        <v>923</v>
      </c>
      <c r="H351" s="331">
        <v>13970.7</v>
      </c>
      <c r="I351" s="331">
        <v>12845.47</v>
      </c>
      <c r="J351" s="331">
        <v>13226.53</v>
      </c>
      <c r="K351" s="331">
        <v>15726.87</v>
      </c>
      <c r="L351" s="491" t="s">
        <v>29</v>
      </c>
      <c r="M351" s="491" t="s">
        <v>29</v>
      </c>
      <c r="N351" s="491" t="s">
        <v>29</v>
      </c>
      <c r="O351" s="491" t="s">
        <v>29</v>
      </c>
      <c r="P351" s="491">
        <v>0</v>
      </c>
      <c r="Q351" s="491">
        <v>0</v>
      </c>
      <c r="R351" s="491">
        <v>0</v>
      </c>
      <c r="S351" s="491">
        <v>0</v>
      </c>
      <c r="T351" s="1025" t="b">
        <v>0</v>
      </c>
      <c r="U351" s="491">
        <v>2.42</v>
      </c>
      <c r="V351" s="491">
        <v>0.27</v>
      </c>
      <c r="W351" s="491">
        <v>0.12</v>
      </c>
      <c r="X351" s="491">
        <v>0.92</v>
      </c>
      <c r="Y351" s="1025" t="b">
        <v>0</v>
      </c>
      <c r="Z351" s="331">
        <v>0</v>
      </c>
      <c r="AA351" s="331">
        <v>0</v>
      </c>
      <c r="AB351" s="331">
        <v>0</v>
      </c>
      <c r="AC351" s="331">
        <v>0</v>
      </c>
      <c r="AD351" s="1025" t="b">
        <v>0</v>
      </c>
      <c r="AE351" s="331">
        <v>0</v>
      </c>
      <c r="AF351" s="331">
        <v>0</v>
      </c>
      <c r="AG351" s="331">
        <v>0</v>
      </c>
      <c r="AH351" s="331">
        <v>0</v>
      </c>
      <c r="AI351" s="1025" t="b">
        <v>0</v>
      </c>
      <c r="AJ351" s="331">
        <v>0</v>
      </c>
      <c r="AK351" s="331">
        <v>0</v>
      </c>
      <c r="AL351" s="331">
        <v>0</v>
      </c>
      <c r="AM351" s="331">
        <v>0</v>
      </c>
      <c r="AN351" s="1025" t="b">
        <v>0</v>
      </c>
      <c r="AO351" s="331">
        <v>0</v>
      </c>
      <c r="AP351" s="331">
        <v>0</v>
      </c>
      <c r="AQ351" s="331">
        <v>0</v>
      </c>
      <c r="AR351" s="331">
        <v>0</v>
      </c>
      <c r="AS351" s="1025" t="b">
        <v>0</v>
      </c>
      <c r="AT351" s="1025" t="b">
        <v>0</v>
      </c>
      <c r="AU351" s="331">
        <v>53333</v>
      </c>
      <c r="AV351" s="491" t="s">
        <v>29</v>
      </c>
    </row>
    <row r="352" spans="1:48">
      <c r="A352" s="72">
        <v>27</v>
      </c>
      <c r="B352" s="391" t="s">
        <v>44</v>
      </c>
      <c r="C352" s="72">
        <f t="shared" si="15"/>
        <v>16</v>
      </c>
      <c r="D352" s="72" t="str">
        <f t="shared" si="16"/>
        <v>27-16</v>
      </c>
      <c r="E352" s="72">
        <v>75440</v>
      </c>
      <c r="F352" s="72" t="str">
        <f t="shared" si="17"/>
        <v>27-75440</v>
      </c>
      <c r="G352" s="391" t="s">
        <v>924</v>
      </c>
      <c r="H352" s="331">
        <v>14195.19</v>
      </c>
      <c r="I352" s="331">
        <v>13051.88</v>
      </c>
      <c r="J352" s="331">
        <v>13439.06</v>
      </c>
      <c r="K352" s="331">
        <v>15979.58</v>
      </c>
      <c r="L352" s="491" t="s">
        <v>29</v>
      </c>
      <c r="M352" s="491" t="s">
        <v>29</v>
      </c>
      <c r="N352" s="491" t="s">
        <v>29</v>
      </c>
      <c r="O352" s="491" t="s">
        <v>29</v>
      </c>
      <c r="P352" s="491">
        <v>0</v>
      </c>
      <c r="Q352" s="491">
        <v>0</v>
      </c>
      <c r="R352" s="491">
        <v>0</v>
      </c>
      <c r="S352" s="491">
        <v>0</v>
      </c>
      <c r="T352" s="1025" t="b">
        <v>0</v>
      </c>
      <c r="U352" s="491">
        <v>1.19</v>
      </c>
      <c r="V352" s="491">
        <v>4.09</v>
      </c>
      <c r="W352" s="491">
        <v>1.52</v>
      </c>
      <c r="X352" s="491">
        <v>2.5099999999999998</v>
      </c>
      <c r="Y352" s="1025" t="b">
        <v>0</v>
      </c>
      <c r="Z352" s="331">
        <v>0</v>
      </c>
      <c r="AA352" s="331">
        <v>0</v>
      </c>
      <c r="AB352" s="331">
        <v>0</v>
      </c>
      <c r="AC352" s="331">
        <v>0</v>
      </c>
      <c r="AD352" s="1025" t="b">
        <v>0</v>
      </c>
      <c r="AE352" s="331">
        <v>0</v>
      </c>
      <c r="AF352" s="331">
        <v>0</v>
      </c>
      <c r="AG352" s="331">
        <v>0</v>
      </c>
      <c r="AH352" s="331">
        <v>0</v>
      </c>
      <c r="AI352" s="1025" t="b">
        <v>0</v>
      </c>
      <c r="AJ352" s="331">
        <v>0</v>
      </c>
      <c r="AK352" s="331">
        <v>0</v>
      </c>
      <c r="AL352" s="331">
        <v>0</v>
      </c>
      <c r="AM352" s="331">
        <v>0</v>
      </c>
      <c r="AN352" s="1025" t="b">
        <v>0</v>
      </c>
      <c r="AO352" s="331">
        <v>0</v>
      </c>
      <c r="AP352" s="331">
        <v>0</v>
      </c>
      <c r="AQ352" s="331">
        <v>0</v>
      </c>
      <c r="AR352" s="331">
        <v>0</v>
      </c>
      <c r="AS352" s="1025" t="b">
        <v>0</v>
      </c>
      <c r="AT352" s="1025" t="b">
        <v>1</v>
      </c>
      <c r="AU352" s="331">
        <v>130810</v>
      </c>
      <c r="AV352" s="491" t="s">
        <v>29</v>
      </c>
    </row>
    <row r="353" spans="1:48">
      <c r="A353" s="72">
        <v>27</v>
      </c>
      <c r="B353" s="391" t="s">
        <v>44</v>
      </c>
      <c r="C353" s="72">
        <f t="shared" si="15"/>
        <v>17</v>
      </c>
      <c r="D353" s="72" t="str">
        <f t="shared" si="16"/>
        <v>27-17</v>
      </c>
      <c r="E353" s="72">
        <v>75473</v>
      </c>
      <c r="F353" s="72" t="str">
        <f t="shared" si="17"/>
        <v>27-75473</v>
      </c>
      <c r="G353" s="391" t="s">
        <v>925</v>
      </c>
      <c r="H353" s="331">
        <v>14255.39</v>
      </c>
      <c r="I353" s="331">
        <v>13107.24</v>
      </c>
      <c r="J353" s="331">
        <v>13496.06</v>
      </c>
      <c r="K353" s="331">
        <v>16047.36</v>
      </c>
      <c r="L353" s="491" t="s">
        <v>29</v>
      </c>
      <c r="M353" s="491" t="s">
        <v>29</v>
      </c>
      <c r="N353" s="491" t="s">
        <v>29</v>
      </c>
      <c r="O353" s="491" t="s">
        <v>29</v>
      </c>
      <c r="P353" s="491">
        <v>0</v>
      </c>
      <c r="Q353" s="491">
        <v>0</v>
      </c>
      <c r="R353" s="491">
        <v>0</v>
      </c>
      <c r="S353" s="491">
        <v>1.1200000000000001</v>
      </c>
      <c r="T353" s="1025" t="b">
        <v>0</v>
      </c>
      <c r="U353" s="491">
        <v>6.49</v>
      </c>
      <c r="V353" s="491">
        <v>2.69</v>
      </c>
      <c r="W353" s="491">
        <v>3.53</v>
      </c>
      <c r="X353" s="491">
        <v>2.61</v>
      </c>
      <c r="Y353" s="1025" t="b">
        <v>0</v>
      </c>
      <c r="Z353" s="331">
        <v>0</v>
      </c>
      <c r="AA353" s="331">
        <v>0</v>
      </c>
      <c r="AB353" s="331">
        <v>0</v>
      </c>
      <c r="AC353" s="331">
        <v>0</v>
      </c>
      <c r="AD353" s="1025" t="b">
        <v>0</v>
      </c>
      <c r="AE353" s="331">
        <v>0</v>
      </c>
      <c r="AF353" s="331">
        <v>0</v>
      </c>
      <c r="AG353" s="331">
        <v>0</v>
      </c>
      <c r="AH353" s="331">
        <v>0</v>
      </c>
      <c r="AI353" s="1025" t="b">
        <v>0</v>
      </c>
      <c r="AJ353" s="331">
        <v>0</v>
      </c>
      <c r="AK353" s="331">
        <v>0</v>
      </c>
      <c r="AL353" s="331">
        <v>0</v>
      </c>
      <c r="AM353" s="331">
        <v>0</v>
      </c>
      <c r="AN353" s="1025" t="b">
        <v>0</v>
      </c>
      <c r="AO353" s="331">
        <v>0</v>
      </c>
      <c r="AP353" s="331">
        <v>0</v>
      </c>
      <c r="AQ353" s="331">
        <v>0</v>
      </c>
      <c r="AR353" s="331">
        <v>0</v>
      </c>
      <c r="AS353" s="1025" t="b">
        <v>0</v>
      </c>
      <c r="AT353" s="1025" t="b">
        <v>0</v>
      </c>
      <c r="AU353" s="331">
        <v>235273</v>
      </c>
      <c r="AV353" s="491" t="s">
        <v>29</v>
      </c>
    </row>
    <row r="354" spans="1:48">
      <c r="A354" s="72">
        <v>27</v>
      </c>
      <c r="B354" s="391" t="s">
        <v>44</v>
      </c>
      <c r="C354" s="72">
        <f t="shared" si="15"/>
        <v>0</v>
      </c>
      <c r="D354" s="72" t="str">
        <f t="shared" si="16"/>
        <v>27-0</v>
      </c>
      <c r="E354" s="72" t="s">
        <v>29</v>
      </c>
      <c r="F354" s="72" t="str">
        <f t="shared" si="17"/>
        <v>27-N/A</v>
      </c>
      <c r="G354" s="391" t="s">
        <v>29</v>
      </c>
      <c r="H354" s="491" t="s">
        <v>29</v>
      </c>
      <c r="I354" s="491" t="s">
        <v>29</v>
      </c>
      <c r="J354" s="491" t="s">
        <v>29</v>
      </c>
      <c r="K354" s="491" t="s">
        <v>29</v>
      </c>
      <c r="L354" s="491" t="s">
        <v>29</v>
      </c>
      <c r="M354" s="491" t="s">
        <v>29</v>
      </c>
      <c r="N354" s="491" t="s">
        <v>29</v>
      </c>
      <c r="O354" s="491" t="s">
        <v>29</v>
      </c>
      <c r="P354" s="491" t="s">
        <v>29</v>
      </c>
      <c r="Q354" s="491" t="s">
        <v>29</v>
      </c>
      <c r="R354" s="491" t="s">
        <v>29</v>
      </c>
      <c r="S354" s="491" t="s">
        <v>29</v>
      </c>
      <c r="T354" s="1025" t="s">
        <v>29</v>
      </c>
      <c r="U354" s="491" t="s">
        <v>29</v>
      </c>
      <c r="V354" s="491" t="s">
        <v>29</v>
      </c>
      <c r="W354" s="491" t="s">
        <v>29</v>
      </c>
      <c r="X354" s="491" t="s">
        <v>29</v>
      </c>
      <c r="Y354" s="1025" t="s">
        <v>29</v>
      </c>
      <c r="Z354" s="491" t="s">
        <v>29</v>
      </c>
      <c r="AA354" s="491" t="s">
        <v>29</v>
      </c>
      <c r="AB354" s="491" t="s">
        <v>29</v>
      </c>
      <c r="AC354" s="491" t="s">
        <v>29</v>
      </c>
      <c r="AD354" s="1025" t="s">
        <v>29</v>
      </c>
      <c r="AE354" s="491" t="s">
        <v>29</v>
      </c>
      <c r="AF354" s="491" t="s">
        <v>29</v>
      </c>
      <c r="AG354" s="491" t="s">
        <v>29</v>
      </c>
      <c r="AH354" s="491" t="s">
        <v>29</v>
      </c>
      <c r="AI354" s="1025" t="s">
        <v>29</v>
      </c>
      <c r="AJ354" s="491" t="s">
        <v>29</v>
      </c>
      <c r="AK354" s="491" t="s">
        <v>29</v>
      </c>
      <c r="AL354" s="491" t="s">
        <v>29</v>
      </c>
      <c r="AM354" s="491" t="s">
        <v>29</v>
      </c>
      <c r="AN354" s="1025" t="s">
        <v>29</v>
      </c>
      <c r="AO354" s="491" t="s">
        <v>29</v>
      </c>
      <c r="AP354" s="491" t="s">
        <v>29</v>
      </c>
      <c r="AQ354" s="491" t="s">
        <v>29</v>
      </c>
      <c r="AR354" s="491" t="s">
        <v>29</v>
      </c>
      <c r="AS354" s="1025" t="s">
        <v>29</v>
      </c>
      <c r="AT354" s="1025" t="s">
        <v>29</v>
      </c>
      <c r="AU354" s="491" t="s">
        <v>29</v>
      </c>
      <c r="AV354" s="491">
        <v>3730685</v>
      </c>
    </row>
    <row r="355" spans="1:48">
      <c r="A355" s="72">
        <v>28</v>
      </c>
      <c r="B355" s="391" t="s">
        <v>67</v>
      </c>
      <c r="C355" s="72">
        <f t="shared" si="15"/>
        <v>0</v>
      </c>
      <c r="D355" s="72" t="str">
        <f t="shared" si="16"/>
        <v>28-0</v>
      </c>
      <c r="E355" s="72" t="s">
        <v>29</v>
      </c>
      <c r="F355" s="72" t="str">
        <f t="shared" si="17"/>
        <v>28-N/A</v>
      </c>
      <c r="G355" s="391" t="s">
        <v>29</v>
      </c>
      <c r="H355" s="491" t="s">
        <v>29</v>
      </c>
      <c r="I355" s="491" t="s">
        <v>29</v>
      </c>
      <c r="J355" s="491" t="s">
        <v>29</v>
      </c>
      <c r="K355" s="491" t="s">
        <v>29</v>
      </c>
      <c r="L355" s="491" t="s">
        <v>29</v>
      </c>
      <c r="M355" s="491" t="s">
        <v>29</v>
      </c>
      <c r="N355" s="491" t="s">
        <v>29</v>
      </c>
      <c r="O355" s="491" t="s">
        <v>29</v>
      </c>
      <c r="P355" s="491" t="s">
        <v>29</v>
      </c>
      <c r="Q355" s="491" t="s">
        <v>29</v>
      </c>
      <c r="R355" s="491" t="s">
        <v>29</v>
      </c>
      <c r="S355" s="491" t="s">
        <v>29</v>
      </c>
      <c r="T355" s="1025" t="s">
        <v>29</v>
      </c>
      <c r="U355" s="491" t="s">
        <v>29</v>
      </c>
      <c r="V355" s="491" t="s">
        <v>29</v>
      </c>
      <c r="W355" s="491" t="s">
        <v>29</v>
      </c>
      <c r="X355" s="491" t="s">
        <v>29</v>
      </c>
      <c r="Y355" s="1025" t="s">
        <v>29</v>
      </c>
      <c r="Z355" s="491" t="s">
        <v>29</v>
      </c>
      <c r="AA355" s="491" t="s">
        <v>29</v>
      </c>
      <c r="AB355" s="491" t="s">
        <v>29</v>
      </c>
      <c r="AC355" s="491" t="s">
        <v>29</v>
      </c>
      <c r="AD355" s="1025" t="s">
        <v>29</v>
      </c>
      <c r="AE355" s="491" t="s">
        <v>29</v>
      </c>
      <c r="AF355" s="491" t="s">
        <v>29</v>
      </c>
      <c r="AG355" s="491" t="s">
        <v>29</v>
      </c>
      <c r="AH355" s="491" t="s">
        <v>29</v>
      </c>
      <c r="AI355" s="1025" t="s">
        <v>29</v>
      </c>
      <c r="AJ355" s="491" t="s">
        <v>29</v>
      </c>
      <c r="AK355" s="491" t="s">
        <v>29</v>
      </c>
      <c r="AL355" s="491" t="s">
        <v>29</v>
      </c>
      <c r="AM355" s="491" t="s">
        <v>29</v>
      </c>
      <c r="AN355" s="1025" t="s">
        <v>29</v>
      </c>
      <c r="AO355" s="491" t="s">
        <v>29</v>
      </c>
      <c r="AP355" s="491" t="s">
        <v>29</v>
      </c>
      <c r="AQ355" s="491" t="s">
        <v>29</v>
      </c>
      <c r="AR355" s="491" t="s">
        <v>29</v>
      </c>
      <c r="AS355" s="1025" t="s">
        <v>29</v>
      </c>
      <c r="AT355" s="1025" t="s">
        <v>29</v>
      </c>
      <c r="AU355" s="491" t="s">
        <v>29</v>
      </c>
      <c r="AV355" s="491" t="s">
        <v>29</v>
      </c>
    </row>
    <row r="356" spans="1:48">
      <c r="A356" s="72">
        <v>28</v>
      </c>
      <c r="B356" s="391" t="s">
        <v>67</v>
      </c>
      <c r="C356" s="72">
        <f t="shared" si="15"/>
        <v>0</v>
      </c>
      <c r="D356" s="72" t="str">
        <f t="shared" si="16"/>
        <v>28-0</v>
      </c>
      <c r="E356" s="72" t="s">
        <v>29</v>
      </c>
      <c r="F356" s="72" t="str">
        <f t="shared" si="17"/>
        <v>28-N/A</v>
      </c>
      <c r="G356" s="391" t="s">
        <v>29</v>
      </c>
      <c r="H356" s="491" t="s">
        <v>29</v>
      </c>
      <c r="I356" s="491" t="s">
        <v>29</v>
      </c>
      <c r="J356" s="491" t="s">
        <v>29</v>
      </c>
      <c r="K356" s="491" t="s">
        <v>29</v>
      </c>
      <c r="L356" s="491" t="s">
        <v>29</v>
      </c>
      <c r="M356" s="491" t="s">
        <v>29</v>
      </c>
      <c r="N356" s="491" t="s">
        <v>29</v>
      </c>
      <c r="O356" s="491" t="s">
        <v>29</v>
      </c>
      <c r="P356" s="491" t="s">
        <v>29</v>
      </c>
      <c r="Q356" s="491" t="s">
        <v>29</v>
      </c>
      <c r="R356" s="491" t="s">
        <v>29</v>
      </c>
      <c r="S356" s="491" t="s">
        <v>29</v>
      </c>
      <c r="T356" s="1025" t="s">
        <v>29</v>
      </c>
      <c r="U356" s="491" t="s">
        <v>29</v>
      </c>
      <c r="V356" s="491" t="s">
        <v>29</v>
      </c>
      <c r="W356" s="491" t="s">
        <v>29</v>
      </c>
      <c r="X356" s="491" t="s">
        <v>29</v>
      </c>
      <c r="Y356" s="1025" t="s">
        <v>29</v>
      </c>
      <c r="Z356" s="491" t="s">
        <v>29</v>
      </c>
      <c r="AA356" s="491" t="s">
        <v>29</v>
      </c>
      <c r="AB356" s="491" t="s">
        <v>29</v>
      </c>
      <c r="AC356" s="491" t="s">
        <v>29</v>
      </c>
      <c r="AD356" s="1025" t="s">
        <v>29</v>
      </c>
      <c r="AE356" s="491" t="s">
        <v>29</v>
      </c>
      <c r="AF356" s="491" t="s">
        <v>29</v>
      </c>
      <c r="AG356" s="491" t="s">
        <v>29</v>
      </c>
      <c r="AH356" s="491" t="s">
        <v>29</v>
      </c>
      <c r="AI356" s="1025" t="s">
        <v>29</v>
      </c>
      <c r="AJ356" s="491" t="s">
        <v>29</v>
      </c>
      <c r="AK356" s="491" t="s">
        <v>29</v>
      </c>
      <c r="AL356" s="491" t="s">
        <v>29</v>
      </c>
      <c r="AM356" s="491" t="s">
        <v>29</v>
      </c>
      <c r="AN356" s="1025" t="s">
        <v>29</v>
      </c>
      <c r="AO356" s="491" t="s">
        <v>29</v>
      </c>
      <c r="AP356" s="491" t="s">
        <v>29</v>
      </c>
      <c r="AQ356" s="491" t="s">
        <v>29</v>
      </c>
      <c r="AR356" s="491" t="s">
        <v>29</v>
      </c>
      <c r="AS356" s="1025" t="s">
        <v>29</v>
      </c>
      <c r="AT356" s="1025" t="s">
        <v>29</v>
      </c>
      <c r="AU356" s="491" t="s">
        <v>29</v>
      </c>
      <c r="AV356" s="491" t="s">
        <v>29</v>
      </c>
    </row>
    <row r="357" spans="1:48">
      <c r="A357" s="72">
        <v>29</v>
      </c>
      <c r="B357" s="391" t="s">
        <v>34</v>
      </c>
      <c r="C357" s="72">
        <f t="shared" si="15"/>
        <v>1</v>
      </c>
      <c r="D357" s="72" t="str">
        <f t="shared" si="16"/>
        <v>29-1</v>
      </c>
      <c r="E357" s="72">
        <v>66324</v>
      </c>
      <c r="F357" s="72" t="str">
        <f t="shared" si="17"/>
        <v>29-66324</v>
      </c>
      <c r="G357" s="391" t="s">
        <v>926</v>
      </c>
      <c r="H357" s="491">
        <v>10918.2</v>
      </c>
      <c r="I357" s="491">
        <v>10038.83</v>
      </c>
      <c r="J357" s="491">
        <v>10336.629999999999</v>
      </c>
      <c r="K357" s="491">
        <v>12290.66</v>
      </c>
      <c r="L357" s="1072">
        <v>0</v>
      </c>
      <c r="M357" s="1072">
        <v>0</v>
      </c>
      <c r="N357" s="1072">
        <v>0</v>
      </c>
      <c r="O357" s="1072">
        <v>0</v>
      </c>
      <c r="P357" s="491">
        <v>0</v>
      </c>
      <c r="Q357" s="491">
        <v>0</v>
      </c>
      <c r="R357" s="491">
        <v>0</v>
      </c>
      <c r="S357" s="491">
        <v>0</v>
      </c>
      <c r="T357" s="1025" t="b">
        <v>0</v>
      </c>
      <c r="U357" s="491">
        <v>0</v>
      </c>
      <c r="V357" s="491">
        <v>1.62</v>
      </c>
      <c r="W357" s="491">
        <v>0</v>
      </c>
      <c r="X357" s="491">
        <v>0</v>
      </c>
      <c r="Y357" s="1025" t="b">
        <v>1</v>
      </c>
      <c r="Z357" s="491">
        <v>0</v>
      </c>
      <c r="AA357" s="491">
        <v>0</v>
      </c>
      <c r="AB357" s="491">
        <v>0</v>
      </c>
      <c r="AC357" s="491">
        <v>0</v>
      </c>
      <c r="AD357" s="1025" t="b">
        <v>0</v>
      </c>
      <c r="AE357" s="491">
        <v>0.09</v>
      </c>
      <c r="AF357" s="491">
        <v>0</v>
      </c>
      <c r="AG357" s="491">
        <v>0</v>
      </c>
      <c r="AH357" s="491">
        <v>0</v>
      </c>
      <c r="AI357" s="1025" t="b">
        <v>1</v>
      </c>
      <c r="AJ357" s="491">
        <v>0</v>
      </c>
      <c r="AK357" s="491">
        <v>0</v>
      </c>
      <c r="AL357" s="491">
        <v>0</v>
      </c>
      <c r="AM357" s="491">
        <v>0</v>
      </c>
      <c r="AN357" s="1025" t="b">
        <v>0</v>
      </c>
      <c r="AO357" s="491">
        <v>0</v>
      </c>
      <c r="AP357" s="491">
        <v>0</v>
      </c>
      <c r="AQ357" s="491">
        <v>0</v>
      </c>
      <c r="AR357" s="491">
        <v>0</v>
      </c>
      <c r="AS357" s="1025" t="b">
        <v>0</v>
      </c>
      <c r="AT357" s="1025" t="b">
        <v>1</v>
      </c>
      <c r="AU357" s="491">
        <v>0</v>
      </c>
      <c r="AV357" s="491" t="s">
        <v>29</v>
      </c>
    </row>
    <row r="358" spans="1:48">
      <c r="A358" s="72">
        <v>29</v>
      </c>
      <c r="B358" s="391" t="s">
        <v>34</v>
      </c>
      <c r="C358" s="72">
        <f t="shared" si="15"/>
        <v>2</v>
      </c>
      <c r="D358" s="72" t="str">
        <f t="shared" si="16"/>
        <v>29-2</v>
      </c>
      <c r="E358" s="72">
        <v>66332</v>
      </c>
      <c r="F358" s="72" t="str">
        <f t="shared" si="17"/>
        <v>29-66332</v>
      </c>
      <c r="G358" s="391" t="s">
        <v>927</v>
      </c>
      <c r="H358" s="331">
        <v>12239.28</v>
      </c>
      <c r="I358" s="331">
        <v>11253.51</v>
      </c>
      <c r="J358" s="331">
        <v>11587.35</v>
      </c>
      <c r="K358" s="331">
        <v>13777.81</v>
      </c>
      <c r="L358" s="1072">
        <v>0</v>
      </c>
      <c r="M358" s="1072">
        <v>0</v>
      </c>
      <c r="N358" s="1072">
        <v>0</v>
      </c>
      <c r="O358" s="1072">
        <v>0</v>
      </c>
      <c r="P358" s="491">
        <v>0</v>
      </c>
      <c r="Q358" s="491">
        <v>0</v>
      </c>
      <c r="R358" s="491">
        <v>0</v>
      </c>
      <c r="S358" s="491">
        <v>0</v>
      </c>
      <c r="T358" s="1025" t="b">
        <v>0</v>
      </c>
      <c r="U358" s="491">
        <v>5.1100000000000003</v>
      </c>
      <c r="V358" s="491">
        <v>6.14</v>
      </c>
      <c r="W358" s="491">
        <v>0</v>
      </c>
      <c r="X358" s="491">
        <v>0</v>
      </c>
      <c r="Y358" s="1025" t="b">
        <v>1</v>
      </c>
      <c r="Z358" s="331">
        <v>0</v>
      </c>
      <c r="AA358" s="331">
        <v>0</v>
      </c>
      <c r="AB358" s="331">
        <v>0</v>
      </c>
      <c r="AC358" s="331">
        <v>0</v>
      </c>
      <c r="AD358" s="1025" t="b">
        <v>0</v>
      </c>
      <c r="AE358" s="331">
        <v>0.41</v>
      </c>
      <c r="AF358" s="331">
        <v>0.26</v>
      </c>
      <c r="AG358" s="331">
        <v>0.06</v>
      </c>
      <c r="AH358" s="331">
        <v>0</v>
      </c>
      <c r="AI358" s="1025" t="b">
        <v>1</v>
      </c>
      <c r="AJ358" s="331">
        <v>0</v>
      </c>
      <c r="AK358" s="331">
        <v>0</v>
      </c>
      <c r="AL358" s="331">
        <v>0</v>
      </c>
      <c r="AM358" s="331">
        <v>0</v>
      </c>
      <c r="AN358" s="1025" t="b">
        <v>0</v>
      </c>
      <c r="AO358" s="331">
        <v>0</v>
      </c>
      <c r="AP358" s="331">
        <v>0</v>
      </c>
      <c r="AQ358" s="331">
        <v>0</v>
      </c>
      <c r="AR358" s="331">
        <v>0</v>
      </c>
      <c r="AS358" s="1025" t="b">
        <v>0</v>
      </c>
      <c r="AT358" s="1025" t="b">
        <v>1</v>
      </c>
      <c r="AU358" s="331">
        <v>0</v>
      </c>
      <c r="AV358" s="491" t="s">
        <v>29</v>
      </c>
    </row>
    <row r="359" spans="1:48">
      <c r="A359" s="72">
        <v>29</v>
      </c>
      <c r="B359" s="391" t="s">
        <v>34</v>
      </c>
      <c r="C359" s="72">
        <f t="shared" si="15"/>
        <v>3</v>
      </c>
      <c r="D359" s="72" t="str">
        <f t="shared" si="16"/>
        <v>29-3</v>
      </c>
      <c r="E359" s="72">
        <v>66340</v>
      </c>
      <c r="F359" s="72" t="str">
        <f t="shared" si="17"/>
        <v>29-66340</v>
      </c>
      <c r="G359" s="391" t="s">
        <v>928</v>
      </c>
      <c r="H359" s="331">
        <v>10787.26</v>
      </c>
      <c r="I359" s="331">
        <v>9918.44</v>
      </c>
      <c r="J359" s="331">
        <v>10212.66</v>
      </c>
      <c r="K359" s="331">
        <v>12143.26</v>
      </c>
      <c r="L359" s="1072">
        <v>0</v>
      </c>
      <c r="M359" s="1072">
        <v>0</v>
      </c>
      <c r="N359" s="1072">
        <v>0</v>
      </c>
      <c r="O359" s="1072">
        <v>0</v>
      </c>
      <c r="P359" s="491">
        <v>0</v>
      </c>
      <c r="Q359" s="491">
        <v>0</v>
      </c>
      <c r="R359" s="491">
        <v>0</v>
      </c>
      <c r="S359" s="491">
        <v>0</v>
      </c>
      <c r="T359" s="1025" t="b">
        <v>0</v>
      </c>
      <c r="U359" s="491">
        <v>1.99</v>
      </c>
      <c r="V359" s="491">
        <v>2.13</v>
      </c>
      <c r="W359" s="491">
        <v>1.52</v>
      </c>
      <c r="X359" s="491">
        <v>0</v>
      </c>
      <c r="Y359" s="1025" t="b">
        <v>1</v>
      </c>
      <c r="Z359" s="331">
        <v>0</v>
      </c>
      <c r="AA359" s="331">
        <v>0</v>
      </c>
      <c r="AB359" s="331">
        <v>0</v>
      </c>
      <c r="AC359" s="331">
        <v>0</v>
      </c>
      <c r="AD359" s="1025" t="b">
        <v>0</v>
      </c>
      <c r="AE359" s="331">
        <v>0.31</v>
      </c>
      <c r="AF359" s="331">
        <v>0.1</v>
      </c>
      <c r="AG359" s="331">
        <v>0.09</v>
      </c>
      <c r="AH359" s="331">
        <v>0</v>
      </c>
      <c r="AI359" s="1025" t="b">
        <v>1</v>
      </c>
      <c r="AJ359" s="331">
        <v>0</v>
      </c>
      <c r="AK359" s="331">
        <v>0</v>
      </c>
      <c r="AL359" s="331">
        <v>0</v>
      </c>
      <c r="AM359" s="331">
        <v>0</v>
      </c>
      <c r="AN359" s="1025" t="b">
        <v>0</v>
      </c>
      <c r="AO359" s="331">
        <v>0</v>
      </c>
      <c r="AP359" s="331">
        <v>0</v>
      </c>
      <c r="AQ359" s="331">
        <v>0</v>
      </c>
      <c r="AR359" s="331">
        <v>0</v>
      </c>
      <c r="AS359" s="1025" t="b">
        <v>0</v>
      </c>
      <c r="AT359" s="1025" t="b">
        <v>1</v>
      </c>
      <c r="AU359" s="331">
        <v>0</v>
      </c>
      <c r="AV359" s="491" t="s">
        <v>29</v>
      </c>
    </row>
    <row r="360" spans="1:48">
      <c r="A360" s="72">
        <v>29</v>
      </c>
      <c r="B360" s="391" t="s">
        <v>34</v>
      </c>
      <c r="C360" s="72">
        <f t="shared" si="15"/>
        <v>4</v>
      </c>
      <c r="D360" s="72" t="str">
        <f t="shared" si="16"/>
        <v>29-4</v>
      </c>
      <c r="E360" s="72">
        <v>66357</v>
      </c>
      <c r="F360" s="72" t="str">
        <f t="shared" si="17"/>
        <v>29-66357</v>
      </c>
      <c r="G360" s="391" t="s">
        <v>929</v>
      </c>
      <c r="H360" s="331">
        <v>10914.96</v>
      </c>
      <c r="I360" s="331">
        <v>10035.85</v>
      </c>
      <c r="J360" s="331">
        <v>10333.56</v>
      </c>
      <c r="K360" s="331">
        <v>12287.02</v>
      </c>
      <c r="L360" s="1072">
        <v>0</v>
      </c>
      <c r="M360" s="1072">
        <v>0</v>
      </c>
      <c r="N360" s="1072">
        <v>0</v>
      </c>
      <c r="O360" s="1072">
        <v>0</v>
      </c>
      <c r="P360" s="491">
        <v>0</v>
      </c>
      <c r="Q360" s="491">
        <v>0</v>
      </c>
      <c r="R360" s="491">
        <v>0</v>
      </c>
      <c r="S360" s="491">
        <v>0</v>
      </c>
      <c r="T360" s="1025" t="b">
        <v>0</v>
      </c>
      <c r="U360" s="491">
        <v>0</v>
      </c>
      <c r="V360" s="491">
        <v>0</v>
      </c>
      <c r="W360" s="491">
        <v>0</v>
      </c>
      <c r="X360" s="491">
        <v>0</v>
      </c>
      <c r="Y360" s="1025" t="b">
        <v>0</v>
      </c>
      <c r="Z360" s="331">
        <v>0</v>
      </c>
      <c r="AA360" s="331">
        <v>0</v>
      </c>
      <c r="AB360" s="331">
        <v>0</v>
      </c>
      <c r="AC360" s="331">
        <v>0.99</v>
      </c>
      <c r="AD360" s="1025" t="b">
        <v>1</v>
      </c>
      <c r="AE360" s="331">
        <v>0</v>
      </c>
      <c r="AF360" s="331">
        <v>0</v>
      </c>
      <c r="AG360" s="331">
        <v>0</v>
      </c>
      <c r="AH360" s="331">
        <v>0.1</v>
      </c>
      <c r="AI360" s="1025" t="b">
        <v>1</v>
      </c>
      <c r="AJ360" s="331">
        <v>0</v>
      </c>
      <c r="AK360" s="331">
        <v>0</v>
      </c>
      <c r="AL360" s="331">
        <v>0</v>
      </c>
      <c r="AM360" s="331">
        <v>0</v>
      </c>
      <c r="AN360" s="1025" t="b">
        <v>0</v>
      </c>
      <c r="AO360" s="331">
        <v>0</v>
      </c>
      <c r="AP360" s="331">
        <v>0</v>
      </c>
      <c r="AQ360" s="331">
        <v>0</v>
      </c>
      <c r="AR360" s="331">
        <v>0</v>
      </c>
      <c r="AS360" s="1025" t="b">
        <v>0</v>
      </c>
      <c r="AT360" s="1025" t="b">
        <v>1</v>
      </c>
      <c r="AU360" s="331">
        <v>0</v>
      </c>
      <c r="AV360" s="491" t="s">
        <v>29</v>
      </c>
    </row>
    <row r="361" spans="1:48">
      <c r="A361" s="72">
        <v>29</v>
      </c>
      <c r="B361" s="391" t="s">
        <v>34</v>
      </c>
      <c r="C361" s="72">
        <f t="shared" si="15"/>
        <v>5</v>
      </c>
      <c r="D361" s="72" t="str">
        <f t="shared" si="16"/>
        <v>29-5</v>
      </c>
      <c r="E361" s="72">
        <v>66373</v>
      </c>
      <c r="F361" s="72" t="str">
        <f t="shared" si="17"/>
        <v>29-66373</v>
      </c>
      <c r="G361" s="391" t="s">
        <v>930</v>
      </c>
      <c r="H361" s="331">
        <v>10738.69</v>
      </c>
      <c r="I361" s="331">
        <v>9873.7800000000007</v>
      </c>
      <c r="J361" s="331">
        <v>10166.68</v>
      </c>
      <c r="K361" s="331">
        <v>12088.58</v>
      </c>
      <c r="L361" s="1072">
        <v>0</v>
      </c>
      <c r="M361" s="1072">
        <v>0</v>
      </c>
      <c r="N361" s="1072">
        <v>0</v>
      </c>
      <c r="O361" s="1072">
        <v>0</v>
      </c>
      <c r="P361" s="491">
        <v>0</v>
      </c>
      <c r="Q361" s="491">
        <v>0</v>
      </c>
      <c r="R361" s="491">
        <v>0</v>
      </c>
      <c r="S361" s="491">
        <v>0</v>
      </c>
      <c r="T361" s="1025" t="b">
        <v>0</v>
      </c>
      <c r="U361" s="491">
        <v>4.32</v>
      </c>
      <c r="V361" s="491">
        <v>6.62</v>
      </c>
      <c r="W361" s="491">
        <v>0</v>
      </c>
      <c r="X361" s="491">
        <v>0</v>
      </c>
      <c r="Y361" s="1025" t="b">
        <v>1</v>
      </c>
      <c r="Z361" s="331">
        <v>0</v>
      </c>
      <c r="AA361" s="331">
        <v>0</v>
      </c>
      <c r="AB361" s="331">
        <v>0</v>
      </c>
      <c r="AC361" s="331">
        <v>0</v>
      </c>
      <c r="AD361" s="1025" t="b">
        <v>0</v>
      </c>
      <c r="AE361" s="331">
        <v>0.66</v>
      </c>
      <c r="AF361" s="331">
        <v>0.22</v>
      </c>
      <c r="AG361" s="331">
        <v>0</v>
      </c>
      <c r="AH361" s="331">
        <v>0</v>
      </c>
      <c r="AI361" s="1025" t="b">
        <v>1</v>
      </c>
      <c r="AJ361" s="331">
        <v>0</v>
      </c>
      <c r="AK361" s="331">
        <v>0</v>
      </c>
      <c r="AL361" s="331">
        <v>0</v>
      </c>
      <c r="AM361" s="331">
        <v>0</v>
      </c>
      <c r="AN361" s="1025" t="b">
        <v>0</v>
      </c>
      <c r="AO361" s="331">
        <v>0</v>
      </c>
      <c r="AP361" s="331">
        <v>0</v>
      </c>
      <c r="AQ361" s="331">
        <v>0</v>
      </c>
      <c r="AR361" s="331">
        <v>0</v>
      </c>
      <c r="AS361" s="1025" t="b">
        <v>0</v>
      </c>
      <c r="AT361" s="1025" t="b">
        <v>1</v>
      </c>
      <c r="AU361" s="331">
        <v>0</v>
      </c>
      <c r="AV361" s="491" t="s">
        <v>29</v>
      </c>
    </row>
    <row r="362" spans="1:48">
      <c r="A362" s="72">
        <v>29</v>
      </c>
      <c r="B362" s="391" t="s">
        <v>34</v>
      </c>
      <c r="C362" s="72">
        <f t="shared" si="15"/>
        <v>6</v>
      </c>
      <c r="D362" s="72" t="str">
        <f t="shared" si="16"/>
        <v>29-6</v>
      </c>
      <c r="E362" s="72">
        <v>66407</v>
      </c>
      <c r="F362" s="72" t="str">
        <f t="shared" si="17"/>
        <v>29-66407</v>
      </c>
      <c r="G362" s="391" t="s">
        <v>931</v>
      </c>
      <c r="H362" s="491">
        <v>10886.02</v>
      </c>
      <c r="I362" s="491">
        <v>10009.24</v>
      </c>
      <c r="J362" s="491">
        <v>10306.16</v>
      </c>
      <c r="K362" s="491">
        <v>12254.44</v>
      </c>
      <c r="L362" s="1072">
        <v>0</v>
      </c>
      <c r="M362" s="1072">
        <v>0</v>
      </c>
      <c r="N362" s="1072">
        <v>0</v>
      </c>
      <c r="O362" s="1072">
        <v>0</v>
      </c>
      <c r="P362" s="491">
        <v>0</v>
      </c>
      <c r="Q362" s="491">
        <v>0</v>
      </c>
      <c r="R362" s="491">
        <v>0</v>
      </c>
      <c r="S362" s="491">
        <v>0</v>
      </c>
      <c r="T362" s="1025" t="b">
        <v>0</v>
      </c>
      <c r="U362" s="491">
        <v>1.8</v>
      </c>
      <c r="V362" s="491">
        <v>1.78</v>
      </c>
      <c r="W362" s="491">
        <v>0.8</v>
      </c>
      <c r="X362" s="491">
        <v>0</v>
      </c>
      <c r="Y362" s="1025" t="b">
        <v>1</v>
      </c>
      <c r="Z362" s="491">
        <v>0</v>
      </c>
      <c r="AA362" s="491">
        <v>0</v>
      </c>
      <c r="AB362" s="491">
        <v>0</v>
      </c>
      <c r="AC362" s="491">
        <v>0</v>
      </c>
      <c r="AD362" s="1025" t="b">
        <v>0</v>
      </c>
      <c r="AE362" s="491">
        <v>0</v>
      </c>
      <c r="AF362" s="491">
        <v>0.08</v>
      </c>
      <c r="AG362" s="491">
        <v>0.08</v>
      </c>
      <c r="AH362" s="491">
        <v>0</v>
      </c>
      <c r="AI362" s="1025" t="b">
        <v>1</v>
      </c>
      <c r="AJ362" s="491">
        <v>0</v>
      </c>
      <c r="AK362" s="491">
        <v>0</v>
      </c>
      <c r="AL362" s="491">
        <v>0</v>
      </c>
      <c r="AM362" s="491">
        <v>0</v>
      </c>
      <c r="AN362" s="1025" t="b">
        <v>0</v>
      </c>
      <c r="AO362" s="491">
        <v>0</v>
      </c>
      <c r="AP362" s="491">
        <v>0</v>
      </c>
      <c r="AQ362" s="491">
        <v>0</v>
      </c>
      <c r="AR362" s="491">
        <v>0</v>
      </c>
      <c r="AS362" s="1025" t="b">
        <v>0</v>
      </c>
      <c r="AT362" s="1025" t="b">
        <v>1</v>
      </c>
      <c r="AU362" s="491">
        <v>0</v>
      </c>
      <c r="AV362" s="491" t="s">
        <v>29</v>
      </c>
    </row>
    <row r="363" spans="1:48">
      <c r="A363" s="72">
        <v>29</v>
      </c>
      <c r="B363" s="391" t="s">
        <v>34</v>
      </c>
      <c r="C363" s="72">
        <f t="shared" si="15"/>
        <v>7</v>
      </c>
      <c r="D363" s="72" t="str">
        <f t="shared" si="16"/>
        <v>29-7</v>
      </c>
      <c r="E363" s="72">
        <v>66415</v>
      </c>
      <c r="F363" s="72" t="str">
        <f t="shared" si="17"/>
        <v>29-66415</v>
      </c>
      <c r="G363" s="391" t="s">
        <v>932</v>
      </c>
      <c r="H363" s="331">
        <v>13388.4</v>
      </c>
      <c r="I363" s="331">
        <v>12310.08</v>
      </c>
      <c r="J363" s="491">
        <v>12675.25</v>
      </c>
      <c r="K363" s="491">
        <v>15071.38</v>
      </c>
      <c r="L363" s="1072">
        <v>0</v>
      </c>
      <c r="M363" s="1072">
        <v>0</v>
      </c>
      <c r="N363" s="1072">
        <v>0</v>
      </c>
      <c r="O363" s="1072">
        <v>0</v>
      </c>
      <c r="P363" s="491">
        <v>0</v>
      </c>
      <c r="Q363" s="491">
        <v>0</v>
      </c>
      <c r="R363" s="491">
        <v>0</v>
      </c>
      <c r="S363" s="491">
        <v>0</v>
      </c>
      <c r="T363" s="1025" t="b">
        <v>0</v>
      </c>
      <c r="U363" s="491">
        <v>2.31</v>
      </c>
      <c r="V363" s="491">
        <v>0.7</v>
      </c>
      <c r="W363" s="491">
        <v>1.68</v>
      </c>
      <c r="X363" s="491">
        <v>0</v>
      </c>
      <c r="Y363" s="1025" t="b">
        <v>1</v>
      </c>
      <c r="Z363" s="331">
        <v>0</v>
      </c>
      <c r="AA363" s="331">
        <v>0</v>
      </c>
      <c r="AB363" s="331">
        <v>0</v>
      </c>
      <c r="AC363" s="331">
        <v>0</v>
      </c>
      <c r="AD363" s="1025" t="b">
        <v>0</v>
      </c>
      <c r="AE363" s="331">
        <v>0</v>
      </c>
      <c r="AF363" s="331">
        <v>7.0000000000000007E-2</v>
      </c>
      <c r="AG363" s="331">
        <v>0.17</v>
      </c>
      <c r="AH363" s="331">
        <v>0</v>
      </c>
      <c r="AI363" s="1025" t="b">
        <v>1</v>
      </c>
      <c r="AJ363" s="331">
        <v>0</v>
      </c>
      <c r="AK363" s="331">
        <v>0</v>
      </c>
      <c r="AL363" s="331">
        <v>0</v>
      </c>
      <c r="AM363" s="331">
        <v>0</v>
      </c>
      <c r="AN363" s="1025" t="b">
        <v>0</v>
      </c>
      <c r="AO363" s="331">
        <v>0</v>
      </c>
      <c r="AP363" s="331">
        <v>0</v>
      </c>
      <c r="AQ363" s="331">
        <v>0</v>
      </c>
      <c r="AR363" s="331">
        <v>0</v>
      </c>
      <c r="AS363" s="1025" t="b">
        <v>0</v>
      </c>
      <c r="AT363" s="1025" t="b">
        <v>1</v>
      </c>
      <c r="AU363" s="331">
        <v>0</v>
      </c>
      <c r="AV363" s="491" t="s">
        <v>29</v>
      </c>
    </row>
    <row r="364" spans="1:48">
      <c r="A364" s="72">
        <v>29</v>
      </c>
      <c r="B364" s="391" t="s">
        <v>34</v>
      </c>
      <c r="C364" s="72">
        <f t="shared" si="15"/>
        <v>8</v>
      </c>
      <c r="D364" s="72" t="str">
        <f t="shared" si="16"/>
        <v>29-8</v>
      </c>
      <c r="E364" s="72">
        <v>76877</v>
      </c>
      <c r="F364" s="72" t="str">
        <f t="shared" si="17"/>
        <v>29-76877</v>
      </c>
      <c r="G364" s="391" t="s">
        <v>933</v>
      </c>
      <c r="H364" s="491">
        <v>11112.48</v>
      </c>
      <c r="I364" s="491">
        <v>10217.469999999999</v>
      </c>
      <c r="J364" s="491">
        <v>10520.56</v>
      </c>
      <c r="K364" s="491">
        <v>12509.37</v>
      </c>
      <c r="L364" s="1072">
        <v>0</v>
      </c>
      <c r="M364" s="1072">
        <v>0</v>
      </c>
      <c r="N364" s="1072">
        <v>0</v>
      </c>
      <c r="O364" s="1072">
        <v>0</v>
      </c>
      <c r="P364" s="491">
        <v>0</v>
      </c>
      <c r="Q364" s="491">
        <v>0</v>
      </c>
      <c r="R364" s="491">
        <v>0</v>
      </c>
      <c r="S364" s="491">
        <v>0</v>
      </c>
      <c r="T364" s="1025" t="b">
        <v>0</v>
      </c>
      <c r="U364" s="491">
        <v>3.2</v>
      </c>
      <c r="V364" s="491">
        <v>2.36</v>
      </c>
      <c r="W364" s="491">
        <v>0</v>
      </c>
      <c r="X364" s="491">
        <v>0</v>
      </c>
      <c r="Y364" s="1025" t="b">
        <v>1</v>
      </c>
      <c r="Z364" s="491">
        <v>0</v>
      </c>
      <c r="AA364" s="491">
        <v>0</v>
      </c>
      <c r="AB364" s="491">
        <v>0</v>
      </c>
      <c r="AC364" s="491">
        <v>0</v>
      </c>
      <c r="AD364" s="1025" t="b">
        <v>0</v>
      </c>
      <c r="AE364" s="491">
        <v>0.41</v>
      </c>
      <c r="AF364" s="491">
        <v>7.0000000000000007E-2</v>
      </c>
      <c r="AG364" s="491">
        <v>0</v>
      </c>
      <c r="AH364" s="491">
        <v>0</v>
      </c>
      <c r="AI364" s="1025" t="b">
        <v>1</v>
      </c>
      <c r="AJ364" s="491">
        <v>0</v>
      </c>
      <c r="AK364" s="491">
        <v>0</v>
      </c>
      <c r="AL364" s="491">
        <v>0</v>
      </c>
      <c r="AM364" s="491">
        <v>0</v>
      </c>
      <c r="AN364" s="1025" t="b">
        <v>0</v>
      </c>
      <c r="AO364" s="491">
        <v>0</v>
      </c>
      <c r="AP364" s="491">
        <v>0</v>
      </c>
      <c r="AQ364" s="491">
        <v>0</v>
      </c>
      <c r="AR364" s="491">
        <v>0</v>
      </c>
      <c r="AS364" s="1025" t="b">
        <v>0</v>
      </c>
      <c r="AT364" s="1025" t="b">
        <v>1</v>
      </c>
      <c r="AU364" s="491">
        <v>0</v>
      </c>
      <c r="AV364" s="491" t="s">
        <v>29</v>
      </c>
    </row>
    <row r="365" spans="1:48">
      <c r="A365" s="72">
        <v>29</v>
      </c>
      <c r="B365" s="391" t="s">
        <v>34</v>
      </c>
      <c r="C365" s="72">
        <f t="shared" si="15"/>
        <v>0</v>
      </c>
      <c r="D365" s="72" t="str">
        <f t="shared" si="16"/>
        <v>29-0</v>
      </c>
      <c r="E365" s="72" t="s">
        <v>29</v>
      </c>
      <c r="F365" s="72" t="str">
        <f t="shared" si="17"/>
        <v>29-N/A</v>
      </c>
      <c r="G365" s="391" t="s">
        <v>29</v>
      </c>
      <c r="H365" s="491" t="s">
        <v>29</v>
      </c>
      <c r="I365" s="491" t="s">
        <v>29</v>
      </c>
      <c r="J365" s="491" t="s">
        <v>29</v>
      </c>
      <c r="K365" s="491" t="s">
        <v>29</v>
      </c>
      <c r="L365" s="491" t="s">
        <v>29</v>
      </c>
      <c r="M365" s="491" t="s">
        <v>29</v>
      </c>
      <c r="N365" s="491" t="s">
        <v>29</v>
      </c>
      <c r="O365" s="491" t="s">
        <v>29</v>
      </c>
      <c r="P365" s="491" t="s">
        <v>29</v>
      </c>
      <c r="Q365" s="491" t="s">
        <v>29</v>
      </c>
      <c r="R365" s="491" t="s">
        <v>29</v>
      </c>
      <c r="S365" s="491" t="s">
        <v>29</v>
      </c>
      <c r="T365" s="1025" t="s">
        <v>29</v>
      </c>
      <c r="U365" s="491" t="s">
        <v>29</v>
      </c>
      <c r="V365" s="491" t="s">
        <v>29</v>
      </c>
      <c r="W365" s="491" t="s">
        <v>29</v>
      </c>
      <c r="X365" s="491" t="s">
        <v>29</v>
      </c>
      <c r="Y365" s="1025" t="s">
        <v>29</v>
      </c>
      <c r="Z365" s="491" t="s">
        <v>29</v>
      </c>
      <c r="AA365" s="491" t="s">
        <v>29</v>
      </c>
      <c r="AB365" s="491" t="s">
        <v>29</v>
      </c>
      <c r="AC365" s="491" t="s">
        <v>29</v>
      </c>
      <c r="AD365" s="1025" t="s">
        <v>29</v>
      </c>
      <c r="AE365" s="491" t="s">
        <v>29</v>
      </c>
      <c r="AF365" s="491" t="s">
        <v>29</v>
      </c>
      <c r="AG365" s="491" t="s">
        <v>29</v>
      </c>
      <c r="AH365" s="491" t="s">
        <v>29</v>
      </c>
      <c r="AI365" s="1025" t="s">
        <v>29</v>
      </c>
      <c r="AJ365" s="491" t="s">
        <v>29</v>
      </c>
      <c r="AK365" s="491" t="s">
        <v>29</v>
      </c>
      <c r="AL365" s="491" t="s">
        <v>29</v>
      </c>
      <c r="AM365" s="491" t="s">
        <v>29</v>
      </c>
      <c r="AN365" s="1025" t="s">
        <v>29</v>
      </c>
      <c r="AO365" s="491" t="s">
        <v>29</v>
      </c>
      <c r="AP365" s="491" t="s">
        <v>29</v>
      </c>
      <c r="AQ365" s="491" t="s">
        <v>29</v>
      </c>
      <c r="AR365" s="491" t="s">
        <v>29</v>
      </c>
      <c r="AS365" s="1025" t="s">
        <v>29</v>
      </c>
      <c r="AT365" s="1025" t="s">
        <v>29</v>
      </c>
      <c r="AU365" s="491" t="s">
        <v>29</v>
      </c>
      <c r="AV365" s="491">
        <v>0</v>
      </c>
    </row>
    <row r="366" spans="1:48">
      <c r="A366" s="72">
        <v>30</v>
      </c>
      <c r="B366" s="391" t="s">
        <v>68</v>
      </c>
      <c r="C366" s="72">
        <f t="shared" si="15"/>
        <v>1</v>
      </c>
      <c r="D366" s="72" t="str">
        <f t="shared" si="16"/>
        <v>30-1</v>
      </c>
      <c r="E366" s="72">
        <v>63107</v>
      </c>
      <c r="F366" s="72" t="str">
        <f t="shared" si="17"/>
        <v>30-63107</v>
      </c>
      <c r="G366" s="391" t="s">
        <v>731</v>
      </c>
      <c r="H366" s="331">
        <v>14180.56</v>
      </c>
      <c r="I366" s="331">
        <v>13038.44</v>
      </c>
      <c r="J366" s="331">
        <v>13425.22</v>
      </c>
      <c r="K366" s="331">
        <v>15963.12</v>
      </c>
      <c r="L366" s="491" t="s">
        <v>29</v>
      </c>
      <c r="M366" s="491" t="s">
        <v>29</v>
      </c>
      <c r="N366" s="491" t="s">
        <v>29</v>
      </c>
      <c r="O366" s="491" t="s">
        <v>29</v>
      </c>
      <c r="P366" s="491">
        <v>0</v>
      </c>
      <c r="Q366" s="491">
        <v>0</v>
      </c>
      <c r="R366" s="491">
        <v>0</v>
      </c>
      <c r="S366" s="491">
        <v>3.14</v>
      </c>
      <c r="T366" s="1025" t="b">
        <v>0</v>
      </c>
      <c r="U366" s="491">
        <v>0</v>
      </c>
      <c r="V366" s="491">
        <v>0</v>
      </c>
      <c r="W366" s="491">
        <v>0</v>
      </c>
      <c r="X366" s="491">
        <v>0</v>
      </c>
      <c r="Y366" s="1025" t="b">
        <v>0</v>
      </c>
      <c r="Z366" s="331">
        <v>0</v>
      </c>
      <c r="AA366" s="331">
        <v>0</v>
      </c>
      <c r="AB366" s="331">
        <v>0</v>
      </c>
      <c r="AC366" s="331">
        <v>0</v>
      </c>
      <c r="AD366" s="1025" t="b">
        <v>0</v>
      </c>
      <c r="AE366" s="331">
        <v>0</v>
      </c>
      <c r="AF366" s="331">
        <v>0</v>
      </c>
      <c r="AG366" s="331">
        <v>0</v>
      </c>
      <c r="AH366" s="331">
        <v>0</v>
      </c>
      <c r="AI366" s="1025" t="b">
        <v>0</v>
      </c>
      <c r="AJ366" s="331">
        <v>0</v>
      </c>
      <c r="AK366" s="331">
        <v>0</v>
      </c>
      <c r="AL366" s="331">
        <v>0</v>
      </c>
      <c r="AM366" s="331">
        <v>0</v>
      </c>
      <c r="AN366" s="1025" t="b">
        <v>0</v>
      </c>
      <c r="AO366" s="331">
        <v>0</v>
      </c>
      <c r="AP366" s="331">
        <v>0</v>
      </c>
      <c r="AQ366" s="331">
        <v>0</v>
      </c>
      <c r="AR366" s="331">
        <v>0</v>
      </c>
      <c r="AS366" s="1025" t="b">
        <v>0</v>
      </c>
      <c r="AT366" s="1025" t="b">
        <v>0</v>
      </c>
      <c r="AU366" s="331">
        <v>50124</v>
      </c>
      <c r="AV366" s="491" t="s">
        <v>29</v>
      </c>
    </row>
    <row r="367" spans="1:48">
      <c r="A367" s="72">
        <v>30</v>
      </c>
      <c r="B367" s="391" t="s">
        <v>68</v>
      </c>
      <c r="C367" s="72">
        <f t="shared" si="15"/>
        <v>2</v>
      </c>
      <c r="D367" s="72" t="str">
        <f t="shared" si="16"/>
        <v>30-2</v>
      </c>
      <c r="E367" s="72">
        <v>63164</v>
      </c>
      <c r="F367" s="72" t="str">
        <f t="shared" si="17"/>
        <v>30-63164</v>
      </c>
      <c r="G367" s="391" t="s">
        <v>736</v>
      </c>
      <c r="H367" s="491">
        <v>11837.61</v>
      </c>
      <c r="I367" s="491">
        <v>10884.19</v>
      </c>
      <c r="J367" s="491">
        <v>11207.07</v>
      </c>
      <c r="K367" s="491">
        <v>13325.65</v>
      </c>
      <c r="L367" s="491" t="s">
        <v>29</v>
      </c>
      <c r="M367" s="491" t="s">
        <v>29</v>
      </c>
      <c r="N367" s="491" t="s">
        <v>29</v>
      </c>
      <c r="O367" s="491" t="s">
        <v>29</v>
      </c>
      <c r="P367" s="491">
        <v>0</v>
      </c>
      <c r="Q367" s="491">
        <v>0</v>
      </c>
      <c r="R367" s="491">
        <v>0</v>
      </c>
      <c r="S367" s="491">
        <v>1.49</v>
      </c>
      <c r="T367" s="1025" t="b">
        <v>0</v>
      </c>
      <c r="U367" s="491">
        <v>0</v>
      </c>
      <c r="V367" s="491">
        <v>0</v>
      </c>
      <c r="W367" s="491">
        <v>0</v>
      </c>
      <c r="X367" s="491">
        <v>0</v>
      </c>
      <c r="Y367" s="1025" t="b">
        <v>0</v>
      </c>
      <c r="Z367" s="491">
        <v>0</v>
      </c>
      <c r="AA367" s="491">
        <v>0</v>
      </c>
      <c r="AB367" s="491">
        <v>0</v>
      </c>
      <c r="AC367" s="491">
        <v>0</v>
      </c>
      <c r="AD367" s="1025" t="b">
        <v>0</v>
      </c>
      <c r="AE367" s="491">
        <v>0</v>
      </c>
      <c r="AF367" s="491">
        <v>0</v>
      </c>
      <c r="AG367" s="491">
        <v>0</v>
      </c>
      <c r="AH367" s="491">
        <v>0</v>
      </c>
      <c r="AI367" s="1025" t="b">
        <v>0</v>
      </c>
      <c r="AJ367" s="491">
        <v>0</v>
      </c>
      <c r="AK367" s="491">
        <v>0</v>
      </c>
      <c r="AL367" s="491">
        <v>0</v>
      </c>
      <c r="AM367" s="491">
        <v>0</v>
      </c>
      <c r="AN367" s="1025" t="b">
        <v>0</v>
      </c>
      <c r="AO367" s="491">
        <v>0</v>
      </c>
      <c r="AP367" s="491">
        <v>0</v>
      </c>
      <c r="AQ367" s="491">
        <v>0</v>
      </c>
      <c r="AR367" s="491">
        <v>0</v>
      </c>
      <c r="AS367" s="1025" t="b">
        <v>0</v>
      </c>
      <c r="AT367" s="1025" t="b">
        <v>0</v>
      </c>
      <c r="AU367" s="491">
        <v>19855</v>
      </c>
      <c r="AV367" s="491" t="s">
        <v>29</v>
      </c>
    </row>
    <row r="368" spans="1:48">
      <c r="A368" s="72">
        <v>30</v>
      </c>
      <c r="B368" s="391" t="s">
        <v>68</v>
      </c>
      <c r="C368" s="72">
        <f t="shared" si="15"/>
        <v>3</v>
      </c>
      <c r="D368" s="72" t="str">
        <f t="shared" si="16"/>
        <v>30-3</v>
      </c>
      <c r="E368" s="72">
        <v>64212</v>
      </c>
      <c r="F368" s="72" t="str">
        <f t="shared" si="17"/>
        <v>30-64212</v>
      </c>
      <c r="G368" s="391" t="s">
        <v>934</v>
      </c>
      <c r="H368" s="331">
        <v>11689.67</v>
      </c>
      <c r="I368" s="331">
        <v>10748.17</v>
      </c>
      <c r="J368" s="331">
        <v>11067.01</v>
      </c>
      <c r="K368" s="331">
        <v>13159.11</v>
      </c>
      <c r="L368" s="491" t="s">
        <v>29</v>
      </c>
      <c r="M368" s="491" t="s">
        <v>29</v>
      </c>
      <c r="N368" s="491" t="s">
        <v>29</v>
      </c>
      <c r="O368" s="491" t="s">
        <v>29</v>
      </c>
      <c r="P368" s="491">
        <v>0</v>
      </c>
      <c r="Q368" s="491">
        <v>0</v>
      </c>
      <c r="R368" s="491">
        <v>0</v>
      </c>
      <c r="S368" s="491">
        <v>2.97</v>
      </c>
      <c r="T368" s="1025" t="b">
        <v>0</v>
      </c>
      <c r="U368" s="491">
        <v>0</v>
      </c>
      <c r="V368" s="491">
        <v>2.86</v>
      </c>
      <c r="W368" s="491">
        <v>3.73</v>
      </c>
      <c r="X368" s="491">
        <v>5.77</v>
      </c>
      <c r="Y368" s="1025" t="b">
        <v>0</v>
      </c>
      <c r="Z368" s="331">
        <v>0</v>
      </c>
      <c r="AA368" s="331">
        <v>0</v>
      </c>
      <c r="AB368" s="331">
        <v>0</v>
      </c>
      <c r="AC368" s="331">
        <v>0</v>
      </c>
      <c r="AD368" s="1025" t="b">
        <v>0</v>
      </c>
      <c r="AE368" s="331">
        <v>0</v>
      </c>
      <c r="AF368" s="331">
        <v>0.3</v>
      </c>
      <c r="AG368" s="331">
        <v>0.21</v>
      </c>
      <c r="AH368" s="331">
        <v>0.51</v>
      </c>
      <c r="AI368" s="1025" t="b">
        <v>0</v>
      </c>
      <c r="AJ368" s="331">
        <v>0</v>
      </c>
      <c r="AK368" s="331">
        <v>0</v>
      </c>
      <c r="AL368" s="331">
        <v>0</v>
      </c>
      <c r="AM368" s="331">
        <v>0</v>
      </c>
      <c r="AN368" s="1025" t="b">
        <v>0</v>
      </c>
      <c r="AO368" s="331">
        <v>0</v>
      </c>
      <c r="AP368" s="331">
        <v>0</v>
      </c>
      <c r="AQ368" s="331">
        <v>0</v>
      </c>
      <c r="AR368" s="331">
        <v>0</v>
      </c>
      <c r="AS368" s="1025" t="b">
        <v>0</v>
      </c>
      <c r="AT368" s="1025" t="b">
        <v>0</v>
      </c>
      <c r="AU368" s="331">
        <v>199290</v>
      </c>
      <c r="AV368" s="491" t="s">
        <v>29</v>
      </c>
    </row>
    <row r="369" spans="1:48">
      <c r="A369" s="72">
        <v>30</v>
      </c>
      <c r="B369" s="391" t="s">
        <v>68</v>
      </c>
      <c r="C369" s="72">
        <f t="shared" si="15"/>
        <v>4</v>
      </c>
      <c r="D369" s="72" t="str">
        <f t="shared" si="16"/>
        <v>30-4</v>
      </c>
      <c r="E369" s="72">
        <v>64246</v>
      </c>
      <c r="F369" s="72" t="str">
        <f t="shared" si="17"/>
        <v>30-64246</v>
      </c>
      <c r="G369" s="391" t="s">
        <v>795</v>
      </c>
      <c r="H369" s="331">
        <v>12225.52</v>
      </c>
      <c r="I369" s="331">
        <v>11240.86</v>
      </c>
      <c r="J369" s="331">
        <v>11574.32</v>
      </c>
      <c r="K369" s="331">
        <v>13762.32</v>
      </c>
      <c r="L369" s="491" t="s">
        <v>29</v>
      </c>
      <c r="M369" s="491" t="s">
        <v>29</v>
      </c>
      <c r="N369" s="491" t="s">
        <v>29</v>
      </c>
      <c r="O369" s="491" t="s">
        <v>29</v>
      </c>
      <c r="P369" s="491">
        <v>0</v>
      </c>
      <c r="Q369" s="491">
        <v>0</v>
      </c>
      <c r="R369" s="491">
        <v>0</v>
      </c>
      <c r="S369" s="491">
        <v>5.94</v>
      </c>
      <c r="T369" s="1025" t="b">
        <v>0</v>
      </c>
      <c r="U369" s="491">
        <v>0</v>
      </c>
      <c r="V369" s="491">
        <v>0</v>
      </c>
      <c r="W369" s="491">
        <v>0</v>
      </c>
      <c r="X369" s="491">
        <v>0</v>
      </c>
      <c r="Y369" s="1025" t="b">
        <v>0</v>
      </c>
      <c r="Z369" s="331">
        <v>0</v>
      </c>
      <c r="AA369" s="331">
        <v>0</v>
      </c>
      <c r="AB369" s="331">
        <v>0</v>
      </c>
      <c r="AC369" s="331">
        <v>0</v>
      </c>
      <c r="AD369" s="1025" t="b">
        <v>0</v>
      </c>
      <c r="AE369" s="331">
        <v>0</v>
      </c>
      <c r="AF369" s="331">
        <v>0</v>
      </c>
      <c r="AG369" s="331">
        <v>0</v>
      </c>
      <c r="AH369" s="331">
        <v>0</v>
      </c>
      <c r="AI369" s="1025" t="b">
        <v>0</v>
      </c>
      <c r="AJ369" s="331">
        <v>0</v>
      </c>
      <c r="AK369" s="331">
        <v>0</v>
      </c>
      <c r="AL369" s="331">
        <v>0</v>
      </c>
      <c r="AM369" s="331">
        <v>0</v>
      </c>
      <c r="AN369" s="1025" t="b">
        <v>0</v>
      </c>
      <c r="AO369" s="331">
        <v>0</v>
      </c>
      <c r="AP369" s="331">
        <v>0</v>
      </c>
      <c r="AQ369" s="331">
        <v>0</v>
      </c>
      <c r="AR369" s="331">
        <v>0</v>
      </c>
      <c r="AS369" s="1025" t="b">
        <v>0</v>
      </c>
      <c r="AT369" s="1025" t="b">
        <v>0</v>
      </c>
      <c r="AU369" s="331">
        <v>81748</v>
      </c>
      <c r="AV369" s="491" t="s">
        <v>29</v>
      </c>
    </row>
    <row r="370" spans="1:48">
      <c r="A370" s="72">
        <v>30</v>
      </c>
      <c r="B370" s="391" t="s">
        <v>68</v>
      </c>
      <c r="C370" s="72">
        <f t="shared" si="15"/>
        <v>5</v>
      </c>
      <c r="D370" s="72" t="str">
        <f t="shared" si="16"/>
        <v>30-5</v>
      </c>
      <c r="E370" s="72">
        <v>64303</v>
      </c>
      <c r="F370" s="72" t="str">
        <f t="shared" si="17"/>
        <v>30-64303</v>
      </c>
      <c r="G370" s="391" t="s">
        <v>800</v>
      </c>
      <c r="H370" s="331">
        <v>13139.83</v>
      </c>
      <c r="I370" s="331">
        <v>12081.52</v>
      </c>
      <c r="J370" s="331">
        <v>12439.92</v>
      </c>
      <c r="K370" s="331">
        <v>14791.56</v>
      </c>
      <c r="L370" s="491" t="s">
        <v>29</v>
      </c>
      <c r="M370" s="491" t="s">
        <v>29</v>
      </c>
      <c r="N370" s="491" t="s">
        <v>29</v>
      </c>
      <c r="O370" s="491" t="s">
        <v>29</v>
      </c>
      <c r="P370" s="491">
        <v>0</v>
      </c>
      <c r="Q370" s="491">
        <v>0</v>
      </c>
      <c r="R370" s="491">
        <v>0</v>
      </c>
      <c r="S370" s="491">
        <v>1.49</v>
      </c>
      <c r="T370" s="1025" t="b">
        <v>0</v>
      </c>
      <c r="U370" s="491">
        <v>0.94</v>
      </c>
      <c r="V370" s="491">
        <v>0</v>
      </c>
      <c r="W370" s="491">
        <v>0</v>
      </c>
      <c r="X370" s="491">
        <v>1.54</v>
      </c>
      <c r="Y370" s="1025" t="b">
        <v>0</v>
      </c>
      <c r="Z370" s="331">
        <v>0</v>
      </c>
      <c r="AA370" s="331">
        <v>0</v>
      </c>
      <c r="AB370" s="331">
        <v>0</v>
      </c>
      <c r="AC370" s="331">
        <v>0</v>
      </c>
      <c r="AD370" s="1025" t="b">
        <v>0</v>
      </c>
      <c r="AE370" s="331">
        <v>0</v>
      </c>
      <c r="AF370" s="331">
        <v>0</v>
      </c>
      <c r="AG370" s="331">
        <v>0</v>
      </c>
      <c r="AH370" s="331">
        <v>0.21</v>
      </c>
      <c r="AI370" s="1025" t="b">
        <v>0</v>
      </c>
      <c r="AJ370" s="331">
        <v>0</v>
      </c>
      <c r="AK370" s="331">
        <v>0</v>
      </c>
      <c r="AL370" s="331">
        <v>0</v>
      </c>
      <c r="AM370" s="331">
        <v>0</v>
      </c>
      <c r="AN370" s="1025" t="b">
        <v>0</v>
      </c>
      <c r="AO370" s="331">
        <v>0</v>
      </c>
      <c r="AP370" s="331">
        <v>0</v>
      </c>
      <c r="AQ370" s="331">
        <v>0</v>
      </c>
      <c r="AR370" s="331">
        <v>0</v>
      </c>
      <c r="AS370" s="1025" t="b">
        <v>0</v>
      </c>
      <c r="AT370" s="1025" t="b">
        <v>0</v>
      </c>
      <c r="AU370" s="331">
        <v>60276</v>
      </c>
      <c r="AV370" s="491" t="s">
        <v>29</v>
      </c>
    </row>
    <row r="371" spans="1:48">
      <c r="A371" s="72">
        <v>30</v>
      </c>
      <c r="B371" s="391" t="s">
        <v>68</v>
      </c>
      <c r="C371" s="72">
        <f t="shared" si="15"/>
        <v>6</v>
      </c>
      <c r="D371" s="72" t="str">
        <f t="shared" si="16"/>
        <v>30-6</v>
      </c>
      <c r="E371" s="72">
        <v>64436</v>
      </c>
      <c r="F371" s="72" t="str">
        <f t="shared" si="17"/>
        <v>30-64436</v>
      </c>
      <c r="G371" s="391" t="s">
        <v>807</v>
      </c>
      <c r="H371" s="331">
        <v>12468.94</v>
      </c>
      <c r="I371" s="331">
        <v>11464.67</v>
      </c>
      <c r="J371" s="331">
        <v>11804.76</v>
      </c>
      <c r="K371" s="331">
        <v>14036.33</v>
      </c>
      <c r="L371" s="491" t="s">
        <v>29</v>
      </c>
      <c r="M371" s="491" t="s">
        <v>29</v>
      </c>
      <c r="N371" s="491" t="s">
        <v>29</v>
      </c>
      <c r="O371" s="491" t="s">
        <v>29</v>
      </c>
      <c r="P371" s="491">
        <v>0</v>
      </c>
      <c r="Q371" s="491">
        <v>0</v>
      </c>
      <c r="R371" s="491">
        <v>0</v>
      </c>
      <c r="S371" s="491">
        <v>1.49</v>
      </c>
      <c r="T371" s="1025" t="b">
        <v>0</v>
      </c>
      <c r="U371" s="491">
        <v>0</v>
      </c>
      <c r="V371" s="491">
        <v>0</v>
      </c>
      <c r="W371" s="491">
        <v>0</v>
      </c>
      <c r="X371" s="491">
        <v>0</v>
      </c>
      <c r="Y371" s="1025" t="b">
        <v>0</v>
      </c>
      <c r="Z371" s="331">
        <v>0</v>
      </c>
      <c r="AA371" s="331">
        <v>0</v>
      </c>
      <c r="AB371" s="331">
        <v>0</v>
      </c>
      <c r="AC371" s="331">
        <v>0</v>
      </c>
      <c r="AD371" s="1025" t="b">
        <v>0</v>
      </c>
      <c r="AE371" s="331">
        <v>0</v>
      </c>
      <c r="AF371" s="331">
        <v>0</v>
      </c>
      <c r="AG371" s="331">
        <v>0</v>
      </c>
      <c r="AH371" s="331">
        <v>0</v>
      </c>
      <c r="AI371" s="1025" t="b">
        <v>0</v>
      </c>
      <c r="AJ371" s="331">
        <v>0</v>
      </c>
      <c r="AK371" s="331">
        <v>0</v>
      </c>
      <c r="AL371" s="331">
        <v>0</v>
      </c>
      <c r="AM371" s="331">
        <v>0</v>
      </c>
      <c r="AN371" s="1025" t="b">
        <v>0</v>
      </c>
      <c r="AO371" s="331">
        <v>0</v>
      </c>
      <c r="AP371" s="331">
        <v>0</v>
      </c>
      <c r="AQ371" s="331">
        <v>0</v>
      </c>
      <c r="AR371" s="331">
        <v>0</v>
      </c>
      <c r="AS371" s="1025" t="b">
        <v>0</v>
      </c>
      <c r="AT371" s="1025" t="b">
        <v>0</v>
      </c>
      <c r="AU371" s="331">
        <v>20914</v>
      </c>
      <c r="AV371" s="491" t="s">
        <v>29</v>
      </c>
    </row>
    <row r="372" spans="1:48">
      <c r="A372" s="72">
        <v>30</v>
      </c>
      <c r="B372" s="391" t="s">
        <v>68</v>
      </c>
      <c r="C372" s="72">
        <f t="shared" si="15"/>
        <v>7</v>
      </c>
      <c r="D372" s="72" t="str">
        <f t="shared" si="16"/>
        <v>30-7</v>
      </c>
      <c r="E372" s="72">
        <v>64451</v>
      </c>
      <c r="F372" s="72" t="str">
        <f t="shared" si="17"/>
        <v>30-64451</v>
      </c>
      <c r="G372" s="391" t="s">
        <v>809</v>
      </c>
      <c r="H372" s="331">
        <v>12542.05</v>
      </c>
      <c r="I372" s="331">
        <v>11531.89</v>
      </c>
      <c r="J372" s="331">
        <v>11873.98</v>
      </c>
      <c r="K372" s="331">
        <v>14118.63</v>
      </c>
      <c r="L372" s="491" t="s">
        <v>29</v>
      </c>
      <c r="M372" s="491" t="s">
        <v>29</v>
      </c>
      <c r="N372" s="491" t="s">
        <v>29</v>
      </c>
      <c r="O372" s="491" t="s">
        <v>29</v>
      </c>
      <c r="P372" s="491">
        <v>0</v>
      </c>
      <c r="Q372" s="491">
        <v>0</v>
      </c>
      <c r="R372" s="491">
        <v>0</v>
      </c>
      <c r="S372" s="491">
        <v>5.94</v>
      </c>
      <c r="T372" s="1025" t="b">
        <v>0</v>
      </c>
      <c r="U372" s="491">
        <v>0</v>
      </c>
      <c r="V372" s="491">
        <v>0</v>
      </c>
      <c r="W372" s="491">
        <v>0</v>
      </c>
      <c r="X372" s="491">
        <v>0</v>
      </c>
      <c r="Y372" s="1025" t="b">
        <v>0</v>
      </c>
      <c r="Z372" s="331">
        <v>0</v>
      </c>
      <c r="AA372" s="331">
        <v>0</v>
      </c>
      <c r="AB372" s="331">
        <v>0</v>
      </c>
      <c r="AC372" s="331">
        <v>0</v>
      </c>
      <c r="AD372" s="1025" t="b">
        <v>0</v>
      </c>
      <c r="AE372" s="331">
        <v>0</v>
      </c>
      <c r="AF372" s="331">
        <v>0</v>
      </c>
      <c r="AG372" s="331">
        <v>0</v>
      </c>
      <c r="AH372" s="331">
        <v>0</v>
      </c>
      <c r="AI372" s="1025" t="b">
        <v>0</v>
      </c>
      <c r="AJ372" s="331">
        <v>0</v>
      </c>
      <c r="AK372" s="331">
        <v>0</v>
      </c>
      <c r="AL372" s="331">
        <v>0</v>
      </c>
      <c r="AM372" s="331">
        <v>0</v>
      </c>
      <c r="AN372" s="1025" t="b">
        <v>0</v>
      </c>
      <c r="AO372" s="331">
        <v>0</v>
      </c>
      <c r="AP372" s="331">
        <v>0</v>
      </c>
      <c r="AQ372" s="331">
        <v>0</v>
      </c>
      <c r="AR372" s="331">
        <v>0</v>
      </c>
      <c r="AS372" s="1025" t="b">
        <v>0</v>
      </c>
      <c r="AT372" s="1025" t="b">
        <v>0</v>
      </c>
      <c r="AU372" s="331">
        <v>83865</v>
      </c>
      <c r="AV372" s="491" t="s">
        <v>29</v>
      </c>
    </row>
    <row r="373" spans="1:48">
      <c r="A373" s="72">
        <v>30</v>
      </c>
      <c r="B373" s="391" t="s">
        <v>68</v>
      </c>
      <c r="C373" s="72">
        <f t="shared" si="15"/>
        <v>8</v>
      </c>
      <c r="D373" s="72" t="str">
        <f t="shared" si="16"/>
        <v>30-8</v>
      </c>
      <c r="E373" s="72">
        <v>64485</v>
      </c>
      <c r="F373" s="72" t="str">
        <f t="shared" si="17"/>
        <v>30-64485</v>
      </c>
      <c r="G373" s="391" t="s">
        <v>1649</v>
      </c>
      <c r="H373" s="331">
        <v>11432.5</v>
      </c>
      <c r="I373" s="331">
        <v>10511.71</v>
      </c>
      <c r="J373" s="331">
        <v>10823.53</v>
      </c>
      <c r="K373" s="331">
        <v>12869.61</v>
      </c>
      <c r="L373" s="491" t="s">
        <v>29</v>
      </c>
      <c r="M373" s="491" t="s">
        <v>29</v>
      </c>
      <c r="N373" s="491" t="s">
        <v>29</v>
      </c>
      <c r="O373" s="491" t="s">
        <v>29</v>
      </c>
      <c r="P373" s="491">
        <v>0</v>
      </c>
      <c r="Q373" s="491">
        <v>0</v>
      </c>
      <c r="R373" s="491">
        <v>0</v>
      </c>
      <c r="S373" s="491">
        <v>0</v>
      </c>
      <c r="T373" s="1025" t="b">
        <v>0</v>
      </c>
      <c r="U373" s="491">
        <v>0</v>
      </c>
      <c r="V373" s="491">
        <v>0.94</v>
      </c>
      <c r="W373" s="491">
        <v>0</v>
      </c>
      <c r="X373" s="491">
        <v>0</v>
      </c>
      <c r="Y373" s="1025" t="b">
        <v>0</v>
      </c>
      <c r="Z373" s="331">
        <v>0</v>
      </c>
      <c r="AA373" s="331">
        <v>0</v>
      </c>
      <c r="AB373" s="331">
        <v>0</v>
      </c>
      <c r="AC373" s="331">
        <v>0</v>
      </c>
      <c r="AD373" s="1025" t="b">
        <v>0</v>
      </c>
      <c r="AE373" s="331">
        <v>0</v>
      </c>
      <c r="AF373" s="331">
        <v>0.1</v>
      </c>
      <c r="AG373" s="331">
        <v>0</v>
      </c>
      <c r="AH373" s="331">
        <v>0</v>
      </c>
      <c r="AI373" s="1025" t="b">
        <v>0</v>
      </c>
      <c r="AJ373" s="331">
        <v>0</v>
      </c>
      <c r="AK373" s="331">
        <v>0</v>
      </c>
      <c r="AL373" s="331">
        <v>0</v>
      </c>
      <c r="AM373" s="331">
        <v>0</v>
      </c>
      <c r="AN373" s="1025" t="b">
        <v>0</v>
      </c>
      <c r="AO373" s="331">
        <v>0</v>
      </c>
      <c r="AP373" s="331">
        <v>0</v>
      </c>
      <c r="AQ373" s="331">
        <v>0</v>
      </c>
      <c r="AR373" s="331">
        <v>0</v>
      </c>
      <c r="AS373" s="1025" t="b">
        <v>0</v>
      </c>
      <c r="AT373" s="1025" t="b">
        <v>0</v>
      </c>
      <c r="AU373" s="331">
        <v>10932</v>
      </c>
      <c r="AV373" s="491" t="s">
        <v>29</v>
      </c>
    </row>
    <row r="374" spans="1:48">
      <c r="A374" s="72">
        <v>30</v>
      </c>
      <c r="B374" s="391" t="s">
        <v>68</v>
      </c>
      <c r="C374" s="72">
        <f t="shared" si="15"/>
        <v>9</v>
      </c>
      <c r="D374" s="72" t="str">
        <f t="shared" si="16"/>
        <v>30-9</v>
      </c>
      <c r="E374" s="72">
        <v>64519</v>
      </c>
      <c r="F374" s="72" t="str">
        <f t="shared" si="17"/>
        <v>30-64519</v>
      </c>
      <c r="G374" s="391" t="s">
        <v>811</v>
      </c>
      <c r="H374" s="491">
        <v>14233.03</v>
      </c>
      <c r="I374" s="491">
        <v>13086.68</v>
      </c>
      <c r="J374" s="491">
        <v>13474.89</v>
      </c>
      <c r="K374" s="491">
        <v>16022.18</v>
      </c>
      <c r="L374" s="491" t="s">
        <v>29</v>
      </c>
      <c r="M374" s="491" t="s">
        <v>29</v>
      </c>
      <c r="N374" s="491" t="s">
        <v>29</v>
      </c>
      <c r="O374" s="491" t="s">
        <v>29</v>
      </c>
      <c r="P374" s="491">
        <v>0</v>
      </c>
      <c r="Q374" s="491">
        <v>0</v>
      </c>
      <c r="R374" s="491">
        <v>0</v>
      </c>
      <c r="S374" s="491">
        <v>1.49</v>
      </c>
      <c r="T374" s="1025" t="b">
        <v>0</v>
      </c>
      <c r="U374" s="491">
        <v>0</v>
      </c>
      <c r="V374" s="491">
        <v>0</v>
      </c>
      <c r="W374" s="491">
        <v>0</v>
      </c>
      <c r="X374" s="491">
        <v>0</v>
      </c>
      <c r="Y374" s="1025" t="b">
        <v>0</v>
      </c>
      <c r="Z374" s="491">
        <v>0</v>
      </c>
      <c r="AA374" s="491">
        <v>0</v>
      </c>
      <c r="AB374" s="491">
        <v>0</v>
      </c>
      <c r="AC374" s="491">
        <v>0</v>
      </c>
      <c r="AD374" s="1025" t="b">
        <v>0</v>
      </c>
      <c r="AE374" s="491">
        <v>0</v>
      </c>
      <c r="AF374" s="491">
        <v>0</v>
      </c>
      <c r="AG374" s="491">
        <v>0</v>
      </c>
      <c r="AH374" s="491">
        <v>0</v>
      </c>
      <c r="AI374" s="1025" t="b">
        <v>0</v>
      </c>
      <c r="AJ374" s="491">
        <v>0</v>
      </c>
      <c r="AK374" s="491">
        <v>0</v>
      </c>
      <c r="AL374" s="491">
        <v>0</v>
      </c>
      <c r="AM374" s="491">
        <v>0</v>
      </c>
      <c r="AN374" s="1025" t="b">
        <v>0</v>
      </c>
      <c r="AO374" s="491">
        <v>0</v>
      </c>
      <c r="AP374" s="491">
        <v>0</v>
      </c>
      <c r="AQ374" s="491">
        <v>0</v>
      </c>
      <c r="AR374" s="491">
        <v>0</v>
      </c>
      <c r="AS374" s="1025" t="b">
        <v>0</v>
      </c>
      <c r="AT374" s="1025" t="b">
        <v>0</v>
      </c>
      <c r="AU374" s="491">
        <v>23873</v>
      </c>
      <c r="AV374" s="491" t="s">
        <v>29</v>
      </c>
    </row>
    <row r="375" spans="1:48">
      <c r="A375" s="72">
        <v>30</v>
      </c>
      <c r="B375" s="391" t="s">
        <v>68</v>
      </c>
      <c r="C375" s="72">
        <f t="shared" si="15"/>
        <v>10</v>
      </c>
      <c r="D375" s="72" t="str">
        <f t="shared" si="16"/>
        <v>30-10</v>
      </c>
      <c r="E375" s="72">
        <v>64527</v>
      </c>
      <c r="F375" s="72" t="str">
        <f t="shared" si="17"/>
        <v>30-64527</v>
      </c>
      <c r="G375" s="391" t="s">
        <v>812</v>
      </c>
      <c r="H375" s="331">
        <v>13116.6</v>
      </c>
      <c r="I375" s="331">
        <v>12060.17</v>
      </c>
      <c r="J375" s="331">
        <v>12417.93</v>
      </c>
      <c r="K375" s="331">
        <v>14765.41</v>
      </c>
      <c r="L375" s="491" t="s">
        <v>29</v>
      </c>
      <c r="M375" s="491" t="s">
        <v>29</v>
      </c>
      <c r="N375" s="491" t="s">
        <v>29</v>
      </c>
      <c r="O375" s="491" t="s">
        <v>29</v>
      </c>
      <c r="P375" s="491">
        <v>0</v>
      </c>
      <c r="Q375" s="491">
        <v>0</v>
      </c>
      <c r="R375" s="491">
        <v>0</v>
      </c>
      <c r="S375" s="491">
        <v>0</v>
      </c>
      <c r="T375" s="1025" t="b">
        <v>0</v>
      </c>
      <c r="U375" s="491">
        <v>0</v>
      </c>
      <c r="V375" s="491">
        <v>0.83</v>
      </c>
      <c r="W375" s="491">
        <v>0</v>
      </c>
      <c r="X375" s="491">
        <v>0</v>
      </c>
      <c r="Y375" s="1025" t="b">
        <v>0</v>
      </c>
      <c r="Z375" s="331">
        <v>0</v>
      </c>
      <c r="AA375" s="331">
        <v>0</v>
      </c>
      <c r="AB375" s="331">
        <v>0</v>
      </c>
      <c r="AC375" s="331">
        <v>0</v>
      </c>
      <c r="AD375" s="1025" t="b">
        <v>0</v>
      </c>
      <c r="AE375" s="331">
        <v>0</v>
      </c>
      <c r="AF375" s="331">
        <v>0.06</v>
      </c>
      <c r="AG375" s="331">
        <v>0</v>
      </c>
      <c r="AH375" s="331">
        <v>0</v>
      </c>
      <c r="AI375" s="1025" t="b">
        <v>0</v>
      </c>
      <c r="AJ375" s="331">
        <v>0</v>
      </c>
      <c r="AK375" s="331">
        <v>0</v>
      </c>
      <c r="AL375" s="331">
        <v>0</v>
      </c>
      <c r="AM375" s="331">
        <v>0</v>
      </c>
      <c r="AN375" s="1025" t="b">
        <v>0</v>
      </c>
      <c r="AO375" s="331">
        <v>0</v>
      </c>
      <c r="AP375" s="331">
        <v>0</v>
      </c>
      <c r="AQ375" s="331">
        <v>0</v>
      </c>
      <c r="AR375" s="331">
        <v>0</v>
      </c>
      <c r="AS375" s="1025" t="b">
        <v>0</v>
      </c>
      <c r="AT375" s="1025" t="b">
        <v>0</v>
      </c>
      <c r="AU375" s="331">
        <v>10734</v>
      </c>
      <c r="AV375" s="491" t="s">
        <v>29</v>
      </c>
    </row>
    <row r="376" spans="1:48">
      <c r="A376" s="72">
        <v>30</v>
      </c>
      <c r="B376" s="391" t="s">
        <v>68</v>
      </c>
      <c r="C376" s="72">
        <f t="shared" si="15"/>
        <v>11</v>
      </c>
      <c r="D376" s="72" t="str">
        <f t="shared" si="16"/>
        <v>30-11</v>
      </c>
      <c r="E376" s="72">
        <v>64725</v>
      </c>
      <c r="F376" s="72" t="str">
        <f t="shared" si="17"/>
        <v>30-64725</v>
      </c>
      <c r="G376" s="391" t="s">
        <v>819</v>
      </c>
      <c r="H376" s="331">
        <v>12095.65</v>
      </c>
      <c r="I376" s="331">
        <v>11121.44</v>
      </c>
      <c r="J376" s="331">
        <v>11451.36</v>
      </c>
      <c r="K376" s="331">
        <v>13616.12</v>
      </c>
      <c r="L376" s="491" t="s">
        <v>29</v>
      </c>
      <c r="M376" s="491" t="s">
        <v>29</v>
      </c>
      <c r="N376" s="491" t="s">
        <v>29</v>
      </c>
      <c r="O376" s="491" t="s">
        <v>29</v>
      </c>
      <c r="P376" s="491">
        <v>0</v>
      </c>
      <c r="Q376" s="491">
        <v>0</v>
      </c>
      <c r="R376" s="491">
        <v>0</v>
      </c>
      <c r="S376" s="491">
        <v>4.0599999999999996</v>
      </c>
      <c r="T376" s="1025" t="b">
        <v>0</v>
      </c>
      <c r="U376" s="491">
        <v>0</v>
      </c>
      <c r="V376" s="491">
        <v>0.68</v>
      </c>
      <c r="W376" s="491">
        <v>0</v>
      </c>
      <c r="X376" s="491">
        <v>3.3</v>
      </c>
      <c r="Y376" s="1025" t="b">
        <v>0</v>
      </c>
      <c r="Z376" s="331">
        <v>0</v>
      </c>
      <c r="AA376" s="331">
        <v>0</v>
      </c>
      <c r="AB376" s="331">
        <v>0</v>
      </c>
      <c r="AC376" s="331">
        <v>0</v>
      </c>
      <c r="AD376" s="1025" t="b">
        <v>0</v>
      </c>
      <c r="AE376" s="331">
        <v>0</v>
      </c>
      <c r="AF376" s="331">
        <v>0.1</v>
      </c>
      <c r="AG376" s="331">
        <v>0</v>
      </c>
      <c r="AH376" s="331">
        <v>0.21</v>
      </c>
      <c r="AI376" s="1025" t="b">
        <v>0</v>
      </c>
      <c r="AJ376" s="331">
        <v>0</v>
      </c>
      <c r="AK376" s="331">
        <v>0</v>
      </c>
      <c r="AL376" s="331">
        <v>0</v>
      </c>
      <c r="AM376" s="331">
        <v>0</v>
      </c>
      <c r="AN376" s="1025" t="b">
        <v>0</v>
      </c>
      <c r="AO376" s="331">
        <v>0</v>
      </c>
      <c r="AP376" s="331">
        <v>0</v>
      </c>
      <c r="AQ376" s="331">
        <v>0</v>
      </c>
      <c r="AR376" s="331">
        <v>0</v>
      </c>
      <c r="AS376" s="1025" t="b">
        <v>0</v>
      </c>
      <c r="AT376" s="1025" t="b">
        <v>0</v>
      </c>
      <c r="AU376" s="331">
        <v>111749</v>
      </c>
      <c r="AV376" s="491" t="s">
        <v>29</v>
      </c>
    </row>
    <row r="377" spans="1:48">
      <c r="A377" s="72">
        <v>30</v>
      </c>
      <c r="B377" s="391" t="s">
        <v>68</v>
      </c>
      <c r="C377" s="72">
        <f t="shared" si="15"/>
        <v>12</v>
      </c>
      <c r="D377" s="72" t="str">
        <f t="shared" si="16"/>
        <v>30-12</v>
      </c>
      <c r="E377" s="72">
        <v>64733</v>
      </c>
      <c r="F377" s="72" t="str">
        <f t="shared" si="17"/>
        <v>30-64733</v>
      </c>
      <c r="G377" s="391" t="s">
        <v>820</v>
      </c>
      <c r="H377" s="331">
        <v>13898.45</v>
      </c>
      <c r="I377" s="331">
        <v>12779.04</v>
      </c>
      <c r="J377" s="331">
        <v>13158.13</v>
      </c>
      <c r="K377" s="331">
        <v>15645.54</v>
      </c>
      <c r="L377" s="491" t="s">
        <v>29</v>
      </c>
      <c r="M377" s="491" t="s">
        <v>29</v>
      </c>
      <c r="N377" s="491" t="s">
        <v>29</v>
      </c>
      <c r="O377" s="491" t="s">
        <v>29</v>
      </c>
      <c r="P377" s="491">
        <v>0</v>
      </c>
      <c r="Q377" s="491">
        <v>0</v>
      </c>
      <c r="R377" s="491">
        <v>0</v>
      </c>
      <c r="S377" s="491">
        <v>57.51</v>
      </c>
      <c r="T377" s="1025" t="b">
        <v>0</v>
      </c>
      <c r="U377" s="491">
        <v>0</v>
      </c>
      <c r="V377" s="491">
        <v>0</v>
      </c>
      <c r="W377" s="491">
        <v>0</v>
      </c>
      <c r="X377" s="491">
        <v>0</v>
      </c>
      <c r="Y377" s="1025" t="b">
        <v>0</v>
      </c>
      <c r="Z377" s="331">
        <v>0</v>
      </c>
      <c r="AA377" s="331">
        <v>0</v>
      </c>
      <c r="AB377" s="331">
        <v>0</v>
      </c>
      <c r="AC377" s="331">
        <v>0</v>
      </c>
      <c r="AD377" s="1025" t="b">
        <v>0</v>
      </c>
      <c r="AE377" s="331">
        <v>0</v>
      </c>
      <c r="AF377" s="331">
        <v>0</v>
      </c>
      <c r="AG377" s="331">
        <v>0</v>
      </c>
      <c r="AH377" s="331">
        <v>0</v>
      </c>
      <c r="AI377" s="1025" t="b">
        <v>0</v>
      </c>
      <c r="AJ377" s="331">
        <v>0</v>
      </c>
      <c r="AK377" s="331">
        <v>0</v>
      </c>
      <c r="AL377" s="331">
        <v>0</v>
      </c>
      <c r="AM377" s="331">
        <v>0</v>
      </c>
      <c r="AN377" s="1025" t="b">
        <v>0</v>
      </c>
      <c r="AO377" s="331">
        <v>0</v>
      </c>
      <c r="AP377" s="331">
        <v>0</v>
      </c>
      <c r="AQ377" s="331">
        <v>0</v>
      </c>
      <c r="AR377" s="331">
        <v>0</v>
      </c>
      <c r="AS377" s="1025" t="b">
        <v>0</v>
      </c>
      <c r="AT377" s="1025" t="b">
        <v>0</v>
      </c>
      <c r="AU377" s="331">
        <v>899775</v>
      </c>
      <c r="AV377" s="491" t="s">
        <v>29</v>
      </c>
    </row>
    <row r="378" spans="1:48">
      <c r="A378" s="72">
        <v>30</v>
      </c>
      <c r="B378" s="391" t="s">
        <v>68</v>
      </c>
      <c r="C378" s="72">
        <f t="shared" si="15"/>
        <v>13</v>
      </c>
      <c r="D378" s="72" t="str">
        <f t="shared" si="16"/>
        <v>30-13</v>
      </c>
      <c r="E378" s="72">
        <v>64774</v>
      </c>
      <c r="F378" s="72" t="str">
        <f t="shared" si="17"/>
        <v>30-64774</v>
      </c>
      <c r="G378" s="391" t="s">
        <v>821</v>
      </c>
      <c r="H378" s="331">
        <v>14650.19</v>
      </c>
      <c r="I378" s="331">
        <v>13470.24</v>
      </c>
      <c r="J378" s="331">
        <v>13869.83</v>
      </c>
      <c r="K378" s="331">
        <v>16491.78</v>
      </c>
      <c r="L378" s="491" t="s">
        <v>29</v>
      </c>
      <c r="M378" s="491" t="s">
        <v>29</v>
      </c>
      <c r="N378" s="491" t="s">
        <v>29</v>
      </c>
      <c r="O378" s="491" t="s">
        <v>29</v>
      </c>
      <c r="P378" s="491">
        <v>0</v>
      </c>
      <c r="Q378" s="491">
        <v>0</v>
      </c>
      <c r="R378" s="491">
        <v>0</v>
      </c>
      <c r="S378" s="491">
        <v>2.97</v>
      </c>
      <c r="T378" s="1025" t="b">
        <v>0</v>
      </c>
      <c r="U378" s="491">
        <v>0</v>
      </c>
      <c r="V378" s="491">
        <v>0</v>
      </c>
      <c r="W378" s="491">
        <v>0</v>
      </c>
      <c r="X378" s="491">
        <v>0</v>
      </c>
      <c r="Y378" s="1025" t="b">
        <v>0</v>
      </c>
      <c r="Z378" s="331">
        <v>0</v>
      </c>
      <c r="AA378" s="331">
        <v>0</v>
      </c>
      <c r="AB378" s="331">
        <v>0</v>
      </c>
      <c r="AC378" s="331">
        <v>0</v>
      </c>
      <c r="AD378" s="1025" t="b">
        <v>0</v>
      </c>
      <c r="AE378" s="331">
        <v>0</v>
      </c>
      <c r="AF378" s="331">
        <v>0</v>
      </c>
      <c r="AG378" s="331">
        <v>0</v>
      </c>
      <c r="AH378" s="331">
        <v>0</v>
      </c>
      <c r="AI378" s="1025" t="b">
        <v>0</v>
      </c>
      <c r="AJ378" s="331">
        <v>0</v>
      </c>
      <c r="AK378" s="331">
        <v>0</v>
      </c>
      <c r="AL378" s="331">
        <v>0</v>
      </c>
      <c r="AM378" s="331">
        <v>0</v>
      </c>
      <c r="AN378" s="1025" t="b">
        <v>0</v>
      </c>
      <c r="AO378" s="331">
        <v>0</v>
      </c>
      <c r="AP378" s="331">
        <v>0</v>
      </c>
      <c r="AQ378" s="331">
        <v>0</v>
      </c>
      <c r="AR378" s="331">
        <v>0</v>
      </c>
      <c r="AS378" s="1025" t="b">
        <v>0</v>
      </c>
      <c r="AT378" s="1025" t="b">
        <v>0</v>
      </c>
      <c r="AU378" s="331">
        <v>48981</v>
      </c>
      <c r="AV378" s="491" t="s">
        <v>29</v>
      </c>
    </row>
    <row r="379" spans="1:48">
      <c r="A379" s="72">
        <v>30</v>
      </c>
      <c r="B379" s="391" t="s">
        <v>68</v>
      </c>
      <c r="C379" s="72">
        <f t="shared" si="15"/>
        <v>14</v>
      </c>
      <c r="D379" s="72" t="str">
        <f t="shared" si="16"/>
        <v>30-14</v>
      </c>
      <c r="E379" s="72">
        <v>64808</v>
      </c>
      <c r="F379" s="72" t="str">
        <f t="shared" si="17"/>
        <v>30-64808</v>
      </c>
      <c r="G379" s="391" t="s">
        <v>823</v>
      </c>
      <c r="H379" s="331">
        <v>13547.52</v>
      </c>
      <c r="I379" s="331">
        <v>12456.38</v>
      </c>
      <c r="J379" s="331">
        <v>12825.9</v>
      </c>
      <c r="K379" s="331">
        <v>15250.5</v>
      </c>
      <c r="L379" s="491" t="s">
        <v>29</v>
      </c>
      <c r="M379" s="491" t="s">
        <v>29</v>
      </c>
      <c r="N379" s="491" t="s">
        <v>29</v>
      </c>
      <c r="O379" s="491" t="s">
        <v>29</v>
      </c>
      <c r="P379" s="491">
        <v>0</v>
      </c>
      <c r="Q379" s="491">
        <v>0</v>
      </c>
      <c r="R379" s="491">
        <v>1.23</v>
      </c>
      <c r="S379" s="491">
        <v>7.0000000000000007E-2</v>
      </c>
      <c r="T379" s="1025" t="b">
        <v>0</v>
      </c>
      <c r="U379" s="491">
        <v>0</v>
      </c>
      <c r="V379" s="491">
        <v>0</v>
      </c>
      <c r="W379" s="491">
        <v>0</v>
      </c>
      <c r="X379" s="491">
        <v>0</v>
      </c>
      <c r="Y379" s="1025" t="b">
        <v>0</v>
      </c>
      <c r="Z379" s="331">
        <v>0</v>
      </c>
      <c r="AA379" s="331">
        <v>0</v>
      </c>
      <c r="AB379" s="331">
        <v>0</v>
      </c>
      <c r="AC379" s="331">
        <v>0</v>
      </c>
      <c r="AD379" s="1025" t="b">
        <v>0</v>
      </c>
      <c r="AE379" s="331">
        <v>0</v>
      </c>
      <c r="AF379" s="331">
        <v>0</v>
      </c>
      <c r="AG379" s="331">
        <v>0</v>
      </c>
      <c r="AH379" s="331">
        <v>0</v>
      </c>
      <c r="AI379" s="1025" t="b">
        <v>0</v>
      </c>
      <c r="AJ379" s="331">
        <v>0</v>
      </c>
      <c r="AK379" s="331">
        <v>0</v>
      </c>
      <c r="AL379" s="331">
        <v>0</v>
      </c>
      <c r="AM379" s="331">
        <v>0</v>
      </c>
      <c r="AN379" s="1025" t="b">
        <v>0</v>
      </c>
      <c r="AO379" s="331">
        <v>0</v>
      </c>
      <c r="AP379" s="331">
        <v>0</v>
      </c>
      <c r="AQ379" s="331">
        <v>0</v>
      </c>
      <c r="AR379" s="331">
        <v>0</v>
      </c>
      <c r="AS379" s="1025" t="b">
        <v>0</v>
      </c>
      <c r="AT379" s="1025" t="b">
        <v>0</v>
      </c>
      <c r="AU379" s="331">
        <v>16844</v>
      </c>
      <c r="AV379" s="491" t="s">
        <v>29</v>
      </c>
    </row>
    <row r="380" spans="1:48">
      <c r="A380" s="72">
        <v>30</v>
      </c>
      <c r="B380" s="391" t="s">
        <v>68</v>
      </c>
      <c r="C380" s="72">
        <f t="shared" si="15"/>
        <v>15</v>
      </c>
      <c r="D380" s="72" t="str">
        <f t="shared" si="16"/>
        <v>30-15</v>
      </c>
      <c r="E380" s="72">
        <v>64840</v>
      </c>
      <c r="F380" s="72" t="str">
        <f t="shared" si="17"/>
        <v>30-64840</v>
      </c>
      <c r="G380" s="391" t="s">
        <v>824</v>
      </c>
      <c r="H380" s="331">
        <v>12478.4</v>
      </c>
      <c r="I380" s="331">
        <v>11473.37</v>
      </c>
      <c r="J380" s="331">
        <v>11813.72</v>
      </c>
      <c r="K380" s="331">
        <v>14046.98</v>
      </c>
      <c r="L380" s="491" t="s">
        <v>29</v>
      </c>
      <c r="M380" s="491" t="s">
        <v>29</v>
      </c>
      <c r="N380" s="491" t="s">
        <v>29</v>
      </c>
      <c r="O380" s="491" t="s">
        <v>29</v>
      </c>
      <c r="P380" s="491">
        <v>1.23</v>
      </c>
      <c r="Q380" s="491">
        <v>2.46</v>
      </c>
      <c r="R380" s="491">
        <v>0</v>
      </c>
      <c r="S380" s="491">
        <v>4.46</v>
      </c>
      <c r="T380" s="1025" t="b">
        <v>0</v>
      </c>
      <c r="U380" s="491">
        <v>0</v>
      </c>
      <c r="V380" s="491">
        <v>0</v>
      </c>
      <c r="W380" s="491">
        <v>0</v>
      </c>
      <c r="X380" s="491">
        <v>1.62</v>
      </c>
      <c r="Y380" s="1025" t="b">
        <v>0</v>
      </c>
      <c r="Z380" s="331">
        <v>0</v>
      </c>
      <c r="AA380" s="331">
        <v>0</v>
      </c>
      <c r="AB380" s="331">
        <v>0</v>
      </c>
      <c r="AC380" s="331">
        <v>0</v>
      </c>
      <c r="AD380" s="1025" t="b">
        <v>0</v>
      </c>
      <c r="AE380" s="331">
        <v>0</v>
      </c>
      <c r="AF380" s="331">
        <v>0</v>
      </c>
      <c r="AG380" s="331">
        <v>0</v>
      </c>
      <c r="AH380" s="331">
        <v>0.21</v>
      </c>
      <c r="AI380" s="1025" t="b">
        <v>0</v>
      </c>
      <c r="AJ380" s="331">
        <v>0</v>
      </c>
      <c r="AK380" s="331">
        <v>0</v>
      </c>
      <c r="AL380" s="331">
        <v>0</v>
      </c>
      <c r="AM380" s="331">
        <v>0</v>
      </c>
      <c r="AN380" s="1025" t="b">
        <v>0</v>
      </c>
      <c r="AO380" s="331">
        <v>0</v>
      </c>
      <c r="AP380" s="331">
        <v>0</v>
      </c>
      <c r="AQ380" s="331">
        <v>0</v>
      </c>
      <c r="AR380" s="331">
        <v>0</v>
      </c>
      <c r="AS380" s="1025" t="b">
        <v>0</v>
      </c>
      <c r="AT380" s="1025" t="b">
        <v>0</v>
      </c>
      <c r="AU380" s="331">
        <v>131928</v>
      </c>
      <c r="AV380" s="491" t="s">
        <v>29</v>
      </c>
    </row>
    <row r="381" spans="1:48">
      <c r="A381" s="72">
        <v>30</v>
      </c>
      <c r="B381" s="391" t="s">
        <v>68</v>
      </c>
      <c r="C381" s="72">
        <f t="shared" si="15"/>
        <v>16</v>
      </c>
      <c r="D381" s="72" t="str">
        <f t="shared" si="16"/>
        <v>30-16</v>
      </c>
      <c r="E381" s="72">
        <v>64873</v>
      </c>
      <c r="F381" s="72" t="str">
        <f t="shared" si="17"/>
        <v>30-64873</v>
      </c>
      <c r="G381" s="391" t="s">
        <v>825</v>
      </c>
      <c r="H381" s="331">
        <v>14612.34</v>
      </c>
      <c r="I381" s="331">
        <v>13435.44</v>
      </c>
      <c r="J381" s="331">
        <v>13834</v>
      </c>
      <c r="K381" s="331">
        <v>16449.169999999998</v>
      </c>
      <c r="L381" s="491" t="s">
        <v>29</v>
      </c>
      <c r="M381" s="491" t="s">
        <v>29</v>
      </c>
      <c r="N381" s="491" t="s">
        <v>29</v>
      </c>
      <c r="O381" s="491" t="s">
        <v>29</v>
      </c>
      <c r="P381" s="491">
        <v>0</v>
      </c>
      <c r="Q381" s="491">
        <v>3.69</v>
      </c>
      <c r="R381" s="491">
        <v>0</v>
      </c>
      <c r="S381" s="491">
        <v>1.49</v>
      </c>
      <c r="T381" s="1025" t="b">
        <v>0</v>
      </c>
      <c r="U381" s="491">
        <v>0</v>
      </c>
      <c r="V381" s="491">
        <v>0</v>
      </c>
      <c r="W381" s="491">
        <v>0</v>
      </c>
      <c r="X381" s="491">
        <v>0</v>
      </c>
      <c r="Y381" s="1025" t="b">
        <v>0</v>
      </c>
      <c r="Z381" s="331">
        <v>0</v>
      </c>
      <c r="AA381" s="331">
        <v>0</v>
      </c>
      <c r="AB381" s="331">
        <v>0</v>
      </c>
      <c r="AC381" s="331">
        <v>0</v>
      </c>
      <c r="AD381" s="1025" t="b">
        <v>0</v>
      </c>
      <c r="AE381" s="331">
        <v>0</v>
      </c>
      <c r="AF381" s="331">
        <v>0</v>
      </c>
      <c r="AG381" s="331">
        <v>0</v>
      </c>
      <c r="AH381" s="331">
        <v>0</v>
      </c>
      <c r="AI381" s="1025" t="b">
        <v>0</v>
      </c>
      <c r="AJ381" s="331">
        <v>0</v>
      </c>
      <c r="AK381" s="331">
        <v>0</v>
      </c>
      <c r="AL381" s="331">
        <v>0</v>
      </c>
      <c r="AM381" s="331">
        <v>0</v>
      </c>
      <c r="AN381" s="1025" t="b">
        <v>0</v>
      </c>
      <c r="AO381" s="331">
        <v>0</v>
      </c>
      <c r="AP381" s="331">
        <v>0</v>
      </c>
      <c r="AQ381" s="331">
        <v>0</v>
      </c>
      <c r="AR381" s="331">
        <v>0</v>
      </c>
      <c r="AS381" s="1025" t="b">
        <v>0</v>
      </c>
      <c r="AT381" s="1025" t="b">
        <v>0</v>
      </c>
      <c r="AU381" s="331">
        <v>74086</v>
      </c>
      <c r="AV381" s="491" t="s">
        <v>29</v>
      </c>
    </row>
    <row r="382" spans="1:48">
      <c r="A382" s="72">
        <v>30</v>
      </c>
      <c r="B382" s="391" t="s">
        <v>68</v>
      </c>
      <c r="C382" s="72">
        <f t="shared" si="15"/>
        <v>17</v>
      </c>
      <c r="D382" s="72" t="str">
        <f t="shared" si="16"/>
        <v>30-17</v>
      </c>
      <c r="E382" s="72">
        <v>65037</v>
      </c>
      <c r="F382" s="72" t="str">
        <f t="shared" si="17"/>
        <v>30-65037</v>
      </c>
      <c r="G382" s="391" t="s">
        <v>1746</v>
      </c>
      <c r="H382" s="331">
        <v>14238.19</v>
      </c>
      <c r="I382" s="331">
        <v>13091.43</v>
      </c>
      <c r="J382" s="331">
        <v>13479.78</v>
      </c>
      <c r="K382" s="331">
        <v>16027.99</v>
      </c>
      <c r="L382" s="491" t="s">
        <v>29</v>
      </c>
      <c r="M382" s="491" t="s">
        <v>29</v>
      </c>
      <c r="N382" s="491" t="s">
        <v>29</v>
      </c>
      <c r="O382" s="491" t="s">
        <v>29</v>
      </c>
      <c r="P382" s="491">
        <v>0</v>
      </c>
      <c r="Q382" s="491">
        <v>0</v>
      </c>
      <c r="R382" s="491">
        <v>0</v>
      </c>
      <c r="S382" s="491">
        <v>0</v>
      </c>
      <c r="T382" s="1025" t="b">
        <v>0</v>
      </c>
      <c r="U382" s="491">
        <v>0</v>
      </c>
      <c r="V382" s="491">
        <v>0</v>
      </c>
      <c r="W382" s="491">
        <v>0.3</v>
      </c>
      <c r="X382" s="491">
        <v>0</v>
      </c>
      <c r="Y382" s="1025" t="b">
        <v>0</v>
      </c>
      <c r="Z382" s="331">
        <v>0</v>
      </c>
      <c r="AA382" s="331">
        <v>0</v>
      </c>
      <c r="AB382" s="331">
        <v>0</v>
      </c>
      <c r="AC382" s="331">
        <v>0</v>
      </c>
      <c r="AD382" s="1025" t="b">
        <v>0</v>
      </c>
      <c r="AE382" s="331">
        <v>0</v>
      </c>
      <c r="AF382" s="331">
        <v>0</v>
      </c>
      <c r="AG382" s="331">
        <v>0</v>
      </c>
      <c r="AH382" s="331">
        <v>0</v>
      </c>
      <c r="AI382" s="1025" t="b">
        <v>0</v>
      </c>
      <c r="AJ382" s="331">
        <v>0</v>
      </c>
      <c r="AK382" s="331">
        <v>0</v>
      </c>
      <c r="AL382" s="331">
        <v>0</v>
      </c>
      <c r="AM382" s="331">
        <v>0</v>
      </c>
      <c r="AN382" s="1025" t="b">
        <v>0</v>
      </c>
      <c r="AO382" s="331">
        <v>0</v>
      </c>
      <c r="AP382" s="331">
        <v>0</v>
      </c>
      <c r="AQ382" s="331">
        <v>0</v>
      </c>
      <c r="AR382" s="331">
        <v>0</v>
      </c>
      <c r="AS382" s="1025" t="b">
        <v>0</v>
      </c>
      <c r="AT382" s="1025" t="b">
        <v>0</v>
      </c>
      <c r="AU382" s="331">
        <v>4044</v>
      </c>
      <c r="AV382" s="491" t="s">
        <v>29</v>
      </c>
    </row>
    <row r="383" spans="1:48">
      <c r="A383" s="72">
        <v>30</v>
      </c>
      <c r="B383" s="391" t="s">
        <v>68</v>
      </c>
      <c r="C383" s="72">
        <f t="shared" si="15"/>
        <v>18</v>
      </c>
      <c r="D383" s="72" t="str">
        <f t="shared" si="16"/>
        <v>30-18</v>
      </c>
      <c r="E383" s="72">
        <v>65094</v>
      </c>
      <c r="F383" s="72" t="str">
        <f t="shared" si="17"/>
        <v>30-65094</v>
      </c>
      <c r="G383" s="391" t="s">
        <v>833</v>
      </c>
      <c r="H383" s="331">
        <v>12719.23</v>
      </c>
      <c r="I383" s="331">
        <v>11694.8</v>
      </c>
      <c r="J383" s="331">
        <v>12041.72</v>
      </c>
      <c r="K383" s="331">
        <v>14318.09</v>
      </c>
      <c r="L383" s="491" t="s">
        <v>29</v>
      </c>
      <c r="M383" s="491" t="s">
        <v>29</v>
      </c>
      <c r="N383" s="491" t="s">
        <v>29</v>
      </c>
      <c r="O383" s="491" t="s">
        <v>29</v>
      </c>
      <c r="P383" s="491">
        <v>0</v>
      </c>
      <c r="Q383" s="491">
        <v>0</v>
      </c>
      <c r="R383" s="491">
        <v>0</v>
      </c>
      <c r="S383" s="491">
        <v>1.49</v>
      </c>
      <c r="T383" s="1025" t="b">
        <v>0</v>
      </c>
      <c r="U383" s="491">
        <v>0</v>
      </c>
      <c r="V383" s="491">
        <v>0</v>
      </c>
      <c r="W383" s="491">
        <v>0</v>
      </c>
      <c r="X383" s="491">
        <v>0</v>
      </c>
      <c r="Y383" s="1025" t="b">
        <v>0</v>
      </c>
      <c r="Z383" s="331">
        <v>0</v>
      </c>
      <c r="AA383" s="331">
        <v>0</v>
      </c>
      <c r="AB383" s="331">
        <v>0</v>
      </c>
      <c r="AC383" s="331">
        <v>0</v>
      </c>
      <c r="AD383" s="1025" t="b">
        <v>0</v>
      </c>
      <c r="AE383" s="331">
        <v>0</v>
      </c>
      <c r="AF383" s="331">
        <v>0</v>
      </c>
      <c r="AG383" s="331">
        <v>0</v>
      </c>
      <c r="AH383" s="331">
        <v>0</v>
      </c>
      <c r="AI383" s="1025" t="b">
        <v>0</v>
      </c>
      <c r="AJ383" s="331">
        <v>0</v>
      </c>
      <c r="AK383" s="331">
        <v>0</v>
      </c>
      <c r="AL383" s="331">
        <v>0</v>
      </c>
      <c r="AM383" s="331">
        <v>0</v>
      </c>
      <c r="AN383" s="1025" t="b">
        <v>0</v>
      </c>
      <c r="AO383" s="331">
        <v>0</v>
      </c>
      <c r="AP383" s="331">
        <v>0</v>
      </c>
      <c r="AQ383" s="331">
        <v>0</v>
      </c>
      <c r="AR383" s="331">
        <v>0</v>
      </c>
      <c r="AS383" s="1025" t="b">
        <v>0</v>
      </c>
      <c r="AT383" s="1025" t="b">
        <v>0</v>
      </c>
      <c r="AU383" s="331">
        <v>21334</v>
      </c>
      <c r="AV383" s="491" t="s">
        <v>29</v>
      </c>
    </row>
    <row r="384" spans="1:48">
      <c r="A384" s="72">
        <v>30</v>
      </c>
      <c r="B384" s="391" t="s">
        <v>68</v>
      </c>
      <c r="C384" s="72">
        <f t="shared" si="15"/>
        <v>19</v>
      </c>
      <c r="D384" s="72" t="str">
        <f t="shared" si="16"/>
        <v>30-19</v>
      </c>
      <c r="E384" s="72">
        <v>65110</v>
      </c>
      <c r="F384" s="72" t="str">
        <f t="shared" si="17"/>
        <v>30-65110</v>
      </c>
      <c r="G384" s="391" t="s">
        <v>936</v>
      </c>
      <c r="H384" s="331">
        <v>12903.29</v>
      </c>
      <c r="I384" s="331">
        <v>11864.04</v>
      </c>
      <c r="J384" s="331">
        <v>12215.98</v>
      </c>
      <c r="K384" s="331">
        <v>14525.29</v>
      </c>
      <c r="L384" s="491" t="s">
        <v>29</v>
      </c>
      <c r="M384" s="491" t="s">
        <v>29</v>
      </c>
      <c r="N384" s="491" t="s">
        <v>29</v>
      </c>
      <c r="O384" s="491" t="s">
        <v>29</v>
      </c>
      <c r="P384" s="491">
        <v>0</v>
      </c>
      <c r="Q384" s="491">
        <v>0</v>
      </c>
      <c r="R384" s="491">
        <v>0</v>
      </c>
      <c r="S384" s="491">
        <v>0</v>
      </c>
      <c r="T384" s="1025" t="b">
        <v>0</v>
      </c>
      <c r="U384" s="491">
        <v>0.82</v>
      </c>
      <c r="V384" s="491">
        <v>0</v>
      </c>
      <c r="W384" s="491">
        <v>0.97</v>
      </c>
      <c r="X384" s="491">
        <v>0</v>
      </c>
      <c r="Y384" s="1025" t="b">
        <v>0</v>
      </c>
      <c r="Z384" s="331">
        <v>0</v>
      </c>
      <c r="AA384" s="331">
        <v>0</v>
      </c>
      <c r="AB384" s="331">
        <v>0</v>
      </c>
      <c r="AC384" s="331">
        <v>0</v>
      </c>
      <c r="AD384" s="1025" t="b">
        <v>0</v>
      </c>
      <c r="AE384" s="331">
        <v>0</v>
      </c>
      <c r="AF384" s="331">
        <v>0</v>
      </c>
      <c r="AG384" s="331">
        <v>0.11</v>
      </c>
      <c r="AH384" s="331">
        <v>0</v>
      </c>
      <c r="AI384" s="1025" t="b">
        <v>0</v>
      </c>
      <c r="AJ384" s="331">
        <v>0</v>
      </c>
      <c r="AK384" s="331">
        <v>0</v>
      </c>
      <c r="AL384" s="331">
        <v>0</v>
      </c>
      <c r="AM384" s="331">
        <v>0</v>
      </c>
      <c r="AN384" s="1025" t="b">
        <v>0</v>
      </c>
      <c r="AO384" s="331">
        <v>0</v>
      </c>
      <c r="AP384" s="331">
        <v>0</v>
      </c>
      <c r="AQ384" s="331">
        <v>0</v>
      </c>
      <c r="AR384" s="331">
        <v>0</v>
      </c>
      <c r="AS384" s="1025" t="b">
        <v>0</v>
      </c>
      <c r="AT384" s="1025" t="b">
        <v>0</v>
      </c>
      <c r="AU384" s="331">
        <v>23774</v>
      </c>
      <c r="AV384" s="491" t="s">
        <v>29</v>
      </c>
    </row>
    <row r="385" spans="1:48">
      <c r="A385" s="72">
        <v>30</v>
      </c>
      <c r="B385" s="391" t="s">
        <v>68</v>
      </c>
      <c r="C385" s="72">
        <f t="shared" si="15"/>
        <v>20</v>
      </c>
      <c r="D385" s="72" t="str">
        <f t="shared" si="16"/>
        <v>30-20</v>
      </c>
      <c r="E385" s="72">
        <v>65128</v>
      </c>
      <c r="F385" s="72" t="str">
        <f t="shared" si="17"/>
        <v>30-65128</v>
      </c>
      <c r="G385" s="391" t="s">
        <v>834</v>
      </c>
      <c r="H385" s="331">
        <v>12882.65</v>
      </c>
      <c r="I385" s="331">
        <v>11845.06</v>
      </c>
      <c r="J385" s="331">
        <v>12196.44</v>
      </c>
      <c r="K385" s="331">
        <v>14502.05</v>
      </c>
      <c r="L385" s="491" t="s">
        <v>29</v>
      </c>
      <c r="M385" s="491" t="s">
        <v>29</v>
      </c>
      <c r="N385" s="491" t="s">
        <v>29</v>
      </c>
      <c r="O385" s="491" t="s">
        <v>29</v>
      </c>
      <c r="P385" s="491">
        <v>0</v>
      </c>
      <c r="Q385" s="491">
        <v>0</v>
      </c>
      <c r="R385" s="491">
        <v>0</v>
      </c>
      <c r="S385" s="491">
        <v>9.1999999999999993</v>
      </c>
      <c r="T385" s="1025" t="b">
        <v>0</v>
      </c>
      <c r="U385" s="491">
        <v>0</v>
      </c>
      <c r="V385" s="491">
        <v>0</v>
      </c>
      <c r="W385" s="491">
        <v>0</v>
      </c>
      <c r="X385" s="491">
        <v>4.54</v>
      </c>
      <c r="Y385" s="1025" t="b">
        <v>0</v>
      </c>
      <c r="Z385" s="331">
        <v>0</v>
      </c>
      <c r="AA385" s="331">
        <v>0</v>
      </c>
      <c r="AB385" s="331">
        <v>0</v>
      </c>
      <c r="AC385" s="331">
        <v>0</v>
      </c>
      <c r="AD385" s="1025" t="b">
        <v>0</v>
      </c>
      <c r="AE385" s="331">
        <v>0</v>
      </c>
      <c r="AF385" s="331">
        <v>0</v>
      </c>
      <c r="AG385" s="331">
        <v>0</v>
      </c>
      <c r="AH385" s="331">
        <v>0.42</v>
      </c>
      <c r="AI385" s="1025" t="b">
        <v>0</v>
      </c>
      <c r="AJ385" s="331">
        <v>0</v>
      </c>
      <c r="AK385" s="331">
        <v>0</v>
      </c>
      <c r="AL385" s="331">
        <v>0</v>
      </c>
      <c r="AM385" s="331">
        <v>0</v>
      </c>
      <c r="AN385" s="1025" t="b">
        <v>0</v>
      </c>
      <c r="AO385" s="331">
        <v>0</v>
      </c>
      <c r="AP385" s="331">
        <v>0</v>
      </c>
      <c r="AQ385" s="331">
        <v>0</v>
      </c>
      <c r="AR385" s="331">
        <v>0</v>
      </c>
      <c r="AS385" s="1025" t="b">
        <v>0</v>
      </c>
      <c r="AT385" s="1025" t="b">
        <v>0</v>
      </c>
      <c r="AU385" s="331">
        <v>205349</v>
      </c>
      <c r="AV385" s="491" t="s">
        <v>29</v>
      </c>
    </row>
    <row r="386" spans="1:48">
      <c r="A386" s="72">
        <v>30</v>
      </c>
      <c r="B386" s="391" t="s">
        <v>68</v>
      </c>
      <c r="C386" s="72">
        <f t="shared" si="15"/>
        <v>21</v>
      </c>
      <c r="D386" s="72" t="str">
        <f t="shared" si="16"/>
        <v>30-21</v>
      </c>
      <c r="E386" s="72">
        <v>73437</v>
      </c>
      <c r="F386" s="72" t="str">
        <f t="shared" si="17"/>
        <v>30-73437</v>
      </c>
      <c r="G386" s="391" t="s">
        <v>836</v>
      </c>
      <c r="H386" s="331">
        <v>14555.57</v>
      </c>
      <c r="I386" s="331">
        <v>13383.25</v>
      </c>
      <c r="J386" s="331">
        <v>13780.26</v>
      </c>
      <c r="K386" s="331">
        <v>16385.27</v>
      </c>
      <c r="L386" s="491" t="s">
        <v>29</v>
      </c>
      <c r="M386" s="491" t="s">
        <v>29</v>
      </c>
      <c r="N386" s="491" t="s">
        <v>29</v>
      </c>
      <c r="O386" s="491" t="s">
        <v>29</v>
      </c>
      <c r="P386" s="491">
        <v>0</v>
      </c>
      <c r="Q386" s="491">
        <v>0</v>
      </c>
      <c r="R386" s="491">
        <v>0</v>
      </c>
      <c r="S386" s="491">
        <v>1.49</v>
      </c>
      <c r="T386" s="1025" t="b">
        <v>0</v>
      </c>
      <c r="U386" s="491">
        <v>0</v>
      </c>
      <c r="V386" s="491">
        <v>0</v>
      </c>
      <c r="W386" s="491">
        <v>0</v>
      </c>
      <c r="X386" s="491">
        <v>0</v>
      </c>
      <c r="Y386" s="1025" t="b">
        <v>0</v>
      </c>
      <c r="Z386" s="331">
        <v>0</v>
      </c>
      <c r="AA386" s="331">
        <v>0</v>
      </c>
      <c r="AB386" s="331">
        <v>0</v>
      </c>
      <c r="AC386" s="331">
        <v>0</v>
      </c>
      <c r="AD386" s="1025" t="b">
        <v>0</v>
      </c>
      <c r="AE386" s="331">
        <v>0</v>
      </c>
      <c r="AF386" s="331">
        <v>0</v>
      </c>
      <c r="AG386" s="331">
        <v>0</v>
      </c>
      <c r="AH386" s="331">
        <v>0</v>
      </c>
      <c r="AI386" s="1025" t="b">
        <v>0</v>
      </c>
      <c r="AJ386" s="331">
        <v>0</v>
      </c>
      <c r="AK386" s="331">
        <v>0</v>
      </c>
      <c r="AL386" s="331">
        <v>0</v>
      </c>
      <c r="AM386" s="331">
        <v>0</v>
      </c>
      <c r="AN386" s="1025" t="b">
        <v>0</v>
      </c>
      <c r="AO386" s="331">
        <v>0</v>
      </c>
      <c r="AP386" s="331">
        <v>0</v>
      </c>
      <c r="AQ386" s="331">
        <v>0</v>
      </c>
      <c r="AR386" s="331">
        <v>0</v>
      </c>
      <c r="AS386" s="1025" t="b">
        <v>0</v>
      </c>
      <c r="AT386" s="1025" t="b">
        <v>0</v>
      </c>
      <c r="AU386" s="331">
        <v>24414</v>
      </c>
      <c r="AV386" s="491" t="s">
        <v>29</v>
      </c>
    </row>
    <row r="387" spans="1:48">
      <c r="A387" s="72">
        <v>30</v>
      </c>
      <c r="B387" s="391" t="s">
        <v>68</v>
      </c>
      <c r="C387" s="72">
        <f t="shared" si="15"/>
        <v>22</v>
      </c>
      <c r="D387" s="72" t="str">
        <f t="shared" si="16"/>
        <v>30-22</v>
      </c>
      <c r="E387" s="72">
        <v>73445</v>
      </c>
      <c r="F387" s="72" t="str">
        <f t="shared" si="17"/>
        <v>30-73445</v>
      </c>
      <c r="G387" s="391" t="s">
        <v>837</v>
      </c>
      <c r="H387" s="331">
        <v>13009.95</v>
      </c>
      <c r="I387" s="331">
        <v>11962.11</v>
      </c>
      <c r="J387" s="331">
        <v>12316.96</v>
      </c>
      <c r="K387" s="331">
        <v>14645.35</v>
      </c>
      <c r="L387" s="491" t="s">
        <v>29</v>
      </c>
      <c r="M387" s="491" t="s">
        <v>29</v>
      </c>
      <c r="N387" s="491" t="s">
        <v>29</v>
      </c>
      <c r="O387" s="491" t="s">
        <v>29</v>
      </c>
      <c r="P387" s="491">
        <v>0</v>
      </c>
      <c r="Q387" s="491">
        <v>0</v>
      </c>
      <c r="R387" s="491">
        <v>0</v>
      </c>
      <c r="S387" s="491">
        <v>2.97</v>
      </c>
      <c r="T387" s="1025" t="b">
        <v>0</v>
      </c>
      <c r="U387" s="491">
        <v>0</v>
      </c>
      <c r="V387" s="491">
        <v>0</v>
      </c>
      <c r="W387" s="491">
        <v>0</v>
      </c>
      <c r="X387" s="491">
        <v>0</v>
      </c>
      <c r="Y387" s="1025" t="b">
        <v>0</v>
      </c>
      <c r="Z387" s="331">
        <v>0</v>
      </c>
      <c r="AA387" s="331">
        <v>0</v>
      </c>
      <c r="AB387" s="331">
        <v>0</v>
      </c>
      <c r="AC387" s="331">
        <v>0</v>
      </c>
      <c r="AD387" s="1025" t="b">
        <v>0</v>
      </c>
      <c r="AE387" s="331">
        <v>0</v>
      </c>
      <c r="AF387" s="331">
        <v>0</v>
      </c>
      <c r="AG387" s="331">
        <v>0</v>
      </c>
      <c r="AH387" s="331">
        <v>0</v>
      </c>
      <c r="AI387" s="1025" t="b">
        <v>0</v>
      </c>
      <c r="AJ387" s="331">
        <v>0</v>
      </c>
      <c r="AK387" s="331">
        <v>0</v>
      </c>
      <c r="AL387" s="331">
        <v>0</v>
      </c>
      <c r="AM387" s="331">
        <v>0</v>
      </c>
      <c r="AN387" s="1025" t="b">
        <v>0</v>
      </c>
      <c r="AO387" s="331">
        <v>0</v>
      </c>
      <c r="AP387" s="331">
        <v>0</v>
      </c>
      <c r="AQ387" s="331">
        <v>0</v>
      </c>
      <c r="AR387" s="331">
        <v>0</v>
      </c>
      <c r="AS387" s="1025" t="b">
        <v>0</v>
      </c>
      <c r="AT387" s="1025" t="b">
        <v>0</v>
      </c>
      <c r="AU387" s="331">
        <v>43497</v>
      </c>
      <c r="AV387" s="491" t="s">
        <v>29</v>
      </c>
    </row>
    <row r="388" spans="1:48">
      <c r="A388" s="72">
        <v>30</v>
      </c>
      <c r="B388" s="391" t="s">
        <v>68</v>
      </c>
      <c r="C388" s="72">
        <f t="shared" si="15"/>
        <v>23</v>
      </c>
      <c r="D388" s="72" t="str">
        <f t="shared" si="16"/>
        <v>30-23</v>
      </c>
      <c r="E388" s="72">
        <v>73452</v>
      </c>
      <c r="F388" s="72" t="str">
        <f t="shared" si="17"/>
        <v>30-73452</v>
      </c>
      <c r="G388" s="391" t="s">
        <v>838</v>
      </c>
      <c r="H388" s="331">
        <v>13279.16</v>
      </c>
      <c r="I388" s="331">
        <v>12209.64</v>
      </c>
      <c r="J388" s="331">
        <v>12571.83</v>
      </c>
      <c r="K388" s="331">
        <v>14948.41</v>
      </c>
      <c r="L388" s="491" t="s">
        <v>29</v>
      </c>
      <c r="M388" s="491" t="s">
        <v>29</v>
      </c>
      <c r="N388" s="491" t="s">
        <v>29</v>
      </c>
      <c r="O388" s="491" t="s">
        <v>29</v>
      </c>
      <c r="P388" s="491">
        <v>0</v>
      </c>
      <c r="Q388" s="491">
        <v>0</v>
      </c>
      <c r="R388" s="491">
        <v>0</v>
      </c>
      <c r="S388" s="491">
        <v>1.49</v>
      </c>
      <c r="T388" s="1025" t="b">
        <v>0</v>
      </c>
      <c r="U388" s="491">
        <v>0</v>
      </c>
      <c r="V388" s="491">
        <v>0</v>
      </c>
      <c r="W388" s="491">
        <v>0</v>
      </c>
      <c r="X388" s="491">
        <v>0</v>
      </c>
      <c r="Y388" s="1025" t="b">
        <v>0</v>
      </c>
      <c r="Z388" s="331">
        <v>0</v>
      </c>
      <c r="AA388" s="331">
        <v>0</v>
      </c>
      <c r="AB388" s="331">
        <v>0</v>
      </c>
      <c r="AC388" s="331">
        <v>0</v>
      </c>
      <c r="AD388" s="1025" t="b">
        <v>0</v>
      </c>
      <c r="AE388" s="331">
        <v>0</v>
      </c>
      <c r="AF388" s="331">
        <v>0</v>
      </c>
      <c r="AG388" s="331">
        <v>0</v>
      </c>
      <c r="AH388" s="331">
        <v>0</v>
      </c>
      <c r="AI388" s="1025" t="b">
        <v>0</v>
      </c>
      <c r="AJ388" s="331">
        <v>0</v>
      </c>
      <c r="AK388" s="331">
        <v>0</v>
      </c>
      <c r="AL388" s="331">
        <v>0</v>
      </c>
      <c r="AM388" s="331">
        <v>0</v>
      </c>
      <c r="AN388" s="1025" t="b">
        <v>0</v>
      </c>
      <c r="AO388" s="331">
        <v>0</v>
      </c>
      <c r="AP388" s="331">
        <v>0</v>
      </c>
      <c r="AQ388" s="331">
        <v>0</v>
      </c>
      <c r="AR388" s="331">
        <v>0</v>
      </c>
      <c r="AS388" s="1025" t="b">
        <v>0</v>
      </c>
      <c r="AT388" s="1025" t="b">
        <v>0</v>
      </c>
      <c r="AU388" s="331">
        <v>22273</v>
      </c>
      <c r="AV388" s="491" t="s">
        <v>29</v>
      </c>
    </row>
    <row r="389" spans="1:48">
      <c r="A389" s="72">
        <v>30</v>
      </c>
      <c r="B389" s="391" t="s">
        <v>68</v>
      </c>
      <c r="C389" s="72">
        <f t="shared" si="15"/>
        <v>24</v>
      </c>
      <c r="D389" s="72" t="str">
        <f t="shared" si="16"/>
        <v>30-24</v>
      </c>
      <c r="E389" s="72">
        <v>73460</v>
      </c>
      <c r="F389" s="72" t="str">
        <f t="shared" si="17"/>
        <v>30-73460</v>
      </c>
      <c r="G389" s="391" t="s">
        <v>839</v>
      </c>
      <c r="H389" s="331">
        <v>10782.4</v>
      </c>
      <c r="I389" s="331">
        <v>9913.9699999999993</v>
      </c>
      <c r="J389" s="331">
        <v>10208.06</v>
      </c>
      <c r="K389" s="331">
        <v>12137.79</v>
      </c>
      <c r="L389" s="491" t="s">
        <v>29</v>
      </c>
      <c r="M389" s="491" t="s">
        <v>29</v>
      </c>
      <c r="N389" s="491" t="s">
        <v>29</v>
      </c>
      <c r="O389" s="491" t="s">
        <v>29</v>
      </c>
      <c r="P389" s="491">
        <v>0</v>
      </c>
      <c r="Q389" s="491">
        <v>0</v>
      </c>
      <c r="R389" s="491">
        <v>0</v>
      </c>
      <c r="S389" s="491">
        <v>0.4</v>
      </c>
      <c r="T389" s="1025" t="b">
        <v>0</v>
      </c>
      <c r="U389" s="491">
        <v>0</v>
      </c>
      <c r="V389" s="491">
        <v>0</v>
      </c>
      <c r="W389" s="491">
        <v>0</v>
      </c>
      <c r="X389" s="491">
        <v>0</v>
      </c>
      <c r="Y389" s="1025" t="b">
        <v>0</v>
      </c>
      <c r="Z389" s="331">
        <v>0</v>
      </c>
      <c r="AA389" s="331">
        <v>0</v>
      </c>
      <c r="AB389" s="331">
        <v>0</v>
      </c>
      <c r="AC389" s="331">
        <v>0</v>
      </c>
      <c r="AD389" s="1025" t="b">
        <v>0</v>
      </c>
      <c r="AE389" s="331">
        <v>0</v>
      </c>
      <c r="AF389" s="331">
        <v>0</v>
      </c>
      <c r="AG389" s="331">
        <v>0</v>
      </c>
      <c r="AH389" s="331">
        <v>0</v>
      </c>
      <c r="AI389" s="1025" t="b">
        <v>0</v>
      </c>
      <c r="AJ389" s="331">
        <v>0</v>
      </c>
      <c r="AK389" s="331">
        <v>0</v>
      </c>
      <c r="AL389" s="331">
        <v>0</v>
      </c>
      <c r="AM389" s="331">
        <v>0</v>
      </c>
      <c r="AN389" s="1025" t="b">
        <v>0</v>
      </c>
      <c r="AO389" s="331">
        <v>0</v>
      </c>
      <c r="AP389" s="331">
        <v>0</v>
      </c>
      <c r="AQ389" s="331">
        <v>0</v>
      </c>
      <c r="AR389" s="331">
        <v>0</v>
      </c>
      <c r="AS389" s="1025" t="b">
        <v>0</v>
      </c>
      <c r="AT389" s="1025" t="b">
        <v>0</v>
      </c>
      <c r="AU389" s="331">
        <v>4855</v>
      </c>
      <c r="AV389" s="491" t="s">
        <v>29</v>
      </c>
    </row>
    <row r="390" spans="1:48">
      <c r="A390" s="72">
        <v>30</v>
      </c>
      <c r="B390" s="391" t="s">
        <v>68</v>
      </c>
      <c r="C390" s="72">
        <f t="shared" ref="C390:C453" si="18">IF(E390="N/A",0,IF(A389&lt;&gt;A390,1,C389+1))</f>
        <v>25</v>
      </c>
      <c r="D390" s="72" t="str">
        <f t="shared" ref="D390:D453" si="19">A390&amp;"-"&amp;C390</f>
        <v>30-25</v>
      </c>
      <c r="E390" s="72">
        <v>75713</v>
      </c>
      <c r="F390" s="72" t="str">
        <f t="shared" si="17"/>
        <v>30-75713</v>
      </c>
      <c r="G390" s="391" t="s">
        <v>843</v>
      </c>
      <c r="H390" s="331">
        <v>11913.3</v>
      </c>
      <c r="I390" s="331">
        <v>10953.79</v>
      </c>
      <c r="J390" s="331">
        <v>11278.73</v>
      </c>
      <c r="K390" s="331">
        <v>13410.85</v>
      </c>
      <c r="L390" s="491" t="s">
        <v>29</v>
      </c>
      <c r="M390" s="491" t="s">
        <v>29</v>
      </c>
      <c r="N390" s="491" t="s">
        <v>29</v>
      </c>
      <c r="O390" s="491" t="s">
        <v>29</v>
      </c>
      <c r="P390" s="491">
        <v>0</v>
      </c>
      <c r="Q390" s="491">
        <v>0</v>
      </c>
      <c r="R390" s="491">
        <v>0</v>
      </c>
      <c r="S390" s="491">
        <v>0.06</v>
      </c>
      <c r="T390" s="1025" t="b">
        <v>0</v>
      </c>
      <c r="U390" s="491">
        <v>0</v>
      </c>
      <c r="V390" s="491">
        <v>0</v>
      </c>
      <c r="W390" s="491">
        <v>0</v>
      </c>
      <c r="X390" s="491">
        <v>0</v>
      </c>
      <c r="Y390" s="1025" t="b">
        <v>0</v>
      </c>
      <c r="Z390" s="331">
        <v>0</v>
      </c>
      <c r="AA390" s="331">
        <v>0</v>
      </c>
      <c r="AB390" s="331">
        <v>0</v>
      </c>
      <c r="AC390" s="331">
        <v>0</v>
      </c>
      <c r="AD390" s="1025" t="b">
        <v>0</v>
      </c>
      <c r="AE390" s="331">
        <v>0</v>
      </c>
      <c r="AF390" s="331">
        <v>0</v>
      </c>
      <c r="AG390" s="331">
        <v>0</v>
      </c>
      <c r="AH390" s="331">
        <v>0</v>
      </c>
      <c r="AI390" s="1025" t="b">
        <v>0</v>
      </c>
      <c r="AJ390" s="331">
        <v>0</v>
      </c>
      <c r="AK390" s="331">
        <v>0</v>
      </c>
      <c r="AL390" s="331">
        <v>0</v>
      </c>
      <c r="AM390" s="331">
        <v>0</v>
      </c>
      <c r="AN390" s="1025" t="b">
        <v>0</v>
      </c>
      <c r="AO390" s="331">
        <v>0</v>
      </c>
      <c r="AP390" s="331">
        <v>0</v>
      </c>
      <c r="AQ390" s="331">
        <v>0</v>
      </c>
      <c r="AR390" s="331">
        <v>0</v>
      </c>
      <c r="AS390" s="1025" t="b">
        <v>0</v>
      </c>
      <c r="AT390" s="1025" t="b">
        <v>0</v>
      </c>
      <c r="AU390" s="331">
        <v>805</v>
      </c>
      <c r="AV390" s="491" t="s">
        <v>29</v>
      </c>
    </row>
    <row r="391" spans="1:48">
      <c r="A391" s="72">
        <v>30</v>
      </c>
      <c r="B391" s="391" t="s">
        <v>68</v>
      </c>
      <c r="C391" s="72">
        <f t="shared" si="18"/>
        <v>26</v>
      </c>
      <c r="D391" s="72" t="str">
        <f t="shared" si="19"/>
        <v>30-26</v>
      </c>
      <c r="E391" s="72">
        <v>64766</v>
      </c>
      <c r="F391" s="72" t="str">
        <f t="shared" ref="F391:F454" si="20">A391&amp;"-"&amp;E391</f>
        <v>30-64766</v>
      </c>
      <c r="G391" s="391" t="s">
        <v>935</v>
      </c>
      <c r="H391" s="331">
        <v>11152.76</v>
      </c>
      <c r="I391" s="331">
        <v>10254.5</v>
      </c>
      <c r="J391" s="331">
        <v>10558.69</v>
      </c>
      <c r="K391" s="331">
        <v>12554.7</v>
      </c>
      <c r="L391" s="491" t="s">
        <v>29</v>
      </c>
      <c r="M391" s="491" t="s">
        <v>29</v>
      </c>
      <c r="N391" s="491" t="s">
        <v>29</v>
      </c>
      <c r="O391" s="491" t="s">
        <v>29</v>
      </c>
      <c r="P391" s="491">
        <v>0</v>
      </c>
      <c r="Q391" s="491">
        <v>0</v>
      </c>
      <c r="R391" s="491">
        <v>2.73</v>
      </c>
      <c r="S391" s="491">
        <v>0</v>
      </c>
      <c r="T391" s="1025" t="b">
        <v>0</v>
      </c>
      <c r="U391" s="491">
        <v>0</v>
      </c>
      <c r="V391" s="491">
        <v>0</v>
      </c>
      <c r="W391" s="491">
        <v>0</v>
      </c>
      <c r="X391" s="491">
        <v>0</v>
      </c>
      <c r="Y391" s="1025" t="b">
        <v>0</v>
      </c>
      <c r="Z391" s="331">
        <v>0</v>
      </c>
      <c r="AA391" s="331">
        <v>0</v>
      </c>
      <c r="AB391" s="331">
        <v>0</v>
      </c>
      <c r="AC391" s="331">
        <v>0</v>
      </c>
      <c r="AD391" s="1025" t="b">
        <v>0</v>
      </c>
      <c r="AE391" s="331">
        <v>0</v>
      </c>
      <c r="AF391" s="331">
        <v>0</v>
      </c>
      <c r="AG391" s="331">
        <v>0</v>
      </c>
      <c r="AH391" s="331">
        <v>0</v>
      </c>
      <c r="AI391" s="1025" t="b">
        <v>0</v>
      </c>
      <c r="AJ391" s="331">
        <v>0</v>
      </c>
      <c r="AK391" s="331">
        <v>0</v>
      </c>
      <c r="AL391" s="331">
        <v>0</v>
      </c>
      <c r="AM391" s="331">
        <v>0</v>
      </c>
      <c r="AN391" s="1025" t="b">
        <v>0</v>
      </c>
      <c r="AO391" s="331">
        <v>0</v>
      </c>
      <c r="AP391" s="331">
        <v>0</v>
      </c>
      <c r="AQ391" s="331">
        <v>0</v>
      </c>
      <c r="AR391" s="331">
        <v>0</v>
      </c>
      <c r="AS391" s="1025" t="b">
        <v>0</v>
      </c>
      <c r="AT391" s="1025" t="b">
        <v>0</v>
      </c>
      <c r="AU391" s="331">
        <v>28825</v>
      </c>
      <c r="AV391" s="491" t="s">
        <v>29</v>
      </c>
    </row>
    <row r="392" spans="1:48">
      <c r="A392" s="72">
        <v>30</v>
      </c>
      <c r="B392" s="391" t="s">
        <v>68</v>
      </c>
      <c r="C392" s="72">
        <f t="shared" si="18"/>
        <v>27</v>
      </c>
      <c r="D392" s="72" t="str">
        <f t="shared" si="19"/>
        <v>30-27</v>
      </c>
      <c r="E392" s="72">
        <v>66423</v>
      </c>
      <c r="F392" s="72" t="str">
        <f t="shared" si="20"/>
        <v>30-66423</v>
      </c>
      <c r="G392" s="391" t="s">
        <v>937</v>
      </c>
      <c r="H392" s="331">
        <v>14171.1</v>
      </c>
      <c r="I392" s="331">
        <v>13029.74</v>
      </c>
      <c r="J392" s="331">
        <v>13416.26</v>
      </c>
      <c r="K392" s="331">
        <v>15952.47</v>
      </c>
      <c r="L392" s="491" t="s">
        <v>29</v>
      </c>
      <c r="M392" s="491" t="s">
        <v>29</v>
      </c>
      <c r="N392" s="491" t="s">
        <v>29</v>
      </c>
      <c r="O392" s="491" t="s">
        <v>29</v>
      </c>
      <c r="P392" s="491">
        <v>4.91</v>
      </c>
      <c r="Q392" s="491">
        <v>8.27</v>
      </c>
      <c r="R392" s="491">
        <v>0</v>
      </c>
      <c r="S392" s="491">
        <v>0</v>
      </c>
      <c r="T392" s="1025" t="b">
        <v>0</v>
      </c>
      <c r="U392" s="491">
        <v>6.28</v>
      </c>
      <c r="V392" s="491">
        <v>4.28</v>
      </c>
      <c r="W392" s="491">
        <v>0</v>
      </c>
      <c r="X392" s="491">
        <v>0</v>
      </c>
      <c r="Y392" s="1025" t="b">
        <v>0</v>
      </c>
      <c r="Z392" s="331">
        <v>0</v>
      </c>
      <c r="AA392" s="331">
        <v>0</v>
      </c>
      <c r="AB392" s="331">
        <v>0</v>
      </c>
      <c r="AC392" s="331">
        <v>0</v>
      </c>
      <c r="AD392" s="1025" t="b">
        <v>0</v>
      </c>
      <c r="AE392" s="331">
        <v>0.78</v>
      </c>
      <c r="AF392" s="331">
        <v>0.47</v>
      </c>
      <c r="AG392" s="331">
        <v>0</v>
      </c>
      <c r="AH392" s="331">
        <v>0</v>
      </c>
      <c r="AI392" s="1025" t="b">
        <v>0</v>
      </c>
      <c r="AJ392" s="331">
        <v>0</v>
      </c>
      <c r="AK392" s="331">
        <v>0</v>
      </c>
      <c r="AL392" s="331">
        <v>0</v>
      </c>
      <c r="AM392" s="331">
        <v>0</v>
      </c>
      <c r="AN392" s="1025" t="b">
        <v>0</v>
      </c>
      <c r="AO392" s="331">
        <v>0</v>
      </c>
      <c r="AP392" s="331">
        <v>0</v>
      </c>
      <c r="AQ392" s="331">
        <v>0</v>
      </c>
      <c r="AR392" s="331">
        <v>0</v>
      </c>
      <c r="AS392" s="1025" t="b">
        <v>0</v>
      </c>
      <c r="AT392" s="1025" t="b">
        <v>0</v>
      </c>
      <c r="AU392" s="331">
        <v>339275</v>
      </c>
      <c r="AV392" s="491" t="s">
        <v>29</v>
      </c>
    </row>
    <row r="393" spans="1:48">
      <c r="A393" s="72">
        <v>30</v>
      </c>
      <c r="B393" s="391" t="s">
        <v>68</v>
      </c>
      <c r="C393" s="72">
        <f t="shared" si="18"/>
        <v>28</v>
      </c>
      <c r="D393" s="72" t="str">
        <f t="shared" si="19"/>
        <v>30-28</v>
      </c>
      <c r="E393" s="72">
        <v>66431</v>
      </c>
      <c r="F393" s="72" t="str">
        <f t="shared" si="20"/>
        <v>30-66431</v>
      </c>
      <c r="G393" s="391" t="s">
        <v>938</v>
      </c>
      <c r="H393" s="331">
        <v>13266.26</v>
      </c>
      <c r="I393" s="331">
        <v>12197.78</v>
      </c>
      <c r="J393" s="331">
        <v>12559.62</v>
      </c>
      <c r="K393" s="331">
        <v>14933.89</v>
      </c>
      <c r="L393" s="491" t="s">
        <v>29</v>
      </c>
      <c r="M393" s="491" t="s">
        <v>29</v>
      </c>
      <c r="N393" s="491" t="s">
        <v>29</v>
      </c>
      <c r="O393" s="491" t="s">
        <v>29</v>
      </c>
      <c r="P393" s="491">
        <v>0</v>
      </c>
      <c r="Q393" s="491">
        <v>0</v>
      </c>
      <c r="R393" s="491">
        <v>11.75</v>
      </c>
      <c r="S393" s="491">
        <v>742.4</v>
      </c>
      <c r="T393" s="1025" t="b">
        <v>0</v>
      </c>
      <c r="U393" s="491">
        <v>0</v>
      </c>
      <c r="V393" s="491">
        <v>0</v>
      </c>
      <c r="W393" s="491">
        <v>1.82</v>
      </c>
      <c r="X393" s="491">
        <v>12.4</v>
      </c>
      <c r="Y393" s="1025" t="b">
        <v>0</v>
      </c>
      <c r="Z393" s="331">
        <v>0</v>
      </c>
      <c r="AA393" s="331">
        <v>0</v>
      </c>
      <c r="AB393" s="331">
        <v>0</v>
      </c>
      <c r="AC393" s="331">
        <v>0</v>
      </c>
      <c r="AD393" s="1025" t="b">
        <v>0</v>
      </c>
      <c r="AE393" s="331">
        <v>0</v>
      </c>
      <c r="AF393" s="331">
        <v>0</v>
      </c>
      <c r="AG393" s="331">
        <v>0.32</v>
      </c>
      <c r="AH393" s="331">
        <v>1.18</v>
      </c>
      <c r="AI393" s="1025" t="b">
        <v>0</v>
      </c>
      <c r="AJ393" s="331">
        <v>0</v>
      </c>
      <c r="AK393" s="331">
        <v>0</v>
      </c>
      <c r="AL393" s="331">
        <v>0</v>
      </c>
      <c r="AM393" s="331">
        <v>0</v>
      </c>
      <c r="AN393" s="1025" t="b">
        <v>0</v>
      </c>
      <c r="AO393" s="331">
        <v>0</v>
      </c>
      <c r="AP393" s="331">
        <v>0</v>
      </c>
      <c r="AQ393" s="331">
        <v>0</v>
      </c>
      <c r="AR393" s="331">
        <v>0</v>
      </c>
      <c r="AS393" s="1025" t="b">
        <v>0</v>
      </c>
      <c r="AT393" s="1025" t="b">
        <v>0</v>
      </c>
      <c r="AU393" s="331">
        <v>11464175</v>
      </c>
      <c r="AV393" s="491" t="s">
        <v>29</v>
      </c>
    </row>
    <row r="394" spans="1:48">
      <c r="A394" s="72">
        <v>30</v>
      </c>
      <c r="B394" s="391" t="s">
        <v>68</v>
      </c>
      <c r="C394" s="72">
        <f t="shared" si="18"/>
        <v>29</v>
      </c>
      <c r="D394" s="72" t="str">
        <f t="shared" si="19"/>
        <v>30-29</v>
      </c>
      <c r="E394" s="72">
        <v>66449</v>
      </c>
      <c r="F394" s="72" t="str">
        <f t="shared" si="20"/>
        <v>30-66449</v>
      </c>
      <c r="G394" s="391" t="s">
        <v>939</v>
      </c>
      <c r="H394" s="331">
        <v>10710.76</v>
      </c>
      <c r="I394" s="331">
        <v>9848.1</v>
      </c>
      <c r="J394" s="331">
        <v>10140.24</v>
      </c>
      <c r="K394" s="331">
        <v>12057.15</v>
      </c>
      <c r="L394" s="491" t="s">
        <v>29</v>
      </c>
      <c r="M394" s="491" t="s">
        <v>29</v>
      </c>
      <c r="N394" s="491" t="s">
        <v>29</v>
      </c>
      <c r="O394" s="491" t="s">
        <v>29</v>
      </c>
      <c r="P394" s="491">
        <v>0</v>
      </c>
      <c r="Q394" s="491">
        <v>0</v>
      </c>
      <c r="R394" s="491">
        <v>0</v>
      </c>
      <c r="S394" s="491">
        <v>3.09</v>
      </c>
      <c r="T394" s="1025" t="b">
        <v>0</v>
      </c>
      <c r="U394" s="491">
        <v>0</v>
      </c>
      <c r="V394" s="491">
        <v>0.99</v>
      </c>
      <c r="W394" s="491">
        <v>0</v>
      </c>
      <c r="X394" s="491">
        <v>0</v>
      </c>
      <c r="Y394" s="1025" t="b">
        <v>0</v>
      </c>
      <c r="Z394" s="331">
        <v>0</v>
      </c>
      <c r="AA394" s="331">
        <v>0</v>
      </c>
      <c r="AB394" s="331">
        <v>0</v>
      </c>
      <c r="AC394" s="331">
        <v>0</v>
      </c>
      <c r="AD394" s="1025" t="b">
        <v>0</v>
      </c>
      <c r="AE394" s="331">
        <v>0</v>
      </c>
      <c r="AF394" s="331">
        <v>0.1</v>
      </c>
      <c r="AG394" s="331">
        <v>0</v>
      </c>
      <c r="AH394" s="331">
        <v>0</v>
      </c>
      <c r="AI394" s="1025" t="b">
        <v>0</v>
      </c>
      <c r="AJ394" s="331">
        <v>0</v>
      </c>
      <c r="AK394" s="331">
        <v>0</v>
      </c>
      <c r="AL394" s="331">
        <v>0</v>
      </c>
      <c r="AM394" s="331">
        <v>0</v>
      </c>
      <c r="AN394" s="1025" t="b">
        <v>0</v>
      </c>
      <c r="AO394" s="331">
        <v>0</v>
      </c>
      <c r="AP394" s="331">
        <v>0</v>
      </c>
      <c r="AQ394" s="331">
        <v>0</v>
      </c>
      <c r="AR394" s="331">
        <v>0</v>
      </c>
      <c r="AS394" s="1025" t="b">
        <v>0</v>
      </c>
      <c r="AT394" s="1025" t="b">
        <v>0</v>
      </c>
      <c r="AU394" s="331">
        <v>47991</v>
      </c>
      <c r="AV394" s="491" t="s">
        <v>29</v>
      </c>
    </row>
    <row r="395" spans="1:48">
      <c r="A395" s="72">
        <v>30</v>
      </c>
      <c r="B395" s="391" t="s">
        <v>68</v>
      </c>
      <c r="C395" s="72">
        <f t="shared" si="18"/>
        <v>30</v>
      </c>
      <c r="D395" s="72" t="str">
        <f t="shared" si="19"/>
        <v>30-30</v>
      </c>
      <c r="E395" s="72">
        <v>66456</v>
      </c>
      <c r="F395" s="72" t="str">
        <f t="shared" si="20"/>
        <v>30-66456</v>
      </c>
      <c r="G395" s="391" t="s">
        <v>940</v>
      </c>
      <c r="H395" s="331">
        <v>13469.25</v>
      </c>
      <c r="I395" s="331">
        <v>12384.41</v>
      </c>
      <c r="J395" s="331">
        <v>12751.79</v>
      </c>
      <c r="K395" s="331">
        <v>15162.39</v>
      </c>
      <c r="L395" s="491" t="s">
        <v>29</v>
      </c>
      <c r="M395" s="491" t="s">
        <v>29</v>
      </c>
      <c r="N395" s="491" t="s">
        <v>29</v>
      </c>
      <c r="O395" s="491" t="s">
        <v>29</v>
      </c>
      <c r="P395" s="491">
        <v>1.7</v>
      </c>
      <c r="Q395" s="491">
        <v>0.33</v>
      </c>
      <c r="R395" s="491">
        <v>0.91</v>
      </c>
      <c r="S395" s="491">
        <v>0</v>
      </c>
      <c r="T395" s="1025" t="b">
        <v>0</v>
      </c>
      <c r="U395" s="491">
        <v>1.85</v>
      </c>
      <c r="V395" s="491">
        <v>2.68</v>
      </c>
      <c r="W395" s="491">
        <v>0.93</v>
      </c>
      <c r="X395" s="491">
        <v>0.95</v>
      </c>
      <c r="Y395" s="1025" t="b">
        <v>0</v>
      </c>
      <c r="Z395" s="331">
        <v>0</v>
      </c>
      <c r="AA395" s="331">
        <v>0</v>
      </c>
      <c r="AB395" s="331">
        <v>0</v>
      </c>
      <c r="AC395" s="331">
        <v>0</v>
      </c>
      <c r="AD395" s="1025" t="b">
        <v>0</v>
      </c>
      <c r="AE395" s="331">
        <v>0.15</v>
      </c>
      <c r="AF395" s="331">
        <v>0.21</v>
      </c>
      <c r="AG395" s="331">
        <v>0.1</v>
      </c>
      <c r="AH395" s="331">
        <v>0.14000000000000001</v>
      </c>
      <c r="AI395" s="1025" t="b">
        <v>0</v>
      </c>
      <c r="AJ395" s="331">
        <v>0</v>
      </c>
      <c r="AK395" s="331">
        <v>0</v>
      </c>
      <c r="AL395" s="331">
        <v>0</v>
      </c>
      <c r="AM395" s="331">
        <v>0</v>
      </c>
      <c r="AN395" s="1025" t="b">
        <v>0</v>
      </c>
      <c r="AO395" s="331">
        <v>0</v>
      </c>
      <c r="AP395" s="331">
        <v>0</v>
      </c>
      <c r="AQ395" s="331">
        <v>0</v>
      </c>
      <c r="AR395" s="331">
        <v>0</v>
      </c>
      <c r="AS395" s="1025" t="b">
        <v>0</v>
      </c>
      <c r="AT395" s="1025" t="b">
        <v>0</v>
      </c>
      <c r="AU395" s="331">
        <v>130979</v>
      </c>
      <c r="AV395" s="491" t="s">
        <v>29</v>
      </c>
    </row>
    <row r="396" spans="1:48">
      <c r="A396" s="72">
        <v>30</v>
      </c>
      <c r="B396" s="391" t="s">
        <v>68</v>
      </c>
      <c r="C396" s="72">
        <f t="shared" si="18"/>
        <v>31</v>
      </c>
      <c r="D396" s="72" t="str">
        <f t="shared" si="19"/>
        <v>30-31</v>
      </c>
      <c r="E396" s="72">
        <v>66464</v>
      </c>
      <c r="F396" s="72" t="str">
        <f t="shared" si="20"/>
        <v>30-66464</v>
      </c>
      <c r="G396" s="391" t="s">
        <v>941</v>
      </c>
      <c r="H396" s="331">
        <v>10728.77</v>
      </c>
      <c r="I396" s="331">
        <v>9864.66</v>
      </c>
      <c r="J396" s="331">
        <v>10157.290000000001</v>
      </c>
      <c r="K396" s="331">
        <v>12077.42</v>
      </c>
      <c r="L396" s="491" t="s">
        <v>29</v>
      </c>
      <c r="M396" s="491" t="s">
        <v>29</v>
      </c>
      <c r="N396" s="491" t="s">
        <v>29</v>
      </c>
      <c r="O396" s="491" t="s">
        <v>29</v>
      </c>
      <c r="P396" s="491">
        <v>0</v>
      </c>
      <c r="Q396" s="491">
        <v>1.23</v>
      </c>
      <c r="R396" s="491">
        <v>0</v>
      </c>
      <c r="S396" s="491">
        <v>49.29</v>
      </c>
      <c r="T396" s="1025" t="b">
        <v>0</v>
      </c>
      <c r="U396" s="491">
        <v>3.21</v>
      </c>
      <c r="V396" s="491">
        <v>3.87</v>
      </c>
      <c r="W396" s="491">
        <v>1.66</v>
      </c>
      <c r="X396" s="491">
        <v>27.58</v>
      </c>
      <c r="Y396" s="1025" t="b">
        <v>0</v>
      </c>
      <c r="Z396" s="331">
        <v>0</v>
      </c>
      <c r="AA396" s="331">
        <v>0</v>
      </c>
      <c r="AB396" s="331">
        <v>0</v>
      </c>
      <c r="AC396" s="331">
        <v>0</v>
      </c>
      <c r="AD396" s="1025" t="b">
        <v>0</v>
      </c>
      <c r="AE396" s="331">
        <v>0.3</v>
      </c>
      <c r="AF396" s="331">
        <v>0.33</v>
      </c>
      <c r="AG396" s="331">
        <v>7.0000000000000007E-2</v>
      </c>
      <c r="AH396" s="331">
        <v>2.69</v>
      </c>
      <c r="AI396" s="1025" t="b">
        <v>0</v>
      </c>
      <c r="AJ396" s="331">
        <v>0</v>
      </c>
      <c r="AK396" s="331">
        <v>0</v>
      </c>
      <c r="AL396" s="331">
        <v>0</v>
      </c>
      <c r="AM396" s="331">
        <v>0</v>
      </c>
      <c r="AN396" s="1025" t="b">
        <v>0</v>
      </c>
      <c r="AO396" s="331">
        <v>0</v>
      </c>
      <c r="AP396" s="331">
        <v>0</v>
      </c>
      <c r="AQ396" s="331">
        <v>0</v>
      </c>
      <c r="AR396" s="331">
        <v>0</v>
      </c>
      <c r="AS396" s="1025" t="b">
        <v>0</v>
      </c>
      <c r="AT396" s="1025" t="b">
        <v>0</v>
      </c>
      <c r="AU396" s="331">
        <v>1069675</v>
      </c>
      <c r="AV396" s="491" t="s">
        <v>29</v>
      </c>
    </row>
    <row r="397" spans="1:48">
      <c r="A397" s="72">
        <v>30</v>
      </c>
      <c r="B397" s="391" t="s">
        <v>68</v>
      </c>
      <c r="C397" s="72">
        <f t="shared" si="18"/>
        <v>32</v>
      </c>
      <c r="D397" s="72" t="str">
        <f t="shared" si="19"/>
        <v>30-32</v>
      </c>
      <c r="E397" s="72">
        <v>66472</v>
      </c>
      <c r="F397" s="72" t="str">
        <f t="shared" si="20"/>
        <v>30-66472</v>
      </c>
      <c r="G397" s="391" t="s">
        <v>942</v>
      </c>
      <c r="H397" s="331">
        <v>12299.49</v>
      </c>
      <c r="I397" s="331">
        <v>11308.87</v>
      </c>
      <c r="J397" s="331">
        <v>11644.35</v>
      </c>
      <c r="K397" s="331">
        <v>13845.59</v>
      </c>
      <c r="L397" s="491" t="s">
        <v>29</v>
      </c>
      <c r="M397" s="491" t="s">
        <v>29</v>
      </c>
      <c r="N397" s="491" t="s">
        <v>29</v>
      </c>
      <c r="O397" s="491" t="s">
        <v>29</v>
      </c>
      <c r="P397" s="491">
        <v>1.56</v>
      </c>
      <c r="Q397" s="491">
        <v>1.27</v>
      </c>
      <c r="R397" s="491">
        <v>0</v>
      </c>
      <c r="S397" s="491">
        <v>0</v>
      </c>
      <c r="T397" s="1025" t="b">
        <v>0</v>
      </c>
      <c r="U397" s="491">
        <v>0.75</v>
      </c>
      <c r="V397" s="491">
        <v>3.08</v>
      </c>
      <c r="W397" s="491">
        <v>0</v>
      </c>
      <c r="X397" s="491">
        <v>0</v>
      </c>
      <c r="Y397" s="1025" t="b">
        <v>0</v>
      </c>
      <c r="Z397" s="331">
        <v>0</v>
      </c>
      <c r="AA397" s="331">
        <v>0</v>
      </c>
      <c r="AB397" s="331">
        <v>0</v>
      </c>
      <c r="AC397" s="331">
        <v>0</v>
      </c>
      <c r="AD397" s="1025" t="b">
        <v>0</v>
      </c>
      <c r="AE397" s="331">
        <v>0.09</v>
      </c>
      <c r="AF397" s="331">
        <v>0.28999999999999998</v>
      </c>
      <c r="AG397" s="331">
        <v>0</v>
      </c>
      <c r="AH397" s="331">
        <v>0</v>
      </c>
      <c r="AI397" s="1025" t="b">
        <v>0</v>
      </c>
      <c r="AJ397" s="331">
        <v>0</v>
      </c>
      <c r="AK397" s="331">
        <v>0</v>
      </c>
      <c r="AL397" s="331">
        <v>0</v>
      </c>
      <c r="AM397" s="331">
        <v>0</v>
      </c>
      <c r="AN397" s="1025" t="b">
        <v>0</v>
      </c>
      <c r="AO397" s="331">
        <v>0</v>
      </c>
      <c r="AP397" s="331">
        <v>0</v>
      </c>
      <c r="AQ397" s="331">
        <v>0</v>
      </c>
      <c r="AR397" s="331">
        <v>0</v>
      </c>
      <c r="AS397" s="1025" t="b">
        <v>0</v>
      </c>
      <c r="AT397" s="1025" t="b">
        <v>0</v>
      </c>
      <c r="AU397" s="331">
        <v>81992</v>
      </c>
      <c r="AV397" s="491" t="s">
        <v>29</v>
      </c>
    </row>
    <row r="398" spans="1:48">
      <c r="A398" s="72">
        <v>30</v>
      </c>
      <c r="B398" s="391" t="s">
        <v>68</v>
      </c>
      <c r="C398" s="72">
        <f t="shared" si="18"/>
        <v>33</v>
      </c>
      <c r="D398" s="72" t="str">
        <f t="shared" si="19"/>
        <v>30-33</v>
      </c>
      <c r="E398" s="72">
        <v>66480</v>
      </c>
      <c r="F398" s="72" t="str">
        <f t="shared" si="20"/>
        <v>30-66480</v>
      </c>
      <c r="G398" s="391" t="s">
        <v>943</v>
      </c>
      <c r="H398" s="331">
        <v>11076.06</v>
      </c>
      <c r="I398" s="331">
        <v>10183.969999999999</v>
      </c>
      <c r="J398" s="331">
        <v>10486.08</v>
      </c>
      <c r="K398" s="331">
        <v>12468.36</v>
      </c>
      <c r="L398" s="491" t="s">
        <v>29</v>
      </c>
      <c r="M398" s="491" t="s">
        <v>29</v>
      </c>
      <c r="N398" s="491" t="s">
        <v>29</v>
      </c>
      <c r="O398" s="491" t="s">
        <v>29</v>
      </c>
      <c r="P398" s="491">
        <v>1.81</v>
      </c>
      <c r="Q398" s="491">
        <v>5.66</v>
      </c>
      <c r="R398" s="491">
        <v>0</v>
      </c>
      <c r="S398" s="491">
        <v>0</v>
      </c>
      <c r="T398" s="1025" t="b">
        <v>0</v>
      </c>
      <c r="U398" s="491">
        <v>3.56</v>
      </c>
      <c r="V398" s="491">
        <v>2.48</v>
      </c>
      <c r="W398" s="491">
        <v>0</v>
      </c>
      <c r="X398" s="491">
        <v>0</v>
      </c>
      <c r="Y398" s="1025" t="b">
        <v>0</v>
      </c>
      <c r="Z398" s="331">
        <v>0</v>
      </c>
      <c r="AA398" s="331">
        <v>0</v>
      </c>
      <c r="AB398" s="331">
        <v>0</v>
      </c>
      <c r="AC398" s="331">
        <v>0</v>
      </c>
      <c r="AD398" s="1025" t="b">
        <v>0</v>
      </c>
      <c r="AE398" s="331">
        <v>0.33</v>
      </c>
      <c r="AF398" s="331">
        <v>0.31</v>
      </c>
      <c r="AG398" s="331">
        <v>0</v>
      </c>
      <c r="AH398" s="331">
        <v>0</v>
      </c>
      <c r="AI398" s="1025" t="b">
        <v>0</v>
      </c>
      <c r="AJ398" s="331">
        <v>0</v>
      </c>
      <c r="AK398" s="331">
        <v>0</v>
      </c>
      <c r="AL398" s="331">
        <v>0</v>
      </c>
      <c r="AM398" s="331">
        <v>0</v>
      </c>
      <c r="AN398" s="1025" t="b">
        <v>0</v>
      </c>
      <c r="AO398" s="331">
        <v>0</v>
      </c>
      <c r="AP398" s="331">
        <v>0</v>
      </c>
      <c r="AQ398" s="331">
        <v>0</v>
      </c>
      <c r="AR398" s="331">
        <v>0</v>
      </c>
      <c r="AS398" s="1025" t="b">
        <v>0</v>
      </c>
      <c r="AT398" s="1025" t="b">
        <v>0</v>
      </c>
      <c r="AU398" s="331">
        <v>149189</v>
      </c>
      <c r="AV398" s="491" t="s">
        <v>29</v>
      </c>
    </row>
    <row r="399" spans="1:48">
      <c r="A399" s="72">
        <v>30</v>
      </c>
      <c r="B399" s="391" t="s">
        <v>68</v>
      </c>
      <c r="C399" s="72">
        <f t="shared" si="18"/>
        <v>34</v>
      </c>
      <c r="D399" s="72" t="str">
        <f t="shared" si="19"/>
        <v>30-34</v>
      </c>
      <c r="E399" s="72">
        <v>66498</v>
      </c>
      <c r="F399" s="72" t="str">
        <f t="shared" si="20"/>
        <v>30-66498</v>
      </c>
      <c r="G399" s="391" t="s">
        <v>944</v>
      </c>
      <c r="H399" s="331">
        <v>10722.9</v>
      </c>
      <c r="I399" s="331">
        <v>9859.26</v>
      </c>
      <c r="J399" s="331">
        <v>10151.73</v>
      </c>
      <c r="K399" s="331">
        <v>12070.81</v>
      </c>
      <c r="L399" s="491" t="s">
        <v>29</v>
      </c>
      <c r="M399" s="491" t="s">
        <v>29</v>
      </c>
      <c r="N399" s="491" t="s">
        <v>29</v>
      </c>
      <c r="O399" s="491" t="s">
        <v>29</v>
      </c>
      <c r="P399" s="491">
        <v>10.5</v>
      </c>
      <c r="Q399" s="491">
        <v>3.59</v>
      </c>
      <c r="R399" s="491">
        <v>1.64</v>
      </c>
      <c r="S399" s="491">
        <v>0</v>
      </c>
      <c r="T399" s="1025" t="b">
        <v>0</v>
      </c>
      <c r="U399" s="491">
        <v>0.63</v>
      </c>
      <c r="V399" s="491">
        <v>0.97</v>
      </c>
      <c r="W399" s="491">
        <v>2.89</v>
      </c>
      <c r="X399" s="491">
        <v>0</v>
      </c>
      <c r="Y399" s="1025" t="b">
        <v>0</v>
      </c>
      <c r="Z399" s="331">
        <v>0</v>
      </c>
      <c r="AA399" s="331">
        <v>0</v>
      </c>
      <c r="AB399" s="331">
        <v>0</v>
      </c>
      <c r="AC399" s="331">
        <v>0</v>
      </c>
      <c r="AD399" s="1025" t="b">
        <v>0</v>
      </c>
      <c r="AE399" s="331">
        <v>0</v>
      </c>
      <c r="AF399" s="331">
        <v>0.11</v>
      </c>
      <c r="AG399" s="331">
        <v>0.12</v>
      </c>
      <c r="AH399" s="331">
        <v>0.08</v>
      </c>
      <c r="AI399" s="1025" t="b">
        <v>0</v>
      </c>
      <c r="AJ399" s="331">
        <v>0</v>
      </c>
      <c r="AK399" s="331">
        <v>0</v>
      </c>
      <c r="AL399" s="331">
        <v>0</v>
      </c>
      <c r="AM399" s="331">
        <v>0</v>
      </c>
      <c r="AN399" s="1025" t="b">
        <v>0</v>
      </c>
      <c r="AO399" s="331">
        <v>0</v>
      </c>
      <c r="AP399" s="331">
        <v>0</v>
      </c>
      <c r="AQ399" s="331">
        <v>0</v>
      </c>
      <c r="AR399" s="331">
        <v>0</v>
      </c>
      <c r="AS399" s="1025" t="b">
        <v>0</v>
      </c>
      <c r="AT399" s="1025" t="b">
        <v>0</v>
      </c>
      <c r="AU399" s="331">
        <v>213561</v>
      </c>
      <c r="AV399" s="491" t="s">
        <v>29</v>
      </c>
    </row>
    <row r="400" spans="1:48">
      <c r="A400" s="72">
        <v>30</v>
      </c>
      <c r="B400" s="391" t="s">
        <v>68</v>
      </c>
      <c r="C400" s="72">
        <f t="shared" si="18"/>
        <v>35</v>
      </c>
      <c r="D400" s="72" t="str">
        <f t="shared" si="19"/>
        <v>30-35</v>
      </c>
      <c r="E400" s="72">
        <v>66506</v>
      </c>
      <c r="F400" s="72" t="str">
        <f t="shared" si="20"/>
        <v>30-66506</v>
      </c>
      <c r="G400" s="391" t="s">
        <v>945</v>
      </c>
      <c r="H400" s="331">
        <v>11540.87</v>
      </c>
      <c r="I400" s="331">
        <v>10611.35</v>
      </c>
      <c r="J400" s="331">
        <v>10926.13</v>
      </c>
      <c r="K400" s="331">
        <v>12991.61</v>
      </c>
      <c r="L400" s="491" t="s">
        <v>29</v>
      </c>
      <c r="M400" s="491" t="s">
        <v>29</v>
      </c>
      <c r="N400" s="491" t="s">
        <v>29</v>
      </c>
      <c r="O400" s="491" t="s">
        <v>29</v>
      </c>
      <c r="P400" s="491">
        <v>1.54</v>
      </c>
      <c r="Q400" s="491">
        <v>4.3099999999999996</v>
      </c>
      <c r="R400" s="491">
        <v>1.39</v>
      </c>
      <c r="S400" s="491">
        <v>0</v>
      </c>
      <c r="T400" s="1025" t="b">
        <v>0</v>
      </c>
      <c r="U400" s="491">
        <v>3.01</v>
      </c>
      <c r="V400" s="491">
        <v>1.75</v>
      </c>
      <c r="W400" s="491">
        <v>3.26</v>
      </c>
      <c r="X400" s="491">
        <v>0</v>
      </c>
      <c r="Y400" s="1025" t="b">
        <v>0</v>
      </c>
      <c r="Z400" s="331">
        <v>0</v>
      </c>
      <c r="AA400" s="331">
        <v>0</v>
      </c>
      <c r="AB400" s="331">
        <v>0</v>
      </c>
      <c r="AC400" s="331">
        <v>0</v>
      </c>
      <c r="AD400" s="1025" t="b">
        <v>0</v>
      </c>
      <c r="AE400" s="331">
        <v>0.22</v>
      </c>
      <c r="AF400" s="331">
        <v>0.17</v>
      </c>
      <c r="AG400" s="331">
        <v>0.39</v>
      </c>
      <c r="AH400" s="331">
        <v>0</v>
      </c>
      <c r="AI400" s="1025" t="b">
        <v>0</v>
      </c>
      <c r="AJ400" s="331">
        <v>0</v>
      </c>
      <c r="AK400" s="331">
        <v>0</v>
      </c>
      <c r="AL400" s="331">
        <v>0</v>
      </c>
      <c r="AM400" s="331">
        <v>0</v>
      </c>
      <c r="AN400" s="1025" t="b">
        <v>0</v>
      </c>
      <c r="AO400" s="331">
        <v>0</v>
      </c>
      <c r="AP400" s="331">
        <v>0</v>
      </c>
      <c r="AQ400" s="331">
        <v>0</v>
      </c>
      <c r="AR400" s="331">
        <v>0</v>
      </c>
      <c r="AS400" s="1025" t="b">
        <v>0</v>
      </c>
      <c r="AT400" s="1025" t="b">
        <v>0</v>
      </c>
      <c r="AU400" s="331">
        <v>176227</v>
      </c>
      <c r="AV400" s="491" t="s">
        <v>29</v>
      </c>
    </row>
    <row r="401" spans="1:48">
      <c r="A401" s="72">
        <v>30</v>
      </c>
      <c r="B401" s="391" t="s">
        <v>68</v>
      </c>
      <c r="C401" s="72">
        <f t="shared" si="18"/>
        <v>36</v>
      </c>
      <c r="D401" s="72" t="str">
        <f t="shared" si="19"/>
        <v>30-36</v>
      </c>
      <c r="E401" s="72">
        <v>66514</v>
      </c>
      <c r="F401" s="72" t="str">
        <f t="shared" si="20"/>
        <v>30-66514</v>
      </c>
      <c r="G401" s="391" t="s">
        <v>844</v>
      </c>
      <c r="H401" s="331">
        <v>11226.42</v>
      </c>
      <c r="I401" s="331">
        <v>10322.23</v>
      </c>
      <c r="J401" s="331">
        <v>10628.44</v>
      </c>
      <c r="K401" s="331">
        <v>12637.63</v>
      </c>
      <c r="L401" s="491" t="s">
        <v>29</v>
      </c>
      <c r="M401" s="491" t="s">
        <v>29</v>
      </c>
      <c r="N401" s="491" t="s">
        <v>29</v>
      </c>
      <c r="O401" s="491" t="s">
        <v>29</v>
      </c>
      <c r="P401" s="491">
        <v>0</v>
      </c>
      <c r="Q401" s="491">
        <v>0</v>
      </c>
      <c r="R401" s="491">
        <v>0</v>
      </c>
      <c r="S401" s="491">
        <v>135.05000000000001</v>
      </c>
      <c r="T401" s="1025" t="b">
        <v>0</v>
      </c>
      <c r="U401" s="491">
        <v>0</v>
      </c>
      <c r="V401" s="491">
        <v>0</v>
      </c>
      <c r="W401" s="491">
        <v>0</v>
      </c>
      <c r="X401" s="491">
        <v>5.91</v>
      </c>
      <c r="Y401" s="1025" t="b">
        <v>0</v>
      </c>
      <c r="Z401" s="331">
        <v>0</v>
      </c>
      <c r="AA401" s="331">
        <v>0</v>
      </c>
      <c r="AB401" s="331">
        <v>0</v>
      </c>
      <c r="AC401" s="331">
        <v>0</v>
      </c>
      <c r="AD401" s="1025" t="b">
        <v>0</v>
      </c>
      <c r="AE401" s="331">
        <v>0</v>
      </c>
      <c r="AF401" s="331">
        <v>0</v>
      </c>
      <c r="AG401" s="331">
        <v>0</v>
      </c>
      <c r="AH401" s="331">
        <v>0.83</v>
      </c>
      <c r="AI401" s="1025" t="b">
        <v>0</v>
      </c>
      <c r="AJ401" s="331">
        <v>0</v>
      </c>
      <c r="AK401" s="331">
        <v>0</v>
      </c>
      <c r="AL401" s="331">
        <v>0</v>
      </c>
      <c r="AM401" s="331">
        <v>0</v>
      </c>
      <c r="AN401" s="1025" t="b">
        <v>0</v>
      </c>
      <c r="AO401" s="331">
        <v>0</v>
      </c>
      <c r="AP401" s="331">
        <v>0</v>
      </c>
      <c r="AQ401" s="331">
        <v>0</v>
      </c>
      <c r="AR401" s="331">
        <v>0</v>
      </c>
      <c r="AS401" s="1025" t="b">
        <v>0</v>
      </c>
      <c r="AT401" s="1025" t="b">
        <v>0</v>
      </c>
      <c r="AU401" s="331">
        <v>1791890</v>
      </c>
      <c r="AV401" s="491" t="s">
        <v>29</v>
      </c>
    </row>
    <row r="402" spans="1:48">
      <c r="A402" s="72">
        <v>30</v>
      </c>
      <c r="B402" s="391" t="s">
        <v>68</v>
      </c>
      <c r="C402" s="72">
        <f t="shared" si="18"/>
        <v>37</v>
      </c>
      <c r="D402" s="72" t="str">
        <f t="shared" si="19"/>
        <v>30-37</v>
      </c>
      <c r="E402" s="72">
        <v>66522</v>
      </c>
      <c r="F402" s="72" t="str">
        <f t="shared" si="20"/>
        <v>30-66522</v>
      </c>
      <c r="G402" s="391" t="s">
        <v>946</v>
      </c>
      <c r="H402" s="331">
        <v>13242.18</v>
      </c>
      <c r="I402" s="331">
        <v>12175.63</v>
      </c>
      <c r="J402" s="331">
        <v>12536.82</v>
      </c>
      <c r="K402" s="331">
        <v>14906.78</v>
      </c>
      <c r="L402" s="491" t="s">
        <v>29</v>
      </c>
      <c r="M402" s="491" t="s">
        <v>29</v>
      </c>
      <c r="N402" s="491" t="s">
        <v>29</v>
      </c>
      <c r="O402" s="491" t="s">
        <v>29</v>
      </c>
      <c r="P402" s="491">
        <v>5.51</v>
      </c>
      <c r="Q402" s="491">
        <v>10.47</v>
      </c>
      <c r="R402" s="491">
        <v>11.79</v>
      </c>
      <c r="S402" s="491">
        <v>846.41</v>
      </c>
      <c r="T402" s="1025" t="b">
        <v>0</v>
      </c>
      <c r="U402" s="491">
        <v>3</v>
      </c>
      <c r="V402" s="491">
        <v>8.31</v>
      </c>
      <c r="W402" s="491">
        <v>5.14</v>
      </c>
      <c r="X402" s="491">
        <v>18.79</v>
      </c>
      <c r="Y402" s="1025" t="b">
        <v>0</v>
      </c>
      <c r="Z402" s="331">
        <v>0</v>
      </c>
      <c r="AA402" s="331">
        <v>0</v>
      </c>
      <c r="AB402" s="331">
        <v>0</v>
      </c>
      <c r="AC402" s="331">
        <v>0</v>
      </c>
      <c r="AD402" s="1025" t="b">
        <v>0</v>
      </c>
      <c r="AE402" s="331">
        <v>0.55000000000000004</v>
      </c>
      <c r="AF402" s="331">
        <v>0.75</v>
      </c>
      <c r="AG402" s="331">
        <v>0.38</v>
      </c>
      <c r="AH402" s="331">
        <v>2.0299999999999998</v>
      </c>
      <c r="AI402" s="1025" t="b">
        <v>0</v>
      </c>
      <c r="AJ402" s="331">
        <v>0</v>
      </c>
      <c r="AK402" s="331">
        <v>0</v>
      </c>
      <c r="AL402" s="331">
        <v>0</v>
      </c>
      <c r="AM402" s="331">
        <v>0</v>
      </c>
      <c r="AN402" s="1025" t="b">
        <v>0</v>
      </c>
      <c r="AO402" s="331">
        <v>0</v>
      </c>
      <c r="AP402" s="331">
        <v>0</v>
      </c>
      <c r="AQ402" s="331">
        <v>0</v>
      </c>
      <c r="AR402" s="331">
        <v>0</v>
      </c>
      <c r="AS402" s="1025" t="b">
        <v>0</v>
      </c>
      <c r="AT402" s="1025" t="b">
        <v>0</v>
      </c>
      <c r="AU402" s="331">
        <v>13502383</v>
      </c>
      <c r="AV402" s="491" t="s">
        <v>29</v>
      </c>
    </row>
    <row r="403" spans="1:48">
      <c r="A403" s="72">
        <v>30</v>
      </c>
      <c r="B403" s="391" t="s">
        <v>68</v>
      </c>
      <c r="C403" s="72">
        <f t="shared" si="18"/>
        <v>38</v>
      </c>
      <c r="D403" s="72" t="str">
        <f t="shared" si="19"/>
        <v>30-38</v>
      </c>
      <c r="E403" s="72">
        <v>66530</v>
      </c>
      <c r="F403" s="72" t="str">
        <f t="shared" si="20"/>
        <v>30-66530</v>
      </c>
      <c r="G403" s="391" t="s">
        <v>947</v>
      </c>
      <c r="H403" s="331">
        <v>10615.64</v>
      </c>
      <c r="I403" s="331">
        <v>9760.64</v>
      </c>
      <c r="J403" s="331">
        <v>10050.19</v>
      </c>
      <c r="K403" s="331">
        <v>11950.07</v>
      </c>
      <c r="L403" s="491" t="s">
        <v>29</v>
      </c>
      <c r="M403" s="491" t="s">
        <v>29</v>
      </c>
      <c r="N403" s="491" t="s">
        <v>29</v>
      </c>
      <c r="O403" s="491" t="s">
        <v>29</v>
      </c>
      <c r="P403" s="491">
        <v>2.5299999999999998</v>
      </c>
      <c r="Q403" s="491">
        <v>2.5</v>
      </c>
      <c r="R403" s="491">
        <v>0.99</v>
      </c>
      <c r="S403" s="491">
        <v>0</v>
      </c>
      <c r="T403" s="1025" t="b">
        <v>0</v>
      </c>
      <c r="U403" s="491">
        <v>0</v>
      </c>
      <c r="V403" s="491">
        <v>0.79</v>
      </c>
      <c r="W403" s="491">
        <v>0</v>
      </c>
      <c r="X403" s="491">
        <v>0</v>
      </c>
      <c r="Y403" s="1025" t="b">
        <v>0</v>
      </c>
      <c r="Z403" s="331">
        <v>0</v>
      </c>
      <c r="AA403" s="331">
        <v>0</v>
      </c>
      <c r="AB403" s="331">
        <v>0</v>
      </c>
      <c r="AC403" s="331">
        <v>0</v>
      </c>
      <c r="AD403" s="1025" t="b">
        <v>0</v>
      </c>
      <c r="AE403" s="331">
        <v>0</v>
      </c>
      <c r="AF403" s="331">
        <v>0</v>
      </c>
      <c r="AG403" s="331">
        <v>0</v>
      </c>
      <c r="AH403" s="331">
        <v>0</v>
      </c>
      <c r="AI403" s="1025" t="b">
        <v>0</v>
      </c>
      <c r="AJ403" s="331">
        <v>0</v>
      </c>
      <c r="AK403" s="331">
        <v>0</v>
      </c>
      <c r="AL403" s="331">
        <v>0</v>
      </c>
      <c r="AM403" s="331">
        <v>0</v>
      </c>
      <c r="AN403" s="1025" t="b">
        <v>0</v>
      </c>
      <c r="AO403" s="331">
        <v>0</v>
      </c>
      <c r="AP403" s="331">
        <v>0</v>
      </c>
      <c r="AQ403" s="331">
        <v>0</v>
      </c>
      <c r="AR403" s="331">
        <v>0</v>
      </c>
      <c r="AS403" s="1025" t="b">
        <v>0</v>
      </c>
      <c r="AT403" s="1025" t="b">
        <v>0</v>
      </c>
      <c r="AU403" s="331">
        <v>68921</v>
      </c>
      <c r="AV403" s="491" t="s">
        <v>29</v>
      </c>
    </row>
    <row r="404" spans="1:48">
      <c r="A404" s="72">
        <v>30</v>
      </c>
      <c r="B404" s="391" t="s">
        <v>68</v>
      </c>
      <c r="C404" s="72">
        <f t="shared" si="18"/>
        <v>39</v>
      </c>
      <c r="D404" s="72" t="str">
        <f t="shared" si="19"/>
        <v>30-39</v>
      </c>
      <c r="E404" s="72">
        <v>66548</v>
      </c>
      <c r="F404" s="72" t="str">
        <f t="shared" si="20"/>
        <v>30-66548</v>
      </c>
      <c r="G404" s="391" t="s">
        <v>948</v>
      </c>
      <c r="H404" s="331">
        <v>11078.69</v>
      </c>
      <c r="I404" s="331">
        <v>10186.39</v>
      </c>
      <c r="J404" s="331">
        <v>10488.57</v>
      </c>
      <c r="K404" s="331">
        <v>12471.32</v>
      </c>
      <c r="L404" s="491" t="s">
        <v>29</v>
      </c>
      <c r="M404" s="491" t="s">
        <v>29</v>
      </c>
      <c r="N404" s="491" t="s">
        <v>29</v>
      </c>
      <c r="O404" s="491" t="s">
        <v>29</v>
      </c>
      <c r="P404" s="491">
        <v>0</v>
      </c>
      <c r="Q404" s="491">
        <v>0</v>
      </c>
      <c r="R404" s="491">
        <v>0</v>
      </c>
      <c r="S404" s="491">
        <v>407.61</v>
      </c>
      <c r="T404" s="1025" t="b">
        <v>0</v>
      </c>
      <c r="U404" s="491">
        <v>0</v>
      </c>
      <c r="V404" s="491">
        <v>0</v>
      </c>
      <c r="W404" s="491">
        <v>0</v>
      </c>
      <c r="X404" s="491">
        <v>9.0399999999999991</v>
      </c>
      <c r="Y404" s="1025" t="b">
        <v>0</v>
      </c>
      <c r="Z404" s="331">
        <v>0</v>
      </c>
      <c r="AA404" s="331">
        <v>0</v>
      </c>
      <c r="AB404" s="331">
        <v>0</v>
      </c>
      <c r="AC404" s="331">
        <v>0</v>
      </c>
      <c r="AD404" s="1025" t="b">
        <v>0</v>
      </c>
      <c r="AE404" s="331">
        <v>0</v>
      </c>
      <c r="AF404" s="331">
        <v>0</v>
      </c>
      <c r="AG404" s="331">
        <v>0</v>
      </c>
      <c r="AH404" s="331">
        <v>0.42</v>
      </c>
      <c r="AI404" s="1025" t="b">
        <v>0</v>
      </c>
      <c r="AJ404" s="331">
        <v>0</v>
      </c>
      <c r="AK404" s="331">
        <v>0</v>
      </c>
      <c r="AL404" s="331">
        <v>0</v>
      </c>
      <c r="AM404" s="331">
        <v>0</v>
      </c>
      <c r="AN404" s="1025" t="b">
        <v>0</v>
      </c>
      <c r="AO404" s="331">
        <v>0</v>
      </c>
      <c r="AP404" s="331">
        <v>0</v>
      </c>
      <c r="AQ404" s="331">
        <v>0</v>
      </c>
      <c r="AR404" s="331">
        <v>0</v>
      </c>
      <c r="AS404" s="1025" t="b">
        <v>0</v>
      </c>
      <c r="AT404" s="1025" t="b">
        <v>0</v>
      </c>
      <c r="AU404" s="331">
        <v>5201413</v>
      </c>
      <c r="AV404" s="491" t="s">
        <v>29</v>
      </c>
    </row>
    <row r="405" spans="1:48">
      <c r="A405" s="72">
        <v>30</v>
      </c>
      <c r="B405" s="391" t="s">
        <v>68</v>
      </c>
      <c r="C405" s="72">
        <f t="shared" si="18"/>
        <v>40</v>
      </c>
      <c r="D405" s="72" t="str">
        <f t="shared" si="19"/>
        <v>30-40</v>
      </c>
      <c r="E405" s="72">
        <v>66555</v>
      </c>
      <c r="F405" s="72" t="str">
        <f t="shared" si="20"/>
        <v>30-66555</v>
      </c>
      <c r="G405" s="391" t="s">
        <v>949</v>
      </c>
      <c r="H405" s="331">
        <v>10478.43</v>
      </c>
      <c r="I405" s="331">
        <v>9634.48</v>
      </c>
      <c r="J405" s="331">
        <v>9920.2800000000007</v>
      </c>
      <c r="K405" s="331">
        <v>11795.61</v>
      </c>
      <c r="L405" s="491" t="s">
        <v>29</v>
      </c>
      <c r="M405" s="491" t="s">
        <v>29</v>
      </c>
      <c r="N405" s="491" t="s">
        <v>29</v>
      </c>
      <c r="O405" s="491" t="s">
        <v>29</v>
      </c>
      <c r="P405" s="491">
        <v>2.44</v>
      </c>
      <c r="Q405" s="491">
        <v>0</v>
      </c>
      <c r="R405" s="491">
        <v>0</v>
      </c>
      <c r="S405" s="491">
        <v>12.14</v>
      </c>
      <c r="T405" s="1025" t="b">
        <v>0</v>
      </c>
      <c r="U405" s="491">
        <v>7.0000000000000007E-2</v>
      </c>
      <c r="V405" s="491">
        <v>0</v>
      </c>
      <c r="W405" s="491">
        <v>0</v>
      </c>
      <c r="X405" s="491">
        <v>1.92</v>
      </c>
      <c r="Y405" s="1025" t="b">
        <v>0</v>
      </c>
      <c r="Z405" s="331">
        <v>0</v>
      </c>
      <c r="AA405" s="331">
        <v>0</v>
      </c>
      <c r="AB405" s="331">
        <v>0</v>
      </c>
      <c r="AC405" s="331">
        <v>0</v>
      </c>
      <c r="AD405" s="1025" t="b">
        <v>0</v>
      </c>
      <c r="AE405" s="331">
        <v>0</v>
      </c>
      <c r="AF405" s="331">
        <v>0.11</v>
      </c>
      <c r="AG405" s="331">
        <v>0</v>
      </c>
      <c r="AH405" s="331">
        <v>0.21</v>
      </c>
      <c r="AI405" s="1025" t="b">
        <v>0</v>
      </c>
      <c r="AJ405" s="331">
        <v>0</v>
      </c>
      <c r="AK405" s="331">
        <v>0</v>
      </c>
      <c r="AL405" s="331">
        <v>0</v>
      </c>
      <c r="AM405" s="331">
        <v>0</v>
      </c>
      <c r="AN405" s="1025" t="b">
        <v>0</v>
      </c>
      <c r="AO405" s="331">
        <v>0</v>
      </c>
      <c r="AP405" s="331">
        <v>0</v>
      </c>
      <c r="AQ405" s="331">
        <v>0</v>
      </c>
      <c r="AR405" s="331">
        <v>0</v>
      </c>
      <c r="AS405" s="1025" t="b">
        <v>0</v>
      </c>
      <c r="AT405" s="1025" t="b">
        <v>0</v>
      </c>
      <c r="AU405" s="331">
        <v>195684</v>
      </c>
      <c r="AV405" s="491" t="s">
        <v>29</v>
      </c>
    </row>
    <row r="406" spans="1:48">
      <c r="A406" s="72">
        <v>30</v>
      </c>
      <c r="B406" s="391" t="s">
        <v>68</v>
      </c>
      <c r="C406" s="72">
        <f t="shared" si="18"/>
        <v>41</v>
      </c>
      <c r="D406" s="72" t="str">
        <f t="shared" si="19"/>
        <v>30-41</v>
      </c>
      <c r="E406" s="72">
        <v>66563</v>
      </c>
      <c r="F406" s="72" t="str">
        <f t="shared" si="20"/>
        <v>30-66563</v>
      </c>
      <c r="G406" s="391" t="s">
        <v>950</v>
      </c>
      <c r="H406" s="331">
        <v>13126.06</v>
      </c>
      <c r="I406" s="331">
        <v>12068.87</v>
      </c>
      <c r="J406" s="331">
        <v>12426.89</v>
      </c>
      <c r="K406" s="331">
        <v>14776.06</v>
      </c>
      <c r="L406" s="491" t="s">
        <v>29</v>
      </c>
      <c r="M406" s="491" t="s">
        <v>29</v>
      </c>
      <c r="N406" s="491" t="s">
        <v>29</v>
      </c>
      <c r="O406" s="491" t="s">
        <v>29</v>
      </c>
      <c r="P406" s="491">
        <v>1.23</v>
      </c>
      <c r="Q406" s="491">
        <v>4.2</v>
      </c>
      <c r="R406" s="491">
        <v>2.67</v>
      </c>
      <c r="S406" s="491">
        <v>0</v>
      </c>
      <c r="T406" s="1025" t="b">
        <v>0</v>
      </c>
      <c r="U406" s="491">
        <v>0</v>
      </c>
      <c r="V406" s="491">
        <v>0.13</v>
      </c>
      <c r="W406" s="491">
        <v>0</v>
      </c>
      <c r="X406" s="491">
        <v>0</v>
      </c>
      <c r="Y406" s="1025" t="b">
        <v>0</v>
      </c>
      <c r="Z406" s="331">
        <v>0</v>
      </c>
      <c r="AA406" s="331">
        <v>0</v>
      </c>
      <c r="AB406" s="331">
        <v>0</v>
      </c>
      <c r="AC406" s="331">
        <v>0</v>
      </c>
      <c r="AD406" s="1025" t="b">
        <v>0</v>
      </c>
      <c r="AE406" s="331">
        <v>0</v>
      </c>
      <c r="AF406" s="331">
        <v>0</v>
      </c>
      <c r="AG406" s="331">
        <v>0</v>
      </c>
      <c r="AH406" s="331">
        <v>0</v>
      </c>
      <c r="AI406" s="1025" t="b">
        <v>0</v>
      </c>
      <c r="AJ406" s="331">
        <v>0</v>
      </c>
      <c r="AK406" s="331">
        <v>0</v>
      </c>
      <c r="AL406" s="331">
        <v>0</v>
      </c>
      <c r="AM406" s="331">
        <v>0</v>
      </c>
      <c r="AN406" s="1025" t="b">
        <v>0</v>
      </c>
      <c r="AO406" s="331">
        <v>0</v>
      </c>
      <c r="AP406" s="331">
        <v>0</v>
      </c>
      <c r="AQ406" s="331">
        <v>0</v>
      </c>
      <c r="AR406" s="331">
        <v>0</v>
      </c>
      <c r="AS406" s="1025" t="b">
        <v>0</v>
      </c>
      <c r="AT406" s="1025" t="b">
        <v>0</v>
      </c>
      <c r="AU406" s="331">
        <v>101583</v>
      </c>
      <c r="AV406" s="491" t="s">
        <v>29</v>
      </c>
    </row>
    <row r="407" spans="1:48">
      <c r="A407" s="72">
        <v>30</v>
      </c>
      <c r="B407" s="391" t="s">
        <v>68</v>
      </c>
      <c r="C407" s="72">
        <f t="shared" si="18"/>
        <v>42</v>
      </c>
      <c r="D407" s="72" t="str">
        <f t="shared" si="19"/>
        <v>30-42</v>
      </c>
      <c r="E407" s="72">
        <v>66589</v>
      </c>
      <c r="F407" s="72" t="str">
        <f t="shared" si="20"/>
        <v>30-66589</v>
      </c>
      <c r="G407" s="391" t="s">
        <v>951</v>
      </c>
      <c r="H407" s="331">
        <v>13897.59</v>
      </c>
      <c r="I407" s="331">
        <v>12778.25</v>
      </c>
      <c r="J407" s="331">
        <v>13157.32</v>
      </c>
      <c r="K407" s="331">
        <v>15644.57</v>
      </c>
      <c r="L407" s="491" t="s">
        <v>29</v>
      </c>
      <c r="M407" s="491" t="s">
        <v>29</v>
      </c>
      <c r="N407" s="491" t="s">
        <v>29</v>
      </c>
      <c r="O407" s="491" t="s">
        <v>29</v>
      </c>
      <c r="P407" s="491">
        <v>5.56</v>
      </c>
      <c r="Q407" s="491">
        <v>6.68</v>
      </c>
      <c r="R407" s="491">
        <v>0</v>
      </c>
      <c r="S407" s="491">
        <v>0</v>
      </c>
      <c r="T407" s="1025" t="b">
        <v>0</v>
      </c>
      <c r="U407" s="491">
        <v>4.8</v>
      </c>
      <c r="V407" s="491">
        <v>3.62</v>
      </c>
      <c r="W407" s="491">
        <v>0</v>
      </c>
      <c r="X407" s="491">
        <v>0</v>
      </c>
      <c r="Y407" s="1025" t="b">
        <v>0</v>
      </c>
      <c r="Z407" s="331">
        <v>0</v>
      </c>
      <c r="AA407" s="331">
        <v>0</v>
      </c>
      <c r="AB407" s="331">
        <v>0</v>
      </c>
      <c r="AC407" s="331">
        <v>0</v>
      </c>
      <c r="AD407" s="1025" t="b">
        <v>0</v>
      </c>
      <c r="AE407" s="331">
        <v>0.37</v>
      </c>
      <c r="AF407" s="331">
        <v>0.35</v>
      </c>
      <c r="AG407" s="331">
        <v>0</v>
      </c>
      <c r="AH407" s="331">
        <v>0</v>
      </c>
      <c r="AI407" s="1025" t="b">
        <v>0</v>
      </c>
      <c r="AJ407" s="331">
        <v>0</v>
      </c>
      <c r="AK407" s="331">
        <v>0</v>
      </c>
      <c r="AL407" s="331">
        <v>0</v>
      </c>
      <c r="AM407" s="331">
        <v>0</v>
      </c>
      <c r="AN407" s="1025" t="b">
        <v>0</v>
      </c>
      <c r="AO407" s="331">
        <v>0</v>
      </c>
      <c r="AP407" s="331">
        <v>0</v>
      </c>
      <c r="AQ407" s="331">
        <v>0</v>
      </c>
      <c r="AR407" s="331">
        <v>0</v>
      </c>
      <c r="AS407" s="1025" t="b">
        <v>0</v>
      </c>
      <c r="AT407" s="1025" t="b">
        <v>0</v>
      </c>
      <c r="AU407" s="331">
        <v>285209</v>
      </c>
      <c r="AV407" s="491" t="s">
        <v>29</v>
      </c>
    </row>
    <row r="408" spans="1:48">
      <c r="A408" s="72">
        <v>30</v>
      </c>
      <c r="B408" s="391" t="s">
        <v>68</v>
      </c>
      <c r="C408" s="72">
        <f t="shared" si="18"/>
        <v>43</v>
      </c>
      <c r="D408" s="72" t="str">
        <f t="shared" si="19"/>
        <v>30-43</v>
      </c>
      <c r="E408" s="72">
        <v>66597</v>
      </c>
      <c r="F408" s="72" t="str">
        <f t="shared" si="20"/>
        <v>30-66597</v>
      </c>
      <c r="G408" s="391" t="s">
        <v>952</v>
      </c>
      <c r="H408" s="331">
        <v>11024.25</v>
      </c>
      <c r="I408" s="331">
        <v>10136.34</v>
      </c>
      <c r="J408" s="331">
        <v>10437.030000000001</v>
      </c>
      <c r="K408" s="331">
        <v>12410.04</v>
      </c>
      <c r="L408" s="491" t="s">
        <v>29</v>
      </c>
      <c r="M408" s="491" t="s">
        <v>29</v>
      </c>
      <c r="N408" s="491" t="s">
        <v>29</v>
      </c>
      <c r="O408" s="491" t="s">
        <v>29</v>
      </c>
      <c r="P408" s="491">
        <v>4.91</v>
      </c>
      <c r="Q408" s="491">
        <v>0</v>
      </c>
      <c r="R408" s="491">
        <v>0.91</v>
      </c>
      <c r="S408" s="491">
        <v>14.91</v>
      </c>
      <c r="T408" s="1025" t="b">
        <v>0</v>
      </c>
      <c r="U408" s="491">
        <v>1.59</v>
      </c>
      <c r="V408" s="491">
        <v>0.93</v>
      </c>
      <c r="W408" s="491">
        <v>0.21</v>
      </c>
      <c r="X408" s="491">
        <v>9.3800000000000008</v>
      </c>
      <c r="Y408" s="1025" t="b">
        <v>0</v>
      </c>
      <c r="Z408" s="331">
        <v>0</v>
      </c>
      <c r="AA408" s="331">
        <v>0</v>
      </c>
      <c r="AB408" s="331">
        <v>0</v>
      </c>
      <c r="AC408" s="331">
        <v>0</v>
      </c>
      <c r="AD408" s="1025" t="b">
        <v>0</v>
      </c>
      <c r="AE408" s="331">
        <v>0.1</v>
      </c>
      <c r="AF408" s="331">
        <v>7.0000000000000007E-2</v>
      </c>
      <c r="AG408" s="331">
        <v>0.19</v>
      </c>
      <c r="AH408" s="331">
        <v>1.0900000000000001</v>
      </c>
      <c r="AI408" s="1025" t="b">
        <v>0</v>
      </c>
      <c r="AJ408" s="331">
        <v>0</v>
      </c>
      <c r="AK408" s="331">
        <v>0</v>
      </c>
      <c r="AL408" s="331">
        <v>0</v>
      </c>
      <c r="AM408" s="331">
        <v>0</v>
      </c>
      <c r="AN408" s="1025" t="b">
        <v>0</v>
      </c>
      <c r="AO408" s="331">
        <v>0</v>
      </c>
      <c r="AP408" s="331">
        <v>0</v>
      </c>
      <c r="AQ408" s="331">
        <v>0</v>
      </c>
      <c r="AR408" s="331">
        <v>0</v>
      </c>
      <c r="AS408" s="1025" t="b">
        <v>0</v>
      </c>
      <c r="AT408" s="1025" t="b">
        <v>0</v>
      </c>
      <c r="AU408" s="331">
        <v>411536</v>
      </c>
      <c r="AV408" s="491" t="s">
        <v>29</v>
      </c>
    </row>
    <row r="409" spans="1:48">
      <c r="A409" s="72">
        <v>30</v>
      </c>
      <c r="B409" s="391" t="s">
        <v>68</v>
      </c>
      <c r="C409" s="72">
        <f t="shared" si="18"/>
        <v>44</v>
      </c>
      <c r="D409" s="72" t="str">
        <f t="shared" si="19"/>
        <v>30-44</v>
      </c>
      <c r="E409" s="72">
        <v>66613</v>
      </c>
      <c r="F409" s="72" t="str">
        <f t="shared" si="20"/>
        <v>30-66613</v>
      </c>
      <c r="G409" s="391" t="s">
        <v>953</v>
      </c>
      <c r="H409" s="331">
        <v>11550.33</v>
      </c>
      <c r="I409" s="331">
        <v>10620.05</v>
      </c>
      <c r="J409" s="331">
        <v>10935.09</v>
      </c>
      <c r="K409" s="331">
        <v>13002.26</v>
      </c>
      <c r="L409" s="491" t="s">
        <v>29</v>
      </c>
      <c r="M409" s="491" t="s">
        <v>29</v>
      </c>
      <c r="N409" s="491" t="s">
        <v>29</v>
      </c>
      <c r="O409" s="491" t="s">
        <v>29</v>
      </c>
      <c r="P409" s="491">
        <v>3.09</v>
      </c>
      <c r="Q409" s="491">
        <v>1.23</v>
      </c>
      <c r="R409" s="491">
        <v>2.04</v>
      </c>
      <c r="S409" s="491">
        <v>0</v>
      </c>
      <c r="T409" s="1025" t="b">
        <v>0</v>
      </c>
      <c r="U409" s="491">
        <v>0</v>
      </c>
      <c r="V409" s="491">
        <v>0</v>
      </c>
      <c r="W409" s="491">
        <v>0</v>
      </c>
      <c r="X409" s="491">
        <v>0</v>
      </c>
      <c r="Y409" s="1025" t="b">
        <v>0</v>
      </c>
      <c r="Z409" s="331">
        <v>0</v>
      </c>
      <c r="AA409" s="331">
        <v>0</v>
      </c>
      <c r="AB409" s="331">
        <v>0</v>
      </c>
      <c r="AC409" s="331">
        <v>0</v>
      </c>
      <c r="AD409" s="1025" t="b">
        <v>0</v>
      </c>
      <c r="AE409" s="331">
        <v>0</v>
      </c>
      <c r="AF409" s="331">
        <v>0</v>
      </c>
      <c r="AG409" s="331">
        <v>0</v>
      </c>
      <c r="AH409" s="331">
        <v>0</v>
      </c>
      <c r="AI409" s="1025" t="b">
        <v>0</v>
      </c>
      <c r="AJ409" s="331">
        <v>0</v>
      </c>
      <c r="AK409" s="331">
        <v>0</v>
      </c>
      <c r="AL409" s="331">
        <v>0</v>
      </c>
      <c r="AM409" s="331">
        <v>0</v>
      </c>
      <c r="AN409" s="1025" t="b">
        <v>0</v>
      </c>
      <c r="AO409" s="331">
        <v>0</v>
      </c>
      <c r="AP409" s="331">
        <v>0</v>
      </c>
      <c r="AQ409" s="331">
        <v>0</v>
      </c>
      <c r="AR409" s="331">
        <v>0</v>
      </c>
      <c r="AS409" s="1025" t="b">
        <v>0</v>
      </c>
      <c r="AT409" s="1025" t="b">
        <v>0</v>
      </c>
      <c r="AU409" s="331">
        <v>71062</v>
      </c>
      <c r="AV409" s="491" t="s">
        <v>29</v>
      </c>
    </row>
    <row r="410" spans="1:48">
      <c r="A410" s="72">
        <v>30</v>
      </c>
      <c r="B410" s="391" t="s">
        <v>68</v>
      </c>
      <c r="C410" s="72">
        <f t="shared" si="18"/>
        <v>45</v>
      </c>
      <c r="D410" s="72" t="str">
        <f t="shared" si="19"/>
        <v>30-45</v>
      </c>
      <c r="E410" s="72">
        <v>66621</v>
      </c>
      <c r="F410" s="72" t="str">
        <f t="shared" si="20"/>
        <v>30-66621</v>
      </c>
      <c r="G410" s="391" t="s">
        <v>954</v>
      </c>
      <c r="H410" s="331">
        <v>11171.17</v>
      </c>
      <c r="I410" s="331">
        <v>10271.43</v>
      </c>
      <c r="J410" s="331">
        <v>10576.13</v>
      </c>
      <c r="K410" s="331">
        <v>12575.44</v>
      </c>
      <c r="L410" s="491" t="s">
        <v>29</v>
      </c>
      <c r="M410" s="491" t="s">
        <v>29</v>
      </c>
      <c r="N410" s="491" t="s">
        <v>29</v>
      </c>
      <c r="O410" s="491" t="s">
        <v>29</v>
      </c>
      <c r="P410" s="491">
        <v>9.35</v>
      </c>
      <c r="Q410" s="491">
        <v>0.61</v>
      </c>
      <c r="R410" s="491">
        <v>2.46</v>
      </c>
      <c r="S410" s="491">
        <v>38.450000000000003</v>
      </c>
      <c r="T410" s="1025" t="b">
        <v>0</v>
      </c>
      <c r="U410" s="491">
        <v>0.01</v>
      </c>
      <c r="V410" s="491">
        <v>1.77</v>
      </c>
      <c r="W410" s="491">
        <v>2.91</v>
      </c>
      <c r="X410" s="491">
        <v>3.21</v>
      </c>
      <c r="Y410" s="1025" t="b">
        <v>0</v>
      </c>
      <c r="Z410" s="331">
        <v>0</v>
      </c>
      <c r="AA410" s="331">
        <v>0</v>
      </c>
      <c r="AB410" s="331">
        <v>0</v>
      </c>
      <c r="AC410" s="331">
        <v>0</v>
      </c>
      <c r="AD410" s="1025" t="b">
        <v>0</v>
      </c>
      <c r="AE410" s="331">
        <v>0</v>
      </c>
      <c r="AF410" s="331">
        <v>0.17</v>
      </c>
      <c r="AG410" s="331">
        <v>0.34</v>
      </c>
      <c r="AH410" s="331">
        <v>0.4</v>
      </c>
      <c r="AI410" s="1025" t="b">
        <v>0</v>
      </c>
      <c r="AJ410" s="331">
        <v>0</v>
      </c>
      <c r="AK410" s="331">
        <v>0</v>
      </c>
      <c r="AL410" s="331">
        <v>0</v>
      </c>
      <c r="AM410" s="331">
        <v>0</v>
      </c>
      <c r="AN410" s="1025" t="b">
        <v>0</v>
      </c>
      <c r="AO410" s="331">
        <v>0</v>
      </c>
      <c r="AP410" s="331">
        <v>0</v>
      </c>
      <c r="AQ410" s="331">
        <v>0</v>
      </c>
      <c r="AR410" s="331">
        <v>0</v>
      </c>
      <c r="AS410" s="1025" t="b">
        <v>0</v>
      </c>
      <c r="AT410" s="1025" t="b">
        <v>0</v>
      </c>
      <c r="AU410" s="331">
        <v>720067</v>
      </c>
      <c r="AV410" s="491" t="s">
        <v>29</v>
      </c>
    </row>
    <row r="411" spans="1:48">
      <c r="A411" s="72">
        <v>30</v>
      </c>
      <c r="B411" s="391" t="s">
        <v>68</v>
      </c>
      <c r="C411" s="72">
        <f t="shared" si="18"/>
        <v>46</v>
      </c>
      <c r="D411" s="72" t="str">
        <f t="shared" si="19"/>
        <v>30-46</v>
      </c>
      <c r="E411" s="72">
        <v>66647</v>
      </c>
      <c r="F411" s="72" t="str">
        <f t="shared" si="20"/>
        <v>30-66647</v>
      </c>
      <c r="G411" s="391" t="s">
        <v>955</v>
      </c>
      <c r="H411" s="331">
        <v>11086.58</v>
      </c>
      <c r="I411" s="331">
        <v>10193.65</v>
      </c>
      <c r="J411" s="331">
        <v>10496.04</v>
      </c>
      <c r="K411" s="331">
        <v>12480.21</v>
      </c>
      <c r="L411" s="491" t="s">
        <v>29</v>
      </c>
      <c r="M411" s="491" t="s">
        <v>29</v>
      </c>
      <c r="N411" s="491" t="s">
        <v>29</v>
      </c>
      <c r="O411" s="491" t="s">
        <v>29</v>
      </c>
      <c r="P411" s="491">
        <v>2.76</v>
      </c>
      <c r="Q411" s="491">
        <v>3.03</v>
      </c>
      <c r="R411" s="491">
        <v>1.73</v>
      </c>
      <c r="S411" s="491">
        <v>892.34</v>
      </c>
      <c r="T411" s="1025" t="b">
        <v>0</v>
      </c>
      <c r="U411" s="491">
        <v>0</v>
      </c>
      <c r="V411" s="491">
        <v>0.73</v>
      </c>
      <c r="W411" s="491">
        <v>0.85</v>
      </c>
      <c r="X411" s="491">
        <v>5.78</v>
      </c>
      <c r="Y411" s="1025" t="b">
        <v>0</v>
      </c>
      <c r="Z411" s="331">
        <v>0</v>
      </c>
      <c r="AA411" s="331">
        <v>0</v>
      </c>
      <c r="AB411" s="331">
        <v>0</v>
      </c>
      <c r="AC411" s="331">
        <v>0</v>
      </c>
      <c r="AD411" s="1025" t="b">
        <v>0</v>
      </c>
      <c r="AE411" s="331">
        <v>0</v>
      </c>
      <c r="AF411" s="331">
        <v>0.09</v>
      </c>
      <c r="AG411" s="331">
        <v>0.1</v>
      </c>
      <c r="AH411" s="331">
        <v>0.65</v>
      </c>
      <c r="AI411" s="1025" t="b">
        <v>0</v>
      </c>
      <c r="AJ411" s="331">
        <v>0</v>
      </c>
      <c r="AK411" s="331">
        <v>0</v>
      </c>
      <c r="AL411" s="331">
        <v>0</v>
      </c>
      <c r="AM411" s="331">
        <v>0</v>
      </c>
      <c r="AN411" s="1025" t="b">
        <v>0</v>
      </c>
      <c r="AO411" s="331">
        <v>0</v>
      </c>
      <c r="AP411" s="331">
        <v>0</v>
      </c>
      <c r="AQ411" s="331">
        <v>0</v>
      </c>
      <c r="AR411" s="331">
        <v>0</v>
      </c>
      <c r="AS411" s="1025" t="b">
        <v>0</v>
      </c>
      <c r="AT411" s="1025" t="b">
        <v>0</v>
      </c>
      <c r="AU411" s="331">
        <v>11314812</v>
      </c>
      <c r="AV411" s="491" t="s">
        <v>29</v>
      </c>
    </row>
    <row r="412" spans="1:48">
      <c r="A412" s="72">
        <v>30</v>
      </c>
      <c r="B412" s="391" t="s">
        <v>68</v>
      </c>
      <c r="C412" s="72">
        <f t="shared" si="18"/>
        <v>47</v>
      </c>
      <c r="D412" s="72" t="str">
        <f t="shared" si="19"/>
        <v>30-47</v>
      </c>
      <c r="E412" s="72">
        <v>66670</v>
      </c>
      <c r="F412" s="72" t="str">
        <f t="shared" si="20"/>
        <v>30-66670</v>
      </c>
      <c r="G412" s="391" t="s">
        <v>956</v>
      </c>
      <c r="H412" s="331">
        <v>13765.99</v>
      </c>
      <c r="I412" s="331">
        <v>12657.25</v>
      </c>
      <c r="J412" s="331">
        <v>13032.73</v>
      </c>
      <c r="K412" s="331">
        <v>15496.43</v>
      </c>
      <c r="L412" s="491" t="s">
        <v>29</v>
      </c>
      <c r="M412" s="491" t="s">
        <v>29</v>
      </c>
      <c r="N412" s="491" t="s">
        <v>29</v>
      </c>
      <c r="O412" s="491" t="s">
        <v>29</v>
      </c>
      <c r="P412" s="491">
        <v>10.1</v>
      </c>
      <c r="Q412" s="491">
        <v>6.06</v>
      </c>
      <c r="R412" s="491">
        <v>3.14</v>
      </c>
      <c r="S412" s="491">
        <v>25.12</v>
      </c>
      <c r="T412" s="1025" t="b">
        <v>0</v>
      </c>
      <c r="U412" s="491">
        <v>0.1</v>
      </c>
      <c r="V412" s="491">
        <v>2.39</v>
      </c>
      <c r="W412" s="491">
        <v>2.83</v>
      </c>
      <c r="X412" s="491">
        <v>25.01</v>
      </c>
      <c r="Y412" s="1025" t="b">
        <v>0</v>
      </c>
      <c r="Z412" s="331">
        <v>0</v>
      </c>
      <c r="AA412" s="331">
        <v>0</v>
      </c>
      <c r="AB412" s="331">
        <v>0</v>
      </c>
      <c r="AC412" s="331">
        <v>0</v>
      </c>
      <c r="AD412" s="1025" t="b">
        <v>0</v>
      </c>
      <c r="AE412" s="331">
        <v>0</v>
      </c>
      <c r="AF412" s="331">
        <v>0.22</v>
      </c>
      <c r="AG412" s="331">
        <v>0.21</v>
      </c>
      <c r="AH412" s="331">
        <v>3.57</v>
      </c>
      <c r="AI412" s="1025" t="b">
        <v>0</v>
      </c>
      <c r="AJ412" s="331">
        <v>0</v>
      </c>
      <c r="AK412" s="331">
        <v>0</v>
      </c>
      <c r="AL412" s="331">
        <v>0</v>
      </c>
      <c r="AM412" s="331">
        <v>0</v>
      </c>
      <c r="AN412" s="1025" t="b">
        <v>0</v>
      </c>
      <c r="AO412" s="331">
        <v>0</v>
      </c>
      <c r="AP412" s="331">
        <v>0</v>
      </c>
      <c r="AQ412" s="331">
        <v>0</v>
      </c>
      <c r="AR412" s="331">
        <v>0</v>
      </c>
      <c r="AS412" s="1025" t="b">
        <v>0</v>
      </c>
      <c r="AT412" s="1025" t="b">
        <v>0</v>
      </c>
      <c r="AU412" s="331">
        <v>1162851</v>
      </c>
      <c r="AV412" s="491" t="s">
        <v>29</v>
      </c>
    </row>
    <row r="413" spans="1:48">
      <c r="A413" s="72">
        <v>30</v>
      </c>
      <c r="B413" s="391" t="s">
        <v>68</v>
      </c>
      <c r="C413" s="72">
        <f t="shared" si="18"/>
        <v>48</v>
      </c>
      <c r="D413" s="72" t="str">
        <f t="shared" si="19"/>
        <v>30-48</v>
      </c>
      <c r="E413" s="72">
        <v>66696</v>
      </c>
      <c r="F413" s="72" t="str">
        <f t="shared" si="20"/>
        <v>30-66696</v>
      </c>
      <c r="G413" s="391" t="s">
        <v>957</v>
      </c>
      <c r="H413" s="331">
        <v>13352.27</v>
      </c>
      <c r="I413" s="331">
        <v>12276.86</v>
      </c>
      <c r="J413" s="331">
        <v>12641.05</v>
      </c>
      <c r="K413" s="331">
        <v>15030.71</v>
      </c>
      <c r="L413" s="491" t="s">
        <v>29</v>
      </c>
      <c r="M413" s="491" t="s">
        <v>29</v>
      </c>
      <c r="N413" s="491" t="s">
        <v>29</v>
      </c>
      <c r="O413" s="491" t="s">
        <v>29</v>
      </c>
      <c r="P413" s="491">
        <v>5.34</v>
      </c>
      <c r="Q413" s="491">
        <v>3.69</v>
      </c>
      <c r="R413" s="491">
        <v>0</v>
      </c>
      <c r="S413" s="491">
        <v>0</v>
      </c>
      <c r="T413" s="1025" t="b">
        <v>0</v>
      </c>
      <c r="U413" s="491">
        <v>2.0099999999999998</v>
      </c>
      <c r="V413" s="491">
        <v>1</v>
      </c>
      <c r="W413" s="491">
        <v>0</v>
      </c>
      <c r="X413" s="491">
        <v>0</v>
      </c>
      <c r="Y413" s="1025" t="b">
        <v>0</v>
      </c>
      <c r="Z413" s="331">
        <v>0</v>
      </c>
      <c r="AA413" s="331">
        <v>0</v>
      </c>
      <c r="AB413" s="331">
        <v>0</v>
      </c>
      <c r="AC413" s="331">
        <v>0</v>
      </c>
      <c r="AD413" s="1025" t="b">
        <v>0</v>
      </c>
      <c r="AE413" s="331">
        <v>0.42</v>
      </c>
      <c r="AF413" s="331">
        <v>0.11</v>
      </c>
      <c r="AG413" s="331">
        <v>0</v>
      </c>
      <c r="AH413" s="331">
        <v>0</v>
      </c>
      <c r="AI413" s="1025" t="b">
        <v>0</v>
      </c>
      <c r="AJ413" s="331">
        <v>0</v>
      </c>
      <c r="AK413" s="331">
        <v>0</v>
      </c>
      <c r="AL413" s="331">
        <v>0</v>
      </c>
      <c r="AM413" s="331">
        <v>0</v>
      </c>
      <c r="AN413" s="1025" t="b">
        <v>0</v>
      </c>
      <c r="AO413" s="331">
        <v>0</v>
      </c>
      <c r="AP413" s="331">
        <v>0</v>
      </c>
      <c r="AQ413" s="331">
        <v>0</v>
      </c>
      <c r="AR413" s="331">
        <v>0</v>
      </c>
      <c r="AS413" s="1025" t="b">
        <v>0</v>
      </c>
      <c r="AT413" s="1025" t="b">
        <v>0</v>
      </c>
      <c r="AU413" s="331">
        <v>162676</v>
      </c>
      <c r="AV413" s="491" t="s">
        <v>29</v>
      </c>
    </row>
    <row r="414" spans="1:48">
      <c r="A414" s="72">
        <v>30</v>
      </c>
      <c r="B414" s="391" t="s">
        <v>68</v>
      </c>
      <c r="C414" s="72">
        <f t="shared" si="18"/>
        <v>49</v>
      </c>
      <c r="D414" s="72" t="str">
        <f t="shared" si="19"/>
        <v>30-49</v>
      </c>
      <c r="E414" s="72">
        <v>66746</v>
      </c>
      <c r="F414" s="72" t="str">
        <f t="shared" si="20"/>
        <v>30-66746</v>
      </c>
      <c r="G414" s="391" t="s">
        <v>958</v>
      </c>
      <c r="H414" s="331">
        <v>13141.55</v>
      </c>
      <c r="I414" s="331">
        <v>12083.1</v>
      </c>
      <c r="J414" s="331">
        <v>12441.55</v>
      </c>
      <c r="K414" s="331">
        <v>14793.49</v>
      </c>
      <c r="L414" s="491" t="s">
        <v>29</v>
      </c>
      <c r="M414" s="491" t="s">
        <v>29</v>
      </c>
      <c r="N414" s="491" t="s">
        <v>29</v>
      </c>
      <c r="O414" s="491" t="s">
        <v>29</v>
      </c>
      <c r="P414" s="491">
        <v>5.73</v>
      </c>
      <c r="Q414" s="491">
        <v>7.53</v>
      </c>
      <c r="R414" s="491">
        <v>4.7</v>
      </c>
      <c r="S414" s="491">
        <v>0</v>
      </c>
      <c r="T414" s="1025" t="b">
        <v>0</v>
      </c>
      <c r="U414" s="491">
        <v>1.94</v>
      </c>
      <c r="V414" s="491">
        <v>1.86</v>
      </c>
      <c r="W414" s="491">
        <v>0</v>
      </c>
      <c r="X414" s="491">
        <v>0</v>
      </c>
      <c r="Y414" s="1025" t="b">
        <v>0</v>
      </c>
      <c r="Z414" s="331">
        <v>0</v>
      </c>
      <c r="AA414" s="331">
        <v>0</v>
      </c>
      <c r="AB414" s="331">
        <v>0</v>
      </c>
      <c r="AC414" s="331">
        <v>0</v>
      </c>
      <c r="AD414" s="1025" t="b">
        <v>0</v>
      </c>
      <c r="AE414" s="331">
        <v>0.19</v>
      </c>
      <c r="AF414" s="331">
        <v>0.1</v>
      </c>
      <c r="AG414" s="331">
        <v>0.11</v>
      </c>
      <c r="AH414" s="331">
        <v>0</v>
      </c>
      <c r="AI414" s="1025" t="b">
        <v>0</v>
      </c>
      <c r="AJ414" s="331">
        <v>0</v>
      </c>
      <c r="AK414" s="331">
        <v>0</v>
      </c>
      <c r="AL414" s="331">
        <v>0</v>
      </c>
      <c r="AM414" s="331">
        <v>0</v>
      </c>
      <c r="AN414" s="1025" t="b">
        <v>0</v>
      </c>
      <c r="AO414" s="331">
        <v>0</v>
      </c>
      <c r="AP414" s="331">
        <v>0</v>
      </c>
      <c r="AQ414" s="331">
        <v>0</v>
      </c>
      <c r="AR414" s="331">
        <v>0</v>
      </c>
      <c r="AS414" s="1025" t="b">
        <v>0</v>
      </c>
      <c r="AT414" s="1025" t="b">
        <v>0</v>
      </c>
      <c r="AU414" s="331">
        <v>277806</v>
      </c>
      <c r="AV414" s="491" t="s">
        <v>29</v>
      </c>
    </row>
    <row r="415" spans="1:48">
      <c r="A415" s="72">
        <v>30</v>
      </c>
      <c r="B415" s="391" t="s">
        <v>68</v>
      </c>
      <c r="C415" s="72">
        <f t="shared" si="18"/>
        <v>50</v>
      </c>
      <c r="D415" s="72" t="str">
        <f t="shared" si="19"/>
        <v>30-50</v>
      </c>
      <c r="E415" s="72">
        <v>73635</v>
      </c>
      <c r="F415" s="72" t="str">
        <f t="shared" si="20"/>
        <v>30-73635</v>
      </c>
      <c r="G415" s="391" t="s">
        <v>959</v>
      </c>
      <c r="H415" s="331">
        <v>10901.6</v>
      </c>
      <c r="I415" s="331">
        <v>10023.57</v>
      </c>
      <c r="J415" s="331">
        <v>10320.92</v>
      </c>
      <c r="K415" s="331">
        <v>12271.98</v>
      </c>
      <c r="L415" s="491" t="s">
        <v>29</v>
      </c>
      <c r="M415" s="491" t="s">
        <v>29</v>
      </c>
      <c r="N415" s="491" t="s">
        <v>29</v>
      </c>
      <c r="O415" s="491" t="s">
        <v>29</v>
      </c>
      <c r="P415" s="491">
        <v>2.27</v>
      </c>
      <c r="Q415" s="491">
        <v>1.23</v>
      </c>
      <c r="R415" s="491">
        <v>1.63</v>
      </c>
      <c r="S415" s="491">
        <v>518.6</v>
      </c>
      <c r="T415" s="1025" t="b">
        <v>0</v>
      </c>
      <c r="U415" s="491">
        <v>9.41</v>
      </c>
      <c r="V415" s="491">
        <v>2.89</v>
      </c>
      <c r="W415" s="491">
        <v>1.89</v>
      </c>
      <c r="X415" s="491">
        <v>12.93</v>
      </c>
      <c r="Y415" s="1025" t="b">
        <v>0</v>
      </c>
      <c r="Z415" s="331">
        <v>0</v>
      </c>
      <c r="AA415" s="331">
        <v>0</v>
      </c>
      <c r="AB415" s="331">
        <v>0</v>
      </c>
      <c r="AC415" s="331">
        <v>0</v>
      </c>
      <c r="AD415" s="1025" t="b">
        <v>0</v>
      </c>
      <c r="AE415" s="331">
        <v>0.92</v>
      </c>
      <c r="AF415" s="331">
        <v>0.33</v>
      </c>
      <c r="AG415" s="331">
        <v>0.16</v>
      </c>
      <c r="AH415" s="331">
        <v>1.26</v>
      </c>
      <c r="AI415" s="1025" t="b">
        <v>0</v>
      </c>
      <c r="AJ415" s="331">
        <v>0</v>
      </c>
      <c r="AK415" s="331">
        <v>0</v>
      </c>
      <c r="AL415" s="331">
        <v>0</v>
      </c>
      <c r="AM415" s="331">
        <v>0</v>
      </c>
      <c r="AN415" s="1025" t="b">
        <v>0</v>
      </c>
      <c r="AO415" s="331">
        <v>0</v>
      </c>
      <c r="AP415" s="331">
        <v>0</v>
      </c>
      <c r="AQ415" s="331">
        <v>0</v>
      </c>
      <c r="AR415" s="331">
        <v>0</v>
      </c>
      <c r="AS415" s="1025" t="b">
        <v>0</v>
      </c>
      <c r="AT415" s="1025" t="b">
        <v>0</v>
      </c>
      <c r="AU415" s="331">
        <v>6758334</v>
      </c>
      <c r="AV415" s="491" t="s">
        <v>29</v>
      </c>
    </row>
    <row r="416" spans="1:48">
      <c r="A416" s="72">
        <v>30</v>
      </c>
      <c r="B416" s="391" t="s">
        <v>68</v>
      </c>
      <c r="C416" s="72">
        <f t="shared" si="18"/>
        <v>51</v>
      </c>
      <c r="D416" s="72" t="str">
        <f t="shared" si="19"/>
        <v>30-51</v>
      </c>
      <c r="E416" s="72">
        <v>73643</v>
      </c>
      <c r="F416" s="72" t="str">
        <f t="shared" si="20"/>
        <v>30-73643</v>
      </c>
      <c r="G416" s="391" t="s">
        <v>960</v>
      </c>
      <c r="H416" s="331">
        <v>10996.32</v>
      </c>
      <c r="I416" s="331">
        <v>10110.66</v>
      </c>
      <c r="J416" s="331">
        <v>10410.59</v>
      </c>
      <c r="K416" s="331">
        <v>12378.6</v>
      </c>
      <c r="L416" s="491" t="s">
        <v>29</v>
      </c>
      <c r="M416" s="491" t="s">
        <v>29</v>
      </c>
      <c r="N416" s="491" t="s">
        <v>29</v>
      </c>
      <c r="O416" s="491" t="s">
        <v>29</v>
      </c>
      <c r="P416" s="491">
        <v>5.6</v>
      </c>
      <c r="Q416" s="491">
        <v>2.44</v>
      </c>
      <c r="R416" s="491">
        <v>2.74</v>
      </c>
      <c r="S416" s="491">
        <v>302.8</v>
      </c>
      <c r="T416" s="1025" t="b">
        <v>0</v>
      </c>
      <c r="U416" s="491">
        <v>0</v>
      </c>
      <c r="V416" s="491">
        <v>0</v>
      </c>
      <c r="W416" s="491">
        <v>0.88</v>
      </c>
      <c r="X416" s="491">
        <v>5.82</v>
      </c>
      <c r="Y416" s="1025" t="b">
        <v>0</v>
      </c>
      <c r="Z416" s="331">
        <v>0</v>
      </c>
      <c r="AA416" s="331">
        <v>0</v>
      </c>
      <c r="AB416" s="331">
        <v>0</v>
      </c>
      <c r="AC416" s="331">
        <v>0</v>
      </c>
      <c r="AD416" s="1025" t="b">
        <v>0</v>
      </c>
      <c r="AE416" s="331">
        <v>0</v>
      </c>
      <c r="AF416" s="331">
        <v>0</v>
      </c>
      <c r="AG416" s="331">
        <v>0.18</v>
      </c>
      <c r="AH416" s="331">
        <v>0.74</v>
      </c>
      <c r="AI416" s="1025" t="b">
        <v>0</v>
      </c>
      <c r="AJ416" s="331">
        <v>0</v>
      </c>
      <c r="AK416" s="331">
        <v>0</v>
      </c>
      <c r="AL416" s="331">
        <v>0</v>
      </c>
      <c r="AM416" s="331">
        <v>0</v>
      </c>
      <c r="AN416" s="1025" t="b">
        <v>0</v>
      </c>
      <c r="AO416" s="331">
        <v>0</v>
      </c>
      <c r="AP416" s="331">
        <v>0</v>
      </c>
      <c r="AQ416" s="331">
        <v>0</v>
      </c>
      <c r="AR416" s="331">
        <v>0</v>
      </c>
      <c r="AS416" s="1025" t="b">
        <v>0</v>
      </c>
      <c r="AT416" s="1025" t="b">
        <v>0</v>
      </c>
      <c r="AU416" s="331">
        <v>3955253</v>
      </c>
      <c r="AV416" s="491" t="s">
        <v>29</v>
      </c>
    </row>
    <row r="417" spans="1:48">
      <c r="A417" s="72">
        <v>30</v>
      </c>
      <c r="B417" s="391" t="s">
        <v>68</v>
      </c>
      <c r="C417" s="72">
        <f t="shared" si="18"/>
        <v>52</v>
      </c>
      <c r="D417" s="72" t="str">
        <f t="shared" si="19"/>
        <v>30-52</v>
      </c>
      <c r="E417" s="72">
        <v>73650</v>
      </c>
      <c r="F417" s="72" t="str">
        <f t="shared" si="20"/>
        <v>30-73650</v>
      </c>
      <c r="G417" s="391" t="s">
        <v>961</v>
      </c>
      <c r="H417" s="331">
        <v>10720.47</v>
      </c>
      <c r="I417" s="331">
        <v>9857.0300000000007</v>
      </c>
      <c r="J417" s="331">
        <v>10149.44</v>
      </c>
      <c r="K417" s="331">
        <v>12068.08</v>
      </c>
      <c r="L417" s="491" t="s">
        <v>29</v>
      </c>
      <c r="M417" s="491" t="s">
        <v>29</v>
      </c>
      <c r="N417" s="491" t="s">
        <v>29</v>
      </c>
      <c r="O417" s="491" t="s">
        <v>29</v>
      </c>
      <c r="P417" s="491">
        <v>3.57</v>
      </c>
      <c r="Q417" s="491">
        <v>1.23</v>
      </c>
      <c r="R417" s="491">
        <v>4.8600000000000003</v>
      </c>
      <c r="S417" s="491">
        <v>23.86</v>
      </c>
      <c r="T417" s="1025" t="b">
        <v>0</v>
      </c>
      <c r="U417" s="491">
        <v>2.44</v>
      </c>
      <c r="V417" s="491">
        <v>1.62</v>
      </c>
      <c r="W417" s="491">
        <v>0.32</v>
      </c>
      <c r="X417" s="491">
        <v>8.73</v>
      </c>
      <c r="Y417" s="1025" t="b">
        <v>0</v>
      </c>
      <c r="Z417" s="331">
        <v>0</v>
      </c>
      <c r="AA417" s="331">
        <v>0</v>
      </c>
      <c r="AB417" s="331">
        <v>0</v>
      </c>
      <c r="AC417" s="331">
        <v>0</v>
      </c>
      <c r="AD417" s="1025" t="b">
        <v>0</v>
      </c>
      <c r="AE417" s="331">
        <v>0.2</v>
      </c>
      <c r="AF417" s="331">
        <v>0.1</v>
      </c>
      <c r="AG417" s="331">
        <v>0</v>
      </c>
      <c r="AH417" s="331">
        <v>1.1499999999999999</v>
      </c>
      <c r="AI417" s="1025" t="b">
        <v>0</v>
      </c>
      <c r="AJ417" s="331">
        <v>0</v>
      </c>
      <c r="AK417" s="331">
        <v>0</v>
      </c>
      <c r="AL417" s="331">
        <v>0</v>
      </c>
      <c r="AM417" s="331">
        <v>0</v>
      </c>
      <c r="AN417" s="1025" t="b">
        <v>0</v>
      </c>
      <c r="AO417" s="331">
        <v>0</v>
      </c>
      <c r="AP417" s="331">
        <v>0</v>
      </c>
      <c r="AQ417" s="331">
        <v>0</v>
      </c>
      <c r="AR417" s="331">
        <v>0</v>
      </c>
      <c r="AS417" s="1025" t="b">
        <v>0</v>
      </c>
      <c r="AT417" s="1025" t="b">
        <v>0</v>
      </c>
      <c r="AU417" s="331">
        <v>555403</v>
      </c>
      <c r="AV417" s="491" t="s">
        <v>29</v>
      </c>
    </row>
    <row r="418" spans="1:48">
      <c r="A418" s="72">
        <v>30</v>
      </c>
      <c r="B418" s="391" t="s">
        <v>68</v>
      </c>
      <c r="C418" s="72">
        <f t="shared" si="18"/>
        <v>53</v>
      </c>
      <c r="D418" s="72" t="str">
        <f t="shared" si="19"/>
        <v>30-53</v>
      </c>
      <c r="E418" s="72">
        <v>73924</v>
      </c>
      <c r="F418" s="72" t="str">
        <f t="shared" si="20"/>
        <v>30-73924</v>
      </c>
      <c r="G418" s="391" t="s">
        <v>962</v>
      </c>
      <c r="H418" s="331">
        <v>10473.17</v>
      </c>
      <c r="I418" s="331">
        <v>9629.64</v>
      </c>
      <c r="J418" s="331">
        <v>9915.2999999999993</v>
      </c>
      <c r="K418" s="331">
        <v>11789.69</v>
      </c>
      <c r="L418" s="491" t="s">
        <v>29</v>
      </c>
      <c r="M418" s="491" t="s">
        <v>29</v>
      </c>
      <c r="N418" s="491" t="s">
        <v>29</v>
      </c>
      <c r="O418" s="491" t="s">
        <v>29</v>
      </c>
      <c r="P418" s="491">
        <v>3.06</v>
      </c>
      <c r="Q418" s="491">
        <v>1.23</v>
      </c>
      <c r="R418" s="491">
        <v>1.23</v>
      </c>
      <c r="S418" s="491">
        <v>92.88</v>
      </c>
      <c r="T418" s="1025" t="b">
        <v>0</v>
      </c>
      <c r="U418" s="491">
        <v>0</v>
      </c>
      <c r="V418" s="491">
        <v>0</v>
      </c>
      <c r="W418" s="491">
        <v>0</v>
      </c>
      <c r="X418" s="491">
        <v>0</v>
      </c>
      <c r="Y418" s="1025" t="b">
        <v>0</v>
      </c>
      <c r="Z418" s="331">
        <v>0</v>
      </c>
      <c r="AA418" s="331">
        <v>0</v>
      </c>
      <c r="AB418" s="331">
        <v>0</v>
      </c>
      <c r="AC418" s="331">
        <v>0</v>
      </c>
      <c r="AD418" s="1025" t="b">
        <v>0</v>
      </c>
      <c r="AE418" s="331">
        <v>0</v>
      </c>
      <c r="AF418" s="331">
        <v>0</v>
      </c>
      <c r="AG418" s="331">
        <v>0</v>
      </c>
      <c r="AH418" s="331">
        <v>0</v>
      </c>
      <c r="AI418" s="1025" t="b">
        <v>0</v>
      </c>
      <c r="AJ418" s="331">
        <v>0</v>
      </c>
      <c r="AK418" s="331">
        <v>0</v>
      </c>
      <c r="AL418" s="331">
        <v>0</v>
      </c>
      <c r="AM418" s="331">
        <v>0</v>
      </c>
      <c r="AN418" s="1025" t="b">
        <v>0</v>
      </c>
      <c r="AO418" s="331">
        <v>0</v>
      </c>
      <c r="AP418" s="331">
        <v>0</v>
      </c>
      <c r="AQ418" s="331">
        <v>0</v>
      </c>
      <c r="AR418" s="331">
        <v>0</v>
      </c>
      <c r="AS418" s="1025" t="b">
        <v>0</v>
      </c>
      <c r="AT418" s="1025" t="b">
        <v>0</v>
      </c>
      <c r="AU418" s="331">
        <v>1151114</v>
      </c>
      <c r="AV418" s="491" t="s">
        <v>29</v>
      </c>
    </row>
    <row r="419" spans="1:48">
      <c r="A419" s="72">
        <v>30</v>
      </c>
      <c r="B419" s="391" t="s">
        <v>68</v>
      </c>
      <c r="C419" s="72">
        <f t="shared" si="18"/>
        <v>54</v>
      </c>
      <c r="D419" s="72" t="str">
        <f t="shared" si="19"/>
        <v>30-54</v>
      </c>
      <c r="E419" s="72">
        <v>66977</v>
      </c>
      <c r="F419" s="72" t="str">
        <f t="shared" si="20"/>
        <v>30-66977</v>
      </c>
      <c r="G419" s="391" t="s">
        <v>845</v>
      </c>
      <c r="H419" s="331">
        <v>13655.89</v>
      </c>
      <c r="I419" s="331">
        <v>12556.03</v>
      </c>
      <c r="J419" s="331">
        <v>12928.5</v>
      </c>
      <c r="K419" s="331">
        <v>15372.5</v>
      </c>
      <c r="L419" s="491" t="s">
        <v>29</v>
      </c>
      <c r="M419" s="491" t="s">
        <v>29</v>
      </c>
      <c r="N419" s="491" t="s">
        <v>29</v>
      </c>
      <c r="O419" s="491" t="s">
        <v>29</v>
      </c>
      <c r="P419" s="491">
        <v>0</v>
      </c>
      <c r="Q419" s="491">
        <v>0</v>
      </c>
      <c r="R419" s="491">
        <v>0</v>
      </c>
      <c r="S419" s="491">
        <v>2.97</v>
      </c>
      <c r="T419" s="1025" t="b">
        <v>0</v>
      </c>
      <c r="U419" s="491">
        <v>0</v>
      </c>
      <c r="V419" s="491">
        <v>0</v>
      </c>
      <c r="W419" s="491">
        <v>0</v>
      </c>
      <c r="X419" s="491">
        <v>0</v>
      </c>
      <c r="Y419" s="1025" t="b">
        <v>0</v>
      </c>
      <c r="Z419" s="331">
        <v>0</v>
      </c>
      <c r="AA419" s="331">
        <v>0</v>
      </c>
      <c r="AB419" s="331">
        <v>0</v>
      </c>
      <c r="AC419" s="331">
        <v>0</v>
      </c>
      <c r="AD419" s="1025" t="b">
        <v>0</v>
      </c>
      <c r="AE419" s="331">
        <v>0</v>
      </c>
      <c r="AF419" s="331">
        <v>0</v>
      </c>
      <c r="AG419" s="331">
        <v>0</v>
      </c>
      <c r="AH419" s="331">
        <v>0</v>
      </c>
      <c r="AI419" s="1025" t="b">
        <v>0</v>
      </c>
      <c r="AJ419" s="331">
        <v>0</v>
      </c>
      <c r="AK419" s="331">
        <v>0</v>
      </c>
      <c r="AL419" s="331">
        <v>0</v>
      </c>
      <c r="AM419" s="331">
        <v>0</v>
      </c>
      <c r="AN419" s="1025" t="b">
        <v>0</v>
      </c>
      <c r="AO419" s="331">
        <v>0</v>
      </c>
      <c r="AP419" s="331">
        <v>0</v>
      </c>
      <c r="AQ419" s="331">
        <v>0</v>
      </c>
      <c r="AR419" s="331">
        <v>0</v>
      </c>
      <c r="AS419" s="1025" t="b">
        <v>0</v>
      </c>
      <c r="AT419" s="1025" t="b">
        <v>0</v>
      </c>
      <c r="AU419" s="331">
        <v>45656</v>
      </c>
      <c r="AV419" s="491" t="s">
        <v>29</v>
      </c>
    </row>
    <row r="420" spans="1:48">
      <c r="A420" s="72">
        <v>30</v>
      </c>
      <c r="B420" s="391" t="s">
        <v>68</v>
      </c>
      <c r="C420" s="72">
        <f t="shared" si="18"/>
        <v>55</v>
      </c>
      <c r="D420" s="72" t="str">
        <f t="shared" si="19"/>
        <v>30-55</v>
      </c>
      <c r="E420" s="72">
        <v>67033</v>
      </c>
      <c r="F420" s="72" t="str">
        <f t="shared" si="20"/>
        <v>30-67033</v>
      </c>
      <c r="G420" s="391" t="s">
        <v>847</v>
      </c>
      <c r="H420" s="331">
        <v>11771.38</v>
      </c>
      <c r="I420" s="331">
        <v>10823.3</v>
      </c>
      <c r="J420" s="331">
        <v>11144.37</v>
      </c>
      <c r="K420" s="331">
        <v>13251.09</v>
      </c>
      <c r="L420" s="491" t="s">
        <v>29</v>
      </c>
      <c r="M420" s="491" t="s">
        <v>29</v>
      </c>
      <c r="N420" s="491" t="s">
        <v>29</v>
      </c>
      <c r="O420" s="491" t="s">
        <v>29</v>
      </c>
      <c r="P420" s="491">
        <v>3.69</v>
      </c>
      <c r="Q420" s="491">
        <v>0.41</v>
      </c>
      <c r="R420" s="491">
        <v>2.37</v>
      </c>
      <c r="S420" s="491">
        <v>3.8</v>
      </c>
      <c r="T420" s="1025" t="b">
        <v>0</v>
      </c>
      <c r="U420" s="491">
        <v>0</v>
      </c>
      <c r="V420" s="491">
        <v>0</v>
      </c>
      <c r="W420" s="491">
        <v>0</v>
      </c>
      <c r="X420" s="491">
        <v>0</v>
      </c>
      <c r="Y420" s="1025" t="b">
        <v>0</v>
      </c>
      <c r="Z420" s="331">
        <v>0</v>
      </c>
      <c r="AA420" s="331">
        <v>0</v>
      </c>
      <c r="AB420" s="331">
        <v>0</v>
      </c>
      <c r="AC420" s="331">
        <v>0</v>
      </c>
      <c r="AD420" s="1025" t="b">
        <v>0</v>
      </c>
      <c r="AE420" s="331">
        <v>0</v>
      </c>
      <c r="AF420" s="331">
        <v>0</v>
      </c>
      <c r="AG420" s="331">
        <v>0</v>
      </c>
      <c r="AH420" s="331">
        <v>0</v>
      </c>
      <c r="AI420" s="1025" t="b">
        <v>0</v>
      </c>
      <c r="AJ420" s="331">
        <v>0</v>
      </c>
      <c r="AK420" s="331">
        <v>0</v>
      </c>
      <c r="AL420" s="331">
        <v>0</v>
      </c>
      <c r="AM420" s="331">
        <v>0</v>
      </c>
      <c r="AN420" s="1025" t="b">
        <v>0</v>
      </c>
      <c r="AO420" s="331">
        <v>0</v>
      </c>
      <c r="AP420" s="331">
        <v>0</v>
      </c>
      <c r="AQ420" s="331">
        <v>0</v>
      </c>
      <c r="AR420" s="331">
        <v>0</v>
      </c>
      <c r="AS420" s="1025" t="b">
        <v>0</v>
      </c>
      <c r="AT420" s="1025" t="b">
        <v>0</v>
      </c>
      <c r="AU420" s="331">
        <v>124640</v>
      </c>
      <c r="AV420" s="491" t="s">
        <v>29</v>
      </c>
    </row>
    <row r="421" spans="1:48">
      <c r="A421" s="72">
        <v>30</v>
      </c>
      <c r="B421" s="391" t="s">
        <v>68</v>
      </c>
      <c r="C421" s="72">
        <f t="shared" si="18"/>
        <v>56</v>
      </c>
      <c r="D421" s="72" t="str">
        <f t="shared" si="19"/>
        <v>30-56</v>
      </c>
      <c r="E421" s="72">
        <v>67124</v>
      </c>
      <c r="F421" s="72" t="str">
        <f t="shared" si="20"/>
        <v>30-67124</v>
      </c>
      <c r="G421" s="391" t="s">
        <v>967</v>
      </c>
      <c r="H421" s="331">
        <v>13367.76</v>
      </c>
      <c r="I421" s="331">
        <v>12291.1</v>
      </c>
      <c r="J421" s="331">
        <v>12655.71</v>
      </c>
      <c r="K421" s="331">
        <v>15048.14</v>
      </c>
      <c r="L421" s="491" t="s">
        <v>29</v>
      </c>
      <c r="M421" s="491" t="s">
        <v>29</v>
      </c>
      <c r="N421" s="491" t="s">
        <v>29</v>
      </c>
      <c r="O421" s="491" t="s">
        <v>29</v>
      </c>
      <c r="P421" s="491">
        <v>0</v>
      </c>
      <c r="Q421" s="491">
        <v>0</v>
      </c>
      <c r="R421" s="491">
        <v>0</v>
      </c>
      <c r="S421" s="491">
        <v>5.97</v>
      </c>
      <c r="T421" s="1025" t="b">
        <v>0</v>
      </c>
      <c r="U421" s="491">
        <v>0</v>
      </c>
      <c r="V421" s="491">
        <v>0</v>
      </c>
      <c r="W421" s="491">
        <v>0</v>
      </c>
      <c r="X421" s="491">
        <v>0</v>
      </c>
      <c r="Y421" s="1025" t="b">
        <v>0</v>
      </c>
      <c r="Z421" s="331">
        <v>0</v>
      </c>
      <c r="AA421" s="331">
        <v>0</v>
      </c>
      <c r="AB421" s="331">
        <v>0</v>
      </c>
      <c r="AC421" s="331">
        <v>0</v>
      </c>
      <c r="AD421" s="1025" t="b">
        <v>0</v>
      </c>
      <c r="AE421" s="331">
        <v>0</v>
      </c>
      <c r="AF421" s="331">
        <v>0</v>
      </c>
      <c r="AG421" s="331">
        <v>0</v>
      </c>
      <c r="AH421" s="331">
        <v>0</v>
      </c>
      <c r="AI421" s="1025" t="b">
        <v>0</v>
      </c>
      <c r="AJ421" s="331">
        <v>0</v>
      </c>
      <c r="AK421" s="331">
        <v>0</v>
      </c>
      <c r="AL421" s="331">
        <v>0</v>
      </c>
      <c r="AM421" s="331">
        <v>0</v>
      </c>
      <c r="AN421" s="1025" t="b">
        <v>0</v>
      </c>
      <c r="AO421" s="331">
        <v>0</v>
      </c>
      <c r="AP421" s="331">
        <v>0</v>
      </c>
      <c r="AQ421" s="331">
        <v>0</v>
      </c>
      <c r="AR421" s="331">
        <v>0</v>
      </c>
      <c r="AS421" s="1025" t="b">
        <v>0</v>
      </c>
      <c r="AT421" s="1025" t="b">
        <v>0</v>
      </c>
      <c r="AU421" s="331">
        <v>89837</v>
      </c>
      <c r="AV421" s="491" t="s">
        <v>29</v>
      </c>
    </row>
    <row r="422" spans="1:48">
      <c r="A422" s="72">
        <v>30</v>
      </c>
      <c r="B422" s="391" t="s">
        <v>68</v>
      </c>
      <c r="C422" s="72">
        <f t="shared" si="18"/>
        <v>57</v>
      </c>
      <c r="D422" s="72" t="str">
        <f t="shared" si="19"/>
        <v>30-57</v>
      </c>
      <c r="E422" s="72">
        <v>67173</v>
      </c>
      <c r="F422" s="72" t="str">
        <f t="shared" si="20"/>
        <v>30-67173</v>
      </c>
      <c r="G422" s="391" t="s">
        <v>997</v>
      </c>
      <c r="H422" s="331">
        <v>14878.98</v>
      </c>
      <c r="I422" s="331">
        <v>13680.6</v>
      </c>
      <c r="J422" s="331">
        <v>14086.43</v>
      </c>
      <c r="K422" s="331">
        <v>16749.330000000002</v>
      </c>
      <c r="L422" s="491" t="s">
        <v>29</v>
      </c>
      <c r="M422" s="491" t="s">
        <v>29</v>
      </c>
      <c r="N422" s="491" t="s">
        <v>29</v>
      </c>
      <c r="O422" s="491" t="s">
        <v>29</v>
      </c>
      <c r="P422" s="491">
        <v>0</v>
      </c>
      <c r="Q422" s="491">
        <v>0</v>
      </c>
      <c r="R422" s="491">
        <v>0</v>
      </c>
      <c r="S422" s="491">
        <v>0.13</v>
      </c>
      <c r="T422" s="1025" t="b">
        <v>0</v>
      </c>
      <c r="U422" s="491">
        <v>0</v>
      </c>
      <c r="V422" s="491">
        <v>0</v>
      </c>
      <c r="W422" s="491">
        <v>0</v>
      </c>
      <c r="X422" s="491">
        <v>0</v>
      </c>
      <c r="Y422" s="1025" t="b">
        <v>0</v>
      </c>
      <c r="Z422" s="331">
        <v>0</v>
      </c>
      <c r="AA422" s="331">
        <v>0</v>
      </c>
      <c r="AB422" s="331">
        <v>0</v>
      </c>
      <c r="AC422" s="331">
        <v>0</v>
      </c>
      <c r="AD422" s="1025" t="b">
        <v>0</v>
      </c>
      <c r="AE422" s="331">
        <v>0</v>
      </c>
      <c r="AF422" s="331">
        <v>0</v>
      </c>
      <c r="AG422" s="331">
        <v>0</v>
      </c>
      <c r="AH422" s="331">
        <v>0</v>
      </c>
      <c r="AI422" s="1025" t="b">
        <v>0</v>
      </c>
      <c r="AJ422" s="331">
        <v>0</v>
      </c>
      <c r="AK422" s="331">
        <v>0</v>
      </c>
      <c r="AL422" s="331">
        <v>0</v>
      </c>
      <c r="AM422" s="331">
        <v>0</v>
      </c>
      <c r="AN422" s="1025" t="b">
        <v>0</v>
      </c>
      <c r="AO422" s="331">
        <v>0</v>
      </c>
      <c r="AP422" s="331">
        <v>0</v>
      </c>
      <c r="AQ422" s="331">
        <v>0</v>
      </c>
      <c r="AR422" s="331">
        <v>0</v>
      </c>
      <c r="AS422" s="1025" t="b">
        <v>0</v>
      </c>
      <c r="AT422" s="1025" t="b">
        <v>0</v>
      </c>
      <c r="AU422" s="331">
        <v>2177</v>
      </c>
      <c r="AV422" s="491" t="s">
        <v>29</v>
      </c>
    </row>
    <row r="423" spans="1:48">
      <c r="A423" s="72">
        <v>30</v>
      </c>
      <c r="B423" s="391" t="s">
        <v>68</v>
      </c>
      <c r="C423" s="72">
        <f t="shared" si="18"/>
        <v>58</v>
      </c>
      <c r="D423" s="72" t="str">
        <f t="shared" si="19"/>
        <v>30-58</v>
      </c>
      <c r="E423" s="72">
        <v>67207</v>
      </c>
      <c r="F423" s="72" t="str">
        <f t="shared" si="20"/>
        <v>30-67207</v>
      </c>
      <c r="G423" s="391" t="s">
        <v>1000</v>
      </c>
      <c r="H423" s="331">
        <v>12651.28</v>
      </c>
      <c r="I423" s="331">
        <v>11632.33</v>
      </c>
      <c r="J423" s="331">
        <v>11977.4</v>
      </c>
      <c r="K423" s="331">
        <v>14241.6</v>
      </c>
      <c r="L423" s="491" t="s">
        <v>29</v>
      </c>
      <c r="M423" s="491" t="s">
        <v>29</v>
      </c>
      <c r="N423" s="491" t="s">
        <v>29</v>
      </c>
      <c r="O423" s="491" t="s">
        <v>29</v>
      </c>
      <c r="P423" s="491">
        <v>0</v>
      </c>
      <c r="Q423" s="491">
        <v>0</v>
      </c>
      <c r="R423" s="491">
        <v>0</v>
      </c>
      <c r="S423" s="491">
        <v>1.66</v>
      </c>
      <c r="T423" s="1025" t="b">
        <v>0</v>
      </c>
      <c r="U423" s="491">
        <v>0</v>
      </c>
      <c r="V423" s="491">
        <v>0</v>
      </c>
      <c r="W423" s="491">
        <v>0</v>
      </c>
      <c r="X423" s="491">
        <v>0</v>
      </c>
      <c r="Y423" s="1025" t="b">
        <v>0</v>
      </c>
      <c r="Z423" s="331">
        <v>0</v>
      </c>
      <c r="AA423" s="331">
        <v>0</v>
      </c>
      <c r="AB423" s="331">
        <v>0</v>
      </c>
      <c r="AC423" s="331">
        <v>0</v>
      </c>
      <c r="AD423" s="1025" t="b">
        <v>0</v>
      </c>
      <c r="AE423" s="331">
        <v>0</v>
      </c>
      <c r="AF423" s="331">
        <v>0</v>
      </c>
      <c r="AG423" s="331">
        <v>0</v>
      </c>
      <c r="AH423" s="331">
        <v>0</v>
      </c>
      <c r="AI423" s="1025" t="b">
        <v>0</v>
      </c>
      <c r="AJ423" s="331">
        <v>0</v>
      </c>
      <c r="AK423" s="331">
        <v>0</v>
      </c>
      <c r="AL423" s="331">
        <v>0</v>
      </c>
      <c r="AM423" s="331">
        <v>0</v>
      </c>
      <c r="AN423" s="1025" t="b">
        <v>0</v>
      </c>
      <c r="AO423" s="331">
        <v>0</v>
      </c>
      <c r="AP423" s="331">
        <v>0</v>
      </c>
      <c r="AQ423" s="331">
        <v>0</v>
      </c>
      <c r="AR423" s="331">
        <v>0</v>
      </c>
      <c r="AS423" s="1025" t="b">
        <v>0</v>
      </c>
      <c r="AT423" s="1025" t="b">
        <v>0</v>
      </c>
      <c r="AU423" s="331">
        <v>23641</v>
      </c>
      <c r="AV423" s="491" t="s">
        <v>29</v>
      </c>
    </row>
    <row r="424" spans="1:48">
      <c r="A424" s="72">
        <v>30</v>
      </c>
      <c r="B424" s="391" t="s">
        <v>68</v>
      </c>
      <c r="C424" s="72">
        <f t="shared" si="18"/>
        <v>59</v>
      </c>
      <c r="D424" s="72" t="str">
        <f t="shared" si="19"/>
        <v>30-59</v>
      </c>
      <c r="E424" s="72">
        <v>67215</v>
      </c>
      <c r="F424" s="72" t="str">
        <f t="shared" si="20"/>
        <v>30-67215</v>
      </c>
      <c r="G424" s="391" t="s">
        <v>848</v>
      </c>
      <c r="H424" s="331">
        <v>12853.41</v>
      </c>
      <c r="I424" s="331">
        <v>11818.17</v>
      </c>
      <c r="J424" s="331">
        <v>12168.76</v>
      </c>
      <c r="K424" s="331">
        <v>14469.13</v>
      </c>
      <c r="L424" s="491" t="s">
        <v>29</v>
      </c>
      <c r="M424" s="491" t="s">
        <v>29</v>
      </c>
      <c r="N424" s="491" t="s">
        <v>29</v>
      </c>
      <c r="O424" s="491" t="s">
        <v>29</v>
      </c>
      <c r="P424" s="491">
        <v>0</v>
      </c>
      <c r="Q424" s="491">
        <v>0</v>
      </c>
      <c r="R424" s="491">
        <v>0</v>
      </c>
      <c r="S424" s="491">
        <v>4.46</v>
      </c>
      <c r="T424" s="1025" t="b">
        <v>0</v>
      </c>
      <c r="U424" s="491">
        <v>0</v>
      </c>
      <c r="V424" s="491">
        <v>0</v>
      </c>
      <c r="W424" s="491">
        <v>0</v>
      </c>
      <c r="X424" s="491">
        <v>0</v>
      </c>
      <c r="Y424" s="1025" t="b">
        <v>0</v>
      </c>
      <c r="Z424" s="331">
        <v>0</v>
      </c>
      <c r="AA424" s="331">
        <v>0</v>
      </c>
      <c r="AB424" s="331">
        <v>0</v>
      </c>
      <c r="AC424" s="331">
        <v>0</v>
      </c>
      <c r="AD424" s="1025" t="b">
        <v>0</v>
      </c>
      <c r="AE424" s="331">
        <v>0</v>
      </c>
      <c r="AF424" s="331">
        <v>0</v>
      </c>
      <c r="AG424" s="331">
        <v>0</v>
      </c>
      <c r="AH424" s="331">
        <v>0</v>
      </c>
      <c r="AI424" s="1025" t="b">
        <v>0</v>
      </c>
      <c r="AJ424" s="331">
        <v>0</v>
      </c>
      <c r="AK424" s="331">
        <v>0</v>
      </c>
      <c r="AL424" s="331">
        <v>0</v>
      </c>
      <c r="AM424" s="331">
        <v>0</v>
      </c>
      <c r="AN424" s="1025" t="b">
        <v>0</v>
      </c>
      <c r="AO424" s="331">
        <v>0</v>
      </c>
      <c r="AP424" s="331">
        <v>0</v>
      </c>
      <c r="AQ424" s="331">
        <v>0</v>
      </c>
      <c r="AR424" s="331">
        <v>0</v>
      </c>
      <c r="AS424" s="1025" t="b">
        <v>0</v>
      </c>
      <c r="AT424" s="1025" t="b">
        <v>0</v>
      </c>
      <c r="AU424" s="331">
        <v>64532</v>
      </c>
      <c r="AV424" s="491" t="s">
        <v>29</v>
      </c>
    </row>
    <row r="425" spans="1:48">
      <c r="A425" s="72">
        <v>30</v>
      </c>
      <c r="B425" s="391" t="s">
        <v>68</v>
      </c>
      <c r="C425" s="72">
        <f t="shared" si="18"/>
        <v>60</v>
      </c>
      <c r="D425" s="72" t="str">
        <f t="shared" si="19"/>
        <v>30-60</v>
      </c>
      <c r="E425" s="72">
        <v>75192</v>
      </c>
      <c r="F425" s="72" t="str">
        <f t="shared" si="20"/>
        <v>30-75192</v>
      </c>
      <c r="G425" s="391" t="s">
        <v>971</v>
      </c>
      <c r="H425" s="331">
        <v>10726.75</v>
      </c>
      <c r="I425" s="331">
        <v>9862.7999999999993</v>
      </c>
      <c r="J425" s="331">
        <v>10155.370000000001</v>
      </c>
      <c r="K425" s="331">
        <v>12075.14</v>
      </c>
      <c r="L425" s="491" t="s">
        <v>29</v>
      </c>
      <c r="M425" s="491" t="s">
        <v>29</v>
      </c>
      <c r="N425" s="491" t="s">
        <v>29</v>
      </c>
      <c r="O425" s="491" t="s">
        <v>29</v>
      </c>
      <c r="P425" s="491">
        <v>0</v>
      </c>
      <c r="Q425" s="491">
        <v>0</v>
      </c>
      <c r="R425" s="491">
        <v>0</v>
      </c>
      <c r="S425" s="491">
        <v>1.49</v>
      </c>
      <c r="T425" s="1025" t="b">
        <v>0</v>
      </c>
      <c r="U425" s="491">
        <v>0</v>
      </c>
      <c r="V425" s="491">
        <v>0</v>
      </c>
      <c r="W425" s="491">
        <v>0</v>
      </c>
      <c r="X425" s="491">
        <v>0</v>
      </c>
      <c r="Y425" s="1025" t="b">
        <v>0</v>
      </c>
      <c r="Z425" s="331">
        <v>0</v>
      </c>
      <c r="AA425" s="331">
        <v>0</v>
      </c>
      <c r="AB425" s="331">
        <v>0</v>
      </c>
      <c r="AC425" s="331">
        <v>0</v>
      </c>
      <c r="AD425" s="1025" t="b">
        <v>0</v>
      </c>
      <c r="AE425" s="331">
        <v>0</v>
      </c>
      <c r="AF425" s="331">
        <v>0</v>
      </c>
      <c r="AG425" s="331">
        <v>0</v>
      </c>
      <c r="AH425" s="331">
        <v>0</v>
      </c>
      <c r="AI425" s="1025" t="b">
        <v>0</v>
      </c>
      <c r="AJ425" s="331">
        <v>0</v>
      </c>
      <c r="AK425" s="331">
        <v>0</v>
      </c>
      <c r="AL425" s="331">
        <v>0</v>
      </c>
      <c r="AM425" s="331">
        <v>0</v>
      </c>
      <c r="AN425" s="1025" t="b">
        <v>0</v>
      </c>
      <c r="AO425" s="331">
        <v>0</v>
      </c>
      <c r="AP425" s="331">
        <v>0</v>
      </c>
      <c r="AQ425" s="331">
        <v>0</v>
      </c>
      <c r="AR425" s="331">
        <v>0</v>
      </c>
      <c r="AS425" s="1025" t="b">
        <v>0</v>
      </c>
      <c r="AT425" s="1025" t="b">
        <v>0</v>
      </c>
      <c r="AU425" s="331">
        <v>17992</v>
      </c>
      <c r="AV425" s="491" t="s">
        <v>29</v>
      </c>
    </row>
    <row r="426" spans="1:48">
      <c r="A426" s="72">
        <v>30</v>
      </c>
      <c r="B426" s="391" t="s">
        <v>68</v>
      </c>
      <c r="C426" s="72">
        <f t="shared" si="18"/>
        <v>61</v>
      </c>
      <c r="D426" s="72" t="str">
        <f t="shared" si="19"/>
        <v>30-61</v>
      </c>
      <c r="E426" s="72">
        <v>75242</v>
      </c>
      <c r="F426" s="72" t="str">
        <f t="shared" si="20"/>
        <v>30-75242</v>
      </c>
      <c r="G426" s="391" t="s">
        <v>973</v>
      </c>
      <c r="H426" s="331">
        <v>13946.61</v>
      </c>
      <c r="I426" s="331">
        <v>12823.33</v>
      </c>
      <c r="J426" s="331">
        <v>13203.73</v>
      </c>
      <c r="K426" s="331">
        <v>15699.76</v>
      </c>
      <c r="L426" s="491" t="s">
        <v>29</v>
      </c>
      <c r="M426" s="491" t="s">
        <v>29</v>
      </c>
      <c r="N426" s="491" t="s">
        <v>29</v>
      </c>
      <c r="O426" s="491" t="s">
        <v>29</v>
      </c>
      <c r="P426" s="491">
        <v>0</v>
      </c>
      <c r="Q426" s="491">
        <v>0</v>
      </c>
      <c r="R426" s="491">
        <v>0</v>
      </c>
      <c r="S426" s="491">
        <v>0.4</v>
      </c>
      <c r="T426" s="1025" t="b">
        <v>0</v>
      </c>
      <c r="U426" s="491">
        <v>0</v>
      </c>
      <c r="V426" s="491">
        <v>0</v>
      </c>
      <c r="W426" s="491">
        <v>0</v>
      </c>
      <c r="X426" s="491">
        <v>0</v>
      </c>
      <c r="Y426" s="1025" t="b">
        <v>0</v>
      </c>
      <c r="Z426" s="331">
        <v>0</v>
      </c>
      <c r="AA426" s="331">
        <v>0</v>
      </c>
      <c r="AB426" s="331">
        <v>0</v>
      </c>
      <c r="AC426" s="331">
        <v>0</v>
      </c>
      <c r="AD426" s="1025" t="b">
        <v>0</v>
      </c>
      <c r="AE426" s="331">
        <v>0</v>
      </c>
      <c r="AF426" s="331">
        <v>0</v>
      </c>
      <c r="AG426" s="331">
        <v>0</v>
      </c>
      <c r="AH426" s="331">
        <v>0</v>
      </c>
      <c r="AI426" s="1025" t="b">
        <v>0</v>
      </c>
      <c r="AJ426" s="331">
        <v>0</v>
      </c>
      <c r="AK426" s="331">
        <v>0</v>
      </c>
      <c r="AL426" s="331">
        <v>0</v>
      </c>
      <c r="AM426" s="331">
        <v>0</v>
      </c>
      <c r="AN426" s="1025" t="b">
        <v>0</v>
      </c>
      <c r="AO426" s="331">
        <v>0</v>
      </c>
      <c r="AP426" s="331">
        <v>0</v>
      </c>
      <c r="AQ426" s="331">
        <v>0</v>
      </c>
      <c r="AR426" s="331">
        <v>0</v>
      </c>
      <c r="AS426" s="1025" t="b">
        <v>0</v>
      </c>
      <c r="AT426" s="1025" t="b">
        <v>0</v>
      </c>
      <c r="AU426" s="331">
        <v>6280</v>
      </c>
      <c r="AV426" s="491" t="s">
        <v>29</v>
      </c>
    </row>
    <row r="427" spans="1:48">
      <c r="A427" s="72">
        <v>30</v>
      </c>
      <c r="B427" s="391" t="s">
        <v>68</v>
      </c>
      <c r="C427" s="72">
        <f t="shared" si="18"/>
        <v>62</v>
      </c>
      <c r="D427" s="72" t="str">
        <f t="shared" si="19"/>
        <v>30-62</v>
      </c>
      <c r="E427" s="72">
        <v>67587</v>
      </c>
      <c r="F427" s="72" t="str">
        <f t="shared" si="20"/>
        <v>30-67587</v>
      </c>
      <c r="G427" s="391" t="s">
        <v>974</v>
      </c>
      <c r="H427" s="331">
        <v>13353.99</v>
      </c>
      <c r="I427" s="331">
        <v>12278.44</v>
      </c>
      <c r="J427" s="331">
        <v>12642.68</v>
      </c>
      <c r="K427" s="331">
        <v>15032.65</v>
      </c>
      <c r="L427" s="491" t="s">
        <v>29</v>
      </c>
      <c r="M427" s="491" t="s">
        <v>29</v>
      </c>
      <c r="N427" s="491" t="s">
        <v>29</v>
      </c>
      <c r="O427" s="491" t="s">
        <v>29</v>
      </c>
      <c r="P427" s="491">
        <v>2.4</v>
      </c>
      <c r="Q427" s="491">
        <v>0</v>
      </c>
      <c r="R427" s="491">
        <v>1.1399999999999999</v>
      </c>
      <c r="S427" s="491">
        <v>0</v>
      </c>
      <c r="T427" s="1025" t="b">
        <v>0</v>
      </c>
      <c r="U427" s="491">
        <v>0</v>
      </c>
      <c r="V427" s="491">
        <v>0</v>
      </c>
      <c r="W427" s="491">
        <v>0</v>
      </c>
      <c r="X427" s="491">
        <v>0</v>
      </c>
      <c r="Y427" s="1025" t="b">
        <v>0</v>
      </c>
      <c r="Z427" s="331">
        <v>0</v>
      </c>
      <c r="AA427" s="331">
        <v>0</v>
      </c>
      <c r="AB427" s="331">
        <v>0</v>
      </c>
      <c r="AC427" s="331">
        <v>0</v>
      </c>
      <c r="AD427" s="1025" t="b">
        <v>0</v>
      </c>
      <c r="AE427" s="331">
        <v>0</v>
      </c>
      <c r="AF427" s="331">
        <v>0</v>
      </c>
      <c r="AG427" s="331">
        <v>0</v>
      </c>
      <c r="AH427" s="331">
        <v>0</v>
      </c>
      <c r="AI427" s="1025" t="b">
        <v>0</v>
      </c>
      <c r="AJ427" s="331">
        <v>0</v>
      </c>
      <c r="AK427" s="331">
        <v>0</v>
      </c>
      <c r="AL427" s="331">
        <v>0</v>
      </c>
      <c r="AM427" s="331">
        <v>0</v>
      </c>
      <c r="AN427" s="1025" t="b">
        <v>0</v>
      </c>
      <c r="AO427" s="331">
        <v>0</v>
      </c>
      <c r="AP427" s="331">
        <v>0</v>
      </c>
      <c r="AQ427" s="331">
        <v>0</v>
      </c>
      <c r="AR427" s="331">
        <v>0</v>
      </c>
      <c r="AS427" s="1025" t="b">
        <v>0</v>
      </c>
      <c r="AT427" s="1025" t="b">
        <v>0</v>
      </c>
      <c r="AU427" s="331">
        <v>46463</v>
      </c>
      <c r="AV427" s="491" t="s">
        <v>29</v>
      </c>
    </row>
    <row r="428" spans="1:48">
      <c r="A428" s="72">
        <v>30</v>
      </c>
      <c r="B428" s="391" t="s">
        <v>68</v>
      </c>
      <c r="C428" s="72">
        <f t="shared" si="18"/>
        <v>63</v>
      </c>
      <c r="D428" s="72" t="str">
        <f t="shared" si="19"/>
        <v>30-63</v>
      </c>
      <c r="E428" s="72">
        <v>67611</v>
      </c>
      <c r="F428" s="72" t="str">
        <f t="shared" si="20"/>
        <v>30-67611</v>
      </c>
      <c r="G428" s="391" t="s">
        <v>1017</v>
      </c>
      <c r="H428" s="331">
        <v>13233.58</v>
      </c>
      <c r="I428" s="331">
        <v>12167.72</v>
      </c>
      <c r="J428" s="331">
        <v>12528.68</v>
      </c>
      <c r="K428" s="331">
        <v>14897.09</v>
      </c>
      <c r="L428" s="491" t="s">
        <v>29</v>
      </c>
      <c r="M428" s="491" t="s">
        <v>29</v>
      </c>
      <c r="N428" s="491" t="s">
        <v>29</v>
      </c>
      <c r="O428" s="491" t="s">
        <v>29</v>
      </c>
      <c r="P428" s="491">
        <v>0</v>
      </c>
      <c r="Q428" s="491">
        <v>0</v>
      </c>
      <c r="R428" s="491">
        <v>0</v>
      </c>
      <c r="S428" s="491">
        <v>1.49</v>
      </c>
      <c r="T428" s="1025" t="b">
        <v>0</v>
      </c>
      <c r="U428" s="491">
        <v>0</v>
      </c>
      <c r="V428" s="491">
        <v>0</v>
      </c>
      <c r="W428" s="491">
        <v>0</v>
      </c>
      <c r="X428" s="491">
        <v>0</v>
      </c>
      <c r="Y428" s="1025" t="b">
        <v>0</v>
      </c>
      <c r="Z428" s="331">
        <v>0</v>
      </c>
      <c r="AA428" s="331">
        <v>0</v>
      </c>
      <c r="AB428" s="331">
        <v>0</v>
      </c>
      <c r="AC428" s="331">
        <v>0</v>
      </c>
      <c r="AD428" s="1025" t="b">
        <v>0</v>
      </c>
      <c r="AE428" s="331">
        <v>0</v>
      </c>
      <c r="AF428" s="331">
        <v>0</v>
      </c>
      <c r="AG428" s="331">
        <v>0</v>
      </c>
      <c r="AH428" s="331">
        <v>0</v>
      </c>
      <c r="AI428" s="1025" t="b">
        <v>0</v>
      </c>
      <c r="AJ428" s="331">
        <v>0</v>
      </c>
      <c r="AK428" s="331">
        <v>0</v>
      </c>
      <c r="AL428" s="331">
        <v>0</v>
      </c>
      <c r="AM428" s="331">
        <v>0</v>
      </c>
      <c r="AN428" s="1025" t="b">
        <v>0</v>
      </c>
      <c r="AO428" s="331">
        <v>0</v>
      </c>
      <c r="AP428" s="331">
        <v>0</v>
      </c>
      <c r="AQ428" s="331">
        <v>0</v>
      </c>
      <c r="AR428" s="331">
        <v>0</v>
      </c>
      <c r="AS428" s="1025" t="b">
        <v>0</v>
      </c>
      <c r="AT428" s="1025" t="b">
        <v>0</v>
      </c>
      <c r="AU428" s="331">
        <v>22197</v>
      </c>
      <c r="AV428" s="491" t="s">
        <v>29</v>
      </c>
    </row>
    <row r="429" spans="1:48">
      <c r="A429" s="72">
        <v>30</v>
      </c>
      <c r="B429" s="391" t="s">
        <v>68</v>
      </c>
      <c r="C429" s="72">
        <f t="shared" si="18"/>
        <v>64</v>
      </c>
      <c r="D429" s="72" t="str">
        <f t="shared" si="19"/>
        <v>30-64</v>
      </c>
      <c r="E429" s="72">
        <v>67652</v>
      </c>
      <c r="F429" s="72" t="str">
        <f t="shared" si="20"/>
        <v>30-67652</v>
      </c>
      <c r="G429" s="391" t="s">
        <v>849</v>
      </c>
      <c r="H429" s="331">
        <v>12136.07</v>
      </c>
      <c r="I429" s="331">
        <v>11158.61</v>
      </c>
      <c r="J429" s="331">
        <v>11489.63</v>
      </c>
      <c r="K429" s="331">
        <v>13661.62</v>
      </c>
      <c r="L429" s="491" t="s">
        <v>29</v>
      </c>
      <c r="M429" s="491" t="s">
        <v>29</v>
      </c>
      <c r="N429" s="491" t="s">
        <v>29</v>
      </c>
      <c r="O429" s="491" t="s">
        <v>29</v>
      </c>
      <c r="P429" s="491">
        <v>0</v>
      </c>
      <c r="Q429" s="491">
        <v>0</v>
      </c>
      <c r="R429" s="491">
        <v>0</v>
      </c>
      <c r="S429" s="491">
        <v>6.94</v>
      </c>
      <c r="T429" s="1025" t="b">
        <v>0</v>
      </c>
      <c r="U429" s="491">
        <v>0</v>
      </c>
      <c r="V429" s="491">
        <v>0</v>
      </c>
      <c r="W429" s="491">
        <v>0</v>
      </c>
      <c r="X429" s="491">
        <v>0</v>
      </c>
      <c r="Y429" s="1025" t="b">
        <v>0</v>
      </c>
      <c r="Z429" s="331">
        <v>0</v>
      </c>
      <c r="AA429" s="331">
        <v>0</v>
      </c>
      <c r="AB429" s="331">
        <v>0</v>
      </c>
      <c r="AC429" s="331">
        <v>0</v>
      </c>
      <c r="AD429" s="1025" t="b">
        <v>0</v>
      </c>
      <c r="AE429" s="331">
        <v>0</v>
      </c>
      <c r="AF429" s="331">
        <v>0</v>
      </c>
      <c r="AG429" s="331">
        <v>0</v>
      </c>
      <c r="AH429" s="331">
        <v>0</v>
      </c>
      <c r="AI429" s="1025" t="b">
        <v>0</v>
      </c>
      <c r="AJ429" s="331">
        <v>0</v>
      </c>
      <c r="AK429" s="331">
        <v>0</v>
      </c>
      <c r="AL429" s="331">
        <v>0</v>
      </c>
      <c r="AM429" s="331">
        <v>0</v>
      </c>
      <c r="AN429" s="1025" t="b">
        <v>0</v>
      </c>
      <c r="AO429" s="331">
        <v>0</v>
      </c>
      <c r="AP429" s="331">
        <v>0</v>
      </c>
      <c r="AQ429" s="331">
        <v>0</v>
      </c>
      <c r="AR429" s="331">
        <v>0</v>
      </c>
      <c r="AS429" s="1025" t="b">
        <v>0</v>
      </c>
      <c r="AT429" s="1025" t="b">
        <v>0</v>
      </c>
      <c r="AU429" s="331">
        <v>94812</v>
      </c>
      <c r="AV429" s="491" t="s">
        <v>29</v>
      </c>
    </row>
    <row r="430" spans="1:48">
      <c r="A430" s="72">
        <v>30</v>
      </c>
      <c r="B430" s="391" t="s">
        <v>68</v>
      </c>
      <c r="C430" s="72">
        <f t="shared" si="18"/>
        <v>65</v>
      </c>
      <c r="D430" s="72" t="str">
        <f t="shared" si="19"/>
        <v>30-65</v>
      </c>
      <c r="E430" s="72">
        <v>67710</v>
      </c>
      <c r="F430" s="72" t="str">
        <f t="shared" si="20"/>
        <v>30-67710</v>
      </c>
      <c r="G430" s="391" t="s">
        <v>852</v>
      </c>
      <c r="H430" s="331">
        <v>13541.5</v>
      </c>
      <c r="I430" s="331">
        <v>12450.85</v>
      </c>
      <c r="J430" s="331">
        <v>12820.2</v>
      </c>
      <c r="K430" s="331">
        <v>15243.72</v>
      </c>
      <c r="L430" s="491" t="s">
        <v>29</v>
      </c>
      <c r="M430" s="491" t="s">
        <v>29</v>
      </c>
      <c r="N430" s="491" t="s">
        <v>29</v>
      </c>
      <c r="O430" s="491" t="s">
        <v>29</v>
      </c>
      <c r="P430" s="491">
        <v>0</v>
      </c>
      <c r="Q430" s="491">
        <v>0</v>
      </c>
      <c r="R430" s="491">
        <v>0</v>
      </c>
      <c r="S430" s="491">
        <v>2.64</v>
      </c>
      <c r="T430" s="1025" t="b">
        <v>0</v>
      </c>
      <c r="U430" s="491">
        <v>0</v>
      </c>
      <c r="V430" s="491">
        <v>0</v>
      </c>
      <c r="W430" s="491">
        <v>0</v>
      </c>
      <c r="X430" s="491">
        <v>0</v>
      </c>
      <c r="Y430" s="1025" t="b">
        <v>0</v>
      </c>
      <c r="Z430" s="331">
        <v>0</v>
      </c>
      <c r="AA430" s="331">
        <v>0</v>
      </c>
      <c r="AB430" s="331">
        <v>0</v>
      </c>
      <c r="AC430" s="331">
        <v>0</v>
      </c>
      <c r="AD430" s="1025" t="b">
        <v>0</v>
      </c>
      <c r="AE430" s="331">
        <v>0</v>
      </c>
      <c r="AF430" s="331">
        <v>0</v>
      </c>
      <c r="AG430" s="331">
        <v>0</v>
      </c>
      <c r="AH430" s="331">
        <v>0</v>
      </c>
      <c r="AI430" s="1025" t="b">
        <v>0</v>
      </c>
      <c r="AJ430" s="331">
        <v>0</v>
      </c>
      <c r="AK430" s="331">
        <v>0</v>
      </c>
      <c r="AL430" s="331">
        <v>0</v>
      </c>
      <c r="AM430" s="331">
        <v>0</v>
      </c>
      <c r="AN430" s="1025" t="b">
        <v>0</v>
      </c>
      <c r="AO430" s="331">
        <v>0</v>
      </c>
      <c r="AP430" s="331">
        <v>0</v>
      </c>
      <c r="AQ430" s="331">
        <v>0</v>
      </c>
      <c r="AR430" s="331">
        <v>0</v>
      </c>
      <c r="AS430" s="1025" t="b">
        <v>0</v>
      </c>
      <c r="AT430" s="1025" t="b">
        <v>0</v>
      </c>
      <c r="AU430" s="331">
        <v>40243</v>
      </c>
      <c r="AV430" s="491" t="s">
        <v>29</v>
      </c>
    </row>
    <row r="431" spans="1:48">
      <c r="A431" s="72">
        <v>30</v>
      </c>
      <c r="B431" s="391" t="s">
        <v>68</v>
      </c>
      <c r="C431" s="72">
        <f t="shared" si="18"/>
        <v>66</v>
      </c>
      <c r="D431" s="72" t="str">
        <f t="shared" si="19"/>
        <v>30-66</v>
      </c>
      <c r="E431" s="72">
        <v>67819</v>
      </c>
      <c r="F431" s="72" t="str">
        <f t="shared" si="20"/>
        <v>30-67819</v>
      </c>
      <c r="G431" s="391" t="s">
        <v>1024</v>
      </c>
      <c r="H431" s="331">
        <v>14122.08</v>
      </c>
      <c r="I431" s="331">
        <v>12984.66</v>
      </c>
      <c r="J431" s="331">
        <v>13369.85</v>
      </c>
      <c r="K431" s="331">
        <v>15897.28</v>
      </c>
      <c r="L431" s="491" t="s">
        <v>29</v>
      </c>
      <c r="M431" s="491" t="s">
        <v>29</v>
      </c>
      <c r="N431" s="491" t="s">
        <v>29</v>
      </c>
      <c r="O431" s="491" t="s">
        <v>29</v>
      </c>
      <c r="P431" s="491">
        <v>0.96</v>
      </c>
      <c r="Q431" s="491">
        <v>0</v>
      </c>
      <c r="R431" s="491">
        <v>0</v>
      </c>
      <c r="S431" s="491">
        <v>0</v>
      </c>
      <c r="T431" s="1025" t="b">
        <v>0</v>
      </c>
      <c r="U431" s="491">
        <v>0</v>
      </c>
      <c r="V431" s="491">
        <v>0</v>
      </c>
      <c r="W431" s="491">
        <v>0</v>
      </c>
      <c r="X431" s="491">
        <v>0</v>
      </c>
      <c r="Y431" s="1025" t="b">
        <v>0</v>
      </c>
      <c r="Z431" s="331">
        <v>0</v>
      </c>
      <c r="AA431" s="331">
        <v>0</v>
      </c>
      <c r="AB431" s="331">
        <v>0</v>
      </c>
      <c r="AC431" s="331">
        <v>0</v>
      </c>
      <c r="AD431" s="1025" t="b">
        <v>0</v>
      </c>
      <c r="AE431" s="331">
        <v>0</v>
      </c>
      <c r="AF431" s="331">
        <v>0</v>
      </c>
      <c r="AG431" s="331">
        <v>0</v>
      </c>
      <c r="AH431" s="331">
        <v>0</v>
      </c>
      <c r="AI431" s="1025" t="b">
        <v>0</v>
      </c>
      <c r="AJ431" s="331">
        <v>0</v>
      </c>
      <c r="AK431" s="331">
        <v>0</v>
      </c>
      <c r="AL431" s="331">
        <v>0</v>
      </c>
      <c r="AM431" s="331">
        <v>0</v>
      </c>
      <c r="AN431" s="1025" t="b">
        <v>0</v>
      </c>
      <c r="AO431" s="331">
        <v>0</v>
      </c>
      <c r="AP431" s="331">
        <v>0</v>
      </c>
      <c r="AQ431" s="331">
        <v>0</v>
      </c>
      <c r="AR431" s="331">
        <v>0</v>
      </c>
      <c r="AS431" s="1025" t="b">
        <v>0</v>
      </c>
      <c r="AT431" s="1025" t="b">
        <v>0</v>
      </c>
      <c r="AU431" s="331">
        <v>13557</v>
      </c>
      <c r="AV431" s="491" t="s">
        <v>29</v>
      </c>
    </row>
    <row r="432" spans="1:48">
      <c r="A432" s="72">
        <v>30</v>
      </c>
      <c r="B432" s="391" t="s">
        <v>68</v>
      </c>
      <c r="C432" s="72">
        <f t="shared" si="18"/>
        <v>67</v>
      </c>
      <c r="D432" s="72" t="str">
        <f t="shared" si="19"/>
        <v>30-67</v>
      </c>
      <c r="E432" s="72">
        <v>67843</v>
      </c>
      <c r="F432" s="72" t="str">
        <f t="shared" si="20"/>
        <v>30-67843</v>
      </c>
      <c r="G432" s="391" t="s">
        <v>853</v>
      </c>
      <c r="H432" s="331">
        <v>12532.58</v>
      </c>
      <c r="I432" s="331">
        <v>11523.19</v>
      </c>
      <c r="J432" s="331">
        <v>11865.02</v>
      </c>
      <c r="K432" s="331">
        <v>14107.98</v>
      </c>
      <c r="L432" s="491" t="s">
        <v>29</v>
      </c>
      <c r="M432" s="491" t="s">
        <v>29</v>
      </c>
      <c r="N432" s="491" t="s">
        <v>29</v>
      </c>
      <c r="O432" s="491" t="s">
        <v>29</v>
      </c>
      <c r="P432" s="491">
        <v>0</v>
      </c>
      <c r="Q432" s="491">
        <v>0</v>
      </c>
      <c r="R432" s="491">
        <v>0</v>
      </c>
      <c r="S432" s="491">
        <v>1.49</v>
      </c>
      <c r="T432" s="1025" t="b">
        <v>0</v>
      </c>
      <c r="U432" s="491">
        <v>0</v>
      </c>
      <c r="V432" s="491">
        <v>0</v>
      </c>
      <c r="W432" s="491">
        <v>0</v>
      </c>
      <c r="X432" s="491">
        <v>0</v>
      </c>
      <c r="Y432" s="1025" t="b">
        <v>0</v>
      </c>
      <c r="Z432" s="331">
        <v>0</v>
      </c>
      <c r="AA432" s="331">
        <v>0</v>
      </c>
      <c r="AB432" s="331">
        <v>0</v>
      </c>
      <c r="AC432" s="331">
        <v>0</v>
      </c>
      <c r="AD432" s="1025" t="b">
        <v>0</v>
      </c>
      <c r="AE432" s="331">
        <v>0</v>
      </c>
      <c r="AF432" s="331">
        <v>0</v>
      </c>
      <c r="AG432" s="331">
        <v>0</v>
      </c>
      <c r="AH432" s="331">
        <v>0</v>
      </c>
      <c r="AI432" s="1025" t="b">
        <v>0</v>
      </c>
      <c r="AJ432" s="331">
        <v>0</v>
      </c>
      <c r="AK432" s="331">
        <v>0</v>
      </c>
      <c r="AL432" s="331">
        <v>0</v>
      </c>
      <c r="AM432" s="331">
        <v>0</v>
      </c>
      <c r="AN432" s="1025" t="b">
        <v>0</v>
      </c>
      <c r="AO432" s="331">
        <v>0</v>
      </c>
      <c r="AP432" s="331">
        <v>0</v>
      </c>
      <c r="AQ432" s="331">
        <v>0</v>
      </c>
      <c r="AR432" s="331">
        <v>0</v>
      </c>
      <c r="AS432" s="1025" t="b">
        <v>0</v>
      </c>
      <c r="AT432" s="1025" t="b">
        <v>0</v>
      </c>
      <c r="AU432" s="331">
        <v>21021</v>
      </c>
      <c r="AV432" s="491" t="s">
        <v>29</v>
      </c>
    </row>
    <row r="433" spans="1:48">
      <c r="A433" s="72">
        <v>30</v>
      </c>
      <c r="B433" s="391" t="s">
        <v>68</v>
      </c>
      <c r="C433" s="72">
        <f t="shared" si="18"/>
        <v>68</v>
      </c>
      <c r="D433" s="72" t="str">
        <f t="shared" si="19"/>
        <v>30-68</v>
      </c>
      <c r="E433" s="72">
        <v>67876</v>
      </c>
      <c r="F433" s="72" t="str">
        <f t="shared" si="20"/>
        <v>30-67876</v>
      </c>
      <c r="G433" s="391" t="s">
        <v>855</v>
      </c>
      <c r="H433" s="331">
        <v>14301.84</v>
      </c>
      <c r="I433" s="331">
        <v>13149.95</v>
      </c>
      <c r="J433" s="331">
        <v>13540.04</v>
      </c>
      <c r="K433" s="331">
        <v>16099.64</v>
      </c>
      <c r="L433" s="491" t="s">
        <v>29</v>
      </c>
      <c r="M433" s="491" t="s">
        <v>29</v>
      </c>
      <c r="N433" s="491" t="s">
        <v>29</v>
      </c>
      <c r="O433" s="491" t="s">
        <v>29</v>
      </c>
      <c r="P433" s="491">
        <v>0</v>
      </c>
      <c r="Q433" s="491">
        <v>0</v>
      </c>
      <c r="R433" s="491">
        <v>0.97</v>
      </c>
      <c r="S433" s="491">
        <v>2.97</v>
      </c>
      <c r="T433" s="1025" t="b">
        <v>0</v>
      </c>
      <c r="U433" s="491">
        <v>0</v>
      </c>
      <c r="V433" s="491">
        <v>0</v>
      </c>
      <c r="W433" s="491">
        <v>0</v>
      </c>
      <c r="X433" s="491">
        <v>0</v>
      </c>
      <c r="Y433" s="1025" t="b">
        <v>0</v>
      </c>
      <c r="Z433" s="331">
        <v>0</v>
      </c>
      <c r="AA433" s="331">
        <v>0</v>
      </c>
      <c r="AB433" s="331">
        <v>0</v>
      </c>
      <c r="AC433" s="331">
        <v>0</v>
      </c>
      <c r="AD433" s="1025" t="b">
        <v>0</v>
      </c>
      <c r="AE433" s="331">
        <v>0</v>
      </c>
      <c r="AF433" s="331">
        <v>0</v>
      </c>
      <c r="AG433" s="331">
        <v>0</v>
      </c>
      <c r="AH433" s="331">
        <v>0</v>
      </c>
      <c r="AI433" s="1025" t="b">
        <v>0</v>
      </c>
      <c r="AJ433" s="331">
        <v>0</v>
      </c>
      <c r="AK433" s="331">
        <v>0</v>
      </c>
      <c r="AL433" s="331">
        <v>0</v>
      </c>
      <c r="AM433" s="331">
        <v>0</v>
      </c>
      <c r="AN433" s="1025" t="b">
        <v>0</v>
      </c>
      <c r="AO433" s="331">
        <v>0</v>
      </c>
      <c r="AP433" s="331">
        <v>0</v>
      </c>
      <c r="AQ433" s="331">
        <v>0</v>
      </c>
      <c r="AR433" s="331">
        <v>0</v>
      </c>
      <c r="AS433" s="1025" t="b">
        <v>0</v>
      </c>
      <c r="AT433" s="1025" t="b">
        <v>0</v>
      </c>
      <c r="AU433" s="331">
        <v>60950</v>
      </c>
      <c r="AV433" s="491" t="s">
        <v>29</v>
      </c>
    </row>
    <row r="434" spans="1:48">
      <c r="A434" s="72">
        <v>30</v>
      </c>
      <c r="B434" s="391" t="s">
        <v>68</v>
      </c>
      <c r="C434" s="72">
        <f t="shared" si="18"/>
        <v>69</v>
      </c>
      <c r="D434" s="72" t="str">
        <f t="shared" si="19"/>
        <v>30-69</v>
      </c>
      <c r="E434" s="72">
        <v>67934</v>
      </c>
      <c r="F434" s="72" t="str">
        <f t="shared" si="20"/>
        <v>30-67934</v>
      </c>
      <c r="G434" s="391" t="s">
        <v>856</v>
      </c>
      <c r="H434" s="331">
        <v>13767.71</v>
      </c>
      <c r="I434" s="331">
        <v>12658.84</v>
      </c>
      <c r="J434" s="331">
        <v>13034.36</v>
      </c>
      <c r="K434" s="331">
        <v>15498.37</v>
      </c>
      <c r="L434" s="491" t="s">
        <v>29</v>
      </c>
      <c r="M434" s="491" t="s">
        <v>29</v>
      </c>
      <c r="N434" s="491" t="s">
        <v>29</v>
      </c>
      <c r="O434" s="491" t="s">
        <v>29</v>
      </c>
      <c r="P434" s="491">
        <v>0</v>
      </c>
      <c r="Q434" s="491">
        <v>0</v>
      </c>
      <c r="R434" s="491">
        <v>0</v>
      </c>
      <c r="S434" s="491">
        <v>2.58</v>
      </c>
      <c r="T434" s="1025" t="b">
        <v>0</v>
      </c>
      <c r="U434" s="491">
        <v>0</v>
      </c>
      <c r="V434" s="491">
        <v>0</v>
      </c>
      <c r="W434" s="491">
        <v>0</v>
      </c>
      <c r="X434" s="491">
        <v>0</v>
      </c>
      <c r="Y434" s="1025" t="b">
        <v>0</v>
      </c>
      <c r="Z434" s="331">
        <v>0</v>
      </c>
      <c r="AA434" s="331">
        <v>0</v>
      </c>
      <c r="AB434" s="331">
        <v>0</v>
      </c>
      <c r="AC434" s="331">
        <v>0</v>
      </c>
      <c r="AD434" s="1025" t="b">
        <v>0</v>
      </c>
      <c r="AE434" s="331">
        <v>0</v>
      </c>
      <c r="AF434" s="331">
        <v>0</v>
      </c>
      <c r="AG434" s="331">
        <v>0</v>
      </c>
      <c r="AH434" s="331">
        <v>0</v>
      </c>
      <c r="AI434" s="1025" t="b">
        <v>0</v>
      </c>
      <c r="AJ434" s="331">
        <v>0</v>
      </c>
      <c r="AK434" s="331">
        <v>0</v>
      </c>
      <c r="AL434" s="331">
        <v>0</v>
      </c>
      <c r="AM434" s="331">
        <v>0</v>
      </c>
      <c r="AN434" s="1025" t="b">
        <v>0</v>
      </c>
      <c r="AO434" s="331">
        <v>0</v>
      </c>
      <c r="AP434" s="331">
        <v>0</v>
      </c>
      <c r="AQ434" s="331">
        <v>0</v>
      </c>
      <c r="AR434" s="331">
        <v>0</v>
      </c>
      <c r="AS434" s="1025" t="b">
        <v>0</v>
      </c>
      <c r="AT434" s="1025" t="b">
        <v>0</v>
      </c>
      <c r="AU434" s="331">
        <v>39986</v>
      </c>
      <c r="AV434" s="491" t="s">
        <v>29</v>
      </c>
    </row>
    <row r="435" spans="1:48">
      <c r="A435" s="72">
        <v>30</v>
      </c>
      <c r="B435" s="391" t="s">
        <v>68</v>
      </c>
      <c r="C435" s="72">
        <f t="shared" si="18"/>
        <v>70</v>
      </c>
      <c r="D435" s="72" t="str">
        <f t="shared" si="19"/>
        <v>30-70</v>
      </c>
      <c r="E435" s="72">
        <v>75044</v>
      </c>
      <c r="F435" s="72" t="str">
        <f t="shared" si="20"/>
        <v>30-75044</v>
      </c>
      <c r="G435" s="391" t="s">
        <v>977</v>
      </c>
      <c r="H435" s="331">
        <v>12447.43</v>
      </c>
      <c r="I435" s="331">
        <v>11444.9</v>
      </c>
      <c r="J435" s="331">
        <v>11784.41</v>
      </c>
      <c r="K435" s="331">
        <v>14012.13</v>
      </c>
      <c r="L435" s="491" t="s">
        <v>29</v>
      </c>
      <c r="M435" s="491" t="s">
        <v>29</v>
      </c>
      <c r="N435" s="491" t="s">
        <v>29</v>
      </c>
      <c r="O435" s="491" t="s">
        <v>29</v>
      </c>
      <c r="P435" s="491">
        <v>0</v>
      </c>
      <c r="Q435" s="491">
        <v>0</v>
      </c>
      <c r="R435" s="491">
        <v>0</v>
      </c>
      <c r="S435" s="491">
        <v>1.66</v>
      </c>
      <c r="T435" s="1025" t="b">
        <v>0</v>
      </c>
      <c r="U435" s="491">
        <v>0</v>
      </c>
      <c r="V435" s="491">
        <v>0</v>
      </c>
      <c r="W435" s="491">
        <v>0</v>
      </c>
      <c r="X435" s="491">
        <v>0</v>
      </c>
      <c r="Y435" s="1025" t="b">
        <v>0</v>
      </c>
      <c r="Z435" s="331">
        <v>0</v>
      </c>
      <c r="AA435" s="331">
        <v>0</v>
      </c>
      <c r="AB435" s="331">
        <v>0</v>
      </c>
      <c r="AC435" s="331">
        <v>0</v>
      </c>
      <c r="AD435" s="1025" t="b">
        <v>0</v>
      </c>
      <c r="AE435" s="331">
        <v>0</v>
      </c>
      <c r="AF435" s="331">
        <v>0</v>
      </c>
      <c r="AG435" s="331">
        <v>0</v>
      </c>
      <c r="AH435" s="331">
        <v>0</v>
      </c>
      <c r="AI435" s="1025" t="b">
        <v>0</v>
      </c>
      <c r="AJ435" s="331">
        <v>0</v>
      </c>
      <c r="AK435" s="331">
        <v>0</v>
      </c>
      <c r="AL435" s="331">
        <v>0</v>
      </c>
      <c r="AM435" s="331">
        <v>0</v>
      </c>
      <c r="AN435" s="1025" t="b">
        <v>0</v>
      </c>
      <c r="AO435" s="331">
        <v>0</v>
      </c>
      <c r="AP435" s="331">
        <v>0</v>
      </c>
      <c r="AQ435" s="331">
        <v>0</v>
      </c>
      <c r="AR435" s="331">
        <v>0</v>
      </c>
      <c r="AS435" s="1025" t="b">
        <v>0</v>
      </c>
      <c r="AT435" s="1025" t="b">
        <v>0</v>
      </c>
      <c r="AU435" s="331">
        <v>23260</v>
      </c>
      <c r="AV435" s="491" t="s">
        <v>29</v>
      </c>
    </row>
    <row r="436" spans="1:48">
      <c r="A436" s="72">
        <v>30</v>
      </c>
      <c r="B436" s="391" t="s">
        <v>68</v>
      </c>
      <c r="C436" s="72">
        <f t="shared" si="18"/>
        <v>71</v>
      </c>
      <c r="D436" s="72" t="str">
        <f t="shared" si="19"/>
        <v>30-71</v>
      </c>
      <c r="E436" s="72">
        <v>68106</v>
      </c>
      <c r="F436" s="72" t="str">
        <f t="shared" si="20"/>
        <v>30-68106</v>
      </c>
      <c r="G436" s="391" t="s">
        <v>1037</v>
      </c>
      <c r="H436" s="331">
        <v>13353.13</v>
      </c>
      <c r="I436" s="331">
        <v>12277.65</v>
      </c>
      <c r="J436" s="331">
        <v>12641.86</v>
      </c>
      <c r="K436" s="331">
        <v>15031.68</v>
      </c>
      <c r="L436" s="491" t="s">
        <v>29</v>
      </c>
      <c r="M436" s="491" t="s">
        <v>29</v>
      </c>
      <c r="N436" s="491" t="s">
        <v>29</v>
      </c>
      <c r="O436" s="491" t="s">
        <v>29</v>
      </c>
      <c r="P436" s="491">
        <v>0</v>
      </c>
      <c r="Q436" s="491">
        <v>0</v>
      </c>
      <c r="R436" s="491">
        <v>0</v>
      </c>
      <c r="S436" s="491">
        <v>1.49</v>
      </c>
      <c r="T436" s="1025" t="b">
        <v>0</v>
      </c>
      <c r="U436" s="491">
        <v>0</v>
      </c>
      <c r="V436" s="491">
        <v>0</v>
      </c>
      <c r="W436" s="491">
        <v>0</v>
      </c>
      <c r="X436" s="491">
        <v>0</v>
      </c>
      <c r="Y436" s="1025" t="b">
        <v>0</v>
      </c>
      <c r="Z436" s="331">
        <v>0</v>
      </c>
      <c r="AA436" s="331">
        <v>0</v>
      </c>
      <c r="AB436" s="331">
        <v>0</v>
      </c>
      <c r="AC436" s="331">
        <v>0</v>
      </c>
      <c r="AD436" s="1025" t="b">
        <v>0</v>
      </c>
      <c r="AE436" s="331">
        <v>0</v>
      </c>
      <c r="AF436" s="331">
        <v>0</v>
      </c>
      <c r="AG436" s="331">
        <v>0</v>
      </c>
      <c r="AH436" s="331">
        <v>0</v>
      </c>
      <c r="AI436" s="1025" t="b">
        <v>0</v>
      </c>
      <c r="AJ436" s="331">
        <v>0</v>
      </c>
      <c r="AK436" s="331">
        <v>0</v>
      </c>
      <c r="AL436" s="331">
        <v>0</v>
      </c>
      <c r="AM436" s="331">
        <v>0</v>
      </c>
      <c r="AN436" s="1025" t="b">
        <v>0</v>
      </c>
      <c r="AO436" s="331">
        <v>0</v>
      </c>
      <c r="AP436" s="331">
        <v>0</v>
      </c>
      <c r="AQ436" s="331">
        <v>0</v>
      </c>
      <c r="AR436" s="331">
        <v>0</v>
      </c>
      <c r="AS436" s="1025" t="b">
        <v>0</v>
      </c>
      <c r="AT436" s="1025" t="b">
        <v>0</v>
      </c>
      <c r="AU436" s="331">
        <v>22397</v>
      </c>
      <c r="AV436" s="491" t="s">
        <v>29</v>
      </c>
    </row>
    <row r="437" spans="1:48">
      <c r="A437" s="72">
        <v>30</v>
      </c>
      <c r="B437" s="391" t="s">
        <v>68</v>
      </c>
      <c r="C437" s="72">
        <f t="shared" si="18"/>
        <v>72</v>
      </c>
      <c r="D437" s="72" t="str">
        <f t="shared" si="19"/>
        <v>30-72</v>
      </c>
      <c r="E437" s="72">
        <v>68114</v>
      </c>
      <c r="F437" s="72" t="str">
        <f t="shared" si="20"/>
        <v>30-68114</v>
      </c>
      <c r="G437" s="391" t="s">
        <v>1038</v>
      </c>
      <c r="H437" s="331">
        <v>13003.07</v>
      </c>
      <c r="I437" s="331">
        <v>11955.78</v>
      </c>
      <c r="J437" s="331">
        <v>12310.44</v>
      </c>
      <c r="K437" s="331">
        <v>14637.61</v>
      </c>
      <c r="L437" s="491" t="s">
        <v>29</v>
      </c>
      <c r="M437" s="491" t="s">
        <v>29</v>
      </c>
      <c r="N437" s="491" t="s">
        <v>29</v>
      </c>
      <c r="O437" s="491" t="s">
        <v>29</v>
      </c>
      <c r="P437" s="491">
        <v>0</v>
      </c>
      <c r="Q437" s="491">
        <v>0</v>
      </c>
      <c r="R437" s="491">
        <v>0</v>
      </c>
      <c r="S437" s="491">
        <v>0</v>
      </c>
      <c r="T437" s="1025" t="b">
        <v>0</v>
      </c>
      <c r="U437" s="491">
        <v>0.62</v>
      </c>
      <c r="V437" s="491">
        <v>0</v>
      </c>
      <c r="W437" s="491">
        <v>0</v>
      </c>
      <c r="X437" s="491">
        <v>0</v>
      </c>
      <c r="Y437" s="1025" t="b">
        <v>0</v>
      </c>
      <c r="Z437" s="331">
        <v>0</v>
      </c>
      <c r="AA437" s="331">
        <v>0</v>
      </c>
      <c r="AB437" s="331">
        <v>0</v>
      </c>
      <c r="AC437" s="331">
        <v>0</v>
      </c>
      <c r="AD437" s="1025" t="b">
        <v>0</v>
      </c>
      <c r="AE437" s="331">
        <v>0</v>
      </c>
      <c r="AF437" s="331">
        <v>0</v>
      </c>
      <c r="AG437" s="331">
        <v>0</v>
      </c>
      <c r="AH437" s="331">
        <v>0</v>
      </c>
      <c r="AI437" s="1025" t="b">
        <v>0</v>
      </c>
      <c r="AJ437" s="331">
        <v>0</v>
      </c>
      <c r="AK437" s="331">
        <v>0</v>
      </c>
      <c r="AL437" s="331">
        <v>0</v>
      </c>
      <c r="AM437" s="331">
        <v>0</v>
      </c>
      <c r="AN437" s="1025" t="b">
        <v>0</v>
      </c>
      <c r="AO437" s="331">
        <v>0</v>
      </c>
      <c r="AP437" s="331">
        <v>0</v>
      </c>
      <c r="AQ437" s="331">
        <v>0</v>
      </c>
      <c r="AR437" s="331">
        <v>0</v>
      </c>
      <c r="AS437" s="1025" t="b">
        <v>0</v>
      </c>
      <c r="AT437" s="1025" t="b">
        <v>0</v>
      </c>
      <c r="AU437" s="331">
        <v>8062</v>
      </c>
      <c r="AV437" s="491" t="s">
        <v>29</v>
      </c>
    </row>
    <row r="438" spans="1:48">
      <c r="A438" s="72">
        <v>30</v>
      </c>
      <c r="B438" s="391" t="s">
        <v>68</v>
      </c>
      <c r="C438" s="72">
        <f t="shared" si="18"/>
        <v>73</v>
      </c>
      <c r="D438" s="72" t="str">
        <f t="shared" si="19"/>
        <v>30-73</v>
      </c>
      <c r="E438" s="72">
        <v>68338</v>
      </c>
      <c r="F438" s="72" t="str">
        <f t="shared" si="20"/>
        <v>30-68338</v>
      </c>
      <c r="G438" s="391" t="s">
        <v>1045</v>
      </c>
      <c r="H438" s="331">
        <v>11533.13</v>
      </c>
      <c r="I438" s="331">
        <v>10604.23</v>
      </c>
      <c r="J438" s="331">
        <v>10918.81</v>
      </c>
      <c r="K438" s="331">
        <v>12982.89</v>
      </c>
      <c r="L438" s="491" t="s">
        <v>29</v>
      </c>
      <c r="M438" s="491" t="s">
        <v>29</v>
      </c>
      <c r="N438" s="491" t="s">
        <v>29</v>
      </c>
      <c r="O438" s="491" t="s">
        <v>29</v>
      </c>
      <c r="P438" s="491">
        <v>0</v>
      </c>
      <c r="Q438" s="491">
        <v>0</v>
      </c>
      <c r="R438" s="491">
        <v>0</v>
      </c>
      <c r="S438" s="491">
        <v>0.19</v>
      </c>
      <c r="T438" s="1025" t="b">
        <v>0</v>
      </c>
      <c r="U438" s="491">
        <v>0</v>
      </c>
      <c r="V438" s="491">
        <v>0</v>
      </c>
      <c r="W438" s="491">
        <v>0</v>
      </c>
      <c r="X438" s="491">
        <v>0</v>
      </c>
      <c r="Y438" s="1025" t="b">
        <v>0</v>
      </c>
      <c r="Z438" s="331">
        <v>0</v>
      </c>
      <c r="AA438" s="331">
        <v>0</v>
      </c>
      <c r="AB438" s="331">
        <v>0</v>
      </c>
      <c r="AC438" s="331">
        <v>0</v>
      </c>
      <c r="AD438" s="1025" t="b">
        <v>0</v>
      </c>
      <c r="AE438" s="331">
        <v>0</v>
      </c>
      <c r="AF438" s="331">
        <v>0</v>
      </c>
      <c r="AG438" s="331">
        <v>0</v>
      </c>
      <c r="AH438" s="331">
        <v>0</v>
      </c>
      <c r="AI438" s="1025" t="b">
        <v>0</v>
      </c>
      <c r="AJ438" s="331">
        <v>0</v>
      </c>
      <c r="AK438" s="331">
        <v>0</v>
      </c>
      <c r="AL438" s="331">
        <v>0</v>
      </c>
      <c r="AM438" s="331">
        <v>0</v>
      </c>
      <c r="AN438" s="1025" t="b">
        <v>0</v>
      </c>
      <c r="AO438" s="331">
        <v>0</v>
      </c>
      <c r="AP438" s="331">
        <v>0</v>
      </c>
      <c r="AQ438" s="331">
        <v>0</v>
      </c>
      <c r="AR438" s="331">
        <v>0</v>
      </c>
      <c r="AS438" s="1025" t="b">
        <v>0</v>
      </c>
      <c r="AT438" s="1025" t="b">
        <v>0</v>
      </c>
      <c r="AU438" s="331">
        <v>2467</v>
      </c>
      <c r="AV438" s="491" t="s">
        <v>29</v>
      </c>
    </row>
    <row r="439" spans="1:48">
      <c r="A439" s="72">
        <v>30</v>
      </c>
      <c r="B439" s="391" t="s">
        <v>68</v>
      </c>
      <c r="C439" s="72">
        <f t="shared" si="18"/>
        <v>74</v>
      </c>
      <c r="D439" s="72" t="str">
        <f t="shared" si="19"/>
        <v>30-74</v>
      </c>
      <c r="E439" s="72">
        <v>68411</v>
      </c>
      <c r="F439" s="72" t="str">
        <f t="shared" si="20"/>
        <v>30-68411</v>
      </c>
      <c r="G439" s="391" t="s">
        <v>979</v>
      </c>
      <c r="H439" s="331">
        <v>11995.87</v>
      </c>
      <c r="I439" s="331">
        <v>11029.71</v>
      </c>
      <c r="J439" s="331">
        <v>11356.9</v>
      </c>
      <c r="K439" s="331">
        <v>13503.8</v>
      </c>
      <c r="L439" s="491" t="s">
        <v>29</v>
      </c>
      <c r="M439" s="491" t="s">
        <v>29</v>
      </c>
      <c r="N439" s="491" t="s">
        <v>29</v>
      </c>
      <c r="O439" s="491" t="s">
        <v>29</v>
      </c>
      <c r="P439" s="491">
        <v>0</v>
      </c>
      <c r="Q439" s="491">
        <v>0</v>
      </c>
      <c r="R439" s="491">
        <v>0</v>
      </c>
      <c r="S439" s="491">
        <v>1.5</v>
      </c>
      <c r="T439" s="1025" t="b">
        <v>0</v>
      </c>
      <c r="U439" s="491">
        <v>0</v>
      </c>
      <c r="V439" s="491">
        <v>0</v>
      </c>
      <c r="W439" s="491">
        <v>0</v>
      </c>
      <c r="X439" s="491">
        <v>0</v>
      </c>
      <c r="Y439" s="1025" t="b">
        <v>0</v>
      </c>
      <c r="Z439" s="331">
        <v>0</v>
      </c>
      <c r="AA439" s="331">
        <v>0</v>
      </c>
      <c r="AB439" s="331">
        <v>0</v>
      </c>
      <c r="AC439" s="331">
        <v>0</v>
      </c>
      <c r="AD439" s="1025" t="b">
        <v>0</v>
      </c>
      <c r="AE439" s="331">
        <v>0</v>
      </c>
      <c r="AF439" s="331">
        <v>0</v>
      </c>
      <c r="AG439" s="331">
        <v>0</v>
      </c>
      <c r="AH439" s="331">
        <v>0</v>
      </c>
      <c r="AI439" s="1025" t="b">
        <v>0</v>
      </c>
      <c r="AJ439" s="331">
        <v>0</v>
      </c>
      <c r="AK439" s="331">
        <v>0</v>
      </c>
      <c r="AL439" s="331">
        <v>0</v>
      </c>
      <c r="AM439" s="331">
        <v>0</v>
      </c>
      <c r="AN439" s="1025" t="b">
        <v>0</v>
      </c>
      <c r="AO439" s="331">
        <v>0</v>
      </c>
      <c r="AP439" s="331">
        <v>0</v>
      </c>
      <c r="AQ439" s="331">
        <v>0</v>
      </c>
      <c r="AR439" s="331">
        <v>0</v>
      </c>
      <c r="AS439" s="1025" t="b">
        <v>0</v>
      </c>
      <c r="AT439" s="1025" t="b">
        <v>0</v>
      </c>
      <c r="AU439" s="331">
        <v>20256</v>
      </c>
      <c r="AV439" s="491" t="s">
        <v>29</v>
      </c>
    </row>
    <row r="440" spans="1:48">
      <c r="A440" s="72">
        <v>30</v>
      </c>
      <c r="B440" s="391" t="s">
        <v>68</v>
      </c>
      <c r="C440" s="72">
        <f t="shared" si="18"/>
        <v>0</v>
      </c>
      <c r="D440" s="72" t="str">
        <f t="shared" si="19"/>
        <v>30-0</v>
      </c>
      <c r="E440" s="72" t="s">
        <v>29</v>
      </c>
      <c r="F440" s="72" t="str">
        <f t="shared" si="20"/>
        <v>30-N/A</v>
      </c>
      <c r="G440" s="391" t="s">
        <v>29</v>
      </c>
      <c r="H440" s="491" t="s">
        <v>29</v>
      </c>
      <c r="I440" s="491" t="s">
        <v>29</v>
      </c>
      <c r="J440" s="491" t="s">
        <v>29</v>
      </c>
      <c r="K440" s="491" t="s">
        <v>29</v>
      </c>
      <c r="L440" s="491" t="s">
        <v>29</v>
      </c>
      <c r="M440" s="491" t="s">
        <v>29</v>
      </c>
      <c r="N440" s="491" t="s">
        <v>29</v>
      </c>
      <c r="O440" s="491" t="s">
        <v>29</v>
      </c>
      <c r="P440" s="491" t="s">
        <v>29</v>
      </c>
      <c r="Q440" s="491" t="s">
        <v>29</v>
      </c>
      <c r="R440" s="491" t="s">
        <v>29</v>
      </c>
      <c r="S440" s="491" t="s">
        <v>29</v>
      </c>
      <c r="T440" s="1025" t="s">
        <v>29</v>
      </c>
      <c r="U440" s="491" t="s">
        <v>29</v>
      </c>
      <c r="V440" s="491" t="s">
        <v>29</v>
      </c>
      <c r="W440" s="491" t="s">
        <v>29</v>
      </c>
      <c r="X440" s="491" t="s">
        <v>29</v>
      </c>
      <c r="Y440" s="1025" t="s">
        <v>29</v>
      </c>
      <c r="Z440" s="491" t="s">
        <v>29</v>
      </c>
      <c r="AA440" s="491" t="s">
        <v>29</v>
      </c>
      <c r="AB440" s="491" t="s">
        <v>29</v>
      </c>
      <c r="AC440" s="491" t="s">
        <v>29</v>
      </c>
      <c r="AD440" s="1025" t="s">
        <v>29</v>
      </c>
      <c r="AE440" s="491" t="s">
        <v>29</v>
      </c>
      <c r="AF440" s="491" t="s">
        <v>29</v>
      </c>
      <c r="AG440" s="491" t="s">
        <v>29</v>
      </c>
      <c r="AH440" s="491" t="s">
        <v>29</v>
      </c>
      <c r="AI440" s="1025" t="s">
        <v>29</v>
      </c>
      <c r="AJ440" s="491" t="s">
        <v>29</v>
      </c>
      <c r="AK440" s="491" t="s">
        <v>29</v>
      </c>
      <c r="AL440" s="491" t="s">
        <v>29</v>
      </c>
      <c r="AM440" s="491" t="s">
        <v>29</v>
      </c>
      <c r="AN440" s="1025" t="s">
        <v>29</v>
      </c>
      <c r="AO440" s="491" t="s">
        <v>29</v>
      </c>
      <c r="AP440" s="491" t="s">
        <v>29</v>
      </c>
      <c r="AQ440" s="491" t="s">
        <v>29</v>
      </c>
      <c r="AR440" s="491" t="s">
        <v>29</v>
      </c>
      <c r="AS440" s="1025" t="s">
        <v>29</v>
      </c>
      <c r="AT440" s="1025" t="s">
        <v>29</v>
      </c>
      <c r="AU440" s="491" t="s">
        <v>29</v>
      </c>
      <c r="AV440" s="491">
        <v>64375631</v>
      </c>
    </row>
    <row r="441" spans="1:48">
      <c r="A441" s="72">
        <v>31</v>
      </c>
      <c r="B441" s="391" t="s">
        <v>33</v>
      </c>
      <c r="C441" s="72">
        <f t="shared" si="18"/>
        <v>1</v>
      </c>
      <c r="D441" s="72" t="str">
        <f t="shared" si="19"/>
        <v>31-1</v>
      </c>
      <c r="E441" s="72">
        <v>66761</v>
      </c>
      <c r="F441" s="72" t="str">
        <f t="shared" si="20"/>
        <v>31-66761</v>
      </c>
      <c r="G441" s="391" t="s">
        <v>980</v>
      </c>
      <c r="H441" s="331">
        <v>10649.44</v>
      </c>
      <c r="I441" s="331">
        <v>9791.7199999999993</v>
      </c>
      <c r="J441" s="331">
        <v>10082.18</v>
      </c>
      <c r="K441" s="331">
        <v>11988.12</v>
      </c>
      <c r="L441" s="1072">
        <v>0</v>
      </c>
      <c r="M441" s="1072">
        <v>0</v>
      </c>
      <c r="N441" s="1072">
        <v>0</v>
      </c>
      <c r="O441" s="491" t="s">
        <v>29</v>
      </c>
      <c r="P441" s="491">
        <v>0</v>
      </c>
      <c r="Q441" s="491">
        <v>0</v>
      </c>
      <c r="R441" s="491">
        <v>0</v>
      </c>
      <c r="S441" s="491">
        <v>0</v>
      </c>
      <c r="T441" s="1025" t="b">
        <v>0</v>
      </c>
      <c r="U441" s="491">
        <v>2.1</v>
      </c>
      <c r="V441" s="491">
        <v>0.96</v>
      </c>
      <c r="W441" s="491">
        <v>0.4</v>
      </c>
      <c r="X441" s="491">
        <v>0</v>
      </c>
      <c r="Y441" s="1025" t="b">
        <v>1</v>
      </c>
      <c r="Z441" s="331">
        <v>0</v>
      </c>
      <c r="AA441" s="331">
        <v>0</v>
      </c>
      <c r="AB441" s="331">
        <v>0</v>
      </c>
      <c r="AC441" s="331">
        <v>0</v>
      </c>
      <c r="AD441" s="1025" t="b">
        <v>0</v>
      </c>
      <c r="AE441" s="331">
        <v>0.21</v>
      </c>
      <c r="AF441" s="331">
        <v>0.11</v>
      </c>
      <c r="AG441" s="331">
        <v>0</v>
      </c>
      <c r="AH441" s="331">
        <v>0</v>
      </c>
      <c r="AI441" s="1025" t="b">
        <v>1</v>
      </c>
      <c r="AJ441" s="331">
        <v>0</v>
      </c>
      <c r="AK441" s="331">
        <v>0</v>
      </c>
      <c r="AL441" s="331">
        <v>0</v>
      </c>
      <c r="AM441" s="331">
        <v>0</v>
      </c>
      <c r="AN441" s="1025" t="b">
        <v>0</v>
      </c>
      <c r="AO441" s="331">
        <v>0</v>
      </c>
      <c r="AP441" s="331">
        <v>0</v>
      </c>
      <c r="AQ441" s="331">
        <v>0</v>
      </c>
      <c r="AR441" s="331">
        <v>0</v>
      </c>
      <c r="AS441" s="1025" t="b">
        <v>0</v>
      </c>
      <c r="AT441" s="1025" t="b">
        <v>1</v>
      </c>
      <c r="AU441" s="331">
        <v>0</v>
      </c>
      <c r="AV441" s="491" t="s">
        <v>29</v>
      </c>
    </row>
    <row r="442" spans="1:48">
      <c r="A442" s="72">
        <v>31</v>
      </c>
      <c r="B442" s="391" t="s">
        <v>33</v>
      </c>
      <c r="C442" s="72">
        <f t="shared" si="18"/>
        <v>2</v>
      </c>
      <c r="D442" s="72" t="str">
        <f t="shared" si="19"/>
        <v>31-2</v>
      </c>
      <c r="E442" s="72">
        <v>66787</v>
      </c>
      <c r="F442" s="72" t="str">
        <f t="shared" si="20"/>
        <v>31-66787</v>
      </c>
      <c r="G442" s="391" t="s">
        <v>981</v>
      </c>
      <c r="H442" s="331">
        <v>11348.21</v>
      </c>
      <c r="I442" s="331">
        <v>10434.200000000001</v>
      </c>
      <c r="J442" s="331">
        <v>10743.73</v>
      </c>
      <c r="K442" s="331">
        <v>12774.72</v>
      </c>
      <c r="L442" s="1072">
        <v>0</v>
      </c>
      <c r="M442" s="1072">
        <v>0</v>
      </c>
      <c r="N442" s="1072">
        <v>0</v>
      </c>
      <c r="O442" s="491" t="s">
        <v>29</v>
      </c>
      <c r="P442" s="491">
        <v>0</v>
      </c>
      <c r="Q442" s="491">
        <v>0</v>
      </c>
      <c r="R442" s="491">
        <v>0</v>
      </c>
      <c r="S442" s="491">
        <v>0</v>
      </c>
      <c r="T442" s="1025" t="b">
        <v>0</v>
      </c>
      <c r="U442" s="491">
        <v>2.13</v>
      </c>
      <c r="V442" s="491">
        <v>2.84</v>
      </c>
      <c r="W442" s="491">
        <v>0</v>
      </c>
      <c r="X442" s="491">
        <v>0</v>
      </c>
      <c r="Y442" s="1025" t="b">
        <v>1</v>
      </c>
      <c r="Z442" s="331">
        <v>0</v>
      </c>
      <c r="AA442" s="331">
        <v>0</v>
      </c>
      <c r="AB442" s="331">
        <v>0</v>
      </c>
      <c r="AC442" s="331">
        <v>0</v>
      </c>
      <c r="AD442" s="1025" t="b">
        <v>0</v>
      </c>
      <c r="AE442" s="331">
        <v>0.19</v>
      </c>
      <c r="AF442" s="331">
        <v>0.28999999999999998</v>
      </c>
      <c r="AG442" s="331">
        <v>0.15</v>
      </c>
      <c r="AH442" s="331">
        <v>0</v>
      </c>
      <c r="AI442" s="1025" t="b">
        <v>1</v>
      </c>
      <c r="AJ442" s="331">
        <v>0</v>
      </c>
      <c r="AK442" s="331">
        <v>0</v>
      </c>
      <c r="AL442" s="331">
        <v>0</v>
      </c>
      <c r="AM442" s="331">
        <v>0</v>
      </c>
      <c r="AN442" s="1025" t="b">
        <v>0</v>
      </c>
      <c r="AO442" s="331">
        <v>0</v>
      </c>
      <c r="AP442" s="331">
        <v>0</v>
      </c>
      <c r="AQ442" s="331">
        <v>0</v>
      </c>
      <c r="AR442" s="331">
        <v>0</v>
      </c>
      <c r="AS442" s="1025" t="b">
        <v>0</v>
      </c>
      <c r="AT442" s="1025" t="b">
        <v>1</v>
      </c>
      <c r="AU442" s="331">
        <v>0</v>
      </c>
      <c r="AV442" s="491" t="s">
        <v>29</v>
      </c>
    </row>
    <row r="443" spans="1:48">
      <c r="A443" s="72">
        <v>31</v>
      </c>
      <c r="B443" s="391" t="s">
        <v>33</v>
      </c>
      <c r="C443" s="72">
        <f t="shared" si="18"/>
        <v>3</v>
      </c>
      <c r="D443" s="72" t="str">
        <f t="shared" si="19"/>
        <v>31-3</v>
      </c>
      <c r="E443" s="72">
        <v>66795</v>
      </c>
      <c r="F443" s="72" t="str">
        <f t="shared" si="20"/>
        <v>31-66795</v>
      </c>
      <c r="G443" s="391" t="s">
        <v>982</v>
      </c>
      <c r="H443" s="331">
        <v>10944.71</v>
      </c>
      <c r="I443" s="331">
        <v>10063.209999999999</v>
      </c>
      <c r="J443" s="331">
        <v>10361.73</v>
      </c>
      <c r="K443" s="331">
        <v>12320.51</v>
      </c>
      <c r="L443" s="491" t="s">
        <v>29</v>
      </c>
      <c r="M443" s="1072">
        <v>0</v>
      </c>
      <c r="N443" s="1072">
        <v>0</v>
      </c>
      <c r="O443" s="491" t="s">
        <v>29</v>
      </c>
      <c r="P443" s="491">
        <v>0</v>
      </c>
      <c r="Q443" s="491">
        <v>0</v>
      </c>
      <c r="R443" s="491">
        <v>0</v>
      </c>
      <c r="S443" s="491">
        <v>0</v>
      </c>
      <c r="T443" s="1025" t="b">
        <v>0</v>
      </c>
      <c r="U443" s="491">
        <v>0</v>
      </c>
      <c r="V443" s="491">
        <v>0</v>
      </c>
      <c r="W443" s="491">
        <v>0.73</v>
      </c>
      <c r="X443" s="491">
        <v>0</v>
      </c>
      <c r="Y443" s="1025" t="b">
        <v>1</v>
      </c>
      <c r="Z443" s="331">
        <v>0</v>
      </c>
      <c r="AA443" s="331">
        <v>0</v>
      </c>
      <c r="AB443" s="331">
        <v>0</v>
      </c>
      <c r="AC443" s="331">
        <v>0</v>
      </c>
      <c r="AD443" s="1025" t="b">
        <v>0</v>
      </c>
      <c r="AE443" s="331">
        <v>0</v>
      </c>
      <c r="AF443" s="331">
        <v>0.11</v>
      </c>
      <c r="AG443" s="331">
        <v>0</v>
      </c>
      <c r="AH443" s="331">
        <v>0</v>
      </c>
      <c r="AI443" s="1025" t="b">
        <v>1</v>
      </c>
      <c r="AJ443" s="331">
        <v>0</v>
      </c>
      <c r="AK443" s="331">
        <v>0</v>
      </c>
      <c r="AL443" s="331">
        <v>0</v>
      </c>
      <c r="AM443" s="331">
        <v>0</v>
      </c>
      <c r="AN443" s="1025" t="b">
        <v>0</v>
      </c>
      <c r="AO443" s="331">
        <v>0</v>
      </c>
      <c r="AP443" s="331">
        <v>0</v>
      </c>
      <c r="AQ443" s="331">
        <v>0</v>
      </c>
      <c r="AR443" s="331">
        <v>0</v>
      </c>
      <c r="AS443" s="1025" t="b">
        <v>0</v>
      </c>
      <c r="AT443" s="1025" t="b">
        <v>1</v>
      </c>
      <c r="AU443" s="331">
        <v>0</v>
      </c>
      <c r="AV443" s="491" t="s">
        <v>29</v>
      </c>
    </row>
    <row r="444" spans="1:48">
      <c r="A444" s="72">
        <v>31</v>
      </c>
      <c r="B444" s="391" t="s">
        <v>33</v>
      </c>
      <c r="C444" s="72">
        <f t="shared" si="18"/>
        <v>4</v>
      </c>
      <c r="D444" s="72" t="str">
        <f t="shared" si="19"/>
        <v>31-4</v>
      </c>
      <c r="E444" s="72">
        <v>66803</v>
      </c>
      <c r="F444" s="72" t="str">
        <f t="shared" si="20"/>
        <v>31-66803</v>
      </c>
      <c r="G444" s="391" t="s">
        <v>983</v>
      </c>
      <c r="H444" s="331">
        <v>11033.35</v>
      </c>
      <c r="I444" s="331">
        <v>10144.709999999999</v>
      </c>
      <c r="J444" s="331">
        <v>10445.65</v>
      </c>
      <c r="K444" s="331">
        <v>12420.29</v>
      </c>
      <c r="L444" s="1072">
        <v>0</v>
      </c>
      <c r="M444" s="1072">
        <v>0</v>
      </c>
      <c r="N444" s="1072">
        <v>0</v>
      </c>
      <c r="O444" s="491" t="s">
        <v>29</v>
      </c>
      <c r="P444" s="491">
        <v>0</v>
      </c>
      <c r="Q444" s="491">
        <v>0</v>
      </c>
      <c r="R444" s="491">
        <v>0</v>
      </c>
      <c r="S444" s="491">
        <v>0</v>
      </c>
      <c r="T444" s="1025" t="b">
        <v>0</v>
      </c>
      <c r="U444" s="491">
        <v>2.5299999999999998</v>
      </c>
      <c r="V444" s="491">
        <v>0.64</v>
      </c>
      <c r="W444" s="491">
        <v>1.35</v>
      </c>
      <c r="X444" s="491">
        <v>0</v>
      </c>
      <c r="Y444" s="1025" t="b">
        <v>1</v>
      </c>
      <c r="Z444" s="331">
        <v>0</v>
      </c>
      <c r="AA444" s="331">
        <v>0</v>
      </c>
      <c r="AB444" s="331">
        <v>0</v>
      </c>
      <c r="AC444" s="331">
        <v>0</v>
      </c>
      <c r="AD444" s="1025" t="b">
        <v>0</v>
      </c>
      <c r="AE444" s="331">
        <v>0</v>
      </c>
      <c r="AF444" s="331">
        <v>0</v>
      </c>
      <c r="AG444" s="331">
        <v>0</v>
      </c>
      <c r="AH444" s="331">
        <v>0</v>
      </c>
      <c r="AI444" s="1025" t="b">
        <v>0</v>
      </c>
      <c r="AJ444" s="331">
        <v>0</v>
      </c>
      <c r="AK444" s="331">
        <v>0</v>
      </c>
      <c r="AL444" s="331">
        <v>0</v>
      </c>
      <c r="AM444" s="331">
        <v>0</v>
      </c>
      <c r="AN444" s="1025" t="b">
        <v>0</v>
      </c>
      <c r="AO444" s="331">
        <v>0</v>
      </c>
      <c r="AP444" s="331">
        <v>0</v>
      </c>
      <c r="AQ444" s="331">
        <v>0</v>
      </c>
      <c r="AR444" s="331">
        <v>0</v>
      </c>
      <c r="AS444" s="1025" t="b">
        <v>0</v>
      </c>
      <c r="AT444" s="1025" t="b">
        <v>1</v>
      </c>
      <c r="AU444" s="331">
        <v>0</v>
      </c>
      <c r="AV444" s="491" t="s">
        <v>29</v>
      </c>
    </row>
    <row r="445" spans="1:48">
      <c r="A445" s="72">
        <v>31</v>
      </c>
      <c r="B445" s="391" t="s">
        <v>33</v>
      </c>
      <c r="C445" s="72">
        <f t="shared" si="18"/>
        <v>5</v>
      </c>
      <c r="D445" s="72" t="str">
        <f t="shared" si="19"/>
        <v>31-5</v>
      </c>
      <c r="E445" s="72">
        <v>66829</v>
      </c>
      <c r="F445" s="72" t="str">
        <f t="shared" si="20"/>
        <v>31-66829</v>
      </c>
      <c r="G445" s="391" t="s">
        <v>984</v>
      </c>
      <c r="H445" s="331">
        <v>10444.83</v>
      </c>
      <c r="I445" s="331">
        <v>9603.59</v>
      </c>
      <c r="J445" s="331">
        <v>9888.48</v>
      </c>
      <c r="K445" s="331">
        <v>11757.79</v>
      </c>
      <c r="L445" s="1072">
        <v>0</v>
      </c>
      <c r="M445" s="491" t="s">
        <v>29</v>
      </c>
      <c r="N445" s="1072">
        <v>0</v>
      </c>
      <c r="O445" s="491" t="s">
        <v>29</v>
      </c>
      <c r="P445" s="491">
        <v>0</v>
      </c>
      <c r="Q445" s="491">
        <v>0</v>
      </c>
      <c r="R445" s="491">
        <v>0</v>
      </c>
      <c r="S445" s="491">
        <v>0</v>
      </c>
      <c r="T445" s="1025" t="b">
        <v>0</v>
      </c>
      <c r="U445" s="491">
        <v>0.49</v>
      </c>
      <c r="V445" s="491">
        <v>0</v>
      </c>
      <c r="W445" s="491">
        <v>1</v>
      </c>
      <c r="X445" s="491">
        <v>0</v>
      </c>
      <c r="Y445" s="1025" t="b">
        <v>1</v>
      </c>
      <c r="Z445" s="331">
        <v>0</v>
      </c>
      <c r="AA445" s="331">
        <v>0</v>
      </c>
      <c r="AB445" s="331">
        <v>0</v>
      </c>
      <c r="AC445" s="331">
        <v>0</v>
      </c>
      <c r="AD445" s="1025" t="b">
        <v>0</v>
      </c>
      <c r="AE445" s="331">
        <v>0.08</v>
      </c>
      <c r="AF445" s="331">
        <v>0</v>
      </c>
      <c r="AG445" s="331">
        <v>0.2</v>
      </c>
      <c r="AH445" s="331">
        <v>0</v>
      </c>
      <c r="AI445" s="1025" t="b">
        <v>1</v>
      </c>
      <c r="AJ445" s="331">
        <v>0</v>
      </c>
      <c r="AK445" s="331">
        <v>0</v>
      </c>
      <c r="AL445" s="331">
        <v>0</v>
      </c>
      <c r="AM445" s="331">
        <v>0</v>
      </c>
      <c r="AN445" s="1025" t="b">
        <v>0</v>
      </c>
      <c r="AO445" s="331">
        <v>0</v>
      </c>
      <c r="AP445" s="331">
        <v>0</v>
      </c>
      <c r="AQ445" s="331">
        <v>0</v>
      </c>
      <c r="AR445" s="331">
        <v>0</v>
      </c>
      <c r="AS445" s="1025" t="b">
        <v>0</v>
      </c>
      <c r="AT445" s="1025" t="b">
        <v>1</v>
      </c>
      <c r="AU445" s="331">
        <v>0</v>
      </c>
      <c r="AV445" s="491" t="s">
        <v>29</v>
      </c>
    </row>
    <row r="446" spans="1:48">
      <c r="A446" s="72">
        <v>31</v>
      </c>
      <c r="B446" s="391" t="s">
        <v>33</v>
      </c>
      <c r="C446" s="72">
        <f t="shared" si="18"/>
        <v>6</v>
      </c>
      <c r="D446" s="72" t="str">
        <f t="shared" si="19"/>
        <v>31-6</v>
      </c>
      <c r="E446" s="72">
        <v>66837</v>
      </c>
      <c r="F446" s="72" t="str">
        <f t="shared" si="20"/>
        <v>31-66837</v>
      </c>
      <c r="G446" s="391" t="s">
        <v>985</v>
      </c>
      <c r="H446" s="331">
        <v>10938.03</v>
      </c>
      <c r="I446" s="331">
        <v>10057.07</v>
      </c>
      <c r="J446" s="331">
        <v>10355.41</v>
      </c>
      <c r="K446" s="331">
        <v>12312.99</v>
      </c>
      <c r="L446" s="1072">
        <v>0</v>
      </c>
      <c r="M446" s="1072">
        <v>0</v>
      </c>
      <c r="N446" s="1072">
        <v>0</v>
      </c>
      <c r="O446" s="491" t="s">
        <v>29</v>
      </c>
      <c r="P446" s="491">
        <v>0</v>
      </c>
      <c r="Q446" s="491">
        <v>0</v>
      </c>
      <c r="R446" s="491">
        <v>0</v>
      </c>
      <c r="S446" s="491">
        <v>0</v>
      </c>
      <c r="T446" s="1025" t="b">
        <v>0</v>
      </c>
      <c r="U446" s="491">
        <v>0</v>
      </c>
      <c r="V446" s="491">
        <v>0.78</v>
      </c>
      <c r="W446" s="491">
        <v>1.78</v>
      </c>
      <c r="X446" s="491">
        <v>0</v>
      </c>
      <c r="Y446" s="1025" t="b">
        <v>1</v>
      </c>
      <c r="Z446" s="331">
        <v>0</v>
      </c>
      <c r="AA446" s="331">
        <v>0</v>
      </c>
      <c r="AB446" s="331">
        <v>0</v>
      </c>
      <c r="AC446" s="331">
        <v>0</v>
      </c>
      <c r="AD446" s="1025" t="b">
        <v>0</v>
      </c>
      <c r="AE446" s="331">
        <v>0.1</v>
      </c>
      <c r="AF446" s="331">
        <v>0.11</v>
      </c>
      <c r="AG446" s="331">
        <v>0.09</v>
      </c>
      <c r="AH446" s="331">
        <v>0</v>
      </c>
      <c r="AI446" s="1025" t="b">
        <v>1</v>
      </c>
      <c r="AJ446" s="331">
        <v>0</v>
      </c>
      <c r="AK446" s="331">
        <v>0</v>
      </c>
      <c r="AL446" s="331">
        <v>0</v>
      </c>
      <c r="AM446" s="331">
        <v>0</v>
      </c>
      <c r="AN446" s="1025" t="b">
        <v>0</v>
      </c>
      <c r="AO446" s="331">
        <v>0</v>
      </c>
      <c r="AP446" s="331">
        <v>0</v>
      </c>
      <c r="AQ446" s="331">
        <v>0</v>
      </c>
      <c r="AR446" s="331">
        <v>0</v>
      </c>
      <c r="AS446" s="1025" t="b">
        <v>0</v>
      </c>
      <c r="AT446" s="1025" t="b">
        <v>1</v>
      </c>
      <c r="AU446" s="331">
        <v>0</v>
      </c>
      <c r="AV446" s="491" t="s">
        <v>29</v>
      </c>
    </row>
    <row r="447" spans="1:48">
      <c r="A447" s="72">
        <v>31</v>
      </c>
      <c r="B447" s="391" t="s">
        <v>33</v>
      </c>
      <c r="C447" s="72">
        <f t="shared" si="18"/>
        <v>7</v>
      </c>
      <c r="D447" s="72" t="str">
        <f t="shared" si="19"/>
        <v>31-7</v>
      </c>
      <c r="E447" s="72">
        <v>66845</v>
      </c>
      <c r="F447" s="72" t="str">
        <f t="shared" si="20"/>
        <v>31-66845</v>
      </c>
      <c r="G447" s="391" t="s">
        <v>986</v>
      </c>
      <c r="H447" s="331">
        <v>10433.5</v>
      </c>
      <c r="I447" s="331">
        <v>9593.17</v>
      </c>
      <c r="J447" s="331">
        <v>9877.75</v>
      </c>
      <c r="K447" s="331">
        <v>11745.03</v>
      </c>
      <c r="L447" s="1072">
        <v>0</v>
      </c>
      <c r="M447" s="1072">
        <v>0</v>
      </c>
      <c r="N447" s="1072">
        <v>0</v>
      </c>
      <c r="O447" s="491" t="s">
        <v>29</v>
      </c>
      <c r="P447" s="491">
        <v>0</v>
      </c>
      <c r="Q447" s="491">
        <v>0</v>
      </c>
      <c r="R447" s="491">
        <v>0</v>
      </c>
      <c r="S447" s="491">
        <v>0</v>
      </c>
      <c r="T447" s="1025" t="b">
        <v>0</v>
      </c>
      <c r="U447" s="491">
        <v>2.11</v>
      </c>
      <c r="V447" s="491">
        <v>0</v>
      </c>
      <c r="W447" s="491">
        <v>3.1</v>
      </c>
      <c r="X447" s="491">
        <v>0</v>
      </c>
      <c r="Y447" s="1025" t="b">
        <v>1</v>
      </c>
      <c r="Z447" s="331">
        <v>0</v>
      </c>
      <c r="AA447" s="331">
        <v>0</v>
      </c>
      <c r="AB447" s="331">
        <v>0</v>
      </c>
      <c r="AC447" s="331">
        <v>0</v>
      </c>
      <c r="AD447" s="1025" t="b">
        <v>0</v>
      </c>
      <c r="AE447" s="331">
        <v>0</v>
      </c>
      <c r="AF447" s="331">
        <v>0.11</v>
      </c>
      <c r="AG447" s="331">
        <v>0.27</v>
      </c>
      <c r="AH447" s="331">
        <v>0</v>
      </c>
      <c r="AI447" s="1025" t="b">
        <v>1</v>
      </c>
      <c r="AJ447" s="331">
        <v>0</v>
      </c>
      <c r="AK447" s="331">
        <v>0</v>
      </c>
      <c r="AL447" s="331">
        <v>0</v>
      </c>
      <c r="AM447" s="331">
        <v>0</v>
      </c>
      <c r="AN447" s="1025" t="b">
        <v>0</v>
      </c>
      <c r="AO447" s="331">
        <v>0</v>
      </c>
      <c r="AP447" s="331">
        <v>0</v>
      </c>
      <c r="AQ447" s="331">
        <v>0</v>
      </c>
      <c r="AR447" s="331">
        <v>0</v>
      </c>
      <c r="AS447" s="1025" t="b">
        <v>0</v>
      </c>
      <c r="AT447" s="1025" t="b">
        <v>1</v>
      </c>
      <c r="AU447" s="331">
        <v>0</v>
      </c>
      <c r="AV447" s="491" t="s">
        <v>29</v>
      </c>
    </row>
    <row r="448" spans="1:48">
      <c r="A448" s="72">
        <v>31</v>
      </c>
      <c r="B448" s="391" t="s">
        <v>33</v>
      </c>
      <c r="C448" s="72">
        <f t="shared" si="18"/>
        <v>8</v>
      </c>
      <c r="D448" s="72" t="str">
        <f t="shared" si="19"/>
        <v>31-8</v>
      </c>
      <c r="E448" s="72">
        <v>66886</v>
      </c>
      <c r="F448" s="72" t="str">
        <f t="shared" si="20"/>
        <v>31-66886</v>
      </c>
      <c r="G448" s="391" t="s">
        <v>987</v>
      </c>
      <c r="H448" s="331">
        <v>10710.76</v>
      </c>
      <c r="I448" s="331">
        <v>9848.1</v>
      </c>
      <c r="J448" s="331">
        <v>10140.24</v>
      </c>
      <c r="K448" s="331">
        <v>12057.15</v>
      </c>
      <c r="L448" s="1072">
        <v>0</v>
      </c>
      <c r="M448" s="1072">
        <v>0</v>
      </c>
      <c r="N448" s="1072">
        <v>0</v>
      </c>
      <c r="O448" s="491" t="s">
        <v>29</v>
      </c>
      <c r="P448" s="491">
        <v>0</v>
      </c>
      <c r="Q448" s="491">
        <v>0</v>
      </c>
      <c r="R448" s="491">
        <v>0</v>
      </c>
      <c r="S448" s="491">
        <v>0</v>
      </c>
      <c r="T448" s="1025" t="b">
        <v>0</v>
      </c>
      <c r="U448" s="491">
        <v>2.08</v>
      </c>
      <c r="V448" s="491">
        <v>0</v>
      </c>
      <c r="W448" s="491">
        <v>2.46</v>
      </c>
      <c r="X448" s="491">
        <v>0</v>
      </c>
      <c r="Y448" s="1025" t="b">
        <v>1</v>
      </c>
      <c r="Z448" s="331">
        <v>0</v>
      </c>
      <c r="AA448" s="331">
        <v>0</v>
      </c>
      <c r="AB448" s="331">
        <v>0</v>
      </c>
      <c r="AC448" s="331">
        <v>0</v>
      </c>
      <c r="AD448" s="1025" t="b">
        <v>0</v>
      </c>
      <c r="AE448" s="331">
        <v>0.22</v>
      </c>
      <c r="AF448" s="331">
        <v>0.11</v>
      </c>
      <c r="AG448" s="331">
        <v>7.0000000000000007E-2</v>
      </c>
      <c r="AH448" s="331">
        <v>0</v>
      </c>
      <c r="AI448" s="1025" t="b">
        <v>1</v>
      </c>
      <c r="AJ448" s="331">
        <v>0</v>
      </c>
      <c r="AK448" s="331">
        <v>0</v>
      </c>
      <c r="AL448" s="331">
        <v>0</v>
      </c>
      <c r="AM448" s="331">
        <v>0</v>
      </c>
      <c r="AN448" s="1025" t="b">
        <v>0</v>
      </c>
      <c r="AO448" s="331">
        <v>0</v>
      </c>
      <c r="AP448" s="331">
        <v>0</v>
      </c>
      <c r="AQ448" s="331">
        <v>0</v>
      </c>
      <c r="AR448" s="331">
        <v>0</v>
      </c>
      <c r="AS448" s="1025" t="b">
        <v>0</v>
      </c>
      <c r="AT448" s="1025" t="b">
        <v>1</v>
      </c>
      <c r="AU448" s="331">
        <v>0</v>
      </c>
      <c r="AV448" s="491" t="s">
        <v>29</v>
      </c>
    </row>
    <row r="449" spans="1:48">
      <c r="A449" s="72">
        <v>31</v>
      </c>
      <c r="B449" s="391" t="s">
        <v>33</v>
      </c>
      <c r="C449" s="72">
        <f t="shared" si="18"/>
        <v>9</v>
      </c>
      <c r="D449" s="72" t="str">
        <f t="shared" si="19"/>
        <v>31-9</v>
      </c>
      <c r="E449" s="72">
        <v>66894</v>
      </c>
      <c r="F449" s="72" t="str">
        <f t="shared" si="20"/>
        <v>31-66894</v>
      </c>
      <c r="G449" s="391" t="s">
        <v>988</v>
      </c>
      <c r="H449" s="331">
        <v>10670.69</v>
      </c>
      <c r="I449" s="331">
        <v>9811.25</v>
      </c>
      <c r="J449" s="331">
        <v>10102.299999999999</v>
      </c>
      <c r="K449" s="331">
        <v>12012.04</v>
      </c>
      <c r="L449" s="491" t="s">
        <v>29</v>
      </c>
      <c r="M449" s="491" t="s">
        <v>29</v>
      </c>
      <c r="N449" s="491" t="s">
        <v>29</v>
      </c>
      <c r="O449" s="1072">
        <v>0</v>
      </c>
      <c r="P449" s="491">
        <v>0</v>
      </c>
      <c r="Q449" s="491">
        <v>0</v>
      </c>
      <c r="R449" s="491">
        <v>0</v>
      </c>
      <c r="S449" s="491">
        <v>0</v>
      </c>
      <c r="T449" s="1025" t="b">
        <v>0</v>
      </c>
      <c r="U449" s="491">
        <v>0</v>
      </c>
      <c r="V449" s="491">
        <v>0</v>
      </c>
      <c r="W449" s="491">
        <v>0</v>
      </c>
      <c r="X449" s="491">
        <v>7.61</v>
      </c>
      <c r="Y449" s="1025" t="b">
        <v>1</v>
      </c>
      <c r="Z449" s="331">
        <v>0</v>
      </c>
      <c r="AA449" s="331">
        <v>0</v>
      </c>
      <c r="AB449" s="331">
        <v>0</v>
      </c>
      <c r="AC449" s="331">
        <v>0</v>
      </c>
      <c r="AD449" s="1025" t="b">
        <v>0</v>
      </c>
      <c r="AE449" s="331">
        <v>0</v>
      </c>
      <c r="AF449" s="331">
        <v>0</v>
      </c>
      <c r="AG449" s="331">
        <v>0</v>
      </c>
      <c r="AH449" s="331">
        <v>0.38</v>
      </c>
      <c r="AI449" s="1025" t="b">
        <v>1</v>
      </c>
      <c r="AJ449" s="331">
        <v>0</v>
      </c>
      <c r="AK449" s="331">
        <v>0</v>
      </c>
      <c r="AL449" s="331">
        <v>0</v>
      </c>
      <c r="AM449" s="331">
        <v>0</v>
      </c>
      <c r="AN449" s="1025" t="b">
        <v>0</v>
      </c>
      <c r="AO449" s="331">
        <v>0</v>
      </c>
      <c r="AP449" s="331">
        <v>0</v>
      </c>
      <c r="AQ449" s="331">
        <v>0</v>
      </c>
      <c r="AR449" s="331">
        <v>0</v>
      </c>
      <c r="AS449" s="1025" t="b">
        <v>0</v>
      </c>
      <c r="AT449" s="1025" t="b">
        <v>1</v>
      </c>
      <c r="AU449" s="331">
        <v>0</v>
      </c>
      <c r="AV449" s="491" t="s">
        <v>29</v>
      </c>
    </row>
    <row r="450" spans="1:48">
      <c r="A450" s="72">
        <v>31</v>
      </c>
      <c r="B450" s="391" t="s">
        <v>33</v>
      </c>
      <c r="C450" s="72">
        <f t="shared" si="18"/>
        <v>10</v>
      </c>
      <c r="D450" s="72" t="str">
        <f t="shared" si="19"/>
        <v>31-10</v>
      </c>
      <c r="E450" s="72">
        <v>66910</v>
      </c>
      <c r="F450" s="72" t="str">
        <f t="shared" si="20"/>
        <v>31-66910</v>
      </c>
      <c r="G450" s="391" t="s">
        <v>989</v>
      </c>
      <c r="H450" s="331">
        <v>10876.1</v>
      </c>
      <c r="I450" s="331">
        <v>10000.129999999999</v>
      </c>
      <c r="J450" s="331">
        <v>10296.780000000001</v>
      </c>
      <c r="K450" s="331">
        <v>12243.27</v>
      </c>
      <c r="L450" s="1072">
        <v>0</v>
      </c>
      <c r="M450" s="1072">
        <v>0</v>
      </c>
      <c r="N450" s="1072">
        <v>0</v>
      </c>
      <c r="O450" s="1072">
        <v>0</v>
      </c>
      <c r="P450" s="491">
        <v>0</v>
      </c>
      <c r="Q450" s="491">
        <v>0</v>
      </c>
      <c r="R450" s="491">
        <v>0</v>
      </c>
      <c r="S450" s="491">
        <v>0</v>
      </c>
      <c r="T450" s="1025" t="b">
        <v>0</v>
      </c>
      <c r="U450" s="491">
        <v>3.36</v>
      </c>
      <c r="V450" s="491">
        <v>5.51</v>
      </c>
      <c r="W450" s="491">
        <v>4.83</v>
      </c>
      <c r="X450" s="491">
        <v>0</v>
      </c>
      <c r="Y450" s="1025" t="b">
        <v>1</v>
      </c>
      <c r="Z450" s="331">
        <v>0</v>
      </c>
      <c r="AA450" s="331">
        <v>0</v>
      </c>
      <c r="AB450" s="331">
        <v>0</v>
      </c>
      <c r="AC450" s="331">
        <v>0</v>
      </c>
      <c r="AD450" s="1025" t="b">
        <v>0</v>
      </c>
      <c r="AE450" s="331">
        <v>0.39</v>
      </c>
      <c r="AF450" s="331">
        <v>0.37</v>
      </c>
      <c r="AG450" s="331">
        <v>0.36</v>
      </c>
      <c r="AH450" s="331">
        <v>0</v>
      </c>
      <c r="AI450" s="1025" t="b">
        <v>1</v>
      </c>
      <c r="AJ450" s="331">
        <v>0</v>
      </c>
      <c r="AK450" s="331">
        <v>0</v>
      </c>
      <c r="AL450" s="331">
        <v>0</v>
      </c>
      <c r="AM450" s="331">
        <v>0</v>
      </c>
      <c r="AN450" s="1025" t="b">
        <v>0</v>
      </c>
      <c r="AO450" s="331">
        <v>0</v>
      </c>
      <c r="AP450" s="331">
        <v>0</v>
      </c>
      <c r="AQ450" s="331">
        <v>0</v>
      </c>
      <c r="AR450" s="331">
        <v>0</v>
      </c>
      <c r="AS450" s="1025" t="b">
        <v>0</v>
      </c>
      <c r="AT450" s="1025" t="b">
        <v>1</v>
      </c>
      <c r="AU450" s="331">
        <v>0</v>
      </c>
      <c r="AV450" s="491" t="s">
        <v>29</v>
      </c>
    </row>
    <row r="451" spans="1:48">
      <c r="A451" s="72">
        <v>31</v>
      </c>
      <c r="B451" s="391" t="s">
        <v>33</v>
      </c>
      <c r="C451" s="72">
        <f t="shared" si="18"/>
        <v>11</v>
      </c>
      <c r="D451" s="72" t="str">
        <f t="shared" si="19"/>
        <v>31-11</v>
      </c>
      <c r="E451" s="72">
        <v>66928</v>
      </c>
      <c r="F451" s="72" t="str">
        <f t="shared" si="20"/>
        <v>31-66928</v>
      </c>
      <c r="G451" s="391" t="s">
        <v>990</v>
      </c>
      <c r="H451" s="331">
        <v>10601.68</v>
      </c>
      <c r="I451" s="331">
        <v>9747.7999999999993</v>
      </c>
      <c r="J451" s="331">
        <v>10036.969999999999</v>
      </c>
      <c r="K451" s="331">
        <v>11934.35</v>
      </c>
      <c r="L451" s="491" t="s">
        <v>29</v>
      </c>
      <c r="M451" s="491" t="s">
        <v>29</v>
      </c>
      <c r="N451" s="491" t="s">
        <v>29</v>
      </c>
      <c r="O451" s="1072">
        <v>0</v>
      </c>
      <c r="P451" s="491">
        <v>0</v>
      </c>
      <c r="Q451" s="491">
        <v>0</v>
      </c>
      <c r="R451" s="491">
        <v>0</v>
      </c>
      <c r="S451" s="491">
        <v>0</v>
      </c>
      <c r="T451" s="1025" t="b">
        <v>0</v>
      </c>
      <c r="U451" s="491">
        <v>0</v>
      </c>
      <c r="V451" s="491">
        <v>0</v>
      </c>
      <c r="W451" s="491">
        <v>0</v>
      </c>
      <c r="X451" s="491">
        <v>4.29</v>
      </c>
      <c r="Y451" s="1025" t="b">
        <v>1</v>
      </c>
      <c r="Z451" s="331">
        <v>0</v>
      </c>
      <c r="AA451" s="331">
        <v>0</v>
      </c>
      <c r="AB451" s="331">
        <v>0</v>
      </c>
      <c r="AC451" s="331">
        <v>0</v>
      </c>
      <c r="AD451" s="1025" t="b">
        <v>0</v>
      </c>
      <c r="AE451" s="331">
        <v>0</v>
      </c>
      <c r="AF451" s="331">
        <v>0</v>
      </c>
      <c r="AG451" s="331">
        <v>0</v>
      </c>
      <c r="AH451" s="331">
        <v>0.48</v>
      </c>
      <c r="AI451" s="1025" t="b">
        <v>1</v>
      </c>
      <c r="AJ451" s="331">
        <v>0</v>
      </c>
      <c r="AK451" s="331">
        <v>0</v>
      </c>
      <c r="AL451" s="331">
        <v>0</v>
      </c>
      <c r="AM451" s="331">
        <v>0</v>
      </c>
      <c r="AN451" s="1025" t="b">
        <v>0</v>
      </c>
      <c r="AO451" s="331">
        <v>0</v>
      </c>
      <c r="AP451" s="331">
        <v>0</v>
      </c>
      <c r="AQ451" s="331">
        <v>0</v>
      </c>
      <c r="AR451" s="331">
        <v>0</v>
      </c>
      <c r="AS451" s="1025" t="b">
        <v>0</v>
      </c>
      <c r="AT451" s="1025" t="b">
        <v>1</v>
      </c>
      <c r="AU451" s="331">
        <v>0</v>
      </c>
      <c r="AV451" s="491" t="s">
        <v>29</v>
      </c>
    </row>
    <row r="452" spans="1:48">
      <c r="A452" s="72">
        <v>31</v>
      </c>
      <c r="B452" s="391" t="s">
        <v>33</v>
      </c>
      <c r="C452" s="72">
        <f t="shared" si="18"/>
        <v>12</v>
      </c>
      <c r="D452" s="72" t="str">
        <f t="shared" si="19"/>
        <v>31-12</v>
      </c>
      <c r="E452" s="72">
        <v>66944</v>
      </c>
      <c r="F452" s="72" t="str">
        <f t="shared" si="20"/>
        <v>31-66944</v>
      </c>
      <c r="G452" s="391" t="s">
        <v>991</v>
      </c>
      <c r="H452" s="331">
        <v>10849.79</v>
      </c>
      <c r="I452" s="331">
        <v>9975.93</v>
      </c>
      <c r="J452" s="331">
        <v>10271.870000000001</v>
      </c>
      <c r="K452" s="331">
        <v>12213.66</v>
      </c>
      <c r="L452" s="1072">
        <v>0</v>
      </c>
      <c r="M452" s="1072">
        <v>0</v>
      </c>
      <c r="N452" s="1072">
        <v>0</v>
      </c>
      <c r="O452" s="1072">
        <v>0</v>
      </c>
      <c r="P452" s="491">
        <v>0</v>
      </c>
      <c r="Q452" s="491">
        <v>0</v>
      </c>
      <c r="R452" s="491">
        <v>0</v>
      </c>
      <c r="S452" s="491">
        <v>0</v>
      </c>
      <c r="T452" s="1025" t="b">
        <v>0</v>
      </c>
      <c r="U452" s="491">
        <v>0</v>
      </c>
      <c r="V452" s="491">
        <v>0</v>
      </c>
      <c r="W452" s="491">
        <v>0</v>
      </c>
      <c r="X452" s="491">
        <v>0</v>
      </c>
      <c r="Y452" s="1025" t="b">
        <v>0</v>
      </c>
      <c r="Z452" s="331">
        <v>0</v>
      </c>
      <c r="AA452" s="331">
        <v>0</v>
      </c>
      <c r="AB452" s="331">
        <v>0</v>
      </c>
      <c r="AC452" s="331">
        <v>0</v>
      </c>
      <c r="AD452" s="1025" t="b">
        <v>0</v>
      </c>
      <c r="AE452" s="331">
        <v>0</v>
      </c>
      <c r="AF452" s="331">
        <v>0</v>
      </c>
      <c r="AG452" s="331">
        <v>0.1</v>
      </c>
      <c r="AH452" s="331">
        <v>0</v>
      </c>
      <c r="AI452" s="1025" t="b">
        <v>1</v>
      </c>
      <c r="AJ452" s="331">
        <v>0</v>
      </c>
      <c r="AK452" s="331">
        <v>0</v>
      </c>
      <c r="AL452" s="331">
        <v>0</v>
      </c>
      <c r="AM452" s="331">
        <v>0</v>
      </c>
      <c r="AN452" s="1025" t="b">
        <v>0</v>
      </c>
      <c r="AO452" s="331">
        <v>1.92</v>
      </c>
      <c r="AP452" s="331">
        <v>3.79</v>
      </c>
      <c r="AQ452" s="331">
        <v>0.96</v>
      </c>
      <c r="AR452" s="331">
        <v>2.95</v>
      </c>
      <c r="AS452" s="1025" t="b">
        <v>1</v>
      </c>
      <c r="AT452" s="1025" t="b">
        <v>1</v>
      </c>
      <c r="AU452" s="331">
        <v>0</v>
      </c>
      <c r="AV452" s="491" t="s">
        <v>29</v>
      </c>
    </row>
    <row r="453" spans="1:48">
      <c r="A453" s="72">
        <v>31</v>
      </c>
      <c r="B453" s="391" t="s">
        <v>33</v>
      </c>
      <c r="C453" s="72">
        <f t="shared" si="18"/>
        <v>13</v>
      </c>
      <c r="D453" s="72" t="str">
        <f t="shared" si="19"/>
        <v>31-13</v>
      </c>
      <c r="E453" s="72">
        <v>66951</v>
      </c>
      <c r="F453" s="72" t="str">
        <f t="shared" si="20"/>
        <v>31-66951</v>
      </c>
      <c r="G453" s="391" t="s">
        <v>992</v>
      </c>
      <c r="H453" s="331">
        <v>10803.45</v>
      </c>
      <c r="I453" s="331">
        <v>9933.32</v>
      </c>
      <c r="J453" s="331">
        <v>10227.99</v>
      </c>
      <c r="K453" s="331">
        <v>12161.49</v>
      </c>
      <c r="L453" s="1072">
        <v>0</v>
      </c>
      <c r="M453" s="1072">
        <v>0</v>
      </c>
      <c r="N453" s="1072">
        <v>0</v>
      </c>
      <c r="O453" s="1072">
        <v>0</v>
      </c>
      <c r="P453" s="491">
        <v>0</v>
      </c>
      <c r="Q453" s="491">
        <v>0</v>
      </c>
      <c r="R453" s="491">
        <v>0</v>
      </c>
      <c r="S453" s="491">
        <v>0</v>
      </c>
      <c r="T453" s="1025" t="b">
        <v>0</v>
      </c>
      <c r="U453" s="491">
        <v>2.61</v>
      </c>
      <c r="V453" s="491">
        <v>1</v>
      </c>
      <c r="W453" s="491">
        <v>1.75</v>
      </c>
      <c r="X453" s="491">
        <v>9.7200000000000006</v>
      </c>
      <c r="Y453" s="1025" t="b">
        <v>1</v>
      </c>
      <c r="Z453" s="331">
        <v>0</v>
      </c>
      <c r="AA453" s="331">
        <v>0</v>
      </c>
      <c r="AB453" s="331">
        <v>0</v>
      </c>
      <c r="AC453" s="331">
        <v>0</v>
      </c>
      <c r="AD453" s="1025" t="b">
        <v>0</v>
      </c>
      <c r="AE453" s="331">
        <v>0.22</v>
      </c>
      <c r="AF453" s="331">
        <v>0.22</v>
      </c>
      <c r="AG453" s="331">
        <v>0.1</v>
      </c>
      <c r="AH453" s="331">
        <v>0.82</v>
      </c>
      <c r="AI453" s="1025" t="b">
        <v>1</v>
      </c>
      <c r="AJ453" s="331">
        <v>0</v>
      </c>
      <c r="AK453" s="331">
        <v>0</v>
      </c>
      <c r="AL453" s="331">
        <v>0</v>
      </c>
      <c r="AM453" s="331">
        <v>0</v>
      </c>
      <c r="AN453" s="1025" t="b">
        <v>0</v>
      </c>
      <c r="AO453" s="331">
        <v>0</v>
      </c>
      <c r="AP453" s="331">
        <v>0</v>
      </c>
      <c r="AQ453" s="331">
        <v>0</v>
      </c>
      <c r="AR453" s="331">
        <v>0</v>
      </c>
      <c r="AS453" s="1025" t="b">
        <v>0</v>
      </c>
      <c r="AT453" s="1025" t="b">
        <v>1</v>
      </c>
      <c r="AU453" s="331">
        <v>0</v>
      </c>
      <c r="AV453" s="491" t="s">
        <v>29</v>
      </c>
    </row>
    <row r="454" spans="1:48">
      <c r="A454" s="72">
        <v>31</v>
      </c>
      <c r="B454" s="391" t="s">
        <v>33</v>
      </c>
      <c r="C454" s="72">
        <f t="shared" ref="C454:C517" si="21">IF(E454="N/A",0,IF(A453&lt;&gt;A454,1,C453+1))</f>
        <v>14</v>
      </c>
      <c r="D454" s="72" t="str">
        <f t="shared" ref="D454:D517" si="22">A454&amp;"-"&amp;C454</f>
        <v>31-14</v>
      </c>
      <c r="E454" s="72">
        <v>75085</v>
      </c>
      <c r="F454" s="72" t="str">
        <f t="shared" si="20"/>
        <v>31-75085</v>
      </c>
      <c r="G454" s="391" t="s">
        <v>993</v>
      </c>
      <c r="H454" s="331">
        <v>10528.01</v>
      </c>
      <c r="I454" s="331">
        <v>9680.07</v>
      </c>
      <c r="J454" s="331">
        <v>9967.2199999999993</v>
      </c>
      <c r="K454" s="331">
        <v>11851.42</v>
      </c>
      <c r="L454" s="1072">
        <v>0</v>
      </c>
      <c r="M454" s="491" t="s">
        <v>29</v>
      </c>
      <c r="N454" s="1072">
        <v>0</v>
      </c>
      <c r="O454" s="1072">
        <v>0</v>
      </c>
      <c r="P454" s="491">
        <v>0</v>
      </c>
      <c r="Q454" s="491">
        <v>0</v>
      </c>
      <c r="R454" s="491">
        <v>0</v>
      </c>
      <c r="S454" s="491">
        <v>0</v>
      </c>
      <c r="T454" s="1025" t="b">
        <v>0</v>
      </c>
      <c r="U454" s="491">
        <v>1.96</v>
      </c>
      <c r="V454" s="491">
        <v>0</v>
      </c>
      <c r="W454" s="491">
        <v>0.85</v>
      </c>
      <c r="X454" s="491">
        <v>5.83</v>
      </c>
      <c r="Y454" s="1025" t="b">
        <v>1</v>
      </c>
      <c r="Z454" s="331">
        <v>0</v>
      </c>
      <c r="AA454" s="331">
        <v>0</v>
      </c>
      <c r="AB454" s="331">
        <v>0</v>
      </c>
      <c r="AC454" s="331">
        <v>0</v>
      </c>
      <c r="AD454" s="1025" t="b">
        <v>0</v>
      </c>
      <c r="AE454" s="331">
        <v>0.1</v>
      </c>
      <c r="AF454" s="331">
        <v>0</v>
      </c>
      <c r="AG454" s="331">
        <v>0.19</v>
      </c>
      <c r="AH454" s="331">
        <v>0.39</v>
      </c>
      <c r="AI454" s="1025" t="b">
        <v>1</v>
      </c>
      <c r="AJ454" s="331">
        <v>0</v>
      </c>
      <c r="AK454" s="331">
        <v>0</v>
      </c>
      <c r="AL454" s="331">
        <v>0</v>
      </c>
      <c r="AM454" s="331">
        <v>0</v>
      </c>
      <c r="AN454" s="1025" t="b">
        <v>0</v>
      </c>
      <c r="AO454" s="331">
        <v>0</v>
      </c>
      <c r="AP454" s="331">
        <v>0</v>
      </c>
      <c r="AQ454" s="331">
        <v>0</v>
      </c>
      <c r="AR454" s="331">
        <v>0</v>
      </c>
      <c r="AS454" s="1025" t="b">
        <v>0</v>
      </c>
      <c r="AT454" s="1025" t="b">
        <v>1</v>
      </c>
      <c r="AU454" s="331">
        <v>0</v>
      </c>
      <c r="AV454" s="491" t="s">
        <v>29</v>
      </c>
    </row>
    <row r="455" spans="1:48">
      <c r="A455" s="72">
        <v>31</v>
      </c>
      <c r="B455" s="391" t="s">
        <v>33</v>
      </c>
      <c r="C455" s="72">
        <f t="shared" si="21"/>
        <v>0</v>
      </c>
      <c r="D455" s="72" t="str">
        <f t="shared" si="22"/>
        <v>31-0</v>
      </c>
      <c r="E455" s="72" t="s">
        <v>29</v>
      </c>
      <c r="F455" s="72" t="str">
        <f t="shared" ref="F455:F518" si="23">A455&amp;"-"&amp;E455</f>
        <v>31-N/A</v>
      </c>
      <c r="G455" s="391" t="s">
        <v>29</v>
      </c>
      <c r="H455" s="491" t="s">
        <v>29</v>
      </c>
      <c r="I455" s="491" t="s">
        <v>29</v>
      </c>
      <c r="J455" s="491" t="s">
        <v>29</v>
      </c>
      <c r="K455" s="491" t="s">
        <v>29</v>
      </c>
      <c r="L455" s="491" t="s">
        <v>29</v>
      </c>
      <c r="M455" s="491" t="s">
        <v>29</v>
      </c>
      <c r="N455" s="491" t="s">
        <v>29</v>
      </c>
      <c r="O455" s="491" t="s">
        <v>29</v>
      </c>
      <c r="P455" s="491" t="s">
        <v>29</v>
      </c>
      <c r="Q455" s="491" t="s">
        <v>29</v>
      </c>
      <c r="R455" s="491" t="s">
        <v>29</v>
      </c>
      <c r="S455" s="491" t="s">
        <v>29</v>
      </c>
      <c r="T455" s="1025" t="s">
        <v>29</v>
      </c>
      <c r="U455" s="491" t="s">
        <v>29</v>
      </c>
      <c r="V455" s="491" t="s">
        <v>29</v>
      </c>
      <c r="W455" s="491" t="s">
        <v>29</v>
      </c>
      <c r="X455" s="491" t="s">
        <v>29</v>
      </c>
      <c r="Y455" s="1025" t="s">
        <v>29</v>
      </c>
      <c r="Z455" s="491" t="s">
        <v>29</v>
      </c>
      <c r="AA455" s="491" t="s">
        <v>29</v>
      </c>
      <c r="AB455" s="491" t="s">
        <v>29</v>
      </c>
      <c r="AC455" s="491" t="s">
        <v>29</v>
      </c>
      <c r="AD455" s="1025" t="s">
        <v>29</v>
      </c>
      <c r="AE455" s="491" t="s">
        <v>29</v>
      </c>
      <c r="AF455" s="491" t="s">
        <v>29</v>
      </c>
      <c r="AG455" s="491" t="s">
        <v>29</v>
      </c>
      <c r="AH455" s="491" t="s">
        <v>29</v>
      </c>
      <c r="AI455" s="1025" t="s">
        <v>29</v>
      </c>
      <c r="AJ455" s="491" t="s">
        <v>29</v>
      </c>
      <c r="AK455" s="491" t="s">
        <v>29</v>
      </c>
      <c r="AL455" s="491" t="s">
        <v>29</v>
      </c>
      <c r="AM455" s="491" t="s">
        <v>29</v>
      </c>
      <c r="AN455" s="1025" t="s">
        <v>29</v>
      </c>
      <c r="AO455" s="491" t="s">
        <v>29</v>
      </c>
      <c r="AP455" s="491" t="s">
        <v>29</v>
      </c>
      <c r="AQ455" s="491" t="s">
        <v>29</v>
      </c>
      <c r="AR455" s="491" t="s">
        <v>29</v>
      </c>
      <c r="AS455" s="1025" t="s">
        <v>29</v>
      </c>
      <c r="AT455" s="1025" t="s">
        <v>29</v>
      </c>
      <c r="AU455" s="491" t="s">
        <v>29</v>
      </c>
      <c r="AV455" s="491">
        <v>0</v>
      </c>
    </row>
    <row r="456" spans="1:48">
      <c r="A456" s="72">
        <v>32</v>
      </c>
      <c r="B456" s="391" t="s">
        <v>69</v>
      </c>
      <c r="C456" s="72">
        <f t="shared" si="21"/>
        <v>1</v>
      </c>
      <c r="D456" s="72" t="str">
        <f t="shared" si="22"/>
        <v>32-1</v>
      </c>
      <c r="E456" s="72">
        <v>66969</v>
      </c>
      <c r="F456" s="72" t="str">
        <f t="shared" si="23"/>
        <v>32-66969</v>
      </c>
      <c r="G456" s="391" t="s">
        <v>994</v>
      </c>
      <c r="H456" s="331">
        <v>11224.2</v>
      </c>
      <c r="I456" s="331">
        <v>10320.18</v>
      </c>
      <c r="J456" s="331">
        <v>10626.33</v>
      </c>
      <c r="K456" s="331">
        <v>12635.13</v>
      </c>
      <c r="L456" s="491" t="s">
        <v>29</v>
      </c>
      <c r="M456" s="491" t="s">
        <v>29</v>
      </c>
      <c r="N456" s="491" t="s">
        <v>29</v>
      </c>
      <c r="O456" s="491" t="s">
        <v>29</v>
      </c>
      <c r="P456" s="491">
        <v>0</v>
      </c>
      <c r="Q456" s="491">
        <v>0</v>
      </c>
      <c r="R456" s="491">
        <v>0</v>
      </c>
      <c r="S456" s="491">
        <v>4.2</v>
      </c>
      <c r="T456" s="1025" t="b">
        <v>0</v>
      </c>
      <c r="U456" s="491">
        <v>0</v>
      </c>
      <c r="V456" s="491">
        <v>0</v>
      </c>
      <c r="W456" s="491">
        <v>0</v>
      </c>
      <c r="X456" s="491">
        <v>0</v>
      </c>
      <c r="Y456" s="1025" t="b">
        <v>0</v>
      </c>
      <c r="Z456" s="331">
        <v>0</v>
      </c>
      <c r="AA456" s="331">
        <v>0</v>
      </c>
      <c r="AB456" s="331">
        <v>0</v>
      </c>
      <c r="AC456" s="331">
        <v>0</v>
      </c>
      <c r="AD456" s="1025" t="b">
        <v>0</v>
      </c>
      <c r="AE456" s="331">
        <v>0</v>
      </c>
      <c r="AF456" s="331">
        <v>0</v>
      </c>
      <c r="AG456" s="331">
        <v>0</v>
      </c>
      <c r="AH456" s="331">
        <v>0</v>
      </c>
      <c r="AI456" s="1025" t="b">
        <v>0</v>
      </c>
      <c r="AJ456" s="331">
        <v>1.64</v>
      </c>
      <c r="AK456" s="331">
        <v>1.73</v>
      </c>
      <c r="AL456" s="331">
        <v>0</v>
      </c>
      <c r="AM456" s="331">
        <v>0.03</v>
      </c>
      <c r="AN456" s="1025" t="b">
        <v>0</v>
      </c>
      <c r="AO456" s="331">
        <v>0</v>
      </c>
      <c r="AP456" s="331">
        <v>0</v>
      </c>
      <c r="AQ456" s="331">
        <v>0</v>
      </c>
      <c r="AR456" s="331">
        <v>0</v>
      </c>
      <c r="AS456" s="1025" t="b">
        <v>0</v>
      </c>
      <c r="AT456" s="1025" t="b">
        <v>0</v>
      </c>
      <c r="AU456" s="331">
        <v>89709</v>
      </c>
      <c r="AV456" s="491" t="s">
        <v>29</v>
      </c>
    </row>
    <row r="457" spans="1:48">
      <c r="A457" s="72">
        <v>32</v>
      </c>
      <c r="B457" s="391" t="s">
        <v>69</v>
      </c>
      <c r="C457" s="72">
        <f t="shared" si="21"/>
        <v>0</v>
      </c>
      <c r="D457" s="72" t="str">
        <f t="shared" si="22"/>
        <v>32-0</v>
      </c>
      <c r="E457" s="72" t="s">
        <v>29</v>
      </c>
      <c r="F457" s="72" t="str">
        <f t="shared" si="23"/>
        <v>32-N/A</v>
      </c>
      <c r="G457" s="391" t="s">
        <v>29</v>
      </c>
      <c r="H457" s="491" t="s">
        <v>29</v>
      </c>
      <c r="I457" s="491" t="s">
        <v>29</v>
      </c>
      <c r="J457" s="491" t="s">
        <v>29</v>
      </c>
      <c r="K457" s="491" t="s">
        <v>29</v>
      </c>
      <c r="L457" s="491" t="s">
        <v>29</v>
      </c>
      <c r="M457" s="491" t="s">
        <v>29</v>
      </c>
      <c r="N457" s="491" t="s">
        <v>29</v>
      </c>
      <c r="O457" s="491" t="s">
        <v>29</v>
      </c>
      <c r="P457" s="491" t="s">
        <v>29</v>
      </c>
      <c r="Q457" s="491" t="s">
        <v>29</v>
      </c>
      <c r="R457" s="491" t="s">
        <v>29</v>
      </c>
      <c r="S457" s="491" t="s">
        <v>29</v>
      </c>
      <c r="T457" s="1025" t="s">
        <v>29</v>
      </c>
      <c r="U457" s="491" t="s">
        <v>29</v>
      </c>
      <c r="V457" s="491" t="s">
        <v>29</v>
      </c>
      <c r="W457" s="491" t="s">
        <v>29</v>
      </c>
      <c r="X457" s="491" t="s">
        <v>29</v>
      </c>
      <c r="Y457" s="1025" t="s">
        <v>29</v>
      </c>
      <c r="Z457" s="491" t="s">
        <v>29</v>
      </c>
      <c r="AA457" s="491" t="s">
        <v>29</v>
      </c>
      <c r="AB457" s="491" t="s">
        <v>29</v>
      </c>
      <c r="AC457" s="491" t="s">
        <v>29</v>
      </c>
      <c r="AD457" s="1025" t="s">
        <v>29</v>
      </c>
      <c r="AE457" s="491" t="s">
        <v>29</v>
      </c>
      <c r="AF457" s="491" t="s">
        <v>29</v>
      </c>
      <c r="AG457" s="491" t="s">
        <v>29</v>
      </c>
      <c r="AH457" s="491" t="s">
        <v>29</v>
      </c>
      <c r="AI457" s="1025" t="s">
        <v>29</v>
      </c>
      <c r="AJ457" s="491" t="s">
        <v>29</v>
      </c>
      <c r="AK457" s="491" t="s">
        <v>29</v>
      </c>
      <c r="AL457" s="491" t="s">
        <v>29</v>
      </c>
      <c r="AM457" s="491" t="s">
        <v>29</v>
      </c>
      <c r="AN457" s="1025" t="s">
        <v>29</v>
      </c>
      <c r="AO457" s="491" t="s">
        <v>29</v>
      </c>
      <c r="AP457" s="491" t="s">
        <v>29</v>
      </c>
      <c r="AQ457" s="491" t="s">
        <v>29</v>
      </c>
      <c r="AR457" s="491" t="s">
        <v>29</v>
      </c>
      <c r="AS457" s="1025" t="s">
        <v>29</v>
      </c>
      <c r="AT457" s="1025" t="s">
        <v>29</v>
      </c>
      <c r="AU457" s="491" t="s">
        <v>29</v>
      </c>
      <c r="AV457" s="491">
        <v>89709</v>
      </c>
    </row>
    <row r="458" spans="1:48">
      <c r="A458" s="72">
        <v>33</v>
      </c>
      <c r="B458" s="391" t="s">
        <v>32</v>
      </c>
      <c r="C458" s="72">
        <f t="shared" si="21"/>
        <v>1</v>
      </c>
      <c r="D458" s="72" t="str">
        <f t="shared" si="22"/>
        <v>33-1</v>
      </c>
      <c r="E458" s="72">
        <v>66977</v>
      </c>
      <c r="F458" s="72" t="str">
        <f t="shared" si="23"/>
        <v>33-66977</v>
      </c>
      <c r="G458" s="391" t="s">
        <v>845</v>
      </c>
      <c r="H458" s="331">
        <v>13655.89</v>
      </c>
      <c r="I458" s="331">
        <v>12556.03</v>
      </c>
      <c r="J458" s="331">
        <v>12928.5</v>
      </c>
      <c r="K458" s="331">
        <v>15372.5</v>
      </c>
      <c r="L458" s="491" t="s">
        <v>29</v>
      </c>
      <c r="M458" s="491" t="s">
        <v>29</v>
      </c>
      <c r="N458" s="491" t="s">
        <v>29</v>
      </c>
      <c r="O458" s="491" t="s">
        <v>29</v>
      </c>
      <c r="P458" s="491">
        <v>0</v>
      </c>
      <c r="Q458" s="491">
        <v>0</v>
      </c>
      <c r="R458" s="491">
        <v>2.2000000000000002</v>
      </c>
      <c r="S458" s="491">
        <v>3.09</v>
      </c>
      <c r="T458" s="1025" t="b">
        <v>0</v>
      </c>
      <c r="U458" s="491">
        <v>23.25</v>
      </c>
      <c r="V458" s="491">
        <v>24.57</v>
      </c>
      <c r="W458" s="491">
        <v>3.3</v>
      </c>
      <c r="X458" s="491">
        <v>62.77</v>
      </c>
      <c r="Y458" s="1025" t="b">
        <v>0</v>
      </c>
      <c r="Z458" s="331">
        <v>0</v>
      </c>
      <c r="AA458" s="331">
        <v>0</v>
      </c>
      <c r="AB458" s="331">
        <v>0</v>
      </c>
      <c r="AC458" s="331">
        <v>0</v>
      </c>
      <c r="AD458" s="1025" t="b">
        <v>0</v>
      </c>
      <c r="AE458" s="331">
        <v>1.99</v>
      </c>
      <c r="AF458" s="331">
        <v>1.53</v>
      </c>
      <c r="AG458" s="331">
        <v>0.39</v>
      </c>
      <c r="AH458" s="331">
        <v>4.38</v>
      </c>
      <c r="AI458" s="1025" t="b">
        <v>0</v>
      </c>
      <c r="AJ458" s="331">
        <v>0</v>
      </c>
      <c r="AK458" s="331">
        <v>0</v>
      </c>
      <c r="AL458" s="331">
        <v>0</v>
      </c>
      <c r="AM458" s="331">
        <v>0</v>
      </c>
      <c r="AN458" s="1025" t="b">
        <v>0</v>
      </c>
      <c r="AO458" s="331">
        <v>0</v>
      </c>
      <c r="AP458" s="331">
        <v>0</v>
      </c>
      <c r="AQ458" s="331">
        <v>0</v>
      </c>
      <c r="AR458" s="331">
        <v>0</v>
      </c>
      <c r="AS458" s="1025" t="b">
        <v>0</v>
      </c>
      <c r="AT458" s="1025" t="b">
        <v>0</v>
      </c>
      <c r="AU458" s="331">
        <v>1828300</v>
      </c>
      <c r="AV458" s="491" t="s">
        <v>29</v>
      </c>
    </row>
    <row r="459" spans="1:48">
      <c r="A459" s="72">
        <v>33</v>
      </c>
      <c r="B459" s="391" t="s">
        <v>32</v>
      </c>
      <c r="C459" s="72">
        <f t="shared" si="21"/>
        <v>2</v>
      </c>
      <c r="D459" s="72" t="str">
        <f t="shared" si="22"/>
        <v>33-2</v>
      </c>
      <c r="E459" s="72">
        <v>66985</v>
      </c>
      <c r="F459" s="72" t="str">
        <f t="shared" si="23"/>
        <v>33-66985</v>
      </c>
      <c r="G459" s="391" t="s">
        <v>846</v>
      </c>
      <c r="H459" s="331">
        <v>14392.15</v>
      </c>
      <c r="I459" s="331">
        <v>13232.99</v>
      </c>
      <c r="J459" s="331">
        <v>13625.54</v>
      </c>
      <c r="K459" s="331">
        <v>16201.31</v>
      </c>
      <c r="L459" s="491" t="s">
        <v>29</v>
      </c>
      <c r="M459" s="491" t="s">
        <v>29</v>
      </c>
      <c r="N459" s="491" t="s">
        <v>29</v>
      </c>
      <c r="O459" s="491" t="s">
        <v>29</v>
      </c>
      <c r="P459" s="491">
        <v>0</v>
      </c>
      <c r="Q459" s="491">
        <v>0</v>
      </c>
      <c r="R459" s="491">
        <v>0.56000000000000005</v>
      </c>
      <c r="S459" s="491">
        <v>0</v>
      </c>
      <c r="T459" s="1025" t="b">
        <v>0</v>
      </c>
      <c r="U459" s="491">
        <v>0</v>
      </c>
      <c r="V459" s="491">
        <v>0.94</v>
      </c>
      <c r="W459" s="491">
        <v>0</v>
      </c>
      <c r="X459" s="491">
        <v>0</v>
      </c>
      <c r="Y459" s="1025" t="b">
        <v>0</v>
      </c>
      <c r="Z459" s="331">
        <v>0</v>
      </c>
      <c r="AA459" s="331">
        <v>0</v>
      </c>
      <c r="AB459" s="331">
        <v>0</v>
      </c>
      <c r="AC459" s="331">
        <v>0</v>
      </c>
      <c r="AD459" s="1025" t="b">
        <v>0</v>
      </c>
      <c r="AE459" s="331">
        <v>0</v>
      </c>
      <c r="AF459" s="331">
        <v>0.06</v>
      </c>
      <c r="AG459" s="331">
        <v>0</v>
      </c>
      <c r="AH459" s="331">
        <v>0</v>
      </c>
      <c r="AI459" s="1025" t="b">
        <v>0</v>
      </c>
      <c r="AJ459" s="331">
        <v>0</v>
      </c>
      <c r="AK459" s="331">
        <v>0</v>
      </c>
      <c r="AL459" s="331">
        <v>0</v>
      </c>
      <c r="AM459" s="331">
        <v>0</v>
      </c>
      <c r="AN459" s="1025" t="b">
        <v>0</v>
      </c>
      <c r="AO459" s="331">
        <v>0</v>
      </c>
      <c r="AP459" s="331">
        <v>0</v>
      </c>
      <c r="AQ459" s="331">
        <v>0</v>
      </c>
      <c r="AR459" s="331">
        <v>0</v>
      </c>
      <c r="AS459" s="1025" t="b">
        <v>0</v>
      </c>
      <c r="AT459" s="1025" t="b">
        <v>0</v>
      </c>
      <c r="AU459" s="331">
        <v>20863</v>
      </c>
      <c r="AV459" s="491" t="s">
        <v>29</v>
      </c>
    </row>
    <row r="460" spans="1:48">
      <c r="A460" s="72">
        <v>33</v>
      </c>
      <c r="B460" s="391" t="s">
        <v>32</v>
      </c>
      <c r="C460" s="72">
        <f t="shared" si="21"/>
        <v>3</v>
      </c>
      <c r="D460" s="72" t="str">
        <f t="shared" si="22"/>
        <v>33-3</v>
      </c>
      <c r="E460" s="72">
        <v>66993</v>
      </c>
      <c r="F460" s="72" t="str">
        <f t="shared" si="23"/>
        <v>33-66993</v>
      </c>
      <c r="G460" s="391" t="s">
        <v>963</v>
      </c>
      <c r="H460" s="331">
        <v>11750.74</v>
      </c>
      <c r="I460" s="331">
        <v>10804.32</v>
      </c>
      <c r="J460" s="331">
        <v>11124.82</v>
      </c>
      <c r="K460" s="331">
        <v>13227.86</v>
      </c>
      <c r="L460" s="491" t="s">
        <v>29</v>
      </c>
      <c r="M460" s="491" t="s">
        <v>29</v>
      </c>
      <c r="N460" s="491" t="s">
        <v>29</v>
      </c>
      <c r="O460" s="491" t="s">
        <v>29</v>
      </c>
      <c r="P460" s="491">
        <v>0</v>
      </c>
      <c r="Q460" s="491">
        <v>0</v>
      </c>
      <c r="R460" s="491">
        <v>0</v>
      </c>
      <c r="S460" s="491">
        <v>0</v>
      </c>
      <c r="T460" s="1025" t="b">
        <v>0</v>
      </c>
      <c r="U460" s="491">
        <v>7.71</v>
      </c>
      <c r="V460" s="491">
        <v>10.58</v>
      </c>
      <c r="W460" s="491">
        <v>6.57</v>
      </c>
      <c r="X460" s="491">
        <v>0.54</v>
      </c>
      <c r="Y460" s="1025" t="b">
        <v>0</v>
      </c>
      <c r="Z460" s="331">
        <v>0</v>
      </c>
      <c r="AA460" s="331">
        <v>0</v>
      </c>
      <c r="AB460" s="331">
        <v>0</v>
      </c>
      <c r="AC460" s="331">
        <v>0</v>
      </c>
      <c r="AD460" s="1025" t="b">
        <v>0</v>
      </c>
      <c r="AE460" s="331">
        <v>0.43</v>
      </c>
      <c r="AF460" s="331">
        <v>0.62</v>
      </c>
      <c r="AG460" s="331">
        <v>0.17</v>
      </c>
      <c r="AH460" s="331">
        <v>0</v>
      </c>
      <c r="AI460" s="1025" t="b">
        <v>0</v>
      </c>
      <c r="AJ460" s="331">
        <v>0</v>
      </c>
      <c r="AK460" s="331">
        <v>0</v>
      </c>
      <c r="AL460" s="331">
        <v>0</v>
      </c>
      <c r="AM460" s="331">
        <v>0</v>
      </c>
      <c r="AN460" s="1025" t="b">
        <v>0</v>
      </c>
      <c r="AO460" s="331">
        <v>0</v>
      </c>
      <c r="AP460" s="331">
        <v>0</v>
      </c>
      <c r="AQ460" s="331">
        <v>0</v>
      </c>
      <c r="AR460" s="331">
        <v>0</v>
      </c>
      <c r="AS460" s="1025" t="b">
        <v>0</v>
      </c>
      <c r="AT460" s="1025" t="b">
        <v>0</v>
      </c>
      <c r="AU460" s="331">
        <v>298783</v>
      </c>
      <c r="AV460" s="491" t="s">
        <v>29</v>
      </c>
    </row>
    <row r="461" spans="1:48">
      <c r="A461" s="72">
        <v>33</v>
      </c>
      <c r="B461" s="391" t="s">
        <v>32</v>
      </c>
      <c r="C461" s="72">
        <f t="shared" si="21"/>
        <v>4</v>
      </c>
      <c r="D461" s="72" t="str">
        <f t="shared" si="22"/>
        <v>33-4</v>
      </c>
      <c r="E461" s="72">
        <v>67033</v>
      </c>
      <c r="F461" s="72" t="str">
        <f t="shared" si="23"/>
        <v>33-67033</v>
      </c>
      <c r="G461" s="391" t="s">
        <v>847</v>
      </c>
      <c r="H461" s="331">
        <v>11771.38</v>
      </c>
      <c r="I461" s="331">
        <v>10823.3</v>
      </c>
      <c r="J461" s="331">
        <v>11144.37</v>
      </c>
      <c r="K461" s="331">
        <v>13251.09</v>
      </c>
      <c r="L461" s="491" t="s">
        <v>29</v>
      </c>
      <c r="M461" s="491" t="s">
        <v>29</v>
      </c>
      <c r="N461" s="491" t="s">
        <v>29</v>
      </c>
      <c r="O461" s="491" t="s">
        <v>29</v>
      </c>
      <c r="P461" s="491">
        <v>0</v>
      </c>
      <c r="Q461" s="491">
        <v>0</v>
      </c>
      <c r="R461" s="491">
        <v>0</v>
      </c>
      <c r="S461" s="491">
        <v>1</v>
      </c>
      <c r="T461" s="1025" t="b">
        <v>0</v>
      </c>
      <c r="U461" s="491">
        <v>0</v>
      </c>
      <c r="V461" s="491">
        <v>0</v>
      </c>
      <c r="W461" s="491">
        <v>0</v>
      </c>
      <c r="X461" s="491">
        <v>0</v>
      </c>
      <c r="Y461" s="1025" t="b">
        <v>0</v>
      </c>
      <c r="Z461" s="331">
        <v>0</v>
      </c>
      <c r="AA461" s="331">
        <v>0</v>
      </c>
      <c r="AB461" s="331">
        <v>0</v>
      </c>
      <c r="AC461" s="331">
        <v>0</v>
      </c>
      <c r="AD461" s="1025" t="b">
        <v>0</v>
      </c>
      <c r="AE461" s="331">
        <v>0</v>
      </c>
      <c r="AF461" s="331">
        <v>0</v>
      </c>
      <c r="AG461" s="331">
        <v>0</v>
      </c>
      <c r="AH461" s="331">
        <v>0</v>
      </c>
      <c r="AI461" s="1025" t="b">
        <v>0</v>
      </c>
      <c r="AJ461" s="331">
        <v>0</v>
      </c>
      <c r="AK461" s="331">
        <v>0</v>
      </c>
      <c r="AL461" s="331">
        <v>0</v>
      </c>
      <c r="AM461" s="331">
        <v>0</v>
      </c>
      <c r="AN461" s="1025" t="b">
        <v>0</v>
      </c>
      <c r="AO461" s="331">
        <v>0</v>
      </c>
      <c r="AP461" s="331">
        <v>0</v>
      </c>
      <c r="AQ461" s="331">
        <v>0</v>
      </c>
      <c r="AR461" s="331">
        <v>0</v>
      </c>
      <c r="AS461" s="1025" t="b">
        <v>0</v>
      </c>
      <c r="AT461" s="1025" t="b">
        <v>0</v>
      </c>
      <c r="AU461" s="331">
        <v>13251</v>
      </c>
      <c r="AV461" s="491" t="s">
        <v>29</v>
      </c>
    </row>
    <row r="462" spans="1:48">
      <c r="A462" s="72">
        <v>33</v>
      </c>
      <c r="B462" s="391" t="s">
        <v>32</v>
      </c>
      <c r="C462" s="72">
        <f t="shared" si="21"/>
        <v>5</v>
      </c>
      <c r="D462" s="72" t="str">
        <f t="shared" si="22"/>
        <v>33-5</v>
      </c>
      <c r="E462" s="72">
        <v>67058</v>
      </c>
      <c r="F462" s="72" t="str">
        <f t="shared" si="23"/>
        <v>33-67058</v>
      </c>
      <c r="G462" s="391" t="s">
        <v>964</v>
      </c>
      <c r="H462" s="331">
        <v>13170.79</v>
      </c>
      <c r="I462" s="331">
        <v>12109.99</v>
      </c>
      <c r="J462" s="331">
        <v>12469.23</v>
      </c>
      <c r="K462" s="331">
        <v>14826.41</v>
      </c>
      <c r="L462" s="491" t="s">
        <v>29</v>
      </c>
      <c r="M462" s="491" t="s">
        <v>29</v>
      </c>
      <c r="N462" s="491" t="s">
        <v>29</v>
      </c>
      <c r="O462" s="491" t="s">
        <v>29</v>
      </c>
      <c r="P462" s="491">
        <v>0</v>
      </c>
      <c r="Q462" s="491">
        <v>0</v>
      </c>
      <c r="R462" s="491">
        <v>0</v>
      </c>
      <c r="S462" s="491">
        <v>3.77</v>
      </c>
      <c r="T462" s="1025" t="b">
        <v>0</v>
      </c>
      <c r="U462" s="491">
        <v>3.65</v>
      </c>
      <c r="V462" s="491">
        <v>1.78</v>
      </c>
      <c r="W462" s="491">
        <v>0</v>
      </c>
      <c r="X462" s="491">
        <v>0</v>
      </c>
      <c r="Y462" s="1025" t="b">
        <v>0</v>
      </c>
      <c r="Z462" s="331">
        <v>0</v>
      </c>
      <c r="AA462" s="331">
        <v>0</v>
      </c>
      <c r="AB462" s="331">
        <v>0</v>
      </c>
      <c r="AC462" s="331">
        <v>0</v>
      </c>
      <c r="AD462" s="1025" t="b">
        <v>0</v>
      </c>
      <c r="AE462" s="331">
        <v>0</v>
      </c>
      <c r="AF462" s="331">
        <v>0</v>
      </c>
      <c r="AG462" s="331">
        <v>0</v>
      </c>
      <c r="AH462" s="331">
        <v>0</v>
      </c>
      <c r="AI462" s="1025" t="b">
        <v>0</v>
      </c>
      <c r="AJ462" s="331">
        <v>0</v>
      </c>
      <c r="AK462" s="331">
        <v>0</v>
      </c>
      <c r="AL462" s="331">
        <v>0</v>
      </c>
      <c r="AM462" s="331">
        <v>0</v>
      </c>
      <c r="AN462" s="1025" t="b">
        <v>0</v>
      </c>
      <c r="AO462" s="331">
        <v>0</v>
      </c>
      <c r="AP462" s="331">
        <v>0</v>
      </c>
      <c r="AQ462" s="331">
        <v>0</v>
      </c>
      <c r="AR462" s="331">
        <v>0</v>
      </c>
      <c r="AS462" s="1025" t="b">
        <v>0</v>
      </c>
      <c r="AT462" s="1025" t="b">
        <v>0</v>
      </c>
      <c r="AU462" s="331">
        <v>125525</v>
      </c>
      <c r="AV462" s="491" t="s">
        <v>29</v>
      </c>
    </row>
    <row r="463" spans="1:48">
      <c r="A463" s="72">
        <v>33</v>
      </c>
      <c r="B463" s="391" t="s">
        <v>32</v>
      </c>
      <c r="C463" s="72">
        <f t="shared" si="21"/>
        <v>6</v>
      </c>
      <c r="D463" s="72" t="str">
        <f t="shared" si="22"/>
        <v>33-6</v>
      </c>
      <c r="E463" s="72">
        <v>67082</v>
      </c>
      <c r="F463" s="72" t="str">
        <f t="shared" si="23"/>
        <v>33-67082</v>
      </c>
      <c r="G463" s="391" t="s">
        <v>965</v>
      </c>
      <c r="H463" s="331">
        <v>14011.98</v>
      </c>
      <c r="I463" s="331">
        <v>12883.43</v>
      </c>
      <c r="J463" s="331">
        <v>13265.62</v>
      </c>
      <c r="K463" s="331">
        <v>15773.35</v>
      </c>
      <c r="L463" s="491" t="s">
        <v>29</v>
      </c>
      <c r="M463" s="491" t="s">
        <v>29</v>
      </c>
      <c r="N463" s="491" t="s">
        <v>29</v>
      </c>
      <c r="O463" s="491" t="s">
        <v>29</v>
      </c>
      <c r="P463" s="491">
        <v>0</v>
      </c>
      <c r="Q463" s="491">
        <v>0</v>
      </c>
      <c r="R463" s="491">
        <v>6.24</v>
      </c>
      <c r="S463" s="491">
        <v>24.04</v>
      </c>
      <c r="T463" s="1025" t="b">
        <v>0</v>
      </c>
      <c r="U463" s="491">
        <v>0.74</v>
      </c>
      <c r="V463" s="491">
        <v>1.17</v>
      </c>
      <c r="W463" s="491">
        <v>0</v>
      </c>
      <c r="X463" s="491">
        <v>0</v>
      </c>
      <c r="Y463" s="1025" t="b">
        <v>0</v>
      </c>
      <c r="Z463" s="331">
        <v>0</v>
      </c>
      <c r="AA463" s="331">
        <v>0</v>
      </c>
      <c r="AB463" s="331">
        <v>0</v>
      </c>
      <c r="AC463" s="331">
        <v>0</v>
      </c>
      <c r="AD463" s="1025" t="b">
        <v>0</v>
      </c>
      <c r="AE463" s="331">
        <v>0</v>
      </c>
      <c r="AF463" s="331">
        <v>0</v>
      </c>
      <c r="AG463" s="331">
        <v>0</v>
      </c>
      <c r="AH463" s="331">
        <v>0</v>
      </c>
      <c r="AI463" s="1025" t="b">
        <v>0</v>
      </c>
      <c r="AJ463" s="331">
        <v>0</v>
      </c>
      <c r="AK463" s="331">
        <v>0</v>
      </c>
      <c r="AL463" s="331">
        <v>0</v>
      </c>
      <c r="AM463" s="331">
        <v>0</v>
      </c>
      <c r="AN463" s="1025" t="b">
        <v>0</v>
      </c>
      <c r="AO463" s="331">
        <v>0</v>
      </c>
      <c r="AP463" s="331">
        <v>0</v>
      </c>
      <c r="AQ463" s="331">
        <v>0</v>
      </c>
      <c r="AR463" s="331">
        <v>0</v>
      </c>
      <c r="AS463" s="1025" t="b">
        <v>0</v>
      </c>
      <c r="AT463" s="1025" t="b">
        <v>0</v>
      </c>
      <c r="AU463" s="331">
        <v>487411</v>
      </c>
      <c r="AV463" s="491" t="s">
        <v>29</v>
      </c>
    </row>
    <row r="464" spans="1:48">
      <c r="A464" s="72">
        <v>33</v>
      </c>
      <c r="B464" s="391" t="s">
        <v>32</v>
      </c>
      <c r="C464" s="72">
        <f t="shared" si="21"/>
        <v>7</v>
      </c>
      <c r="D464" s="72" t="str">
        <f t="shared" si="22"/>
        <v>33-7</v>
      </c>
      <c r="E464" s="72">
        <v>67090</v>
      </c>
      <c r="F464" s="72" t="str">
        <f t="shared" si="23"/>
        <v>33-67090</v>
      </c>
      <c r="G464" s="391" t="s">
        <v>966</v>
      </c>
      <c r="H464" s="331">
        <v>13498.49</v>
      </c>
      <c r="I464" s="331">
        <v>12411.3</v>
      </c>
      <c r="J464" s="331">
        <v>12779.48</v>
      </c>
      <c r="K464" s="331">
        <v>15195.31</v>
      </c>
      <c r="L464" s="491" t="s">
        <v>29</v>
      </c>
      <c r="M464" s="491" t="s">
        <v>29</v>
      </c>
      <c r="N464" s="491" t="s">
        <v>29</v>
      </c>
      <c r="O464" s="491" t="s">
        <v>29</v>
      </c>
      <c r="P464" s="491">
        <v>0</v>
      </c>
      <c r="Q464" s="491">
        <v>0</v>
      </c>
      <c r="R464" s="491">
        <v>1.07</v>
      </c>
      <c r="S464" s="491">
        <v>14.39</v>
      </c>
      <c r="T464" s="1025" t="b">
        <v>0</v>
      </c>
      <c r="U464" s="491">
        <v>16.39</v>
      </c>
      <c r="V464" s="491">
        <v>8.84</v>
      </c>
      <c r="W464" s="491">
        <v>8.91</v>
      </c>
      <c r="X464" s="491">
        <v>33.229999999999997</v>
      </c>
      <c r="Y464" s="1025" t="b">
        <v>0</v>
      </c>
      <c r="Z464" s="331">
        <v>0</v>
      </c>
      <c r="AA464" s="331">
        <v>0</v>
      </c>
      <c r="AB464" s="331">
        <v>0</v>
      </c>
      <c r="AC464" s="331">
        <v>0</v>
      </c>
      <c r="AD464" s="1025" t="b">
        <v>0</v>
      </c>
      <c r="AE464" s="331">
        <v>1.24</v>
      </c>
      <c r="AF464" s="331">
        <v>0.7</v>
      </c>
      <c r="AG464" s="331">
        <v>0.49</v>
      </c>
      <c r="AH464" s="331">
        <v>2.11</v>
      </c>
      <c r="AI464" s="1025" t="b">
        <v>0</v>
      </c>
      <c r="AJ464" s="331">
        <v>0</v>
      </c>
      <c r="AK464" s="331">
        <v>0</v>
      </c>
      <c r="AL464" s="331">
        <v>0</v>
      </c>
      <c r="AM464" s="331">
        <v>0</v>
      </c>
      <c r="AN464" s="1025" t="b">
        <v>0</v>
      </c>
      <c r="AO464" s="331">
        <v>0</v>
      </c>
      <c r="AP464" s="331">
        <v>0</v>
      </c>
      <c r="AQ464" s="331">
        <v>0</v>
      </c>
      <c r="AR464" s="331">
        <v>0</v>
      </c>
      <c r="AS464" s="1025" t="b">
        <v>0</v>
      </c>
      <c r="AT464" s="1025" t="b">
        <v>0</v>
      </c>
      <c r="AU464" s="331">
        <v>1245846</v>
      </c>
      <c r="AV464" s="491" t="s">
        <v>29</v>
      </c>
    </row>
    <row r="465" spans="1:48">
      <c r="A465" s="72">
        <v>33</v>
      </c>
      <c r="B465" s="391" t="s">
        <v>32</v>
      </c>
      <c r="C465" s="72">
        <f t="shared" si="21"/>
        <v>8</v>
      </c>
      <c r="D465" s="72" t="str">
        <f t="shared" si="22"/>
        <v>33-8</v>
      </c>
      <c r="E465" s="72">
        <v>67116</v>
      </c>
      <c r="F465" s="72" t="str">
        <f t="shared" si="23"/>
        <v>33-67116</v>
      </c>
      <c r="G465" s="391" t="s">
        <v>995</v>
      </c>
      <c r="H465" s="491">
        <v>11521.09</v>
      </c>
      <c r="I465" s="491">
        <v>10593.16</v>
      </c>
      <c r="J465" s="491">
        <v>10907.4</v>
      </c>
      <c r="K465" s="491">
        <v>12969.34</v>
      </c>
      <c r="L465" s="491" t="s">
        <v>29</v>
      </c>
      <c r="M465" s="491" t="s">
        <v>29</v>
      </c>
      <c r="N465" s="491" t="s">
        <v>29</v>
      </c>
      <c r="O465" s="491" t="s">
        <v>29</v>
      </c>
      <c r="P465" s="491">
        <v>0</v>
      </c>
      <c r="Q465" s="491">
        <v>0</v>
      </c>
      <c r="R465" s="491">
        <v>0</v>
      </c>
      <c r="S465" s="491">
        <v>0</v>
      </c>
      <c r="T465" s="1025" t="b">
        <v>0</v>
      </c>
      <c r="U465" s="491">
        <v>6.66</v>
      </c>
      <c r="V465" s="491">
        <v>1.74</v>
      </c>
      <c r="W465" s="491">
        <v>4.26</v>
      </c>
      <c r="X465" s="491">
        <v>0</v>
      </c>
      <c r="Y465" s="1025" t="b">
        <v>0</v>
      </c>
      <c r="Z465" s="491">
        <v>0</v>
      </c>
      <c r="AA465" s="491">
        <v>0</v>
      </c>
      <c r="AB465" s="491">
        <v>0</v>
      </c>
      <c r="AC465" s="491">
        <v>0</v>
      </c>
      <c r="AD465" s="1025" t="b">
        <v>0</v>
      </c>
      <c r="AE465" s="491">
        <v>0.06</v>
      </c>
      <c r="AF465" s="491">
        <v>0.03</v>
      </c>
      <c r="AG465" s="491">
        <v>0.67</v>
      </c>
      <c r="AH465" s="491">
        <v>0</v>
      </c>
      <c r="AI465" s="1025" t="b">
        <v>0</v>
      </c>
      <c r="AJ465" s="491">
        <v>0</v>
      </c>
      <c r="AK465" s="491">
        <v>0</v>
      </c>
      <c r="AL465" s="491">
        <v>0</v>
      </c>
      <c r="AM465" s="491">
        <v>0</v>
      </c>
      <c r="AN465" s="1025" t="b">
        <v>0</v>
      </c>
      <c r="AO465" s="491">
        <v>0</v>
      </c>
      <c r="AP465" s="491">
        <v>0</v>
      </c>
      <c r="AQ465" s="491">
        <v>0</v>
      </c>
      <c r="AR465" s="491">
        <v>0</v>
      </c>
      <c r="AS465" s="1025" t="b">
        <v>0</v>
      </c>
      <c r="AT465" s="1025" t="b">
        <v>0</v>
      </c>
      <c r="AU465" s="491">
        <v>149945</v>
      </c>
      <c r="AV465" s="491" t="s">
        <v>29</v>
      </c>
    </row>
    <row r="466" spans="1:48" s="19" customFormat="1">
      <c r="A466" s="72">
        <v>33</v>
      </c>
      <c r="B466" s="391" t="s">
        <v>32</v>
      </c>
      <c r="C466" s="72">
        <f t="shared" si="21"/>
        <v>9</v>
      </c>
      <c r="D466" s="72" t="str">
        <f t="shared" si="22"/>
        <v>33-9</v>
      </c>
      <c r="E466" s="72">
        <v>67124</v>
      </c>
      <c r="F466" s="72" t="str">
        <f t="shared" si="23"/>
        <v>33-67124</v>
      </c>
      <c r="G466" s="391" t="s">
        <v>967</v>
      </c>
      <c r="H466" s="331">
        <v>13367.76</v>
      </c>
      <c r="I466" s="331">
        <v>12291.1</v>
      </c>
      <c r="J466" s="331">
        <v>12655.71</v>
      </c>
      <c r="K466" s="331">
        <v>15048.14</v>
      </c>
      <c r="L466" s="491" t="s">
        <v>29</v>
      </c>
      <c r="M466" s="491" t="s">
        <v>29</v>
      </c>
      <c r="N466" s="491" t="s">
        <v>29</v>
      </c>
      <c r="O466" s="491" t="s">
        <v>29</v>
      </c>
      <c r="P466" s="491">
        <v>0</v>
      </c>
      <c r="Q466" s="491">
        <v>0</v>
      </c>
      <c r="R466" s="491">
        <v>0</v>
      </c>
      <c r="S466" s="491">
        <v>1.1100000000000001</v>
      </c>
      <c r="T466" s="1025" t="b">
        <v>0</v>
      </c>
      <c r="U466" s="491">
        <v>1.6</v>
      </c>
      <c r="V466" s="491">
        <v>0</v>
      </c>
      <c r="W466" s="491">
        <v>0</v>
      </c>
      <c r="X466" s="491">
        <v>1.88</v>
      </c>
      <c r="Y466" s="1025" t="b">
        <v>0</v>
      </c>
      <c r="Z466" s="331">
        <v>0</v>
      </c>
      <c r="AA466" s="331">
        <v>0</v>
      </c>
      <c r="AB466" s="331">
        <v>0</v>
      </c>
      <c r="AC466" s="331">
        <v>0</v>
      </c>
      <c r="AD466" s="1025" t="b">
        <v>0</v>
      </c>
      <c r="AE466" s="331">
        <v>0.05</v>
      </c>
      <c r="AF466" s="331">
        <v>0.18</v>
      </c>
      <c r="AG466" s="331">
        <v>0</v>
      </c>
      <c r="AH466" s="331">
        <v>0</v>
      </c>
      <c r="AI466" s="1025" t="b">
        <v>0</v>
      </c>
      <c r="AJ466" s="331">
        <v>0</v>
      </c>
      <c r="AK466" s="331">
        <v>0</v>
      </c>
      <c r="AL466" s="331">
        <v>0</v>
      </c>
      <c r="AM466" s="331">
        <v>0</v>
      </c>
      <c r="AN466" s="1025" t="b">
        <v>0</v>
      </c>
      <c r="AO466" s="331">
        <v>0</v>
      </c>
      <c r="AP466" s="331">
        <v>0</v>
      </c>
      <c r="AQ466" s="331">
        <v>0</v>
      </c>
      <c r="AR466" s="331">
        <v>0</v>
      </c>
      <c r="AS466" s="1025" t="b">
        <v>0</v>
      </c>
      <c r="AT466" s="1025" t="b">
        <v>0</v>
      </c>
      <c r="AU466" s="331">
        <v>69263</v>
      </c>
      <c r="AV466" s="491" t="s">
        <v>29</v>
      </c>
    </row>
    <row r="467" spans="1:48" s="19" customFormat="1">
      <c r="A467" s="72">
        <v>33</v>
      </c>
      <c r="B467" s="391" t="s">
        <v>32</v>
      </c>
      <c r="C467" s="72">
        <f t="shared" si="21"/>
        <v>10</v>
      </c>
      <c r="D467" s="72" t="str">
        <f t="shared" si="22"/>
        <v>33-10</v>
      </c>
      <c r="E467" s="72">
        <v>67157</v>
      </c>
      <c r="F467" s="72" t="str">
        <f t="shared" si="23"/>
        <v>33-67157</v>
      </c>
      <c r="G467" s="391" t="s">
        <v>996</v>
      </c>
      <c r="H467" s="331">
        <v>13729.86</v>
      </c>
      <c r="I467" s="331">
        <v>12624.04</v>
      </c>
      <c r="J467" s="331">
        <v>12998.53</v>
      </c>
      <c r="K467" s="331">
        <v>15455.76</v>
      </c>
      <c r="L467" s="491" t="s">
        <v>29</v>
      </c>
      <c r="M467" s="491" t="s">
        <v>29</v>
      </c>
      <c r="N467" s="491" t="s">
        <v>29</v>
      </c>
      <c r="O467" s="491" t="s">
        <v>29</v>
      </c>
      <c r="P467" s="491">
        <v>0</v>
      </c>
      <c r="Q467" s="491">
        <v>0</v>
      </c>
      <c r="R467" s="491">
        <v>0</v>
      </c>
      <c r="S467" s="491">
        <v>0</v>
      </c>
      <c r="T467" s="1025" t="b">
        <v>0</v>
      </c>
      <c r="U467" s="491">
        <v>4.0999999999999996</v>
      </c>
      <c r="V467" s="491">
        <v>2.92</v>
      </c>
      <c r="W467" s="491">
        <v>3.51</v>
      </c>
      <c r="X467" s="491">
        <v>0</v>
      </c>
      <c r="Y467" s="1025" t="b">
        <v>0</v>
      </c>
      <c r="Z467" s="331">
        <v>0</v>
      </c>
      <c r="AA467" s="331">
        <v>0</v>
      </c>
      <c r="AB467" s="331">
        <v>0</v>
      </c>
      <c r="AC467" s="331">
        <v>0</v>
      </c>
      <c r="AD467" s="1025" t="b">
        <v>0</v>
      </c>
      <c r="AE467" s="331">
        <v>0</v>
      </c>
      <c r="AF467" s="331">
        <v>0.17</v>
      </c>
      <c r="AG467" s="331">
        <v>0.18</v>
      </c>
      <c r="AH467" s="331">
        <v>0</v>
      </c>
      <c r="AI467" s="1025" t="b">
        <v>0</v>
      </c>
      <c r="AJ467" s="331">
        <v>0</v>
      </c>
      <c r="AK467" s="331">
        <v>0</v>
      </c>
      <c r="AL467" s="331">
        <v>0</v>
      </c>
      <c r="AM467" s="331">
        <v>0</v>
      </c>
      <c r="AN467" s="1025" t="b">
        <v>0</v>
      </c>
      <c r="AO467" s="331">
        <v>0</v>
      </c>
      <c r="AP467" s="331">
        <v>0</v>
      </c>
      <c r="AQ467" s="331">
        <v>0</v>
      </c>
      <c r="AR467" s="331">
        <v>0</v>
      </c>
      <c r="AS467" s="1025" t="b">
        <v>0</v>
      </c>
      <c r="AT467" s="1025" t="b">
        <v>0</v>
      </c>
      <c r="AU467" s="331">
        <v>143265</v>
      </c>
      <c r="AV467" s="491" t="s">
        <v>29</v>
      </c>
    </row>
    <row r="468" spans="1:48" s="19" customFormat="1">
      <c r="A468" s="72">
        <v>33</v>
      </c>
      <c r="B468" s="391" t="s">
        <v>32</v>
      </c>
      <c r="C468" s="72">
        <f t="shared" si="21"/>
        <v>11</v>
      </c>
      <c r="D468" s="72" t="str">
        <f t="shared" si="22"/>
        <v>33-11</v>
      </c>
      <c r="E468" s="72">
        <v>67173</v>
      </c>
      <c r="F468" s="72" t="str">
        <f t="shared" si="23"/>
        <v>33-67173</v>
      </c>
      <c r="G468" s="391" t="s">
        <v>997</v>
      </c>
      <c r="H468" s="331">
        <v>14878.98</v>
      </c>
      <c r="I468" s="331">
        <v>13680.6</v>
      </c>
      <c r="J468" s="331">
        <v>14086.43</v>
      </c>
      <c r="K468" s="331">
        <v>16749.330000000002</v>
      </c>
      <c r="L468" s="491" t="s">
        <v>29</v>
      </c>
      <c r="M468" s="491" t="s">
        <v>29</v>
      </c>
      <c r="N468" s="491" t="s">
        <v>29</v>
      </c>
      <c r="O468" s="491" t="s">
        <v>29</v>
      </c>
      <c r="P468" s="491">
        <v>0</v>
      </c>
      <c r="Q468" s="491">
        <v>0.34</v>
      </c>
      <c r="R468" s="491">
        <v>2.5299999999999998</v>
      </c>
      <c r="S468" s="491">
        <v>5.4</v>
      </c>
      <c r="T468" s="1025" t="b">
        <v>0</v>
      </c>
      <c r="U468" s="491">
        <v>3.77</v>
      </c>
      <c r="V468" s="491">
        <v>0.68</v>
      </c>
      <c r="W468" s="491">
        <v>0</v>
      </c>
      <c r="X468" s="491">
        <v>0</v>
      </c>
      <c r="Y468" s="1025" t="b">
        <v>0</v>
      </c>
      <c r="Z468" s="331">
        <v>0</v>
      </c>
      <c r="AA468" s="331">
        <v>0</v>
      </c>
      <c r="AB468" s="331">
        <v>0</v>
      </c>
      <c r="AC468" s="331">
        <v>0</v>
      </c>
      <c r="AD468" s="1025" t="b">
        <v>0</v>
      </c>
      <c r="AE468" s="331">
        <v>0</v>
      </c>
      <c r="AF468" s="331">
        <v>0</v>
      </c>
      <c r="AG468" s="331">
        <v>0</v>
      </c>
      <c r="AH468" s="331">
        <v>0</v>
      </c>
      <c r="AI468" s="1025" t="b">
        <v>0</v>
      </c>
      <c r="AJ468" s="331">
        <v>0</v>
      </c>
      <c r="AK468" s="331">
        <v>0</v>
      </c>
      <c r="AL468" s="331">
        <v>0</v>
      </c>
      <c r="AM468" s="331">
        <v>0</v>
      </c>
      <c r="AN468" s="1025" t="b">
        <v>0</v>
      </c>
      <c r="AO468" s="331">
        <v>0</v>
      </c>
      <c r="AP468" s="331">
        <v>0</v>
      </c>
      <c r="AQ468" s="331">
        <v>0</v>
      </c>
      <c r="AR468" s="331">
        <v>0</v>
      </c>
      <c r="AS468" s="1025" t="b">
        <v>0</v>
      </c>
      <c r="AT468" s="1025" t="b">
        <v>0</v>
      </c>
      <c r="AU468" s="331">
        <v>196133</v>
      </c>
      <c r="AV468" s="491" t="s">
        <v>29</v>
      </c>
    </row>
    <row r="469" spans="1:48" s="19" customFormat="1">
      <c r="A469" s="72">
        <v>33</v>
      </c>
      <c r="B469" s="391" t="s">
        <v>32</v>
      </c>
      <c r="C469" s="72">
        <f t="shared" si="21"/>
        <v>12</v>
      </c>
      <c r="D469" s="72" t="str">
        <f t="shared" si="22"/>
        <v>33-12</v>
      </c>
      <c r="E469" s="72">
        <v>67181</v>
      </c>
      <c r="F469" s="72" t="str">
        <f t="shared" si="23"/>
        <v>33-67181</v>
      </c>
      <c r="G469" s="391" t="s">
        <v>998</v>
      </c>
      <c r="H469" s="331">
        <v>13117.46</v>
      </c>
      <c r="I469" s="331">
        <v>12060.96</v>
      </c>
      <c r="J469" s="331">
        <v>12418.75</v>
      </c>
      <c r="K469" s="331">
        <v>14766.38</v>
      </c>
      <c r="L469" s="491" t="s">
        <v>29</v>
      </c>
      <c r="M469" s="491" t="s">
        <v>29</v>
      </c>
      <c r="N469" s="491" t="s">
        <v>29</v>
      </c>
      <c r="O469" s="491" t="s">
        <v>29</v>
      </c>
      <c r="P469" s="491">
        <v>0</v>
      </c>
      <c r="Q469" s="491">
        <v>0</v>
      </c>
      <c r="R469" s="491">
        <v>0.34</v>
      </c>
      <c r="S469" s="491">
        <v>3.29</v>
      </c>
      <c r="T469" s="1025" t="b">
        <v>0</v>
      </c>
      <c r="U469" s="491">
        <v>0</v>
      </c>
      <c r="V469" s="491">
        <v>0</v>
      </c>
      <c r="W469" s="491">
        <v>0</v>
      </c>
      <c r="X469" s="491">
        <v>0</v>
      </c>
      <c r="Y469" s="1025" t="b">
        <v>0</v>
      </c>
      <c r="Z469" s="331">
        <v>0</v>
      </c>
      <c r="AA469" s="331">
        <v>0</v>
      </c>
      <c r="AB469" s="331">
        <v>0</v>
      </c>
      <c r="AC469" s="331">
        <v>0</v>
      </c>
      <c r="AD469" s="1025" t="b">
        <v>0</v>
      </c>
      <c r="AE469" s="331">
        <v>0</v>
      </c>
      <c r="AF469" s="331">
        <v>0</v>
      </c>
      <c r="AG469" s="331">
        <v>0</v>
      </c>
      <c r="AH469" s="331">
        <v>0</v>
      </c>
      <c r="AI469" s="1025" t="b">
        <v>0</v>
      </c>
      <c r="AJ469" s="331">
        <v>0</v>
      </c>
      <c r="AK469" s="331">
        <v>0</v>
      </c>
      <c r="AL469" s="331">
        <v>0</v>
      </c>
      <c r="AM469" s="331">
        <v>0</v>
      </c>
      <c r="AN469" s="1025" t="b">
        <v>0</v>
      </c>
      <c r="AO469" s="331">
        <v>0</v>
      </c>
      <c r="AP469" s="331">
        <v>0</v>
      </c>
      <c r="AQ469" s="331">
        <v>0</v>
      </c>
      <c r="AR469" s="331">
        <v>0</v>
      </c>
      <c r="AS469" s="1025" t="b">
        <v>0</v>
      </c>
      <c r="AT469" s="1025" t="b">
        <v>0</v>
      </c>
      <c r="AU469" s="331">
        <v>52803</v>
      </c>
      <c r="AV469" s="491" t="s">
        <v>29</v>
      </c>
    </row>
    <row r="470" spans="1:48" s="19" customFormat="1">
      <c r="A470" s="72">
        <v>33</v>
      </c>
      <c r="B470" s="391" t="s">
        <v>32</v>
      </c>
      <c r="C470" s="72">
        <f t="shared" si="21"/>
        <v>13</v>
      </c>
      <c r="D470" s="72" t="str">
        <f t="shared" si="22"/>
        <v>33-13</v>
      </c>
      <c r="E470" s="72">
        <v>67199</v>
      </c>
      <c r="F470" s="72" t="str">
        <f t="shared" si="23"/>
        <v>33-67199</v>
      </c>
      <c r="G470" s="391" t="s">
        <v>999</v>
      </c>
      <c r="H470" s="331">
        <v>14406.77</v>
      </c>
      <c r="I470" s="331">
        <v>13246.43</v>
      </c>
      <c r="J470" s="331">
        <v>13639.38</v>
      </c>
      <c r="K470" s="331">
        <v>16217.77</v>
      </c>
      <c r="L470" s="491" t="s">
        <v>29</v>
      </c>
      <c r="M470" s="491" t="s">
        <v>29</v>
      </c>
      <c r="N470" s="491" t="s">
        <v>29</v>
      </c>
      <c r="O470" s="491" t="s">
        <v>29</v>
      </c>
      <c r="P470" s="491">
        <v>0</v>
      </c>
      <c r="Q470" s="491">
        <v>0</v>
      </c>
      <c r="R470" s="491">
        <v>0</v>
      </c>
      <c r="S470" s="491">
        <v>0</v>
      </c>
      <c r="T470" s="1025" t="b">
        <v>0</v>
      </c>
      <c r="U470" s="491">
        <v>43.81</v>
      </c>
      <c r="V470" s="491">
        <v>17.82</v>
      </c>
      <c r="W470" s="491">
        <v>0</v>
      </c>
      <c r="X470" s="491">
        <v>0</v>
      </c>
      <c r="Y470" s="1025" t="b">
        <v>0</v>
      </c>
      <c r="Z470" s="331">
        <v>0</v>
      </c>
      <c r="AA470" s="331">
        <v>0</v>
      </c>
      <c r="AB470" s="331">
        <v>0</v>
      </c>
      <c r="AC470" s="331">
        <v>0</v>
      </c>
      <c r="AD470" s="1025" t="b">
        <v>0</v>
      </c>
      <c r="AE470" s="331">
        <v>0.74</v>
      </c>
      <c r="AF470" s="331">
        <v>0.57999999999999996</v>
      </c>
      <c r="AG470" s="331">
        <v>0</v>
      </c>
      <c r="AH470" s="331">
        <v>0</v>
      </c>
      <c r="AI470" s="1025" t="b">
        <v>0</v>
      </c>
      <c r="AJ470" s="331">
        <v>0</v>
      </c>
      <c r="AK470" s="331">
        <v>0</v>
      </c>
      <c r="AL470" s="331">
        <v>0</v>
      </c>
      <c r="AM470" s="331">
        <v>0</v>
      </c>
      <c r="AN470" s="1025" t="b">
        <v>0</v>
      </c>
      <c r="AO470" s="331">
        <v>0</v>
      </c>
      <c r="AP470" s="331">
        <v>0</v>
      </c>
      <c r="AQ470" s="331">
        <v>0</v>
      </c>
      <c r="AR470" s="331">
        <v>0</v>
      </c>
      <c r="AS470" s="1025" t="b">
        <v>0</v>
      </c>
      <c r="AT470" s="1025" t="b">
        <v>0</v>
      </c>
      <c r="AU470" s="331">
        <v>885556</v>
      </c>
      <c r="AV470" s="491" t="s">
        <v>29</v>
      </c>
    </row>
    <row r="471" spans="1:48" s="19" customFormat="1">
      <c r="A471" s="72">
        <v>33</v>
      </c>
      <c r="B471" s="391" t="s">
        <v>32</v>
      </c>
      <c r="C471" s="72">
        <f t="shared" si="21"/>
        <v>14</v>
      </c>
      <c r="D471" s="72" t="str">
        <f t="shared" si="22"/>
        <v>33-14</v>
      </c>
      <c r="E471" s="72">
        <v>67207</v>
      </c>
      <c r="F471" s="72" t="str">
        <f t="shared" si="23"/>
        <v>33-67207</v>
      </c>
      <c r="G471" s="391" t="s">
        <v>1000</v>
      </c>
      <c r="H471" s="331">
        <v>12651.28</v>
      </c>
      <c r="I471" s="331">
        <v>11632.33</v>
      </c>
      <c r="J471" s="331">
        <v>11977.4</v>
      </c>
      <c r="K471" s="331">
        <v>14241.6</v>
      </c>
      <c r="L471" s="491" t="s">
        <v>29</v>
      </c>
      <c r="M471" s="491" t="s">
        <v>29</v>
      </c>
      <c r="N471" s="491" t="s">
        <v>29</v>
      </c>
      <c r="O471" s="491" t="s">
        <v>29</v>
      </c>
      <c r="P471" s="491">
        <v>0</v>
      </c>
      <c r="Q471" s="491">
        <v>0</v>
      </c>
      <c r="R471" s="491">
        <v>0.13</v>
      </c>
      <c r="S471" s="491">
        <v>21.09</v>
      </c>
      <c r="T471" s="1025" t="b">
        <v>0</v>
      </c>
      <c r="U471" s="491">
        <v>0</v>
      </c>
      <c r="V471" s="491">
        <v>0</v>
      </c>
      <c r="W471" s="491">
        <v>4.67</v>
      </c>
      <c r="X471" s="491">
        <v>33.97</v>
      </c>
      <c r="Y471" s="1025" t="b">
        <v>0</v>
      </c>
      <c r="Z471" s="331">
        <v>0</v>
      </c>
      <c r="AA471" s="331">
        <v>0</v>
      </c>
      <c r="AB471" s="331">
        <v>0</v>
      </c>
      <c r="AC471" s="331">
        <v>0</v>
      </c>
      <c r="AD471" s="1025" t="b">
        <v>0</v>
      </c>
      <c r="AE471" s="331">
        <v>0</v>
      </c>
      <c r="AF471" s="331">
        <v>0</v>
      </c>
      <c r="AG471" s="331">
        <v>0.27</v>
      </c>
      <c r="AH471" s="331">
        <v>1.83</v>
      </c>
      <c r="AI471" s="1025" t="b">
        <v>0</v>
      </c>
      <c r="AJ471" s="331">
        <v>0</v>
      </c>
      <c r="AK471" s="331">
        <v>0</v>
      </c>
      <c r="AL471" s="331">
        <v>0</v>
      </c>
      <c r="AM471" s="331">
        <v>0</v>
      </c>
      <c r="AN471" s="1025" t="b">
        <v>0</v>
      </c>
      <c r="AO471" s="331">
        <v>0</v>
      </c>
      <c r="AP471" s="331">
        <v>0</v>
      </c>
      <c r="AQ471" s="331">
        <v>0</v>
      </c>
      <c r="AR471" s="331">
        <v>0</v>
      </c>
      <c r="AS471" s="1025" t="b">
        <v>0</v>
      </c>
      <c r="AT471" s="1025" t="b">
        <v>0</v>
      </c>
      <c r="AU471" s="331">
        <v>870930</v>
      </c>
      <c r="AV471" s="491" t="s">
        <v>29</v>
      </c>
    </row>
    <row r="472" spans="1:48" s="19" customFormat="1">
      <c r="A472" s="72">
        <v>33</v>
      </c>
      <c r="B472" s="391" t="s">
        <v>32</v>
      </c>
      <c r="C472" s="72">
        <f t="shared" si="21"/>
        <v>15</v>
      </c>
      <c r="D472" s="72" t="str">
        <f t="shared" si="22"/>
        <v>33-15</v>
      </c>
      <c r="E472" s="72">
        <v>67215</v>
      </c>
      <c r="F472" s="72" t="str">
        <f t="shared" si="23"/>
        <v>33-67215</v>
      </c>
      <c r="G472" s="391" t="s">
        <v>848</v>
      </c>
      <c r="H472" s="331">
        <v>12853.41</v>
      </c>
      <c r="I472" s="331">
        <v>11818.17</v>
      </c>
      <c r="J472" s="331">
        <v>12168.76</v>
      </c>
      <c r="K472" s="331">
        <v>14469.13</v>
      </c>
      <c r="L472" s="491" t="s">
        <v>29</v>
      </c>
      <c r="M472" s="491" t="s">
        <v>29</v>
      </c>
      <c r="N472" s="491" t="s">
        <v>29</v>
      </c>
      <c r="O472" s="491" t="s">
        <v>29</v>
      </c>
      <c r="P472" s="491">
        <v>0</v>
      </c>
      <c r="Q472" s="491">
        <v>0</v>
      </c>
      <c r="R472" s="491">
        <v>0.71</v>
      </c>
      <c r="S472" s="491">
        <v>4.3600000000000003</v>
      </c>
      <c r="T472" s="1025" t="b">
        <v>0</v>
      </c>
      <c r="U472" s="491">
        <v>1.63</v>
      </c>
      <c r="V472" s="491">
        <v>2.94</v>
      </c>
      <c r="W472" s="491">
        <v>0</v>
      </c>
      <c r="X472" s="491">
        <v>0.36</v>
      </c>
      <c r="Y472" s="1025" t="b">
        <v>0</v>
      </c>
      <c r="Z472" s="331">
        <v>0</v>
      </c>
      <c r="AA472" s="331">
        <v>0</v>
      </c>
      <c r="AB472" s="331">
        <v>0</v>
      </c>
      <c r="AC472" s="331">
        <v>0</v>
      </c>
      <c r="AD472" s="1025" t="b">
        <v>0</v>
      </c>
      <c r="AE472" s="331">
        <v>0.26</v>
      </c>
      <c r="AF472" s="331">
        <v>0.06</v>
      </c>
      <c r="AG472" s="331">
        <v>0</v>
      </c>
      <c r="AH472" s="331">
        <v>0</v>
      </c>
      <c r="AI472" s="1025" t="b">
        <v>0</v>
      </c>
      <c r="AJ472" s="331">
        <v>0</v>
      </c>
      <c r="AK472" s="331">
        <v>0</v>
      </c>
      <c r="AL472" s="331">
        <v>0</v>
      </c>
      <c r="AM472" s="331">
        <v>0</v>
      </c>
      <c r="AN472" s="1025" t="b">
        <v>0</v>
      </c>
      <c r="AO472" s="331">
        <v>0</v>
      </c>
      <c r="AP472" s="331">
        <v>0</v>
      </c>
      <c r="AQ472" s="331">
        <v>0</v>
      </c>
      <c r="AR472" s="331">
        <v>0</v>
      </c>
      <c r="AS472" s="1025" t="b">
        <v>0</v>
      </c>
      <c r="AT472" s="1025" t="b">
        <v>0</v>
      </c>
      <c r="AU472" s="331">
        <v>136682</v>
      </c>
      <c r="AV472" s="491" t="s">
        <v>29</v>
      </c>
    </row>
    <row r="473" spans="1:48" s="19" customFormat="1">
      <c r="A473" s="72">
        <v>33</v>
      </c>
      <c r="B473" s="391" t="s">
        <v>32</v>
      </c>
      <c r="C473" s="72">
        <f t="shared" si="21"/>
        <v>16</v>
      </c>
      <c r="D473" s="72" t="str">
        <f t="shared" si="22"/>
        <v>33-16</v>
      </c>
      <c r="E473" s="72">
        <v>67231</v>
      </c>
      <c r="F473" s="72" t="str">
        <f t="shared" si="23"/>
        <v>33-67231</v>
      </c>
      <c r="G473" s="391" t="s">
        <v>1001</v>
      </c>
      <c r="H473" s="331">
        <v>12653</v>
      </c>
      <c r="I473" s="331">
        <v>11633.91</v>
      </c>
      <c r="J473" s="331">
        <v>11979.02</v>
      </c>
      <c r="K473" s="331">
        <v>14243.53</v>
      </c>
      <c r="L473" s="491" t="s">
        <v>29</v>
      </c>
      <c r="M473" s="491" t="s">
        <v>29</v>
      </c>
      <c r="N473" s="491" t="s">
        <v>29</v>
      </c>
      <c r="O473" s="491" t="s">
        <v>29</v>
      </c>
      <c r="P473" s="491">
        <v>0</v>
      </c>
      <c r="Q473" s="491">
        <v>0.7</v>
      </c>
      <c r="R473" s="491">
        <v>0.84</v>
      </c>
      <c r="S473" s="491">
        <v>0</v>
      </c>
      <c r="T473" s="1025" t="b">
        <v>0</v>
      </c>
      <c r="U473" s="491">
        <v>5.15</v>
      </c>
      <c r="V473" s="491">
        <v>4.93</v>
      </c>
      <c r="W473" s="491">
        <v>6.37</v>
      </c>
      <c r="X473" s="491">
        <v>0</v>
      </c>
      <c r="Y473" s="1025" t="b">
        <v>0</v>
      </c>
      <c r="Z473" s="331">
        <v>0</v>
      </c>
      <c r="AA473" s="331">
        <v>0</v>
      </c>
      <c r="AB473" s="331">
        <v>0</v>
      </c>
      <c r="AC473" s="331">
        <v>0</v>
      </c>
      <c r="AD473" s="1025" t="b">
        <v>0</v>
      </c>
      <c r="AE473" s="331">
        <v>0.18</v>
      </c>
      <c r="AF473" s="331">
        <v>0.13</v>
      </c>
      <c r="AG473" s="331">
        <v>0.37</v>
      </c>
      <c r="AH473" s="331">
        <v>0</v>
      </c>
      <c r="AI473" s="1025" t="b">
        <v>0</v>
      </c>
      <c r="AJ473" s="331">
        <v>0</v>
      </c>
      <c r="AK473" s="331">
        <v>0</v>
      </c>
      <c r="AL473" s="331">
        <v>0</v>
      </c>
      <c r="AM473" s="331">
        <v>0</v>
      </c>
      <c r="AN473" s="1025" t="b">
        <v>0</v>
      </c>
      <c r="AO473" s="331">
        <v>0</v>
      </c>
      <c r="AP473" s="331">
        <v>0</v>
      </c>
      <c r="AQ473" s="331">
        <v>0</v>
      </c>
      <c r="AR473" s="331">
        <v>0</v>
      </c>
      <c r="AS473" s="1025" t="b">
        <v>0</v>
      </c>
      <c r="AT473" s="1025" t="b">
        <v>0</v>
      </c>
      <c r="AU473" s="331">
        <v>225252</v>
      </c>
      <c r="AV473" s="491" t="s">
        <v>29</v>
      </c>
    </row>
    <row r="474" spans="1:48" s="19" customFormat="1">
      <c r="A474" s="72">
        <v>33</v>
      </c>
      <c r="B474" s="391" t="s">
        <v>32</v>
      </c>
      <c r="C474" s="72">
        <f t="shared" si="21"/>
        <v>17</v>
      </c>
      <c r="D474" s="72" t="str">
        <f t="shared" si="22"/>
        <v>33-17</v>
      </c>
      <c r="E474" s="72">
        <v>67249</v>
      </c>
      <c r="F474" s="72" t="str">
        <f t="shared" si="23"/>
        <v>33-67249</v>
      </c>
      <c r="G474" s="391" t="s">
        <v>968</v>
      </c>
      <c r="H474" s="331">
        <v>14043.81</v>
      </c>
      <c r="I474" s="331">
        <v>12912.7</v>
      </c>
      <c r="J474" s="331">
        <v>13295.75</v>
      </c>
      <c r="K474" s="331">
        <v>15809.17</v>
      </c>
      <c r="L474" s="491" t="s">
        <v>29</v>
      </c>
      <c r="M474" s="491" t="s">
        <v>29</v>
      </c>
      <c r="N474" s="491" t="s">
        <v>29</v>
      </c>
      <c r="O474" s="491" t="s">
        <v>29</v>
      </c>
      <c r="P474" s="491">
        <v>0</v>
      </c>
      <c r="Q474" s="491">
        <v>0</v>
      </c>
      <c r="R474" s="491">
        <v>2.41</v>
      </c>
      <c r="S474" s="491">
        <v>2.2599999999999998</v>
      </c>
      <c r="T474" s="1025" t="b">
        <v>0</v>
      </c>
      <c r="U474" s="491">
        <v>0</v>
      </c>
      <c r="V474" s="491">
        <v>2.38</v>
      </c>
      <c r="W474" s="491">
        <v>0</v>
      </c>
      <c r="X474" s="491">
        <v>2.12</v>
      </c>
      <c r="Y474" s="1025" t="b">
        <v>0</v>
      </c>
      <c r="Z474" s="331">
        <v>0</v>
      </c>
      <c r="AA474" s="331">
        <v>0</v>
      </c>
      <c r="AB474" s="331">
        <v>0</v>
      </c>
      <c r="AC474" s="331">
        <v>0</v>
      </c>
      <c r="AD474" s="1025" t="b">
        <v>0</v>
      </c>
      <c r="AE474" s="331">
        <v>0</v>
      </c>
      <c r="AF474" s="331">
        <v>0.09</v>
      </c>
      <c r="AG474" s="331">
        <v>0.11</v>
      </c>
      <c r="AH474" s="331">
        <v>0</v>
      </c>
      <c r="AI474" s="1025" t="b">
        <v>0</v>
      </c>
      <c r="AJ474" s="331">
        <v>0</v>
      </c>
      <c r="AK474" s="331">
        <v>0</v>
      </c>
      <c r="AL474" s="331">
        <v>0</v>
      </c>
      <c r="AM474" s="331">
        <v>0</v>
      </c>
      <c r="AN474" s="1025" t="b">
        <v>0</v>
      </c>
      <c r="AO474" s="331">
        <v>0</v>
      </c>
      <c r="AP474" s="331">
        <v>0</v>
      </c>
      <c r="AQ474" s="331">
        <v>0</v>
      </c>
      <c r="AR474" s="331">
        <v>0</v>
      </c>
      <c r="AS474" s="1025" t="b">
        <v>0</v>
      </c>
      <c r="AT474" s="1025" t="b">
        <v>0</v>
      </c>
      <c r="AU474" s="331">
        <v>134643</v>
      </c>
      <c r="AV474" s="491" t="s">
        <v>29</v>
      </c>
    </row>
    <row r="475" spans="1:48" s="19" customFormat="1">
      <c r="A475" s="72">
        <v>33</v>
      </c>
      <c r="B475" s="391" t="s">
        <v>32</v>
      </c>
      <c r="C475" s="72">
        <f t="shared" si="21"/>
        <v>18</v>
      </c>
      <c r="D475" s="72" t="str">
        <f t="shared" si="22"/>
        <v>33-18</v>
      </c>
      <c r="E475" s="72">
        <v>73676</v>
      </c>
      <c r="F475" s="72" t="str">
        <f t="shared" si="23"/>
        <v>33-73676</v>
      </c>
      <c r="G475" s="391" t="s">
        <v>969</v>
      </c>
      <c r="H475" s="331">
        <v>14525.47</v>
      </c>
      <c r="I475" s="331">
        <v>13355.57</v>
      </c>
      <c r="J475" s="331">
        <v>13751.75</v>
      </c>
      <c r="K475" s="331">
        <v>16351.38</v>
      </c>
      <c r="L475" s="491" t="s">
        <v>29</v>
      </c>
      <c r="M475" s="491" t="s">
        <v>29</v>
      </c>
      <c r="N475" s="491" t="s">
        <v>29</v>
      </c>
      <c r="O475" s="491" t="s">
        <v>29</v>
      </c>
      <c r="P475" s="491">
        <v>0</v>
      </c>
      <c r="Q475" s="491">
        <v>0</v>
      </c>
      <c r="R475" s="491">
        <v>0</v>
      </c>
      <c r="S475" s="491">
        <v>2.0099999999999998</v>
      </c>
      <c r="T475" s="1025" t="b">
        <v>0</v>
      </c>
      <c r="U475" s="491">
        <v>3.57</v>
      </c>
      <c r="V475" s="491">
        <v>2.4</v>
      </c>
      <c r="W475" s="491">
        <v>1.77</v>
      </c>
      <c r="X475" s="491">
        <v>47.4</v>
      </c>
      <c r="Y475" s="1025" t="b">
        <v>0</v>
      </c>
      <c r="Z475" s="331">
        <v>0</v>
      </c>
      <c r="AA475" s="331">
        <v>0</v>
      </c>
      <c r="AB475" s="331">
        <v>0</v>
      </c>
      <c r="AC475" s="331">
        <v>0</v>
      </c>
      <c r="AD475" s="1025" t="b">
        <v>0</v>
      </c>
      <c r="AE475" s="331">
        <v>0</v>
      </c>
      <c r="AF475" s="331">
        <v>7.0000000000000007E-2</v>
      </c>
      <c r="AG475" s="331">
        <v>0.15</v>
      </c>
      <c r="AH475" s="331">
        <v>1.85</v>
      </c>
      <c r="AI475" s="1025" t="b">
        <v>0</v>
      </c>
      <c r="AJ475" s="331">
        <v>0</v>
      </c>
      <c r="AK475" s="331">
        <v>0</v>
      </c>
      <c r="AL475" s="331">
        <v>0</v>
      </c>
      <c r="AM475" s="331">
        <v>0</v>
      </c>
      <c r="AN475" s="1025" t="b">
        <v>0</v>
      </c>
      <c r="AO475" s="331">
        <v>0</v>
      </c>
      <c r="AP475" s="331">
        <v>0</v>
      </c>
      <c r="AQ475" s="331">
        <v>0</v>
      </c>
      <c r="AR475" s="331">
        <v>0</v>
      </c>
      <c r="AS475" s="1025" t="b">
        <v>0</v>
      </c>
      <c r="AT475" s="1025" t="b">
        <v>0</v>
      </c>
      <c r="AU475" s="331">
        <v>949419</v>
      </c>
      <c r="AV475" s="491" t="s">
        <v>29</v>
      </c>
    </row>
    <row r="476" spans="1:48" s="19" customFormat="1">
      <c r="A476" s="72">
        <v>33</v>
      </c>
      <c r="B476" s="391" t="s">
        <v>32</v>
      </c>
      <c r="C476" s="72">
        <f t="shared" si="21"/>
        <v>19</v>
      </c>
      <c r="D476" s="72" t="str">
        <f t="shared" si="22"/>
        <v>33-19</v>
      </c>
      <c r="E476" s="72">
        <v>75176</v>
      </c>
      <c r="F476" s="72" t="str">
        <f t="shared" si="23"/>
        <v>33-75176</v>
      </c>
      <c r="G476" s="391" t="s">
        <v>970</v>
      </c>
      <c r="H476" s="491">
        <v>12394.97</v>
      </c>
      <c r="I476" s="491">
        <v>11396.66</v>
      </c>
      <c r="J476" s="491">
        <v>11734.73</v>
      </c>
      <c r="K476" s="491">
        <v>13953.06</v>
      </c>
      <c r="L476" s="491" t="s">
        <v>29</v>
      </c>
      <c r="M476" s="491" t="s">
        <v>29</v>
      </c>
      <c r="N476" s="491" t="s">
        <v>29</v>
      </c>
      <c r="O476" s="491" t="s">
        <v>29</v>
      </c>
      <c r="P476" s="491">
        <v>0</v>
      </c>
      <c r="Q476" s="491">
        <v>0</v>
      </c>
      <c r="R476" s="491">
        <v>0</v>
      </c>
      <c r="S476" s="491">
        <v>1.1100000000000001</v>
      </c>
      <c r="T476" s="1025" t="b">
        <v>0</v>
      </c>
      <c r="U476" s="491">
        <v>1.41</v>
      </c>
      <c r="V476" s="491">
        <v>1.91</v>
      </c>
      <c r="W476" s="491">
        <v>0.08</v>
      </c>
      <c r="X476" s="491">
        <v>0</v>
      </c>
      <c r="Y476" s="1025" t="b">
        <v>0</v>
      </c>
      <c r="Z476" s="491">
        <v>0</v>
      </c>
      <c r="AA476" s="491">
        <v>0</v>
      </c>
      <c r="AB476" s="491">
        <v>0</v>
      </c>
      <c r="AC476" s="491">
        <v>0</v>
      </c>
      <c r="AD476" s="1025" t="b">
        <v>0</v>
      </c>
      <c r="AE476" s="491">
        <v>0.06</v>
      </c>
      <c r="AF476" s="491">
        <v>0.05</v>
      </c>
      <c r="AG476" s="491">
        <v>0</v>
      </c>
      <c r="AH476" s="491">
        <v>0</v>
      </c>
      <c r="AI476" s="1025" t="b">
        <v>0</v>
      </c>
      <c r="AJ476" s="491">
        <v>0</v>
      </c>
      <c r="AK476" s="491">
        <v>0</v>
      </c>
      <c r="AL476" s="491">
        <v>0</v>
      </c>
      <c r="AM476" s="491">
        <v>0</v>
      </c>
      <c r="AN476" s="1025" t="b">
        <v>0</v>
      </c>
      <c r="AO476" s="491">
        <v>0</v>
      </c>
      <c r="AP476" s="491">
        <v>0</v>
      </c>
      <c r="AQ476" s="491">
        <v>0</v>
      </c>
      <c r="AR476" s="491">
        <v>0</v>
      </c>
      <c r="AS476" s="1025" t="b">
        <v>0</v>
      </c>
      <c r="AT476" s="1025" t="b">
        <v>0</v>
      </c>
      <c r="AU476" s="491">
        <v>56985</v>
      </c>
      <c r="AV476" s="491" t="s">
        <v>29</v>
      </c>
    </row>
    <row r="477" spans="1:48" s="19" customFormat="1">
      <c r="A477" s="72">
        <v>33</v>
      </c>
      <c r="B477" s="391" t="s">
        <v>32</v>
      </c>
      <c r="C477" s="72">
        <f t="shared" si="21"/>
        <v>20</v>
      </c>
      <c r="D477" s="72" t="str">
        <f t="shared" si="22"/>
        <v>33-20</v>
      </c>
      <c r="E477" s="72">
        <v>75192</v>
      </c>
      <c r="F477" s="72" t="str">
        <f t="shared" si="23"/>
        <v>33-75192</v>
      </c>
      <c r="G477" s="391" t="s">
        <v>971</v>
      </c>
      <c r="H477" s="331">
        <v>10726.75</v>
      </c>
      <c r="I477" s="331">
        <v>9862.7999999999993</v>
      </c>
      <c r="J477" s="331">
        <v>10155.370000000001</v>
      </c>
      <c r="K477" s="331">
        <v>12075.14</v>
      </c>
      <c r="L477" s="491" t="s">
        <v>29</v>
      </c>
      <c r="M477" s="491" t="s">
        <v>29</v>
      </c>
      <c r="N477" s="491" t="s">
        <v>29</v>
      </c>
      <c r="O477" s="491" t="s">
        <v>29</v>
      </c>
      <c r="P477" s="491">
        <v>0</v>
      </c>
      <c r="Q477" s="491">
        <v>0</v>
      </c>
      <c r="R477" s="491">
        <v>0.26</v>
      </c>
      <c r="S477" s="491">
        <v>2.36</v>
      </c>
      <c r="T477" s="1025" t="b">
        <v>0</v>
      </c>
      <c r="U477" s="491">
        <v>0</v>
      </c>
      <c r="V477" s="491">
        <v>0</v>
      </c>
      <c r="W477" s="491">
        <v>0.04</v>
      </c>
      <c r="X477" s="491">
        <v>1.94</v>
      </c>
      <c r="Y477" s="1025" t="b">
        <v>0</v>
      </c>
      <c r="Z477" s="331">
        <v>0</v>
      </c>
      <c r="AA477" s="331">
        <v>0</v>
      </c>
      <c r="AB477" s="331">
        <v>0</v>
      </c>
      <c r="AC477" s="331">
        <v>0</v>
      </c>
      <c r="AD477" s="1025" t="b">
        <v>0</v>
      </c>
      <c r="AE477" s="331">
        <v>0</v>
      </c>
      <c r="AF477" s="331">
        <v>0</v>
      </c>
      <c r="AG477" s="331">
        <v>0</v>
      </c>
      <c r="AH477" s="331">
        <v>0</v>
      </c>
      <c r="AI477" s="1025" t="b">
        <v>0</v>
      </c>
      <c r="AJ477" s="331">
        <v>0</v>
      </c>
      <c r="AK477" s="331">
        <v>0</v>
      </c>
      <c r="AL477" s="331">
        <v>0</v>
      </c>
      <c r="AM477" s="331">
        <v>0</v>
      </c>
      <c r="AN477" s="1025" t="b">
        <v>0</v>
      </c>
      <c r="AO477" s="331">
        <v>0</v>
      </c>
      <c r="AP477" s="331">
        <v>0</v>
      </c>
      <c r="AQ477" s="331">
        <v>0</v>
      </c>
      <c r="AR477" s="331">
        <v>0</v>
      </c>
      <c r="AS477" s="1025" t="b">
        <v>0</v>
      </c>
      <c r="AT477" s="1025" t="b">
        <v>0</v>
      </c>
      <c r="AU477" s="331">
        <v>54970</v>
      </c>
      <c r="AV477" s="491" t="s">
        <v>29</v>
      </c>
    </row>
    <row r="478" spans="1:48" s="19" customFormat="1">
      <c r="A478" s="72">
        <v>33</v>
      </c>
      <c r="B478" s="391" t="s">
        <v>32</v>
      </c>
      <c r="C478" s="72">
        <f t="shared" si="21"/>
        <v>21</v>
      </c>
      <c r="D478" s="72" t="str">
        <f t="shared" si="22"/>
        <v>33-21</v>
      </c>
      <c r="E478" s="72">
        <v>75200</v>
      </c>
      <c r="F478" s="72" t="str">
        <f t="shared" si="23"/>
        <v>33-75200</v>
      </c>
      <c r="G478" s="391" t="s">
        <v>972</v>
      </c>
      <c r="H478" s="331">
        <v>10948.15</v>
      </c>
      <c r="I478" s="331">
        <v>10066.370000000001</v>
      </c>
      <c r="J478" s="331">
        <v>10364.99</v>
      </c>
      <c r="K478" s="331">
        <v>12324.38</v>
      </c>
      <c r="L478" s="491" t="s">
        <v>29</v>
      </c>
      <c r="M478" s="491" t="s">
        <v>29</v>
      </c>
      <c r="N478" s="491" t="s">
        <v>29</v>
      </c>
      <c r="O478" s="491" t="s">
        <v>29</v>
      </c>
      <c r="P478" s="491">
        <v>0</v>
      </c>
      <c r="Q478" s="491">
        <v>0</v>
      </c>
      <c r="R478" s="491">
        <v>0.89</v>
      </c>
      <c r="S478" s="491">
        <v>0.84</v>
      </c>
      <c r="T478" s="1025" t="b">
        <v>0</v>
      </c>
      <c r="U478" s="491">
        <v>0</v>
      </c>
      <c r="V478" s="491">
        <v>2</v>
      </c>
      <c r="W478" s="491">
        <v>0.99</v>
      </c>
      <c r="X478" s="491">
        <v>0.96</v>
      </c>
      <c r="Y478" s="1025" t="b">
        <v>0</v>
      </c>
      <c r="Z478" s="331">
        <v>0</v>
      </c>
      <c r="AA478" s="331">
        <v>0</v>
      </c>
      <c r="AB478" s="331">
        <v>0</v>
      </c>
      <c r="AC478" s="331">
        <v>0</v>
      </c>
      <c r="AD478" s="1025" t="b">
        <v>0</v>
      </c>
      <c r="AE478" s="331">
        <v>0.01</v>
      </c>
      <c r="AF478" s="331">
        <v>0.05</v>
      </c>
      <c r="AG478" s="331">
        <v>0.1</v>
      </c>
      <c r="AH478" s="331">
        <v>0.1</v>
      </c>
      <c r="AI478" s="1025" t="b">
        <v>0</v>
      </c>
      <c r="AJ478" s="331">
        <v>0</v>
      </c>
      <c r="AK478" s="331">
        <v>0</v>
      </c>
      <c r="AL478" s="331">
        <v>0</v>
      </c>
      <c r="AM478" s="331">
        <v>0</v>
      </c>
      <c r="AN478" s="1025" t="b">
        <v>0</v>
      </c>
      <c r="AO478" s="331">
        <v>0</v>
      </c>
      <c r="AP478" s="331">
        <v>0</v>
      </c>
      <c r="AQ478" s="331">
        <v>0</v>
      </c>
      <c r="AR478" s="331">
        <v>0</v>
      </c>
      <c r="AS478" s="1025" t="b">
        <v>0</v>
      </c>
      <c r="AT478" s="1025" t="b">
        <v>0</v>
      </c>
      <c r="AU478" s="331">
        <v>64684</v>
      </c>
      <c r="AV478" s="491" t="s">
        <v>29</v>
      </c>
    </row>
    <row r="479" spans="1:48" s="19" customFormat="1">
      <c r="A479" s="72">
        <v>33</v>
      </c>
      <c r="B479" s="391" t="s">
        <v>32</v>
      </c>
      <c r="C479" s="72">
        <f t="shared" si="21"/>
        <v>22</v>
      </c>
      <c r="D479" s="72" t="str">
        <f t="shared" si="22"/>
        <v>33-22</v>
      </c>
      <c r="E479" s="72">
        <v>75242</v>
      </c>
      <c r="F479" s="72" t="str">
        <f t="shared" si="23"/>
        <v>33-75242</v>
      </c>
      <c r="G479" s="391" t="s">
        <v>973</v>
      </c>
      <c r="H479" s="331">
        <v>13946.61</v>
      </c>
      <c r="I479" s="331">
        <v>12823.33</v>
      </c>
      <c r="J479" s="331">
        <v>13203.73</v>
      </c>
      <c r="K479" s="331">
        <v>15699.76</v>
      </c>
      <c r="L479" s="491" t="s">
        <v>29</v>
      </c>
      <c r="M479" s="491" t="s">
        <v>29</v>
      </c>
      <c r="N479" s="491" t="s">
        <v>29</v>
      </c>
      <c r="O479" s="491" t="s">
        <v>29</v>
      </c>
      <c r="P479" s="491">
        <v>0</v>
      </c>
      <c r="Q479" s="491">
        <v>0</v>
      </c>
      <c r="R479" s="491">
        <v>0</v>
      </c>
      <c r="S479" s="491">
        <v>2.57</v>
      </c>
      <c r="T479" s="1025" t="b">
        <v>0</v>
      </c>
      <c r="U479" s="491">
        <v>0</v>
      </c>
      <c r="V479" s="491">
        <v>2.91</v>
      </c>
      <c r="W479" s="491">
        <v>1.57</v>
      </c>
      <c r="X479" s="491">
        <v>4.8600000000000003</v>
      </c>
      <c r="Y479" s="1025" t="b">
        <v>0</v>
      </c>
      <c r="Z479" s="331">
        <v>0</v>
      </c>
      <c r="AA479" s="331">
        <v>0</v>
      </c>
      <c r="AB479" s="331">
        <v>0</v>
      </c>
      <c r="AC479" s="331">
        <v>0</v>
      </c>
      <c r="AD479" s="1025" t="b">
        <v>0</v>
      </c>
      <c r="AE479" s="331">
        <v>0.1</v>
      </c>
      <c r="AF479" s="331">
        <v>0.08</v>
      </c>
      <c r="AG479" s="331">
        <v>0</v>
      </c>
      <c r="AH479" s="331">
        <v>0.14000000000000001</v>
      </c>
      <c r="AI479" s="1025" t="b">
        <v>0</v>
      </c>
      <c r="AJ479" s="331">
        <v>0</v>
      </c>
      <c r="AK479" s="331">
        <v>0</v>
      </c>
      <c r="AL479" s="331">
        <v>0</v>
      </c>
      <c r="AM479" s="331">
        <v>0</v>
      </c>
      <c r="AN479" s="1025" t="b">
        <v>0</v>
      </c>
      <c r="AO479" s="331">
        <v>0</v>
      </c>
      <c r="AP479" s="331">
        <v>0</v>
      </c>
      <c r="AQ479" s="331">
        <v>0</v>
      </c>
      <c r="AR479" s="331">
        <v>0</v>
      </c>
      <c r="AS479" s="1025" t="b">
        <v>0</v>
      </c>
      <c r="AT479" s="1025" t="b">
        <v>0</v>
      </c>
      <c r="AU479" s="331">
        <v>179314</v>
      </c>
      <c r="AV479" s="491" t="s">
        <v>29</v>
      </c>
    </row>
    <row r="480" spans="1:48" s="19" customFormat="1">
      <c r="A480" s="72">
        <v>33</v>
      </c>
      <c r="B480" s="391" t="s">
        <v>32</v>
      </c>
      <c r="C480" s="72">
        <f t="shared" si="21"/>
        <v>23</v>
      </c>
      <c r="D480" s="72" t="str">
        <f t="shared" si="22"/>
        <v>33-23</v>
      </c>
      <c r="E480" s="72">
        <v>67686</v>
      </c>
      <c r="F480" s="72" t="str">
        <f t="shared" si="23"/>
        <v>33-67686</v>
      </c>
      <c r="G480" s="391" t="s">
        <v>851</v>
      </c>
      <c r="H480" s="491">
        <v>13734.16</v>
      </c>
      <c r="I480" s="491">
        <v>12627.99</v>
      </c>
      <c r="J480" s="491">
        <v>13002.6</v>
      </c>
      <c r="K480" s="491">
        <v>15460.61</v>
      </c>
      <c r="L480" s="491" t="s">
        <v>29</v>
      </c>
      <c r="M480" s="491" t="s">
        <v>29</v>
      </c>
      <c r="N480" s="491" t="s">
        <v>29</v>
      </c>
      <c r="O480" s="491" t="s">
        <v>29</v>
      </c>
      <c r="P480" s="491">
        <v>0</v>
      </c>
      <c r="Q480" s="491">
        <v>0</v>
      </c>
      <c r="R480" s="491">
        <v>0</v>
      </c>
      <c r="S480" s="491">
        <v>0</v>
      </c>
      <c r="T480" s="1025" t="b">
        <v>0</v>
      </c>
      <c r="U480" s="491">
        <v>0.48</v>
      </c>
      <c r="V480" s="491">
        <v>0</v>
      </c>
      <c r="W480" s="491">
        <v>0</v>
      </c>
      <c r="X480" s="491">
        <v>0</v>
      </c>
      <c r="Y480" s="1025" t="b">
        <v>0</v>
      </c>
      <c r="Z480" s="491">
        <v>0</v>
      </c>
      <c r="AA480" s="491">
        <v>0</v>
      </c>
      <c r="AB480" s="491">
        <v>0</v>
      </c>
      <c r="AC480" s="491">
        <v>0</v>
      </c>
      <c r="AD480" s="1025" t="b">
        <v>0</v>
      </c>
      <c r="AE480" s="491">
        <v>0</v>
      </c>
      <c r="AF480" s="491">
        <v>0</v>
      </c>
      <c r="AG480" s="491">
        <v>0</v>
      </c>
      <c r="AH480" s="491">
        <v>0</v>
      </c>
      <c r="AI480" s="1025" t="b">
        <v>0</v>
      </c>
      <c r="AJ480" s="491">
        <v>0</v>
      </c>
      <c r="AK480" s="491">
        <v>0</v>
      </c>
      <c r="AL480" s="491">
        <v>0</v>
      </c>
      <c r="AM480" s="491">
        <v>0</v>
      </c>
      <c r="AN480" s="1025" t="b">
        <v>0</v>
      </c>
      <c r="AO480" s="491">
        <v>0</v>
      </c>
      <c r="AP480" s="491">
        <v>0</v>
      </c>
      <c r="AQ480" s="491">
        <v>0</v>
      </c>
      <c r="AR480" s="491">
        <v>0</v>
      </c>
      <c r="AS480" s="1025" t="b">
        <v>0</v>
      </c>
      <c r="AT480" s="1025" t="b">
        <v>0</v>
      </c>
      <c r="AU480" s="491">
        <v>6592</v>
      </c>
      <c r="AV480" s="491" t="s">
        <v>29</v>
      </c>
    </row>
    <row r="481" spans="1:48" s="19" customFormat="1">
      <c r="A481" s="72">
        <v>33</v>
      </c>
      <c r="B481" s="391" t="s">
        <v>32</v>
      </c>
      <c r="C481" s="72">
        <f t="shared" si="21"/>
        <v>24</v>
      </c>
      <c r="D481" s="72" t="str">
        <f t="shared" si="22"/>
        <v>33-24</v>
      </c>
      <c r="E481" s="72">
        <v>67710</v>
      </c>
      <c r="F481" s="72" t="str">
        <f t="shared" si="23"/>
        <v>33-67710</v>
      </c>
      <c r="G481" s="391" t="s">
        <v>852</v>
      </c>
      <c r="H481" s="331">
        <v>13541.5</v>
      </c>
      <c r="I481" s="331">
        <v>12450.85</v>
      </c>
      <c r="J481" s="331">
        <v>12820.2</v>
      </c>
      <c r="K481" s="331">
        <v>15243.72</v>
      </c>
      <c r="L481" s="491" t="s">
        <v>29</v>
      </c>
      <c r="M481" s="491" t="s">
        <v>29</v>
      </c>
      <c r="N481" s="491" t="s">
        <v>29</v>
      </c>
      <c r="O481" s="491" t="s">
        <v>29</v>
      </c>
      <c r="P481" s="491">
        <v>0</v>
      </c>
      <c r="Q481" s="491">
        <v>0</v>
      </c>
      <c r="R481" s="491">
        <v>0</v>
      </c>
      <c r="S481" s="491">
        <v>0</v>
      </c>
      <c r="T481" s="1025" t="b">
        <v>0</v>
      </c>
      <c r="U481" s="491">
        <v>0</v>
      </c>
      <c r="V481" s="491">
        <v>0</v>
      </c>
      <c r="W481" s="491">
        <v>0.91</v>
      </c>
      <c r="X481" s="491">
        <v>0</v>
      </c>
      <c r="Y481" s="1025" t="b">
        <v>0</v>
      </c>
      <c r="Z481" s="331">
        <v>0</v>
      </c>
      <c r="AA481" s="331">
        <v>0</v>
      </c>
      <c r="AB481" s="331">
        <v>0</v>
      </c>
      <c r="AC481" s="331">
        <v>0</v>
      </c>
      <c r="AD481" s="1025" t="b">
        <v>0</v>
      </c>
      <c r="AE481" s="331">
        <v>0</v>
      </c>
      <c r="AF481" s="331">
        <v>0.08</v>
      </c>
      <c r="AG481" s="331">
        <v>0</v>
      </c>
      <c r="AH481" s="331">
        <v>0</v>
      </c>
      <c r="AI481" s="1025" t="b">
        <v>0</v>
      </c>
      <c r="AJ481" s="331">
        <v>0</v>
      </c>
      <c r="AK481" s="331">
        <v>0</v>
      </c>
      <c r="AL481" s="331">
        <v>0</v>
      </c>
      <c r="AM481" s="331">
        <v>0</v>
      </c>
      <c r="AN481" s="1025" t="b">
        <v>0</v>
      </c>
      <c r="AO481" s="331">
        <v>0</v>
      </c>
      <c r="AP481" s="331">
        <v>0</v>
      </c>
      <c r="AQ481" s="331">
        <v>0</v>
      </c>
      <c r="AR481" s="331">
        <v>0</v>
      </c>
      <c r="AS481" s="1025" t="b">
        <v>0</v>
      </c>
      <c r="AT481" s="1025" t="b">
        <v>0</v>
      </c>
      <c r="AU481" s="331">
        <v>12662</v>
      </c>
      <c r="AV481" s="491" t="s">
        <v>29</v>
      </c>
    </row>
    <row r="482" spans="1:48">
      <c r="A482" s="72">
        <v>33</v>
      </c>
      <c r="B482" s="391" t="s">
        <v>32</v>
      </c>
      <c r="C482" s="72">
        <f t="shared" si="21"/>
        <v>25</v>
      </c>
      <c r="D482" s="72" t="str">
        <f t="shared" si="22"/>
        <v>33-25</v>
      </c>
      <c r="E482" s="72">
        <v>67850</v>
      </c>
      <c r="F482" s="72" t="str">
        <f t="shared" si="23"/>
        <v>33-67850</v>
      </c>
      <c r="G482" s="391" t="s">
        <v>854</v>
      </c>
      <c r="H482" s="491">
        <v>13916.51</v>
      </c>
      <c r="I482" s="491">
        <v>12795.65</v>
      </c>
      <c r="J482" s="491">
        <v>13175.23</v>
      </c>
      <c r="K482" s="491">
        <v>15665.87</v>
      </c>
      <c r="L482" s="491" t="s">
        <v>29</v>
      </c>
      <c r="M482" s="491" t="s">
        <v>29</v>
      </c>
      <c r="N482" s="491" t="s">
        <v>29</v>
      </c>
      <c r="O482" s="491" t="s">
        <v>29</v>
      </c>
      <c r="P482" s="491">
        <v>0</v>
      </c>
      <c r="Q482" s="491">
        <v>0</v>
      </c>
      <c r="R482" s="491">
        <v>0</v>
      </c>
      <c r="S482" s="491">
        <v>0</v>
      </c>
      <c r="T482" s="1025" t="b">
        <v>0</v>
      </c>
      <c r="U482" s="491">
        <v>0</v>
      </c>
      <c r="V482" s="491">
        <v>0</v>
      </c>
      <c r="W482" s="491">
        <v>0.48</v>
      </c>
      <c r="X482" s="491">
        <v>0</v>
      </c>
      <c r="Y482" s="1025" t="b">
        <v>0</v>
      </c>
      <c r="Z482" s="491">
        <v>0</v>
      </c>
      <c r="AA482" s="491">
        <v>0</v>
      </c>
      <c r="AB482" s="491">
        <v>0</v>
      </c>
      <c r="AC482" s="491">
        <v>0</v>
      </c>
      <c r="AD482" s="1025" t="b">
        <v>0</v>
      </c>
      <c r="AE482" s="491">
        <v>0</v>
      </c>
      <c r="AF482" s="491">
        <v>0</v>
      </c>
      <c r="AG482" s="491">
        <v>0.02</v>
      </c>
      <c r="AH482" s="491">
        <v>0</v>
      </c>
      <c r="AI482" s="1025" t="b">
        <v>0</v>
      </c>
      <c r="AJ482" s="491">
        <v>0</v>
      </c>
      <c r="AK482" s="491">
        <v>0</v>
      </c>
      <c r="AL482" s="491">
        <v>0</v>
      </c>
      <c r="AM482" s="491">
        <v>0</v>
      </c>
      <c r="AN482" s="1025" t="b">
        <v>0</v>
      </c>
      <c r="AO482" s="491">
        <v>0</v>
      </c>
      <c r="AP482" s="491">
        <v>0</v>
      </c>
      <c r="AQ482" s="491">
        <v>0</v>
      </c>
      <c r="AR482" s="491">
        <v>0</v>
      </c>
      <c r="AS482" s="1025" t="b">
        <v>0</v>
      </c>
      <c r="AT482" s="1025" t="b">
        <v>0</v>
      </c>
      <c r="AU482" s="491">
        <v>6588</v>
      </c>
      <c r="AV482" s="491" t="s">
        <v>29</v>
      </c>
    </row>
    <row r="483" spans="1:48">
      <c r="A483" s="72">
        <v>33</v>
      </c>
      <c r="B483" s="391" t="s">
        <v>32</v>
      </c>
      <c r="C483" s="72">
        <f t="shared" si="21"/>
        <v>0</v>
      </c>
      <c r="D483" s="72" t="str">
        <f t="shared" si="22"/>
        <v>33-0</v>
      </c>
      <c r="E483" s="72" t="s">
        <v>29</v>
      </c>
      <c r="F483" s="72" t="str">
        <f t="shared" si="23"/>
        <v>33-N/A</v>
      </c>
      <c r="G483" s="391" t="s">
        <v>29</v>
      </c>
      <c r="H483" s="491" t="s">
        <v>29</v>
      </c>
      <c r="I483" s="491" t="s">
        <v>29</v>
      </c>
      <c r="J483" s="491" t="s">
        <v>29</v>
      </c>
      <c r="K483" s="491" t="s">
        <v>29</v>
      </c>
      <c r="L483" s="491" t="s">
        <v>29</v>
      </c>
      <c r="M483" s="491" t="s">
        <v>29</v>
      </c>
      <c r="N483" s="491" t="s">
        <v>29</v>
      </c>
      <c r="O483" s="491" t="s">
        <v>29</v>
      </c>
      <c r="P483" s="491" t="s">
        <v>29</v>
      </c>
      <c r="Q483" s="491" t="s">
        <v>29</v>
      </c>
      <c r="R483" s="491" t="s">
        <v>29</v>
      </c>
      <c r="S483" s="491" t="s">
        <v>29</v>
      </c>
      <c r="T483" s="1025" t="s">
        <v>29</v>
      </c>
      <c r="U483" s="491" t="s">
        <v>29</v>
      </c>
      <c r="V483" s="491" t="s">
        <v>29</v>
      </c>
      <c r="W483" s="491" t="s">
        <v>29</v>
      </c>
      <c r="X483" s="491" t="s">
        <v>29</v>
      </c>
      <c r="Y483" s="1025" t="s">
        <v>29</v>
      </c>
      <c r="Z483" s="491" t="s">
        <v>29</v>
      </c>
      <c r="AA483" s="491" t="s">
        <v>29</v>
      </c>
      <c r="AB483" s="491" t="s">
        <v>29</v>
      </c>
      <c r="AC483" s="491" t="s">
        <v>29</v>
      </c>
      <c r="AD483" s="1025" t="s">
        <v>29</v>
      </c>
      <c r="AE483" s="491" t="s">
        <v>29</v>
      </c>
      <c r="AF483" s="491" t="s">
        <v>29</v>
      </c>
      <c r="AG483" s="491" t="s">
        <v>29</v>
      </c>
      <c r="AH483" s="491" t="s">
        <v>29</v>
      </c>
      <c r="AI483" s="1025" t="s">
        <v>29</v>
      </c>
      <c r="AJ483" s="491" t="s">
        <v>29</v>
      </c>
      <c r="AK483" s="491" t="s">
        <v>29</v>
      </c>
      <c r="AL483" s="491" t="s">
        <v>29</v>
      </c>
      <c r="AM483" s="491" t="s">
        <v>29</v>
      </c>
      <c r="AN483" s="1025" t="s">
        <v>29</v>
      </c>
      <c r="AO483" s="491" t="s">
        <v>29</v>
      </c>
      <c r="AP483" s="491" t="s">
        <v>29</v>
      </c>
      <c r="AQ483" s="491" t="s">
        <v>29</v>
      </c>
      <c r="AR483" s="491" t="s">
        <v>29</v>
      </c>
      <c r="AS483" s="1025" t="s">
        <v>29</v>
      </c>
      <c r="AT483" s="1025" t="s">
        <v>29</v>
      </c>
      <c r="AU483" s="491" t="s">
        <v>29</v>
      </c>
      <c r="AV483" s="491">
        <v>8215665</v>
      </c>
    </row>
    <row r="484" spans="1:48">
      <c r="A484" s="72">
        <v>34</v>
      </c>
      <c r="B484" s="391" t="s">
        <v>43</v>
      </c>
      <c r="C484" s="72">
        <f t="shared" si="21"/>
        <v>1</v>
      </c>
      <c r="D484" s="72" t="str">
        <f t="shared" si="22"/>
        <v>34-1</v>
      </c>
      <c r="E484" s="72">
        <v>67314</v>
      </c>
      <c r="F484" s="72" t="str">
        <f t="shared" si="23"/>
        <v>34-67314</v>
      </c>
      <c r="G484" s="391" t="s">
        <v>1002</v>
      </c>
      <c r="H484" s="331">
        <v>11139.8</v>
      </c>
      <c r="I484" s="331">
        <v>10242.59</v>
      </c>
      <c r="J484" s="331">
        <v>10546.43</v>
      </c>
      <c r="K484" s="331">
        <v>12540.12</v>
      </c>
      <c r="L484" s="491" t="s">
        <v>29</v>
      </c>
      <c r="M484" s="491" t="s">
        <v>29</v>
      </c>
      <c r="N484" s="491" t="s">
        <v>29</v>
      </c>
      <c r="O484" s="491" t="s">
        <v>29</v>
      </c>
      <c r="P484" s="491">
        <v>0</v>
      </c>
      <c r="Q484" s="491">
        <v>0</v>
      </c>
      <c r="R484" s="491">
        <v>0.97</v>
      </c>
      <c r="S484" s="491">
        <v>54.49</v>
      </c>
      <c r="T484" s="1025" t="b">
        <v>0</v>
      </c>
      <c r="U484" s="491">
        <v>2.72</v>
      </c>
      <c r="V484" s="491">
        <v>1.98</v>
      </c>
      <c r="W484" s="491">
        <v>5.4</v>
      </c>
      <c r="X484" s="491">
        <v>24.39</v>
      </c>
      <c r="Y484" s="1025" t="b">
        <v>0</v>
      </c>
      <c r="Z484" s="331">
        <v>0</v>
      </c>
      <c r="AA484" s="331">
        <v>0</v>
      </c>
      <c r="AB484" s="331">
        <v>0</v>
      </c>
      <c r="AC484" s="331">
        <v>0</v>
      </c>
      <c r="AD484" s="1025" t="b">
        <v>0</v>
      </c>
      <c r="AE484" s="331">
        <v>0.05</v>
      </c>
      <c r="AF484" s="331">
        <v>0</v>
      </c>
      <c r="AG484" s="331">
        <v>0.05</v>
      </c>
      <c r="AH484" s="331">
        <v>0.39</v>
      </c>
      <c r="AI484" s="1025" t="b">
        <v>0</v>
      </c>
      <c r="AJ484" s="331">
        <v>0</v>
      </c>
      <c r="AK484" s="331">
        <v>0</v>
      </c>
      <c r="AL484" s="331">
        <v>0</v>
      </c>
      <c r="AM484" s="331">
        <v>0</v>
      </c>
      <c r="AN484" s="1025" t="b">
        <v>0</v>
      </c>
      <c r="AO484" s="331">
        <v>0</v>
      </c>
      <c r="AP484" s="331">
        <v>0</v>
      </c>
      <c r="AQ484" s="331">
        <v>0</v>
      </c>
      <c r="AR484" s="331">
        <v>0</v>
      </c>
      <c r="AS484" s="1025" t="b">
        <v>0</v>
      </c>
      <c r="AT484" s="1025" t="b">
        <v>0</v>
      </c>
      <c r="AU484" s="331">
        <v>1112900</v>
      </c>
      <c r="AV484" s="491" t="s">
        <v>29</v>
      </c>
    </row>
    <row r="485" spans="1:48">
      <c r="A485" s="72">
        <v>34</v>
      </c>
      <c r="B485" s="391" t="s">
        <v>43</v>
      </c>
      <c r="C485" s="72">
        <f t="shared" si="21"/>
        <v>2</v>
      </c>
      <c r="D485" s="72" t="str">
        <f t="shared" si="22"/>
        <v>34-2</v>
      </c>
      <c r="E485" s="72">
        <v>67322</v>
      </c>
      <c r="F485" s="72" t="str">
        <f t="shared" si="23"/>
        <v>34-67322</v>
      </c>
      <c r="G485" s="391" t="s">
        <v>1003</v>
      </c>
      <c r="H485" s="331">
        <v>12161.87</v>
      </c>
      <c r="I485" s="331">
        <v>11182.34</v>
      </c>
      <c r="J485" s="331">
        <v>11514.06</v>
      </c>
      <c r="K485" s="331">
        <v>13690.67</v>
      </c>
      <c r="L485" s="491" t="s">
        <v>29</v>
      </c>
      <c r="M485" s="491" t="s">
        <v>29</v>
      </c>
      <c r="N485" s="491" t="s">
        <v>29</v>
      </c>
      <c r="O485" s="491" t="s">
        <v>29</v>
      </c>
      <c r="P485" s="491">
        <v>0</v>
      </c>
      <c r="Q485" s="491">
        <v>0</v>
      </c>
      <c r="R485" s="491">
        <v>0</v>
      </c>
      <c r="S485" s="491">
        <v>0</v>
      </c>
      <c r="T485" s="1025" t="b">
        <v>0</v>
      </c>
      <c r="U485" s="491">
        <v>0.88</v>
      </c>
      <c r="V485" s="491">
        <v>1.58</v>
      </c>
      <c r="W485" s="491">
        <v>0</v>
      </c>
      <c r="X485" s="491">
        <v>0.72</v>
      </c>
      <c r="Y485" s="1025" t="b">
        <v>0</v>
      </c>
      <c r="Z485" s="331">
        <v>0</v>
      </c>
      <c r="AA485" s="331">
        <v>0</v>
      </c>
      <c r="AB485" s="331">
        <v>0</v>
      </c>
      <c r="AC485" s="331">
        <v>0</v>
      </c>
      <c r="AD485" s="1025" t="b">
        <v>0</v>
      </c>
      <c r="AE485" s="331">
        <v>0.04</v>
      </c>
      <c r="AF485" s="331">
        <v>0.02</v>
      </c>
      <c r="AG485" s="331">
        <v>0</v>
      </c>
      <c r="AH485" s="331">
        <v>0</v>
      </c>
      <c r="AI485" s="1025" t="b">
        <v>0</v>
      </c>
      <c r="AJ485" s="331">
        <v>0</v>
      </c>
      <c r="AK485" s="331">
        <v>0</v>
      </c>
      <c r="AL485" s="331">
        <v>0</v>
      </c>
      <c r="AM485" s="331">
        <v>0</v>
      </c>
      <c r="AN485" s="1025" t="b">
        <v>0</v>
      </c>
      <c r="AO485" s="331">
        <v>0</v>
      </c>
      <c r="AP485" s="331">
        <v>0</v>
      </c>
      <c r="AQ485" s="331">
        <v>0</v>
      </c>
      <c r="AR485" s="331">
        <v>0</v>
      </c>
      <c r="AS485" s="1025" t="b">
        <v>0</v>
      </c>
      <c r="AT485" s="1025" t="b">
        <v>0</v>
      </c>
      <c r="AU485" s="331">
        <v>38938</v>
      </c>
      <c r="AV485" s="491" t="s">
        <v>29</v>
      </c>
    </row>
    <row r="486" spans="1:48">
      <c r="A486" s="72">
        <v>34</v>
      </c>
      <c r="B486" s="391" t="s">
        <v>43</v>
      </c>
      <c r="C486" s="72">
        <f t="shared" si="21"/>
        <v>3</v>
      </c>
      <c r="D486" s="72" t="str">
        <f t="shared" si="22"/>
        <v>34-3</v>
      </c>
      <c r="E486" s="72">
        <v>67330</v>
      </c>
      <c r="F486" s="72" t="str">
        <f t="shared" si="23"/>
        <v>34-67330</v>
      </c>
      <c r="G486" s="391" t="s">
        <v>1004</v>
      </c>
      <c r="H486" s="331">
        <v>10839.27</v>
      </c>
      <c r="I486" s="331">
        <v>9966.26</v>
      </c>
      <c r="J486" s="331">
        <v>10261.9</v>
      </c>
      <c r="K486" s="331">
        <v>12201.81</v>
      </c>
      <c r="L486" s="491" t="s">
        <v>29</v>
      </c>
      <c r="M486" s="491" t="s">
        <v>29</v>
      </c>
      <c r="N486" s="491" t="s">
        <v>29</v>
      </c>
      <c r="O486" s="491" t="s">
        <v>29</v>
      </c>
      <c r="P486" s="491">
        <v>0</v>
      </c>
      <c r="Q486" s="491">
        <v>0</v>
      </c>
      <c r="R486" s="491">
        <v>94.54</v>
      </c>
      <c r="S486" s="491">
        <v>22.73</v>
      </c>
      <c r="T486" s="1025" t="b">
        <v>0</v>
      </c>
      <c r="U486" s="491">
        <v>0</v>
      </c>
      <c r="V486" s="491">
        <v>0</v>
      </c>
      <c r="W486" s="491">
        <v>0</v>
      </c>
      <c r="X486" s="491">
        <v>0</v>
      </c>
      <c r="Y486" s="1025" t="b">
        <v>0</v>
      </c>
      <c r="Z486" s="331">
        <v>0</v>
      </c>
      <c r="AA486" s="331">
        <v>0</v>
      </c>
      <c r="AB486" s="331">
        <v>0</v>
      </c>
      <c r="AC486" s="331">
        <v>0</v>
      </c>
      <c r="AD486" s="1025" t="b">
        <v>0</v>
      </c>
      <c r="AE486" s="331">
        <v>0</v>
      </c>
      <c r="AF486" s="331">
        <v>0</v>
      </c>
      <c r="AG486" s="331">
        <v>0</v>
      </c>
      <c r="AH486" s="331">
        <v>0</v>
      </c>
      <c r="AI486" s="1025" t="b">
        <v>0</v>
      </c>
      <c r="AJ486" s="331">
        <v>0</v>
      </c>
      <c r="AK486" s="331">
        <v>0</v>
      </c>
      <c r="AL486" s="331">
        <v>0</v>
      </c>
      <c r="AM486" s="331">
        <v>0</v>
      </c>
      <c r="AN486" s="1025" t="b">
        <v>0</v>
      </c>
      <c r="AO486" s="331">
        <v>0</v>
      </c>
      <c r="AP486" s="331">
        <v>0</v>
      </c>
      <c r="AQ486" s="331">
        <v>0</v>
      </c>
      <c r="AR486" s="331">
        <v>0</v>
      </c>
      <c r="AS486" s="1025" t="b">
        <v>0</v>
      </c>
      <c r="AT486" s="1025" t="b">
        <v>0</v>
      </c>
      <c r="AU486" s="331">
        <v>1247507</v>
      </c>
      <c r="AV486" s="491" t="s">
        <v>29</v>
      </c>
    </row>
    <row r="487" spans="1:48">
      <c r="A487" s="72">
        <v>34</v>
      </c>
      <c r="B487" s="391" t="s">
        <v>43</v>
      </c>
      <c r="C487" s="72">
        <f t="shared" si="21"/>
        <v>4</v>
      </c>
      <c r="D487" s="72" t="str">
        <f t="shared" si="22"/>
        <v>34-4</v>
      </c>
      <c r="E487" s="72">
        <v>67348</v>
      </c>
      <c r="F487" s="72" t="str">
        <f t="shared" si="23"/>
        <v>34-67348</v>
      </c>
      <c r="G487" s="391" t="s">
        <v>1005</v>
      </c>
      <c r="H487" s="331">
        <v>11749.02</v>
      </c>
      <c r="I487" s="331">
        <v>10802.73</v>
      </c>
      <c r="J487" s="331">
        <v>11123.19</v>
      </c>
      <c r="K487" s="331">
        <v>13225.92</v>
      </c>
      <c r="L487" s="491" t="s">
        <v>29</v>
      </c>
      <c r="M487" s="491" t="s">
        <v>29</v>
      </c>
      <c r="N487" s="491" t="s">
        <v>29</v>
      </c>
      <c r="O487" s="491" t="s">
        <v>29</v>
      </c>
      <c r="P487" s="491">
        <v>0</v>
      </c>
      <c r="Q487" s="491">
        <v>0</v>
      </c>
      <c r="R487" s="491">
        <v>0.28999999999999998</v>
      </c>
      <c r="S487" s="491">
        <v>0</v>
      </c>
      <c r="T487" s="1025" t="b">
        <v>0</v>
      </c>
      <c r="U487" s="491">
        <v>3.09</v>
      </c>
      <c r="V487" s="491">
        <v>1.4</v>
      </c>
      <c r="W487" s="491">
        <v>2.86</v>
      </c>
      <c r="X487" s="491">
        <v>0</v>
      </c>
      <c r="Y487" s="1025" t="b">
        <v>0</v>
      </c>
      <c r="Z487" s="331">
        <v>0</v>
      </c>
      <c r="AA487" s="331">
        <v>0</v>
      </c>
      <c r="AB487" s="331">
        <v>0</v>
      </c>
      <c r="AC487" s="331">
        <v>0</v>
      </c>
      <c r="AD487" s="1025" t="b">
        <v>0</v>
      </c>
      <c r="AE487" s="331">
        <v>0.02</v>
      </c>
      <c r="AF487" s="331">
        <v>0</v>
      </c>
      <c r="AG487" s="331">
        <v>0</v>
      </c>
      <c r="AH487" s="331">
        <v>0</v>
      </c>
      <c r="AI487" s="1025" t="b">
        <v>0</v>
      </c>
      <c r="AJ487" s="331">
        <v>0</v>
      </c>
      <c r="AK487" s="331">
        <v>0</v>
      </c>
      <c r="AL487" s="331">
        <v>0</v>
      </c>
      <c r="AM487" s="331">
        <v>0</v>
      </c>
      <c r="AN487" s="1025" t="b">
        <v>0</v>
      </c>
      <c r="AO487" s="331">
        <v>0</v>
      </c>
      <c r="AP487" s="331">
        <v>0</v>
      </c>
      <c r="AQ487" s="331">
        <v>0</v>
      </c>
      <c r="AR487" s="331">
        <v>0</v>
      </c>
      <c r="AS487" s="1025" t="b">
        <v>0</v>
      </c>
      <c r="AT487" s="1025" t="b">
        <v>0</v>
      </c>
      <c r="AU487" s="331">
        <v>86701</v>
      </c>
      <c r="AV487" s="491" t="s">
        <v>29</v>
      </c>
    </row>
    <row r="488" spans="1:48">
      <c r="A488" s="72">
        <v>34</v>
      </c>
      <c r="B488" s="391" t="s">
        <v>43</v>
      </c>
      <c r="C488" s="72">
        <f t="shared" si="21"/>
        <v>5</v>
      </c>
      <c r="D488" s="72" t="str">
        <f t="shared" si="22"/>
        <v>34-5</v>
      </c>
      <c r="E488" s="72">
        <v>67355</v>
      </c>
      <c r="F488" s="72" t="str">
        <f t="shared" si="23"/>
        <v>34-67355</v>
      </c>
      <c r="G488" s="391" t="s">
        <v>1006</v>
      </c>
      <c r="H488" s="331">
        <v>11153.97</v>
      </c>
      <c r="I488" s="331">
        <v>10255.61</v>
      </c>
      <c r="J488" s="331">
        <v>10559.84</v>
      </c>
      <c r="K488" s="331">
        <v>12556.07</v>
      </c>
      <c r="L488" s="491" t="s">
        <v>29</v>
      </c>
      <c r="M488" s="491" t="s">
        <v>29</v>
      </c>
      <c r="N488" s="491" t="s">
        <v>29</v>
      </c>
      <c r="O488" s="491" t="s">
        <v>29</v>
      </c>
      <c r="P488" s="491">
        <v>0</v>
      </c>
      <c r="Q488" s="491">
        <v>0</v>
      </c>
      <c r="R488" s="491">
        <v>0</v>
      </c>
      <c r="S488" s="491">
        <v>22.76</v>
      </c>
      <c r="T488" s="1025" t="b">
        <v>0</v>
      </c>
      <c r="U488" s="491">
        <v>0</v>
      </c>
      <c r="V488" s="491">
        <v>0</v>
      </c>
      <c r="W488" s="491">
        <v>0.13</v>
      </c>
      <c r="X488" s="491">
        <v>20.96</v>
      </c>
      <c r="Y488" s="1025" t="b">
        <v>0</v>
      </c>
      <c r="Z488" s="331">
        <v>0</v>
      </c>
      <c r="AA488" s="331">
        <v>0</v>
      </c>
      <c r="AB488" s="331">
        <v>0</v>
      </c>
      <c r="AC488" s="331">
        <v>0</v>
      </c>
      <c r="AD488" s="1025" t="b">
        <v>0</v>
      </c>
      <c r="AE488" s="331">
        <v>0</v>
      </c>
      <c r="AF488" s="331">
        <v>0</v>
      </c>
      <c r="AG488" s="331">
        <v>0</v>
      </c>
      <c r="AH488" s="331">
        <v>0.32</v>
      </c>
      <c r="AI488" s="1025" t="b">
        <v>0</v>
      </c>
      <c r="AJ488" s="331">
        <v>0</v>
      </c>
      <c r="AK488" s="331">
        <v>0</v>
      </c>
      <c r="AL488" s="331">
        <v>0</v>
      </c>
      <c r="AM488" s="331">
        <v>0</v>
      </c>
      <c r="AN488" s="1025" t="b">
        <v>0</v>
      </c>
      <c r="AO488" s="331">
        <v>0</v>
      </c>
      <c r="AP488" s="331">
        <v>0</v>
      </c>
      <c r="AQ488" s="331">
        <v>0</v>
      </c>
      <c r="AR488" s="331">
        <v>0</v>
      </c>
      <c r="AS488" s="1025" t="b">
        <v>0</v>
      </c>
      <c r="AT488" s="1025" t="b">
        <v>0</v>
      </c>
      <c r="AU488" s="331">
        <v>554342</v>
      </c>
      <c r="AV488" s="491" t="s">
        <v>29</v>
      </c>
    </row>
    <row r="489" spans="1:48">
      <c r="A489" s="72">
        <v>34</v>
      </c>
      <c r="B489" s="391" t="s">
        <v>43</v>
      </c>
      <c r="C489" s="72">
        <f t="shared" si="21"/>
        <v>6</v>
      </c>
      <c r="D489" s="72" t="str">
        <f t="shared" si="22"/>
        <v>34-6</v>
      </c>
      <c r="E489" s="72">
        <v>67413</v>
      </c>
      <c r="F489" s="72" t="str">
        <f t="shared" si="23"/>
        <v>34-67413</v>
      </c>
      <c r="G489" s="391" t="s">
        <v>1007</v>
      </c>
      <c r="H489" s="331">
        <v>11773.1</v>
      </c>
      <c r="I489" s="331">
        <v>10824.88</v>
      </c>
      <c r="J489" s="331">
        <v>11145.99</v>
      </c>
      <c r="K489" s="331">
        <v>13253.03</v>
      </c>
      <c r="L489" s="491" t="s">
        <v>29</v>
      </c>
      <c r="M489" s="491" t="s">
        <v>29</v>
      </c>
      <c r="N489" s="491" t="s">
        <v>29</v>
      </c>
      <c r="O489" s="491" t="s">
        <v>29</v>
      </c>
      <c r="P489" s="491">
        <v>0</v>
      </c>
      <c r="Q489" s="491">
        <v>0</v>
      </c>
      <c r="R489" s="491">
        <v>0</v>
      </c>
      <c r="S489" s="491">
        <v>1.1100000000000001</v>
      </c>
      <c r="T489" s="1025" t="b">
        <v>0</v>
      </c>
      <c r="U489" s="491">
        <v>0</v>
      </c>
      <c r="V489" s="491">
        <v>0.85</v>
      </c>
      <c r="W489" s="491">
        <v>0</v>
      </c>
      <c r="X489" s="491">
        <v>3.28</v>
      </c>
      <c r="Y489" s="1025" t="b">
        <v>0</v>
      </c>
      <c r="Z489" s="331">
        <v>0</v>
      </c>
      <c r="AA489" s="331">
        <v>0</v>
      </c>
      <c r="AB489" s="331">
        <v>0</v>
      </c>
      <c r="AC489" s="331">
        <v>0</v>
      </c>
      <c r="AD489" s="1025" t="b">
        <v>0</v>
      </c>
      <c r="AE489" s="331">
        <v>0</v>
      </c>
      <c r="AF489" s="331">
        <v>0</v>
      </c>
      <c r="AG489" s="331">
        <v>0</v>
      </c>
      <c r="AH489" s="331">
        <v>0.02</v>
      </c>
      <c r="AI489" s="1025" t="b">
        <v>0</v>
      </c>
      <c r="AJ489" s="331">
        <v>0</v>
      </c>
      <c r="AK489" s="331">
        <v>0</v>
      </c>
      <c r="AL489" s="331">
        <v>0</v>
      </c>
      <c r="AM489" s="331">
        <v>0</v>
      </c>
      <c r="AN489" s="1025" t="b">
        <v>0</v>
      </c>
      <c r="AO489" s="331">
        <v>0</v>
      </c>
      <c r="AP489" s="331">
        <v>0</v>
      </c>
      <c r="AQ489" s="331">
        <v>0</v>
      </c>
      <c r="AR489" s="331">
        <v>0</v>
      </c>
      <c r="AS489" s="1025" t="b">
        <v>0</v>
      </c>
      <c r="AT489" s="1025" t="b">
        <v>0</v>
      </c>
      <c r="AU489" s="331">
        <v>67647</v>
      </c>
      <c r="AV489" s="491" t="s">
        <v>29</v>
      </c>
    </row>
    <row r="490" spans="1:48">
      <c r="A490" s="72">
        <v>34</v>
      </c>
      <c r="B490" s="391" t="s">
        <v>43</v>
      </c>
      <c r="C490" s="72">
        <f t="shared" si="21"/>
        <v>7</v>
      </c>
      <c r="D490" s="72" t="str">
        <f t="shared" si="22"/>
        <v>34-7</v>
      </c>
      <c r="E490" s="72">
        <v>67421</v>
      </c>
      <c r="F490" s="72" t="str">
        <f t="shared" si="23"/>
        <v>34-67421</v>
      </c>
      <c r="G490" s="391" t="s">
        <v>1008</v>
      </c>
      <c r="H490" s="331">
        <v>14255.39</v>
      </c>
      <c r="I490" s="331">
        <v>13107.24</v>
      </c>
      <c r="J490" s="331">
        <v>13496.06</v>
      </c>
      <c r="K490" s="331">
        <v>16047.36</v>
      </c>
      <c r="L490" s="491" t="s">
        <v>29</v>
      </c>
      <c r="M490" s="491" t="s">
        <v>29</v>
      </c>
      <c r="N490" s="491" t="s">
        <v>29</v>
      </c>
      <c r="O490" s="491" t="s">
        <v>29</v>
      </c>
      <c r="P490" s="491">
        <v>0</v>
      </c>
      <c r="Q490" s="491">
        <v>0</v>
      </c>
      <c r="R490" s="491">
        <v>0</v>
      </c>
      <c r="S490" s="491">
        <v>0</v>
      </c>
      <c r="T490" s="1025" t="b">
        <v>0</v>
      </c>
      <c r="U490" s="491">
        <v>1.04</v>
      </c>
      <c r="V490" s="491">
        <v>0.19</v>
      </c>
      <c r="W490" s="491">
        <v>0</v>
      </c>
      <c r="X490" s="491">
        <v>0</v>
      </c>
      <c r="Y490" s="1025" t="b">
        <v>0</v>
      </c>
      <c r="Z490" s="331">
        <v>0</v>
      </c>
      <c r="AA490" s="331">
        <v>0</v>
      </c>
      <c r="AB490" s="331">
        <v>0</v>
      </c>
      <c r="AC490" s="331">
        <v>0</v>
      </c>
      <c r="AD490" s="1025" t="b">
        <v>0</v>
      </c>
      <c r="AE490" s="331">
        <v>0.05</v>
      </c>
      <c r="AF490" s="331">
        <v>0</v>
      </c>
      <c r="AG490" s="331">
        <v>0</v>
      </c>
      <c r="AH490" s="331">
        <v>0</v>
      </c>
      <c r="AI490" s="1025" t="b">
        <v>0</v>
      </c>
      <c r="AJ490" s="331">
        <v>0</v>
      </c>
      <c r="AK490" s="331">
        <v>0</v>
      </c>
      <c r="AL490" s="331">
        <v>0</v>
      </c>
      <c r="AM490" s="331">
        <v>0</v>
      </c>
      <c r="AN490" s="1025" t="b">
        <v>0</v>
      </c>
      <c r="AO490" s="331">
        <v>0</v>
      </c>
      <c r="AP490" s="331">
        <v>0</v>
      </c>
      <c r="AQ490" s="331">
        <v>0</v>
      </c>
      <c r="AR490" s="331">
        <v>0</v>
      </c>
      <c r="AS490" s="1025" t="b">
        <v>0</v>
      </c>
      <c r="AT490" s="1025" t="b">
        <v>0</v>
      </c>
      <c r="AU490" s="331">
        <v>18028</v>
      </c>
      <c r="AV490" s="491" t="s">
        <v>29</v>
      </c>
    </row>
    <row r="491" spans="1:48">
      <c r="A491" s="72">
        <v>34</v>
      </c>
      <c r="B491" s="391" t="s">
        <v>43</v>
      </c>
      <c r="C491" s="72">
        <f t="shared" si="21"/>
        <v>8</v>
      </c>
      <c r="D491" s="72" t="str">
        <f t="shared" si="22"/>
        <v>34-8</v>
      </c>
      <c r="E491" s="72">
        <v>67439</v>
      </c>
      <c r="F491" s="72" t="str">
        <f t="shared" si="23"/>
        <v>34-67439</v>
      </c>
      <c r="G491" s="391" t="s">
        <v>1009</v>
      </c>
      <c r="H491" s="491">
        <v>12554.95</v>
      </c>
      <c r="I491" s="491">
        <v>11543.75</v>
      </c>
      <c r="J491" s="491">
        <v>11886.19</v>
      </c>
      <c r="K491" s="491">
        <v>14133.16</v>
      </c>
      <c r="L491" s="491" t="s">
        <v>29</v>
      </c>
      <c r="M491" s="491" t="s">
        <v>29</v>
      </c>
      <c r="N491" s="491" t="s">
        <v>29</v>
      </c>
      <c r="O491" s="491" t="s">
        <v>29</v>
      </c>
      <c r="P491" s="491">
        <v>0</v>
      </c>
      <c r="Q491" s="491">
        <v>0</v>
      </c>
      <c r="R491" s="491">
        <v>0</v>
      </c>
      <c r="S491" s="491">
        <v>82.6</v>
      </c>
      <c r="T491" s="1025" t="b">
        <v>0</v>
      </c>
      <c r="U491" s="491">
        <v>6.38</v>
      </c>
      <c r="V491" s="491">
        <v>1.33</v>
      </c>
      <c r="W491" s="491">
        <v>3.98</v>
      </c>
      <c r="X491" s="491">
        <v>12.66</v>
      </c>
      <c r="Y491" s="1025" t="b">
        <v>0</v>
      </c>
      <c r="Z491" s="491">
        <v>0</v>
      </c>
      <c r="AA491" s="491">
        <v>0</v>
      </c>
      <c r="AB491" s="491">
        <v>0</v>
      </c>
      <c r="AC491" s="491">
        <v>0</v>
      </c>
      <c r="AD491" s="1025" t="b">
        <v>0</v>
      </c>
      <c r="AE491" s="491">
        <v>0.1</v>
      </c>
      <c r="AF491" s="491">
        <v>0.02</v>
      </c>
      <c r="AG491" s="491">
        <v>0.09</v>
      </c>
      <c r="AH491" s="491">
        <v>0.25</v>
      </c>
      <c r="AI491" s="1025" t="b">
        <v>0</v>
      </c>
      <c r="AJ491" s="491">
        <v>0</v>
      </c>
      <c r="AK491" s="491">
        <v>0</v>
      </c>
      <c r="AL491" s="491">
        <v>0</v>
      </c>
      <c r="AM491" s="491">
        <v>0</v>
      </c>
      <c r="AN491" s="1025" t="b">
        <v>0</v>
      </c>
      <c r="AO491" s="491">
        <v>0</v>
      </c>
      <c r="AP491" s="491">
        <v>0</v>
      </c>
      <c r="AQ491" s="491">
        <v>0</v>
      </c>
      <c r="AR491" s="491">
        <v>0</v>
      </c>
      <c r="AS491" s="1025" t="b">
        <v>0</v>
      </c>
      <c r="AT491" s="1025" t="b">
        <v>0</v>
      </c>
      <c r="AU491" s="491">
        <v>1495175</v>
      </c>
      <c r="AV491" s="491" t="s">
        <v>29</v>
      </c>
    </row>
    <row r="492" spans="1:48">
      <c r="A492" s="72">
        <v>34</v>
      </c>
      <c r="B492" s="391" t="s">
        <v>43</v>
      </c>
      <c r="C492" s="72">
        <f t="shared" si="21"/>
        <v>9</v>
      </c>
      <c r="D492" s="72" t="str">
        <f t="shared" si="22"/>
        <v>34-9</v>
      </c>
      <c r="E492" s="72">
        <v>67447</v>
      </c>
      <c r="F492" s="72" t="str">
        <f t="shared" si="23"/>
        <v>34-67447</v>
      </c>
      <c r="G492" s="391" t="s">
        <v>1010</v>
      </c>
      <c r="H492" s="331">
        <v>11225.61</v>
      </c>
      <c r="I492" s="331">
        <v>10321.49</v>
      </c>
      <c r="J492" s="331">
        <v>10627.67</v>
      </c>
      <c r="K492" s="331">
        <v>12636.72</v>
      </c>
      <c r="L492" s="491" t="s">
        <v>29</v>
      </c>
      <c r="M492" s="491" t="s">
        <v>29</v>
      </c>
      <c r="N492" s="491" t="s">
        <v>29</v>
      </c>
      <c r="O492" s="491" t="s">
        <v>29</v>
      </c>
      <c r="P492" s="491">
        <v>0</v>
      </c>
      <c r="Q492" s="491">
        <v>0</v>
      </c>
      <c r="R492" s="491">
        <v>15.73</v>
      </c>
      <c r="S492" s="491">
        <v>105.31</v>
      </c>
      <c r="T492" s="1025" t="b">
        <v>0</v>
      </c>
      <c r="U492" s="491">
        <v>0</v>
      </c>
      <c r="V492" s="491">
        <v>0</v>
      </c>
      <c r="W492" s="491">
        <v>0</v>
      </c>
      <c r="X492" s="491">
        <v>0</v>
      </c>
      <c r="Y492" s="1025" t="b">
        <v>0</v>
      </c>
      <c r="Z492" s="331">
        <v>0</v>
      </c>
      <c r="AA492" s="331">
        <v>0</v>
      </c>
      <c r="AB492" s="331">
        <v>0</v>
      </c>
      <c r="AC492" s="331">
        <v>0</v>
      </c>
      <c r="AD492" s="1025" t="b">
        <v>0</v>
      </c>
      <c r="AE492" s="331">
        <v>0</v>
      </c>
      <c r="AF492" s="331">
        <v>0</v>
      </c>
      <c r="AG492" s="331">
        <v>0</v>
      </c>
      <c r="AH492" s="331">
        <v>0</v>
      </c>
      <c r="AI492" s="1025" t="b">
        <v>0</v>
      </c>
      <c r="AJ492" s="331">
        <v>0</v>
      </c>
      <c r="AK492" s="331">
        <v>0</v>
      </c>
      <c r="AL492" s="331">
        <v>0</v>
      </c>
      <c r="AM492" s="331">
        <v>0</v>
      </c>
      <c r="AN492" s="1025" t="b">
        <v>0</v>
      </c>
      <c r="AO492" s="331">
        <v>0</v>
      </c>
      <c r="AP492" s="331">
        <v>0</v>
      </c>
      <c r="AQ492" s="331">
        <v>0</v>
      </c>
      <c r="AR492" s="331">
        <v>0</v>
      </c>
      <c r="AS492" s="1025" t="b">
        <v>0</v>
      </c>
      <c r="AT492" s="1025" t="b">
        <v>1</v>
      </c>
      <c r="AU492" s="331">
        <v>1497946</v>
      </c>
      <c r="AV492" s="491" t="s">
        <v>29</v>
      </c>
    </row>
    <row r="493" spans="1:48">
      <c r="A493" s="72">
        <v>34</v>
      </c>
      <c r="B493" s="391" t="s">
        <v>43</v>
      </c>
      <c r="C493" s="72">
        <f t="shared" si="21"/>
        <v>10</v>
      </c>
      <c r="D493" s="72" t="str">
        <f t="shared" si="22"/>
        <v>34-10</v>
      </c>
      <c r="E493" s="72">
        <v>73973</v>
      </c>
      <c r="F493" s="72" t="str">
        <f t="shared" si="23"/>
        <v>34-73973</v>
      </c>
      <c r="G493" s="391" t="s">
        <v>1011</v>
      </c>
      <c r="H493" s="491">
        <v>12317.56</v>
      </c>
      <c r="I493" s="491">
        <v>11325.48</v>
      </c>
      <c r="J493" s="491">
        <v>11661.45</v>
      </c>
      <c r="K493" s="491">
        <v>13865.92</v>
      </c>
      <c r="L493" s="491" t="s">
        <v>29</v>
      </c>
      <c r="M493" s="491" t="s">
        <v>29</v>
      </c>
      <c r="N493" s="491" t="s">
        <v>29</v>
      </c>
      <c r="O493" s="491" t="s">
        <v>29</v>
      </c>
      <c r="P493" s="491">
        <v>0</v>
      </c>
      <c r="Q493" s="491">
        <v>0</v>
      </c>
      <c r="R493" s="491">
        <v>34.81</v>
      </c>
      <c r="S493" s="491">
        <v>24.59</v>
      </c>
      <c r="T493" s="1025" t="b">
        <v>0</v>
      </c>
      <c r="U493" s="491">
        <v>2.83</v>
      </c>
      <c r="V493" s="491">
        <v>11.47</v>
      </c>
      <c r="W493" s="491">
        <v>14.09</v>
      </c>
      <c r="X493" s="491">
        <v>7.19</v>
      </c>
      <c r="Y493" s="1025" t="b">
        <v>0</v>
      </c>
      <c r="Z493" s="491">
        <v>0</v>
      </c>
      <c r="AA493" s="491">
        <v>0</v>
      </c>
      <c r="AB493" s="491">
        <v>0</v>
      </c>
      <c r="AC493" s="491">
        <v>0</v>
      </c>
      <c r="AD493" s="1025" t="b">
        <v>0</v>
      </c>
      <c r="AE493" s="491">
        <v>0.12</v>
      </c>
      <c r="AF493" s="491">
        <v>0.15</v>
      </c>
      <c r="AG493" s="491">
        <v>0.1</v>
      </c>
      <c r="AH493" s="491">
        <v>0.16</v>
      </c>
      <c r="AI493" s="1025" t="b">
        <v>0</v>
      </c>
      <c r="AJ493" s="491">
        <v>0</v>
      </c>
      <c r="AK493" s="491">
        <v>0</v>
      </c>
      <c r="AL493" s="491">
        <v>0</v>
      </c>
      <c r="AM493" s="491">
        <v>0</v>
      </c>
      <c r="AN493" s="1025" t="b">
        <v>0</v>
      </c>
      <c r="AO493" s="491">
        <v>0</v>
      </c>
      <c r="AP493" s="491">
        <v>0</v>
      </c>
      <c r="AQ493" s="491">
        <v>0</v>
      </c>
      <c r="AR493" s="491">
        <v>0</v>
      </c>
      <c r="AS493" s="1025" t="b">
        <v>0</v>
      </c>
      <c r="AT493" s="1025" t="b">
        <v>0</v>
      </c>
      <c r="AU493" s="491">
        <v>1182227</v>
      </c>
      <c r="AV493" s="491" t="s">
        <v>29</v>
      </c>
    </row>
    <row r="494" spans="1:48">
      <c r="A494" s="72">
        <v>34</v>
      </c>
      <c r="B494" s="391" t="s">
        <v>43</v>
      </c>
      <c r="C494" s="72">
        <f t="shared" si="21"/>
        <v>11</v>
      </c>
      <c r="D494" s="72" t="str">
        <f t="shared" si="22"/>
        <v>34-11</v>
      </c>
      <c r="E494" s="72">
        <v>75283</v>
      </c>
      <c r="F494" s="72" t="str">
        <f t="shared" si="23"/>
        <v>34-75283</v>
      </c>
      <c r="G494" s="391" t="s">
        <v>1012</v>
      </c>
      <c r="H494" s="331">
        <v>11976.95</v>
      </c>
      <c r="I494" s="331">
        <v>11012.31</v>
      </c>
      <c r="J494" s="331">
        <v>11338.98</v>
      </c>
      <c r="K494" s="331">
        <v>13482.5</v>
      </c>
      <c r="L494" s="491" t="s">
        <v>29</v>
      </c>
      <c r="M494" s="491" t="s">
        <v>29</v>
      </c>
      <c r="N494" s="491" t="s">
        <v>29</v>
      </c>
      <c r="O494" s="491" t="s">
        <v>29</v>
      </c>
      <c r="P494" s="491">
        <v>0</v>
      </c>
      <c r="Q494" s="491">
        <v>0</v>
      </c>
      <c r="R494" s="491">
        <v>5.13</v>
      </c>
      <c r="S494" s="491">
        <v>39.49</v>
      </c>
      <c r="T494" s="1025" t="b">
        <v>0</v>
      </c>
      <c r="U494" s="491">
        <v>0</v>
      </c>
      <c r="V494" s="491">
        <v>0</v>
      </c>
      <c r="W494" s="491">
        <v>0</v>
      </c>
      <c r="X494" s="491">
        <v>0</v>
      </c>
      <c r="Y494" s="1025" t="b">
        <v>0</v>
      </c>
      <c r="Z494" s="331">
        <v>0</v>
      </c>
      <c r="AA494" s="331">
        <v>0</v>
      </c>
      <c r="AB494" s="331">
        <v>0</v>
      </c>
      <c r="AC494" s="331">
        <v>0</v>
      </c>
      <c r="AD494" s="1025" t="b">
        <v>0</v>
      </c>
      <c r="AE494" s="331">
        <v>0</v>
      </c>
      <c r="AF494" s="331">
        <v>0</v>
      </c>
      <c r="AG494" s="331">
        <v>0</v>
      </c>
      <c r="AH494" s="331">
        <v>0</v>
      </c>
      <c r="AI494" s="1025" t="b">
        <v>0</v>
      </c>
      <c r="AJ494" s="331">
        <v>0</v>
      </c>
      <c r="AK494" s="331">
        <v>0</v>
      </c>
      <c r="AL494" s="331">
        <v>0</v>
      </c>
      <c r="AM494" s="331">
        <v>0</v>
      </c>
      <c r="AN494" s="1025" t="b">
        <v>0</v>
      </c>
      <c r="AO494" s="331">
        <v>0</v>
      </c>
      <c r="AP494" s="331">
        <v>0</v>
      </c>
      <c r="AQ494" s="331">
        <v>0</v>
      </c>
      <c r="AR494" s="331">
        <v>0</v>
      </c>
      <c r="AS494" s="1025" t="b">
        <v>0</v>
      </c>
      <c r="AT494" s="1025" t="b">
        <v>0</v>
      </c>
      <c r="AU494" s="331">
        <v>590593</v>
      </c>
      <c r="AV494" s="491" t="s">
        <v>29</v>
      </c>
    </row>
    <row r="495" spans="1:48">
      <c r="A495" s="72">
        <v>34</v>
      </c>
      <c r="B495" s="391" t="s">
        <v>43</v>
      </c>
      <c r="C495" s="72">
        <f t="shared" si="21"/>
        <v>12</v>
      </c>
      <c r="D495" s="72" t="str">
        <f t="shared" si="22"/>
        <v>34-12</v>
      </c>
      <c r="E495" s="72">
        <v>76505</v>
      </c>
      <c r="F495" s="72" t="str">
        <f t="shared" si="23"/>
        <v>34-76505</v>
      </c>
      <c r="G495" s="391" t="s">
        <v>1013</v>
      </c>
      <c r="H495" s="331">
        <v>14305.28</v>
      </c>
      <c r="I495" s="331">
        <v>13153.11</v>
      </c>
      <c r="J495" s="331">
        <v>13543.29</v>
      </c>
      <c r="K495" s="331">
        <v>16103.51</v>
      </c>
      <c r="L495" s="491" t="s">
        <v>29</v>
      </c>
      <c r="M495" s="491" t="s">
        <v>29</v>
      </c>
      <c r="N495" s="491" t="s">
        <v>29</v>
      </c>
      <c r="O495" s="491" t="s">
        <v>29</v>
      </c>
      <c r="P495" s="491">
        <v>0</v>
      </c>
      <c r="Q495" s="491">
        <v>0</v>
      </c>
      <c r="R495" s="491">
        <v>1.07</v>
      </c>
      <c r="S495" s="491">
        <v>59.81</v>
      </c>
      <c r="T495" s="1025" t="b">
        <v>0</v>
      </c>
      <c r="U495" s="491">
        <v>3.35</v>
      </c>
      <c r="V495" s="491">
        <v>2.2999999999999998</v>
      </c>
      <c r="W495" s="491">
        <v>3.1</v>
      </c>
      <c r="X495" s="491">
        <v>11.05</v>
      </c>
      <c r="Y495" s="1025" t="b">
        <v>0</v>
      </c>
      <c r="Z495" s="331">
        <v>0</v>
      </c>
      <c r="AA495" s="331">
        <v>0</v>
      </c>
      <c r="AB495" s="331">
        <v>0</v>
      </c>
      <c r="AC495" s="331">
        <v>0</v>
      </c>
      <c r="AD495" s="1025" t="b">
        <v>0</v>
      </c>
      <c r="AE495" s="331">
        <v>0.03</v>
      </c>
      <c r="AF495" s="331">
        <v>0.03</v>
      </c>
      <c r="AG495" s="331">
        <v>0.09</v>
      </c>
      <c r="AH495" s="331">
        <v>0.17</v>
      </c>
      <c r="AI495" s="1025" t="b">
        <v>0</v>
      </c>
      <c r="AJ495" s="331">
        <v>0</v>
      </c>
      <c r="AK495" s="331">
        <v>0</v>
      </c>
      <c r="AL495" s="331">
        <v>0</v>
      </c>
      <c r="AM495" s="331">
        <v>0</v>
      </c>
      <c r="AN495" s="1025" t="b">
        <v>0</v>
      </c>
      <c r="AO495" s="331">
        <v>0</v>
      </c>
      <c r="AP495" s="331">
        <v>0</v>
      </c>
      <c r="AQ495" s="331">
        <v>0</v>
      </c>
      <c r="AR495" s="331">
        <v>0</v>
      </c>
      <c r="AS495" s="1025" t="b">
        <v>0</v>
      </c>
      <c r="AT495" s="1025" t="b">
        <v>0</v>
      </c>
      <c r="AU495" s="331">
        <v>1280525</v>
      </c>
      <c r="AV495" s="491" t="s">
        <v>29</v>
      </c>
    </row>
    <row r="496" spans="1:48">
      <c r="A496" s="72">
        <v>34</v>
      </c>
      <c r="B496" s="391" t="s">
        <v>43</v>
      </c>
      <c r="C496" s="72">
        <f t="shared" si="21"/>
        <v>0</v>
      </c>
      <c r="D496" s="72" t="str">
        <f t="shared" si="22"/>
        <v>34-0</v>
      </c>
      <c r="E496" s="72" t="s">
        <v>29</v>
      </c>
      <c r="F496" s="72" t="str">
        <f t="shared" si="23"/>
        <v>34-N/A</v>
      </c>
      <c r="G496" s="391" t="s">
        <v>29</v>
      </c>
      <c r="H496" s="491" t="s">
        <v>29</v>
      </c>
      <c r="I496" s="491" t="s">
        <v>29</v>
      </c>
      <c r="J496" s="491" t="s">
        <v>29</v>
      </c>
      <c r="K496" s="491" t="s">
        <v>29</v>
      </c>
      <c r="L496" s="491" t="s">
        <v>29</v>
      </c>
      <c r="M496" s="491" t="s">
        <v>29</v>
      </c>
      <c r="N496" s="491" t="s">
        <v>29</v>
      </c>
      <c r="O496" s="491" t="s">
        <v>29</v>
      </c>
      <c r="P496" s="491" t="s">
        <v>29</v>
      </c>
      <c r="Q496" s="491" t="s">
        <v>29</v>
      </c>
      <c r="R496" s="491" t="s">
        <v>29</v>
      </c>
      <c r="S496" s="491" t="s">
        <v>29</v>
      </c>
      <c r="T496" s="1025" t="s">
        <v>29</v>
      </c>
      <c r="U496" s="491" t="s">
        <v>29</v>
      </c>
      <c r="V496" s="491" t="s">
        <v>29</v>
      </c>
      <c r="W496" s="491" t="s">
        <v>29</v>
      </c>
      <c r="X496" s="491" t="s">
        <v>29</v>
      </c>
      <c r="Y496" s="1025" t="s">
        <v>29</v>
      </c>
      <c r="Z496" s="491" t="s">
        <v>29</v>
      </c>
      <c r="AA496" s="491" t="s">
        <v>29</v>
      </c>
      <c r="AB496" s="491" t="s">
        <v>29</v>
      </c>
      <c r="AC496" s="491" t="s">
        <v>29</v>
      </c>
      <c r="AD496" s="1025" t="s">
        <v>29</v>
      </c>
      <c r="AE496" s="491" t="s">
        <v>29</v>
      </c>
      <c r="AF496" s="491" t="s">
        <v>29</v>
      </c>
      <c r="AG496" s="491" t="s">
        <v>29</v>
      </c>
      <c r="AH496" s="491" t="s">
        <v>29</v>
      </c>
      <c r="AI496" s="1025" t="s">
        <v>29</v>
      </c>
      <c r="AJ496" s="491" t="s">
        <v>29</v>
      </c>
      <c r="AK496" s="491" t="s">
        <v>29</v>
      </c>
      <c r="AL496" s="491" t="s">
        <v>29</v>
      </c>
      <c r="AM496" s="491" t="s">
        <v>29</v>
      </c>
      <c r="AN496" s="1025" t="s">
        <v>29</v>
      </c>
      <c r="AO496" s="491" t="s">
        <v>29</v>
      </c>
      <c r="AP496" s="491" t="s">
        <v>29</v>
      </c>
      <c r="AQ496" s="491" t="s">
        <v>29</v>
      </c>
      <c r="AR496" s="491" t="s">
        <v>29</v>
      </c>
      <c r="AS496" s="1025" t="s">
        <v>29</v>
      </c>
      <c r="AT496" s="1025" t="s">
        <v>29</v>
      </c>
      <c r="AU496" s="491" t="s">
        <v>29</v>
      </c>
      <c r="AV496" s="491">
        <v>9172529</v>
      </c>
    </row>
    <row r="497" spans="1:48">
      <c r="A497" s="72">
        <v>35</v>
      </c>
      <c r="B497" s="391" t="s">
        <v>70</v>
      </c>
      <c r="C497" s="72">
        <f t="shared" si="21"/>
        <v>1</v>
      </c>
      <c r="D497" s="72" t="str">
        <f t="shared" si="22"/>
        <v>35-1</v>
      </c>
      <c r="E497" s="72">
        <v>67470</v>
      </c>
      <c r="F497" s="72" t="str">
        <f t="shared" si="23"/>
        <v>35-67470</v>
      </c>
      <c r="G497" s="391" t="s">
        <v>1014</v>
      </c>
      <c r="H497" s="331">
        <v>12252.19</v>
      </c>
      <c r="I497" s="331">
        <v>11265.38</v>
      </c>
      <c r="J497" s="331">
        <v>11599.56</v>
      </c>
      <c r="K497" s="331">
        <v>13792.34</v>
      </c>
      <c r="L497" s="491" t="s">
        <v>29</v>
      </c>
      <c r="M497" s="491" t="s">
        <v>29</v>
      </c>
      <c r="N497" s="491" t="s">
        <v>29</v>
      </c>
      <c r="O497" s="491" t="s">
        <v>29</v>
      </c>
      <c r="P497" s="491">
        <v>0</v>
      </c>
      <c r="Q497" s="491">
        <v>0</v>
      </c>
      <c r="R497" s="491">
        <v>3.07</v>
      </c>
      <c r="S497" s="491">
        <v>0</v>
      </c>
      <c r="T497" s="1025" t="b">
        <v>0</v>
      </c>
      <c r="U497" s="491">
        <v>0</v>
      </c>
      <c r="V497" s="491">
        <v>0</v>
      </c>
      <c r="W497" s="491">
        <v>0</v>
      </c>
      <c r="X497" s="491">
        <v>0</v>
      </c>
      <c r="Y497" s="1025" t="b">
        <v>0</v>
      </c>
      <c r="Z497" s="331">
        <v>0</v>
      </c>
      <c r="AA497" s="331">
        <v>0</v>
      </c>
      <c r="AB497" s="331">
        <v>0</v>
      </c>
      <c r="AC497" s="331">
        <v>0</v>
      </c>
      <c r="AD497" s="1025" t="b">
        <v>0</v>
      </c>
      <c r="AE497" s="331">
        <v>0</v>
      </c>
      <c r="AF497" s="331">
        <v>0</v>
      </c>
      <c r="AG497" s="331">
        <v>0</v>
      </c>
      <c r="AH497" s="331">
        <v>0</v>
      </c>
      <c r="AI497" s="1025" t="b">
        <v>0</v>
      </c>
      <c r="AJ497" s="331">
        <v>0</v>
      </c>
      <c r="AK497" s="331">
        <v>0</v>
      </c>
      <c r="AL497" s="331">
        <v>0</v>
      </c>
      <c r="AM497" s="331">
        <v>0</v>
      </c>
      <c r="AN497" s="1025" t="b">
        <v>0</v>
      </c>
      <c r="AO497" s="331">
        <v>0</v>
      </c>
      <c r="AP497" s="331">
        <v>0</v>
      </c>
      <c r="AQ497" s="331">
        <v>0</v>
      </c>
      <c r="AR497" s="331">
        <v>0</v>
      </c>
      <c r="AS497" s="1025" t="b">
        <v>0</v>
      </c>
      <c r="AT497" s="1025" t="b">
        <v>0</v>
      </c>
      <c r="AU497" s="331">
        <v>35611</v>
      </c>
      <c r="AV497" s="491" t="s">
        <v>29</v>
      </c>
    </row>
    <row r="498" spans="1:48">
      <c r="A498" s="72">
        <v>35</v>
      </c>
      <c r="B498" s="391" t="s">
        <v>70</v>
      </c>
      <c r="C498" s="72">
        <f t="shared" si="21"/>
        <v>2</v>
      </c>
      <c r="D498" s="72" t="str">
        <f t="shared" si="22"/>
        <v>35-2</v>
      </c>
      <c r="E498" s="72">
        <v>67538</v>
      </c>
      <c r="F498" s="72" t="str">
        <f t="shared" si="23"/>
        <v>35-67538</v>
      </c>
      <c r="G498" s="391" t="s">
        <v>1015</v>
      </c>
      <c r="H498" s="331">
        <v>11390.35</v>
      </c>
      <c r="I498" s="331">
        <v>10472.950000000001</v>
      </c>
      <c r="J498" s="331">
        <v>10783.63</v>
      </c>
      <c r="K498" s="331">
        <v>12822.17</v>
      </c>
      <c r="L498" s="491" t="s">
        <v>29</v>
      </c>
      <c r="M498" s="491" t="s">
        <v>29</v>
      </c>
      <c r="N498" s="491" t="s">
        <v>29</v>
      </c>
      <c r="O498" s="491" t="s">
        <v>29</v>
      </c>
      <c r="P498" s="491">
        <v>0</v>
      </c>
      <c r="Q498" s="491">
        <v>0</v>
      </c>
      <c r="R498" s="491">
        <v>0</v>
      </c>
      <c r="S498" s="491">
        <v>12.17</v>
      </c>
      <c r="T498" s="1025" t="b">
        <v>0</v>
      </c>
      <c r="U498" s="491">
        <v>0</v>
      </c>
      <c r="V498" s="491">
        <v>0</v>
      </c>
      <c r="W498" s="491">
        <v>0</v>
      </c>
      <c r="X498" s="491">
        <v>0</v>
      </c>
      <c r="Y498" s="1025" t="b">
        <v>0</v>
      </c>
      <c r="Z498" s="331">
        <v>0</v>
      </c>
      <c r="AA498" s="331">
        <v>0</v>
      </c>
      <c r="AB498" s="331">
        <v>0</v>
      </c>
      <c r="AC498" s="331">
        <v>0</v>
      </c>
      <c r="AD498" s="1025" t="b">
        <v>0</v>
      </c>
      <c r="AE498" s="331">
        <v>0</v>
      </c>
      <c r="AF498" s="331">
        <v>0</v>
      </c>
      <c r="AG498" s="331">
        <v>0</v>
      </c>
      <c r="AH498" s="331">
        <v>0</v>
      </c>
      <c r="AI498" s="1025" t="b">
        <v>0</v>
      </c>
      <c r="AJ498" s="331">
        <v>0</v>
      </c>
      <c r="AK498" s="331">
        <v>0</v>
      </c>
      <c r="AL498" s="331">
        <v>0</v>
      </c>
      <c r="AM498" s="331">
        <v>0</v>
      </c>
      <c r="AN498" s="1025" t="b">
        <v>0</v>
      </c>
      <c r="AO498" s="331">
        <v>0</v>
      </c>
      <c r="AP498" s="331">
        <v>0</v>
      </c>
      <c r="AQ498" s="331">
        <v>0</v>
      </c>
      <c r="AR498" s="331">
        <v>0</v>
      </c>
      <c r="AS498" s="1025" t="b">
        <v>0</v>
      </c>
      <c r="AT498" s="1025" t="b">
        <v>0</v>
      </c>
      <c r="AU498" s="331">
        <v>156046</v>
      </c>
      <c r="AV498" s="491" t="s">
        <v>29</v>
      </c>
    </row>
    <row r="499" spans="1:48">
      <c r="A499" s="72">
        <v>35</v>
      </c>
      <c r="B499" s="391" t="s">
        <v>70</v>
      </c>
      <c r="C499" s="72">
        <f t="shared" si="21"/>
        <v>0</v>
      </c>
      <c r="D499" s="72" t="str">
        <f t="shared" si="22"/>
        <v>35-0</v>
      </c>
      <c r="E499" s="72" t="s">
        <v>29</v>
      </c>
      <c r="F499" s="72" t="str">
        <f t="shared" si="23"/>
        <v>35-N/A</v>
      </c>
      <c r="G499" s="391" t="s">
        <v>29</v>
      </c>
      <c r="H499" s="491" t="s">
        <v>29</v>
      </c>
      <c r="I499" s="491" t="s">
        <v>29</v>
      </c>
      <c r="J499" s="491" t="s">
        <v>29</v>
      </c>
      <c r="K499" s="491" t="s">
        <v>29</v>
      </c>
      <c r="L499" s="491" t="s">
        <v>29</v>
      </c>
      <c r="M499" s="491" t="s">
        <v>29</v>
      </c>
      <c r="N499" s="491" t="s">
        <v>29</v>
      </c>
      <c r="O499" s="491" t="s">
        <v>29</v>
      </c>
      <c r="P499" s="491" t="s">
        <v>29</v>
      </c>
      <c r="Q499" s="491" t="s">
        <v>29</v>
      </c>
      <c r="R499" s="491" t="s">
        <v>29</v>
      </c>
      <c r="S499" s="491" t="s">
        <v>29</v>
      </c>
      <c r="T499" s="1025" t="s">
        <v>29</v>
      </c>
      <c r="U499" s="491" t="s">
        <v>29</v>
      </c>
      <c r="V499" s="491" t="s">
        <v>29</v>
      </c>
      <c r="W499" s="491" t="s">
        <v>29</v>
      </c>
      <c r="X499" s="491" t="s">
        <v>29</v>
      </c>
      <c r="Y499" s="1025" t="s">
        <v>29</v>
      </c>
      <c r="Z499" s="491" t="s">
        <v>29</v>
      </c>
      <c r="AA499" s="491" t="s">
        <v>29</v>
      </c>
      <c r="AB499" s="491" t="s">
        <v>29</v>
      </c>
      <c r="AC499" s="491" t="s">
        <v>29</v>
      </c>
      <c r="AD499" s="1025" t="s">
        <v>29</v>
      </c>
      <c r="AE499" s="491" t="s">
        <v>29</v>
      </c>
      <c r="AF499" s="491" t="s">
        <v>29</v>
      </c>
      <c r="AG499" s="491" t="s">
        <v>29</v>
      </c>
      <c r="AH499" s="491" t="s">
        <v>29</v>
      </c>
      <c r="AI499" s="1025" t="s">
        <v>29</v>
      </c>
      <c r="AJ499" s="491" t="s">
        <v>29</v>
      </c>
      <c r="AK499" s="491" t="s">
        <v>29</v>
      </c>
      <c r="AL499" s="491" t="s">
        <v>29</v>
      </c>
      <c r="AM499" s="491" t="s">
        <v>29</v>
      </c>
      <c r="AN499" s="1025" t="s">
        <v>29</v>
      </c>
      <c r="AO499" s="491" t="s">
        <v>29</v>
      </c>
      <c r="AP499" s="491" t="s">
        <v>29</v>
      </c>
      <c r="AQ499" s="491" t="s">
        <v>29</v>
      </c>
      <c r="AR499" s="491" t="s">
        <v>29</v>
      </c>
      <c r="AS499" s="1025" t="s">
        <v>29</v>
      </c>
      <c r="AT499" s="1025" t="s">
        <v>29</v>
      </c>
      <c r="AU499" s="491" t="s">
        <v>29</v>
      </c>
      <c r="AV499" s="491">
        <v>191657</v>
      </c>
    </row>
    <row r="500" spans="1:48">
      <c r="A500" s="72">
        <v>36</v>
      </c>
      <c r="B500" s="391" t="s">
        <v>110</v>
      </c>
      <c r="C500" s="72">
        <f t="shared" si="21"/>
        <v>1</v>
      </c>
      <c r="D500" s="72" t="str">
        <f t="shared" si="22"/>
        <v>36-1</v>
      </c>
      <c r="E500" s="72">
        <v>67587</v>
      </c>
      <c r="F500" s="72" t="str">
        <f t="shared" si="23"/>
        <v>36-67587</v>
      </c>
      <c r="G500" s="391" t="s">
        <v>974</v>
      </c>
      <c r="H500" s="331">
        <v>13353.99</v>
      </c>
      <c r="I500" s="331">
        <v>12278.44</v>
      </c>
      <c r="J500" s="331">
        <v>12642.68</v>
      </c>
      <c r="K500" s="331">
        <v>15032.65</v>
      </c>
      <c r="L500" s="1072">
        <v>0</v>
      </c>
      <c r="M500" s="1072">
        <v>0</v>
      </c>
      <c r="N500" s="1072">
        <v>0</v>
      </c>
      <c r="O500" s="1072">
        <v>0</v>
      </c>
      <c r="P500" s="491">
        <v>0</v>
      </c>
      <c r="Q500" s="491">
        <v>0</v>
      </c>
      <c r="R500" s="491">
        <v>0</v>
      </c>
      <c r="S500" s="491">
        <v>0</v>
      </c>
      <c r="T500" s="1025" t="b">
        <v>0</v>
      </c>
      <c r="U500" s="491">
        <v>40.36</v>
      </c>
      <c r="V500" s="491">
        <v>21.79</v>
      </c>
      <c r="W500" s="491">
        <v>16.329999999999998</v>
      </c>
      <c r="X500" s="491">
        <v>0</v>
      </c>
      <c r="Y500" s="1025" t="b">
        <v>1</v>
      </c>
      <c r="Z500" s="331">
        <v>0</v>
      </c>
      <c r="AA500" s="331">
        <v>0</v>
      </c>
      <c r="AB500" s="331">
        <v>0</v>
      </c>
      <c r="AC500" s="331">
        <v>0</v>
      </c>
      <c r="AD500" s="1025" t="b">
        <v>0</v>
      </c>
      <c r="AE500" s="331">
        <v>1.26</v>
      </c>
      <c r="AF500" s="331">
        <v>0.54</v>
      </c>
      <c r="AG500" s="331">
        <v>0.34</v>
      </c>
      <c r="AH500" s="331">
        <v>0</v>
      </c>
      <c r="AI500" s="1025" t="b">
        <v>1</v>
      </c>
      <c r="AJ500" s="331">
        <v>0</v>
      </c>
      <c r="AK500" s="331">
        <v>0</v>
      </c>
      <c r="AL500" s="331">
        <v>0</v>
      </c>
      <c r="AM500" s="331">
        <v>0</v>
      </c>
      <c r="AN500" s="1025" t="b">
        <v>0</v>
      </c>
      <c r="AO500" s="331">
        <v>0</v>
      </c>
      <c r="AP500" s="331">
        <v>0</v>
      </c>
      <c r="AQ500" s="331">
        <v>0</v>
      </c>
      <c r="AR500" s="331">
        <v>0</v>
      </c>
      <c r="AS500" s="1025" t="b">
        <v>0</v>
      </c>
      <c r="AT500" s="1025" t="b">
        <v>1</v>
      </c>
      <c r="AU500" s="331">
        <v>0</v>
      </c>
      <c r="AV500" s="491" t="s">
        <v>29</v>
      </c>
    </row>
    <row r="501" spans="1:48">
      <c r="A501" s="72">
        <v>36</v>
      </c>
      <c r="B501" s="391" t="s">
        <v>110</v>
      </c>
      <c r="C501" s="72">
        <f t="shared" si="21"/>
        <v>2</v>
      </c>
      <c r="D501" s="72" t="str">
        <f t="shared" si="22"/>
        <v>36-2</v>
      </c>
      <c r="E501" s="72">
        <v>67595</v>
      </c>
      <c r="F501" s="72" t="str">
        <f t="shared" si="23"/>
        <v>36-67595</v>
      </c>
      <c r="G501" s="391" t="s">
        <v>1016</v>
      </c>
      <c r="H501" s="331">
        <v>10865.78</v>
      </c>
      <c r="I501" s="331">
        <v>9990.64</v>
      </c>
      <c r="J501" s="331">
        <v>10287</v>
      </c>
      <c r="K501" s="331">
        <v>12231.66</v>
      </c>
      <c r="L501" s="1072">
        <v>0</v>
      </c>
      <c r="M501" s="1072">
        <v>0</v>
      </c>
      <c r="N501" s="1072">
        <v>0</v>
      </c>
      <c r="O501" s="1072">
        <v>0</v>
      </c>
      <c r="P501" s="491">
        <v>0</v>
      </c>
      <c r="Q501" s="491">
        <v>0</v>
      </c>
      <c r="R501" s="491">
        <v>0</v>
      </c>
      <c r="S501" s="491">
        <v>0</v>
      </c>
      <c r="T501" s="1025" t="b">
        <v>0</v>
      </c>
      <c r="U501" s="491">
        <v>10.84</v>
      </c>
      <c r="V501" s="491">
        <v>4.51</v>
      </c>
      <c r="W501" s="491">
        <v>2.0299999999999998</v>
      </c>
      <c r="X501" s="491">
        <v>0</v>
      </c>
      <c r="Y501" s="1025" t="b">
        <v>1</v>
      </c>
      <c r="Z501" s="331">
        <v>0</v>
      </c>
      <c r="AA501" s="331">
        <v>0</v>
      </c>
      <c r="AB501" s="331">
        <v>0</v>
      </c>
      <c r="AC501" s="331">
        <v>0</v>
      </c>
      <c r="AD501" s="1025" t="b">
        <v>0</v>
      </c>
      <c r="AE501" s="331">
        <v>0.82</v>
      </c>
      <c r="AF501" s="331">
        <v>0.31</v>
      </c>
      <c r="AG501" s="331">
        <v>0</v>
      </c>
      <c r="AH501" s="331">
        <v>0</v>
      </c>
      <c r="AI501" s="1025" t="b">
        <v>1</v>
      </c>
      <c r="AJ501" s="331">
        <v>0</v>
      </c>
      <c r="AK501" s="331">
        <v>0</v>
      </c>
      <c r="AL501" s="331">
        <v>0</v>
      </c>
      <c r="AM501" s="331">
        <v>0</v>
      </c>
      <c r="AN501" s="1025" t="b">
        <v>0</v>
      </c>
      <c r="AO501" s="331">
        <v>0</v>
      </c>
      <c r="AP501" s="331">
        <v>0</v>
      </c>
      <c r="AQ501" s="331">
        <v>0</v>
      </c>
      <c r="AR501" s="331">
        <v>0</v>
      </c>
      <c r="AS501" s="1025" t="b">
        <v>0</v>
      </c>
      <c r="AT501" s="1025" t="b">
        <v>1</v>
      </c>
      <c r="AU501" s="331">
        <v>0</v>
      </c>
      <c r="AV501" s="491" t="s">
        <v>29</v>
      </c>
    </row>
    <row r="502" spans="1:48">
      <c r="A502" s="72">
        <v>36</v>
      </c>
      <c r="B502" s="391" t="s">
        <v>110</v>
      </c>
      <c r="C502" s="72">
        <f t="shared" si="21"/>
        <v>3</v>
      </c>
      <c r="D502" s="72" t="str">
        <f t="shared" si="22"/>
        <v>36-3</v>
      </c>
      <c r="E502" s="72">
        <v>67611</v>
      </c>
      <c r="F502" s="72" t="str">
        <f t="shared" si="23"/>
        <v>36-67611</v>
      </c>
      <c r="G502" s="391" t="s">
        <v>1017</v>
      </c>
      <c r="H502" s="331">
        <v>13233.58</v>
      </c>
      <c r="I502" s="331">
        <v>12167.72</v>
      </c>
      <c r="J502" s="331">
        <v>12528.68</v>
      </c>
      <c r="K502" s="331">
        <v>14897.09</v>
      </c>
      <c r="L502" s="1072">
        <v>0</v>
      </c>
      <c r="M502" s="1072">
        <v>0</v>
      </c>
      <c r="N502" s="1072">
        <v>0</v>
      </c>
      <c r="O502" s="1072">
        <v>0</v>
      </c>
      <c r="P502" s="491">
        <v>0</v>
      </c>
      <c r="Q502" s="491">
        <v>0</v>
      </c>
      <c r="R502" s="491">
        <v>0</v>
      </c>
      <c r="S502" s="491">
        <v>0</v>
      </c>
      <c r="T502" s="1025" t="b">
        <v>0</v>
      </c>
      <c r="U502" s="491">
        <v>20.71</v>
      </c>
      <c r="V502" s="491">
        <v>23.38</v>
      </c>
      <c r="W502" s="491">
        <v>5.85</v>
      </c>
      <c r="X502" s="491">
        <v>9.7799999999999994</v>
      </c>
      <c r="Y502" s="1025" t="b">
        <v>1</v>
      </c>
      <c r="Z502" s="331">
        <v>0</v>
      </c>
      <c r="AA502" s="331">
        <v>0</v>
      </c>
      <c r="AB502" s="331">
        <v>0</v>
      </c>
      <c r="AC502" s="331">
        <v>0</v>
      </c>
      <c r="AD502" s="1025" t="b">
        <v>0</v>
      </c>
      <c r="AE502" s="331">
        <v>0</v>
      </c>
      <c r="AF502" s="331">
        <v>0</v>
      </c>
      <c r="AG502" s="331">
        <v>0</v>
      </c>
      <c r="AH502" s="331">
        <v>0</v>
      </c>
      <c r="AI502" s="1025" t="b">
        <v>0</v>
      </c>
      <c r="AJ502" s="331">
        <v>0</v>
      </c>
      <c r="AK502" s="331">
        <v>0</v>
      </c>
      <c r="AL502" s="331">
        <v>0</v>
      </c>
      <c r="AM502" s="331">
        <v>0</v>
      </c>
      <c r="AN502" s="1025" t="b">
        <v>0</v>
      </c>
      <c r="AO502" s="331">
        <v>0</v>
      </c>
      <c r="AP502" s="331">
        <v>0</v>
      </c>
      <c r="AQ502" s="331">
        <v>0</v>
      </c>
      <c r="AR502" s="331">
        <v>0</v>
      </c>
      <c r="AS502" s="1025" t="b">
        <v>0</v>
      </c>
      <c r="AT502" s="1025" t="b">
        <v>1</v>
      </c>
      <c r="AU502" s="331">
        <v>0</v>
      </c>
      <c r="AV502" s="491" t="s">
        <v>29</v>
      </c>
    </row>
    <row r="503" spans="1:48">
      <c r="A503" s="72">
        <v>36</v>
      </c>
      <c r="B503" s="391" t="s">
        <v>110</v>
      </c>
      <c r="C503" s="72">
        <f t="shared" si="21"/>
        <v>4</v>
      </c>
      <c r="D503" s="72" t="str">
        <f t="shared" si="22"/>
        <v>36-4</v>
      </c>
      <c r="E503" s="72">
        <v>67637</v>
      </c>
      <c r="F503" s="72" t="str">
        <f t="shared" si="23"/>
        <v>36-67637</v>
      </c>
      <c r="G503" s="391" t="s">
        <v>1018</v>
      </c>
      <c r="H503" s="331">
        <v>12456.89</v>
      </c>
      <c r="I503" s="331">
        <v>11453.6</v>
      </c>
      <c r="J503" s="331">
        <v>11793.36</v>
      </c>
      <c r="K503" s="331">
        <v>14022.78</v>
      </c>
      <c r="L503" s="1072">
        <v>0</v>
      </c>
      <c r="M503" s="1072">
        <v>0</v>
      </c>
      <c r="N503" s="1072">
        <v>0</v>
      </c>
      <c r="O503" s="1072">
        <v>0</v>
      </c>
      <c r="P503" s="491">
        <v>0</v>
      </c>
      <c r="Q503" s="491">
        <v>0</v>
      </c>
      <c r="R503" s="491">
        <v>0</v>
      </c>
      <c r="S503" s="491">
        <v>0</v>
      </c>
      <c r="T503" s="1025" t="b">
        <v>0</v>
      </c>
      <c r="U503" s="491">
        <v>11.05</v>
      </c>
      <c r="V503" s="491">
        <v>5.49</v>
      </c>
      <c r="W503" s="491">
        <v>0</v>
      </c>
      <c r="X503" s="491">
        <v>1.8</v>
      </c>
      <c r="Y503" s="1025" t="b">
        <v>1</v>
      </c>
      <c r="Z503" s="331">
        <v>0</v>
      </c>
      <c r="AA503" s="331">
        <v>0</v>
      </c>
      <c r="AB503" s="331">
        <v>0</v>
      </c>
      <c r="AC503" s="331">
        <v>0</v>
      </c>
      <c r="AD503" s="1025" t="b">
        <v>0</v>
      </c>
      <c r="AE503" s="331">
        <v>0.38</v>
      </c>
      <c r="AF503" s="331">
        <v>0.08</v>
      </c>
      <c r="AG503" s="331">
        <v>0</v>
      </c>
      <c r="AH503" s="331">
        <v>0</v>
      </c>
      <c r="AI503" s="1025" t="b">
        <v>1</v>
      </c>
      <c r="AJ503" s="331">
        <v>0</v>
      </c>
      <c r="AK503" s="331">
        <v>0</v>
      </c>
      <c r="AL503" s="331">
        <v>0</v>
      </c>
      <c r="AM503" s="331">
        <v>0</v>
      </c>
      <c r="AN503" s="1025" t="b">
        <v>0</v>
      </c>
      <c r="AO503" s="331">
        <v>0</v>
      </c>
      <c r="AP503" s="331">
        <v>0</v>
      </c>
      <c r="AQ503" s="331">
        <v>0</v>
      </c>
      <c r="AR503" s="331">
        <v>0</v>
      </c>
      <c r="AS503" s="1025" t="b">
        <v>0</v>
      </c>
      <c r="AT503" s="1025" t="b">
        <v>1</v>
      </c>
      <c r="AU503" s="331">
        <v>0</v>
      </c>
      <c r="AV503" s="491" t="s">
        <v>29</v>
      </c>
    </row>
    <row r="504" spans="1:48">
      <c r="A504" s="72">
        <v>36</v>
      </c>
      <c r="B504" s="391" t="s">
        <v>110</v>
      </c>
      <c r="C504" s="72">
        <f t="shared" si="21"/>
        <v>5</v>
      </c>
      <c r="D504" s="72" t="str">
        <f t="shared" si="22"/>
        <v>36-5</v>
      </c>
      <c r="E504" s="72">
        <v>67645</v>
      </c>
      <c r="F504" s="72" t="str">
        <f t="shared" si="23"/>
        <v>36-67645</v>
      </c>
      <c r="G504" s="391" t="s">
        <v>1019</v>
      </c>
      <c r="H504" s="331">
        <v>12340.78</v>
      </c>
      <c r="I504" s="331">
        <v>11346.83</v>
      </c>
      <c r="J504" s="331">
        <v>11683.43</v>
      </c>
      <c r="K504" s="331">
        <v>13892.06</v>
      </c>
      <c r="L504" s="1072">
        <v>0</v>
      </c>
      <c r="M504" s="1072">
        <v>0</v>
      </c>
      <c r="N504" s="1072">
        <v>0</v>
      </c>
      <c r="O504" s="1072">
        <v>0</v>
      </c>
      <c r="P504" s="491">
        <v>0</v>
      </c>
      <c r="Q504" s="491">
        <v>0</v>
      </c>
      <c r="R504" s="491">
        <v>0</v>
      </c>
      <c r="S504" s="491">
        <v>0</v>
      </c>
      <c r="T504" s="1025" t="b">
        <v>0</v>
      </c>
      <c r="U504" s="491">
        <v>27.07</v>
      </c>
      <c r="V504" s="491">
        <v>14.39</v>
      </c>
      <c r="W504" s="491">
        <v>9.2100000000000009</v>
      </c>
      <c r="X504" s="491">
        <v>0</v>
      </c>
      <c r="Y504" s="1025" t="b">
        <v>1</v>
      </c>
      <c r="Z504" s="331">
        <v>0</v>
      </c>
      <c r="AA504" s="331">
        <v>0</v>
      </c>
      <c r="AB504" s="331">
        <v>0</v>
      </c>
      <c r="AC504" s="331">
        <v>0</v>
      </c>
      <c r="AD504" s="1025" t="b">
        <v>0</v>
      </c>
      <c r="AE504" s="331">
        <v>2.04</v>
      </c>
      <c r="AF504" s="331">
        <v>1.07</v>
      </c>
      <c r="AG504" s="331">
        <v>0.34</v>
      </c>
      <c r="AH504" s="331">
        <v>0</v>
      </c>
      <c r="AI504" s="1025" t="b">
        <v>1</v>
      </c>
      <c r="AJ504" s="331">
        <v>0</v>
      </c>
      <c r="AK504" s="331">
        <v>0</v>
      </c>
      <c r="AL504" s="331">
        <v>0</v>
      </c>
      <c r="AM504" s="331">
        <v>0</v>
      </c>
      <c r="AN504" s="1025" t="b">
        <v>0</v>
      </c>
      <c r="AO504" s="331">
        <v>0</v>
      </c>
      <c r="AP504" s="331">
        <v>0</v>
      </c>
      <c r="AQ504" s="331">
        <v>0</v>
      </c>
      <c r="AR504" s="331">
        <v>0</v>
      </c>
      <c r="AS504" s="1025" t="b">
        <v>0</v>
      </c>
      <c r="AT504" s="1025" t="b">
        <v>1</v>
      </c>
      <c r="AU504" s="331">
        <v>0</v>
      </c>
      <c r="AV504" s="491" t="s">
        <v>29</v>
      </c>
    </row>
    <row r="505" spans="1:48">
      <c r="A505" s="72">
        <v>36</v>
      </c>
      <c r="B505" s="391" t="s">
        <v>110</v>
      </c>
      <c r="C505" s="72">
        <f t="shared" si="21"/>
        <v>6</v>
      </c>
      <c r="D505" s="72" t="str">
        <f t="shared" si="22"/>
        <v>36-6</v>
      </c>
      <c r="E505" s="72">
        <v>67652</v>
      </c>
      <c r="F505" s="72" t="str">
        <f t="shared" si="23"/>
        <v>36-67652</v>
      </c>
      <c r="G505" s="391" t="s">
        <v>849</v>
      </c>
      <c r="H505" s="331">
        <v>12136.07</v>
      </c>
      <c r="I505" s="331">
        <v>11158.61</v>
      </c>
      <c r="J505" s="331">
        <v>11489.63</v>
      </c>
      <c r="K505" s="331">
        <v>13661.62</v>
      </c>
      <c r="L505" s="1072">
        <v>0</v>
      </c>
      <c r="M505" s="1072">
        <v>0</v>
      </c>
      <c r="N505" s="1072">
        <v>0</v>
      </c>
      <c r="O505" s="1072">
        <v>0</v>
      </c>
      <c r="P505" s="491">
        <v>0</v>
      </c>
      <c r="Q505" s="491">
        <v>0</v>
      </c>
      <c r="R505" s="491">
        <v>0</v>
      </c>
      <c r="S505" s="491">
        <v>0</v>
      </c>
      <c r="T505" s="1025" t="b">
        <v>0</v>
      </c>
      <c r="U505" s="491">
        <v>0</v>
      </c>
      <c r="V505" s="491">
        <v>0</v>
      </c>
      <c r="W505" s="491">
        <v>0</v>
      </c>
      <c r="X505" s="491">
        <v>113.01</v>
      </c>
      <c r="Y505" s="1025" t="b">
        <v>1</v>
      </c>
      <c r="Z505" s="331">
        <v>0</v>
      </c>
      <c r="AA505" s="331">
        <v>0</v>
      </c>
      <c r="AB505" s="331">
        <v>0</v>
      </c>
      <c r="AC505" s="331">
        <v>0</v>
      </c>
      <c r="AD505" s="1025" t="b">
        <v>0</v>
      </c>
      <c r="AE505" s="331">
        <v>0</v>
      </c>
      <c r="AF505" s="331">
        <v>0</v>
      </c>
      <c r="AG505" s="331">
        <v>0</v>
      </c>
      <c r="AH505" s="331">
        <v>6.57</v>
      </c>
      <c r="AI505" s="1025" t="b">
        <v>1</v>
      </c>
      <c r="AJ505" s="331">
        <v>0</v>
      </c>
      <c r="AK505" s="331">
        <v>0</v>
      </c>
      <c r="AL505" s="331">
        <v>0</v>
      </c>
      <c r="AM505" s="331">
        <v>0</v>
      </c>
      <c r="AN505" s="1025" t="b">
        <v>0</v>
      </c>
      <c r="AO505" s="331">
        <v>0</v>
      </c>
      <c r="AP505" s="331">
        <v>0</v>
      </c>
      <c r="AQ505" s="331">
        <v>0</v>
      </c>
      <c r="AR505" s="331">
        <v>0</v>
      </c>
      <c r="AS505" s="1025" t="b">
        <v>0</v>
      </c>
      <c r="AT505" s="1025" t="b">
        <v>1</v>
      </c>
      <c r="AU505" s="331">
        <v>0</v>
      </c>
      <c r="AV505" s="491" t="s">
        <v>29</v>
      </c>
    </row>
    <row r="506" spans="1:48">
      <c r="A506" s="72">
        <v>36</v>
      </c>
      <c r="B506" s="391" t="s">
        <v>110</v>
      </c>
      <c r="C506" s="72">
        <f t="shared" si="21"/>
        <v>7</v>
      </c>
      <c r="D506" s="72" t="str">
        <f t="shared" si="22"/>
        <v>36-7</v>
      </c>
      <c r="E506" s="72">
        <v>67678</v>
      </c>
      <c r="F506" s="72" t="str">
        <f t="shared" si="23"/>
        <v>36-67678</v>
      </c>
      <c r="G506" s="391" t="s">
        <v>850</v>
      </c>
      <c r="H506" s="331">
        <v>11055.82</v>
      </c>
      <c r="I506" s="331">
        <v>10165.36</v>
      </c>
      <c r="J506" s="331">
        <v>10466.92</v>
      </c>
      <c r="K506" s="331">
        <v>12445.58</v>
      </c>
      <c r="L506" s="1072">
        <v>0</v>
      </c>
      <c r="M506" s="1072">
        <v>0</v>
      </c>
      <c r="N506" s="1072">
        <v>0</v>
      </c>
      <c r="O506" s="1072">
        <v>0</v>
      </c>
      <c r="P506" s="491">
        <v>0</v>
      </c>
      <c r="Q506" s="491">
        <v>0</v>
      </c>
      <c r="R506" s="491">
        <v>0</v>
      </c>
      <c r="S506" s="491">
        <v>0</v>
      </c>
      <c r="T506" s="1025" t="b">
        <v>0</v>
      </c>
      <c r="U506" s="491">
        <v>30.37</v>
      </c>
      <c r="V506" s="491">
        <v>14.93</v>
      </c>
      <c r="W506" s="491">
        <v>4.96</v>
      </c>
      <c r="X506" s="491">
        <v>11.22</v>
      </c>
      <c r="Y506" s="1025" t="b">
        <v>1</v>
      </c>
      <c r="Z506" s="331">
        <v>0</v>
      </c>
      <c r="AA506" s="331">
        <v>0</v>
      </c>
      <c r="AB506" s="331">
        <v>0</v>
      </c>
      <c r="AC506" s="331">
        <v>0</v>
      </c>
      <c r="AD506" s="1025" t="b">
        <v>0</v>
      </c>
      <c r="AE506" s="331">
        <v>2.02</v>
      </c>
      <c r="AF506" s="331">
        <v>0.59</v>
      </c>
      <c r="AG506" s="331">
        <v>0.33</v>
      </c>
      <c r="AH506" s="331">
        <v>0.62</v>
      </c>
      <c r="AI506" s="1025" t="b">
        <v>1</v>
      </c>
      <c r="AJ506" s="331">
        <v>0</v>
      </c>
      <c r="AK506" s="331">
        <v>0</v>
      </c>
      <c r="AL506" s="331">
        <v>0</v>
      </c>
      <c r="AM506" s="331">
        <v>0</v>
      </c>
      <c r="AN506" s="1025" t="b">
        <v>0</v>
      </c>
      <c r="AO506" s="331">
        <v>0</v>
      </c>
      <c r="AP506" s="331">
        <v>0</v>
      </c>
      <c r="AQ506" s="331">
        <v>0</v>
      </c>
      <c r="AR506" s="331">
        <v>0</v>
      </c>
      <c r="AS506" s="1025" t="b">
        <v>0</v>
      </c>
      <c r="AT506" s="1025" t="b">
        <v>1</v>
      </c>
      <c r="AU506" s="331">
        <v>0</v>
      </c>
      <c r="AV506" s="491" t="s">
        <v>29</v>
      </c>
    </row>
    <row r="507" spans="1:48">
      <c r="A507" s="72">
        <v>36</v>
      </c>
      <c r="B507" s="391" t="s">
        <v>110</v>
      </c>
      <c r="C507" s="72">
        <f t="shared" si="21"/>
        <v>8</v>
      </c>
      <c r="D507" s="72" t="str">
        <f t="shared" si="22"/>
        <v>36-8</v>
      </c>
      <c r="E507" s="72">
        <v>67686</v>
      </c>
      <c r="F507" s="72" t="str">
        <f t="shared" si="23"/>
        <v>36-67686</v>
      </c>
      <c r="G507" s="391" t="s">
        <v>851</v>
      </c>
      <c r="H507" s="491">
        <v>13734.16</v>
      </c>
      <c r="I507" s="491">
        <v>12627.99</v>
      </c>
      <c r="J507" s="491">
        <v>13002.6</v>
      </c>
      <c r="K507" s="491">
        <v>15460.61</v>
      </c>
      <c r="L507" s="1072">
        <v>0</v>
      </c>
      <c r="M507" s="1072">
        <v>0</v>
      </c>
      <c r="N507" s="1072">
        <v>0</v>
      </c>
      <c r="O507" s="1072">
        <v>0</v>
      </c>
      <c r="P507" s="491">
        <v>0</v>
      </c>
      <c r="Q507" s="491">
        <v>0</v>
      </c>
      <c r="R507" s="491">
        <v>0</v>
      </c>
      <c r="S507" s="491">
        <v>0</v>
      </c>
      <c r="T507" s="1025" t="b">
        <v>0</v>
      </c>
      <c r="U507" s="491">
        <v>7.05</v>
      </c>
      <c r="V507" s="491">
        <v>3.04</v>
      </c>
      <c r="W507" s="491">
        <v>5.53</v>
      </c>
      <c r="X507" s="491">
        <v>15.84</v>
      </c>
      <c r="Y507" s="1025" t="b">
        <v>1</v>
      </c>
      <c r="Z507" s="491">
        <v>0</v>
      </c>
      <c r="AA507" s="491">
        <v>0</v>
      </c>
      <c r="AB507" s="491">
        <v>0</v>
      </c>
      <c r="AC507" s="491">
        <v>0</v>
      </c>
      <c r="AD507" s="1025" t="b">
        <v>0</v>
      </c>
      <c r="AE507" s="491">
        <v>0.45</v>
      </c>
      <c r="AF507" s="491">
        <v>0.02</v>
      </c>
      <c r="AG507" s="491">
        <v>0.5</v>
      </c>
      <c r="AH507" s="491">
        <v>0.9</v>
      </c>
      <c r="AI507" s="1025" t="b">
        <v>1</v>
      </c>
      <c r="AJ507" s="491">
        <v>0</v>
      </c>
      <c r="AK507" s="491">
        <v>0</v>
      </c>
      <c r="AL507" s="491">
        <v>0</v>
      </c>
      <c r="AM507" s="491">
        <v>0</v>
      </c>
      <c r="AN507" s="1025" t="b">
        <v>0</v>
      </c>
      <c r="AO507" s="491">
        <v>0</v>
      </c>
      <c r="AP507" s="491">
        <v>0</v>
      </c>
      <c r="AQ507" s="491">
        <v>0</v>
      </c>
      <c r="AR507" s="491">
        <v>0</v>
      </c>
      <c r="AS507" s="1025" t="b">
        <v>0</v>
      </c>
      <c r="AT507" s="1025" t="b">
        <v>1</v>
      </c>
      <c r="AU507" s="491">
        <v>0</v>
      </c>
      <c r="AV507" s="491" t="s">
        <v>29</v>
      </c>
    </row>
    <row r="508" spans="1:48">
      <c r="A508" s="72">
        <v>36</v>
      </c>
      <c r="B508" s="391" t="s">
        <v>110</v>
      </c>
      <c r="C508" s="72">
        <f t="shared" si="21"/>
        <v>9</v>
      </c>
      <c r="D508" s="72" t="str">
        <f t="shared" si="22"/>
        <v>36-9</v>
      </c>
      <c r="E508" s="72">
        <v>67694</v>
      </c>
      <c r="F508" s="72" t="str">
        <f t="shared" si="23"/>
        <v>36-67694</v>
      </c>
      <c r="G508" s="391" t="s">
        <v>975</v>
      </c>
      <c r="H508" s="331">
        <v>12234.98</v>
      </c>
      <c r="I508" s="331">
        <v>11249.56</v>
      </c>
      <c r="J508" s="331">
        <v>11583.27</v>
      </c>
      <c r="K508" s="331">
        <v>13772.97</v>
      </c>
      <c r="L508" s="1072">
        <v>0</v>
      </c>
      <c r="M508" s="1072">
        <v>0</v>
      </c>
      <c r="N508" s="1072">
        <v>0</v>
      </c>
      <c r="O508" s="1072">
        <v>0</v>
      </c>
      <c r="P508" s="491">
        <v>0</v>
      </c>
      <c r="Q508" s="491">
        <v>0</v>
      </c>
      <c r="R508" s="491">
        <v>0</v>
      </c>
      <c r="S508" s="491">
        <v>0</v>
      </c>
      <c r="T508" s="1025" t="b">
        <v>0</v>
      </c>
      <c r="U508" s="491">
        <v>12.39</v>
      </c>
      <c r="V508" s="491">
        <v>3.73</v>
      </c>
      <c r="W508" s="491">
        <v>2.89</v>
      </c>
      <c r="X508" s="491">
        <v>0</v>
      </c>
      <c r="Y508" s="1025" t="b">
        <v>1</v>
      </c>
      <c r="Z508" s="331">
        <v>0</v>
      </c>
      <c r="AA508" s="331">
        <v>0</v>
      </c>
      <c r="AB508" s="331">
        <v>0</v>
      </c>
      <c r="AC508" s="331">
        <v>0</v>
      </c>
      <c r="AD508" s="1025" t="b">
        <v>0</v>
      </c>
      <c r="AE508" s="331">
        <v>0.43</v>
      </c>
      <c r="AF508" s="331">
        <v>0.39</v>
      </c>
      <c r="AG508" s="331">
        <v>0</v>
      </c>
      <c r="AH508" s="331">
        <v>0</v>
      </c>
      <c r="AI508" s="1025" t="b">
        <v>1</v>
      </c>
      <c r="AJ508" s="331">
        <v>0</v>
      </c>
      <c r="AK508" s="331">
        <v>0</v>
      </c>
      <c r="AL508" s="331">
        <v>0</v>
      </c>
      <c r="AM508" s="331">
        <v>0</v>
      </c>
      <c r="AN508" s="1025" t="b">
        <v>0</v>
      </c>
      <c r="AO508" s="331">
        <v>0</v>
      </c>
      <c r="AP508" s="331">
        <v>0</v>
      </c>
      <c r="AQ508" s="331">
        <v>0</v>
      </c>
      <c r="AR508" s="331">
        <v>0</v>
      </c>
      <c r="AS508" s="1025" t="b">
        <v>0</v>
      </c>
      <c r="AT508" s="1025" t="b">
        <v>1</v>
      </c>
      <c r="AU508" s="331">
        <v>0</v>
      </c>
      <c r="AV508" s="491" t="s">
        <v>29</v>
      </c>
    </row>
    <row r="509" spans="1:48">
      <c r="A509" s="72">
        <v>36</v>
      </c>
      <c r="B509" s="391" t="s">
        <v>110</v>
      </c>
      <c r="C509" s="72">
        <f t="shared" si="21"/>
        <v>10</v>
      </c>
      <c r="D509" s="72" t="str">
        <f t="shared" si="22"/>
        <v>36-10</v>
      </c>
      <c r="E509" s="72">
        <v>67702</v>
      </c>
      <c r="F509" s="72" t="str">
        <f t="shared" si="23"/>
        <v>36-67702</v>
      </c>
      <c r="G509" s="391" t="s">
        <v>1020</v>
      </c>
      <c r="H509" s="331">
        <v>10966.37</v>
      </c>
      <c r="I509" s="331">
        <v>10083.120000000001</v>
      </c>
      <c r="J509" s="331">
        <v>10382.23</v>
      </c>
      <c r="K509" s="331">
        <v>12344.88</v>
      </c>
      <c r="L509" s="1072">
        <v>0</v>
      </c>
      <c r="M509" s="1072">
        <v>0</v>
      </c>
      <c r="N509" s="1072">
        <v>0</v>
      </c>
      <c r="O509" s="1072">
        <v>0</v>
      </c>
      <c r="P509" s="491">
        <v>0</v>
      </c>
      <c r="Q509" s="491">
        <v>0</v>
      </c>
      <c r="R509" s="491">
        <v>0</v>
      </c>
      <c r="S509" s="491">
        <v>0</v>
      </c>
      <c r="T509" s="1025" t="b">
        <v>0</v>
      </c>
      <c r="U509" s="491">
        <v>3.52</v>
      </c>
      <c r="V509" s="491">
        <v>5.07</v>
      </c>
      <c r="W509" s="491">
        <v>5.27</v>
      </c>
      <c r="X509" s="491">
        <v>0</v>
      </c>
      <c r="Y509" s="1025" t="b">
        <v>1</v>
      </c>
      <c r="Z509" s="331">
        <v>0</v>
      </c>
      <c r="AA509" s="331">
        <v>0</v>
      </c>
      <c r="AB509" s="331">
        <v>0</v>
      </c>
      <c r="AC509" s="331">
        <v>0</v>
      </c>
      <c r="AD509" s="1025" t="b">
        <v>0</v>
      </c>
      <c r="AE509" s="331">
        <v>0.28999999999999998</v>
      </c>
      <c r="AF509" s="331">
        <v>0.47</v>
      </c>
      <c r="AG509" s="331">
        <v>0.71</v>
      </c>
      <c r="AH509" s="331">
        <v>0</v>
      </c>
      <c r="AI509" s="1025" t="b">
        <v>1</v>
      </c>
      <c r="AJ509" s="331">
        <v>0</v>
      </c>
      <c r="AK509" s="331">
        <v>0</v>
      </c>
      <c r="AL509" s="331">
        <v>0</v>
      </c>
      <c r="AM509" s="331">
        <v>0</v>
      </c>
      <c r="AN509" s="1025" t="b">
        <v>0</v>
      </c>
      <c r="AO509" s="331">
        <v>0</v>
      </c>
      <c r="AP509" s="331">
        <v>0</v>
      </c>
      <c r="AQ509" s="331">
        <v>0</v>
      </c>
      <c r="AR509" s="331">
        <v>0</v>
      </c>
      <c r="AS509" s="1025" t="b">
        <v>0</v>
      </c>
      <c r="AT509" s="1025" t="b">
        <v>1</v>
      </c>
      <c r="AU509" s="331">
        <v>0</v>
      </c>
      <c r="AV509" s="491" t="s">
        <v>29</v>
      </c>
    </row>
    <row r="510" spans="1:48">
      <c r="A510" s="72">
        <v>36</v>
      </c>
      <c r="B510" s="391" t="s">
        <v>110</v>
      </c>
      <c r="C510" s="72">
        <f t="shared" si="21"/>
        <v>11</v>
      </c>
      <c r="D510" s="72" t="str">
        <f t="shared" si="22"/>
        <v>36-11</v>
      </c>
      <c r="E510" s="72">
        <v>67736</v>
      </c>
      <c r="F510" s="72" t="str">
        <f t="shared" si="23"/>
        <v>36-67736</v>
      </c>
      <c r="G510" s="391" t="s">
        <v>1021</v>
      </c>
      <c r="H510" s="331">
        <v>11448.84</v>
      </c>
      <c r="I510" s="331">
        <v>10526.73</v>
      </c>
      <c r="J510" s="331">
        <v>10839</v>
      </c>
      <c r="K510" s="331">
        <v>12888.01</v>
      </c>
      <c r="L510" s="1072">
        <v>0</v>
      </c>
      <c r="M510" s="1072">
        <v>0</v>
      </c>
      <c r="N510" s="1072">
        <v>0</v>
      </c>
      <c r="O510" s="1072">
        <v>0</v>
      </c>
      <c r="P510" s="491">
        <v>0</v>
      </c>
      <c r="Q510" s="491">
        <v>0</v>
      </c>
      <c r="R510" s="491">
        <v>0</v>
      </c>
      <c r="S510" s="491">
        <v>0</v>
      </c>
      <c r="T510" s="1025" t="b">
        <v>0</v>
      </c>
      <c r="U510" s="491">
        <v>8.14</v>
      </c>
      <c r="V510" s="491">
        <v>2.95</v>
      </c>
      <c r="W510" s="491">
        <v>1.99</v>
      </c>
      <c r="X510" s="491">
        <v>0</v>
      </c>
      <c r="Y510" s="1025" t="b">
        <v>1</v>
      </c>
      <c r="Z510" s="331">
        <v>0</v>
      </c>
      <c r="AA510" s="331">
        <v>0</v>
      </c>
      <c r="AB510" s="331">
        <v>0</v>
      </c>
      <c r="AC510" s="331">
        <v>0</v>
      </c>
      <c r="AD510" s="1025" t="b">
        <v>0</v>
      </c>
      <c r="AE510" s="331">
        <v>0</v>
      </c>
      <c r="AF510" s="331">
        <v>0.11</v>
      </c>
      <c r="AG510" s="331">
        <v>0</v>
      </c>
      <c r="AH510" s="331">
        <v>0</v>
      </c>
      <c r="AI510" s="1025" t="b">
        <v>1</v>
      </c>
      <c r="AJ510" s="331">
        <v>0</v>
      </c>
      <c r="AK510" s="331">
        <v>0</v>
      </c>
      <c r="AL510" s="331">
        <v>0</v>
      </c>
      <c r="AM510" s="331">
        <v>0</v>
      </c>
      <c r="AN510" s="1025" t="b">
        <v>0</v>
      </c>
      <c r="AO510" s="331">
        <v>0</v>
      </c>
      <c r="AP510" s="331">
        <v>0</v>
      </c>
      <c r="AQ510" s="331">
        <v>0</v>
      </c>
      <c r="AR510" s="331">
        <v>0</v>
      </c>
      <c r="AS510" s="1025" t="b">
        <v>0</v>
      </c>
      <c r="AT510" s="1025" t="b">
        <v>1</v>
      </c>
      <c r="AU510" s="331">
        <v>0</v>
      </c>
      <c r="AV510" s="491" t="s">
        <v>29</v>
      </c>
    </row>
    <row r="511" spans="1:48">
      <c r="A511" s="72">
        <v>36</v>
      </c>
      <c r="B511" s="391" t="s">
        <v>110</v>
      </c>
      <c r="C511" s="72">
        <f t="shared" si="21"/>
        <v>12</v>
      </c>
      <c r="D511" s="72" t="str">
        <f t="shared" si="22"/>
        <v>36-12</v>
      </c>
      <c r="E511" s="72">
        <v>67777</v>
      </c>
      <c r="F511" s="72" t="str">
        <f t="shared" si="23"/>
        <v>36-67777</v>
      </c>
      <c r="G511" s="391" t="s">
        <v>976</v>
      </c>
      <c r="H511" s="331">
        <v>12898.99</v>
      </c>
      <c r="I511" s="331">
        <v>11860.09</v>
      </c>
      <c r="J511" s="331">
        <v>12211.91</v>
      </c>
      <c r="K511" s="331">
        <v>14520.45</v>
      </c>
      <c r="L511" s="1072">
        <v>0</v>
      </c>
      <c r="M511" s="1072">
        <v>0</v>
      </c>
      <c r="N511" s="1072">
        <v>0</v>
      </c>
      <c r="O511" s="1072">
        <v>0</v>
      </c>
      <c r="P511" s="491">
        <v>0</v>
      </c>
      <c r="Q511" s="491">
        <v>0</v>
      </c>
      <c r="R511" s="491">
        <v>0</v>
      </c>
      <c r="S511" s="491">
        <v>1.06</v>
      </c>
      <c r="T511" s="1025" t="b">
        <v>1</v>
      </c>
      <c r="U511" s="491">
        <v>0</v>
      </c>
      <c r="V511" s="491">
        <v>0</v>
      </c>
      <c r="W511" s="491">
        <v>0</v>
      </c>
      <c r="X511" s="491">
        <v>0</v>
      </c>
      <c r="Y511" s="1025" t="b">
        <v>0</v>
      </c>
      <c r="Z511" s="331">
        <v>0</v>
      </c>
      <c r="AA511" s="331">
        <v>0</v>
      </c>
      <c r="AB511" s="331">
        <v>0</v>
      </c>
      <c r="AC511" s="331">
        <v>0</v>
      </c>
      <c r="AD511" s="1025" t="b">
        <v>0</v>
      </c>
      <c r="AE511" s="331">
        <v>0</v>
      </c>
      <c r="AF511" s="331">
        <v>0</v>
      </c>
      <c r="AG511" s="331">
        <v>0</v>
      </c>
      <c r="AH511" s="331">
        <v>0</v>
      </c>
      <c r="AI511" s="1025" t="b">
        <v>0</v>
      </c>
      <c r="AJ511" s="331">
        <v>0</v>
      </c>
      <c r="AK511" s="331">
        <v>0</v>
      </c>
      <c r="AL511" s="331">
        <v>0</v>
      </c>
      <c r="AM511" s="331">
        <v>0</v>
      </c>
      <c r="AN511" s="1025" t="b">
        <v>0</v>
      </c>
      <c r="AO511" s="331">
        <v>0</v>
      </c>
      <c r="AP511" s="331">
        <v>0</v>
      </c>
      <c r="AQ511" s="331">
        <v>0</v>
      </c>
      <c r="AR511" s="331">
        <v>0</v>
      </c>
      <c r="AS511" s="1025" t="b">
        <v>0</v>
      </c>
      <c r="AT511" s="1025" t="b">
        <v>1</v>
      </c>
      <c r="AU511" s="331">
        <v>0</v>
      </c>
      <c r="AV511" s="491" t="s">
        <v>29</v>
      </c>
    </row>
    <row r="512" spans="1:48">
      <c r="A512" s="72">
        <v>36</v>
      </c>
      <c r="B512" s="391" t="s">
        <v>110</v>
      </c>
      <c r="C512" s="72">
        <f t="shared" si="21"/>
        <v>13</v>
      </c>
      <c r="D512" s="72" t="str">
        <f t="shared" si="22"/>
        <v>36-13</v>
      </c>
      <c r="E512" s="72">
        <v>67785</v>
      </c>
      <c r="F512" s="72" t="str">
        <f t="shared" si="23"/>
        <v>36-67785</v>
      </c>
      <c r="G512" s="391" t="s">
        <v>1022</v>
      </c>
      <c r="H512" s="331">
        <v>11623.44</v>
      </c>
      <c r="I512" s="331">
        <v>10687.27</v>
      </c>
      <c r="J512" s="331">
        <v>11004.31</v>
      </c>
      <c r="K512" s="331">
        <v>13084.56</v>
      </c>
      <c r="L512" s="1072">
        <v>0</v>
      </c>
      <c r="M512" s="1072">
        <v>0</v>
      </c>
      <c r="N512" s="1072">
        <v>0</v>
      </c>
      <c r="O512" s="1072">
        <v>0</v>
      </c>
      <c r="P512" s="491">
        <v>8.66</v>
      </c>
      <c r="Q512" s="491">
        <v>4.17</v>
      </c>
      <c r="R512" s="491">
        <v>5.56</v>
      </c>
      <c r="S512" s="491">
        <v>0</v>
      </c>
      <c r="T512" s="1025" t="b">
        <v>1</v>
      </c>
      <c r="U512" s="491">
        <v>19.73</v>
      </c>
      <c r="V512" s="491">
        <v>7.99</v>
      </c>
      <c r="W512" s="491">
        <v>6.11</v>
      </c>
      <c r="X512" s="491">
        <v>0</v>
      </c>
      <c r="Y512" s="1025" t="b">
        <v>1</v>
      </c>
      <c r="Z512" s="331">
        <v>0</v>
      </c>
      <c r="AA512" s="331">
        <v>0</v>
      </c>
      <c r="AB512" s="331">
        <v>0</v>
      </c>
      <c r="AC512" s="331">
        <v>0</v>
      </c>
      <c r="AD512" s="1025" t="b">
        <v>0</v>
      </c>
      <c r="AE512" s="331">
        <v>1.29</v>
      </c>
      <c r="AF512" s="331">
        <v>0.54</v>
      </c>
      <c r="AG512" s="331">
        <v>0.1</v>
      </c>
      <c r="AH512" s="331">
        <v>0</v>
      </c>
      <c r="AI512" s="1025" t="b">
        <v>1</v>
      </c>
      <c r="AJ512" s="331">
        <v>0</v>
      </c>
      <c r="AK512" s="331">
        <v>0</v>
      </c>
      <c r="AL512" s="331">
        <v>0</v>
      </c>
      <c r="AM512" s="331">
        <v>0</v>
      </c>
      <c r="AN512" s="1025" t="b">
        <v>0</v>
      </c>
      <c r="AO512" s="331">
        <v>0</v>
      </c>
      <c r="AP512" s="331">
        <v>0</v>
      </c>
      <c r="AQ512" s="331">
        <v>0</v>
      </c>
      <c r="AR512" s="331">
        <v>0</v>
      </c>
      <c r="AS512" s="1025" t="b">
        <v>0</v>
      </c>
      <c r="AT512" s="1025" t="b">
        <v>1</v>
      </c>
      <c r="AU512" s="331">
        <v>0</v>
      </c>
      <c r="AV512" s="491" t="s">
        <v>29</v>
      </c>
    </row>
    <row r="513" spans="1:48">
      <c r="A513" s="72">
        <v>36</v>
      </c>
      <c r="B513" s="391" t="s">
        <v>110</v>
      </c>
      <c r="C513" s="72">
        <f t="shared" si="21"/>
        <v>14</v>
      </c>
      <c r="D513" s="72" t="str">
        <f t="shared" si="22"/>
        <v>36-14</v>
      </c>
      <c r="E513" s="72">
        <v>67801</v>
      </c>
      <c r="F513" s="72" t="str">
        <f t="shared" si="23"/>
        <v>36-67801</v>
      </c>
      <c r="G513" s="391" t="s">
        <v>1023</v>
      </c>
      <c r="H513" s="331">
        <v>12997.91</v>
      </c>
      <c r="I513" s="331">
        <v>11951.03</v>
      </c>
      <c r="J513" s="331">
        <v>12305.56</v>
      </c>
      <c r="K513" s="331">
        <v>14631.8</v>
      </c>
      <c r="L513" s="1072">
        <v>0</v>
      </c>
      <c r="M513" s="1072">
        <v>0</v>
      </c>
      <c r="N513" s="1072">
        <v>0</v>
      </c>
      <c r="O513" s="1072">
        <v>0</v>
      </c>
      <c r="P513" s="491">
        <v>0</v>
      </c>
      <c r="Q513" s="491">
        <v>0</v>
      </c>
      <c r="R513" s="491">
        <v>0</v>
      </c>
      <c r="S513" s="491">
        <v>0</v>
      </c>
      <c r="T513" s="1025" t="b">
        <v>0</v>
      </c>
      <c r="U513" s="491">
        <v>12.09</v>
      </c>
      <c r="V513" s="491">
        <v>6.18</v>
      </c>
      <c r="W513" s="491">
        <v>6.13</v>
      </c>
      <c r="X513" s="491">
        <v>8.0299999999999994</v>
      </c>
      <c r="Y513" s="1025" t="b">
        <v>1</v>
      </c>
      <c r="Z513" s="331">
        <v>0</v>
      </c>
      <c r="AA513" s="331">
        <v>0</v>
      </c>
      <c r="AB513" s="331">
        <v>0</v>
      </c>
      <c r="AC513" s="331">
        <v>0</v>
      </c>
      <c r="AD513" s="1025" t="b">
        <v>0</v>
      </c>
      <c r="AE513" s="331">
        <v>7.0000000000000007E-2</v>
      </c>
      <c r="AF513" s="331">
        <v>0.02</v>
      </c>
      <c r="AG513" s="331">
        <v>0.17</v>
      </c>
      <c r="AH513" s="331">
        <v>0.23</v>
      </c>
      <c r="AI513" s="1025" t="b">
        <v>1</v>
      </c>
      <c r="AJ513" s="331">
        <v>0</v>
      </c>
      <c r="AK513" s="331">
        <v>0</v>
      </c>
      <c r="AL513" s="331">
        <v>0</v>
      </c>
      <c r="AM513" s="331">
        <v>0</v>
      </c>
      <c r="AN513" s="1025" t="b">
        <v>0</v>
      </c>
      <c r="AO513" s="331">
        <v>0</v>
      </c>
      <c r="AP513" s="331">
        <v>0</v>
      </c>
      <c r="AQ513" s="331">
        <v>0</v>
      </c>
      <c r="AR513" s="331">
        <v>27.3</v>
      </c>
      <c r="AS513" s="1025" t="b">
        <v>1</v>
      </c>
      <c r="AT513" s="1025" t="b">
        <v>1</v>
      </c>
      <c r="AU513" s="331">
        <v>0</v>
      </c>
      <c r="AV513" s="491" t="s">
        <v>29</v>
      </c>
    </row>
    <row r="514" spans="1:48">
      <c r="A514" s="72">
        <v>36</v>
      </c>
      <c r="B514" s="391" t="s">
        <v>110</v>
      </c>
      <c r="C514" s="72">
        <f t="shared" si="21"/>
        <v>15</v>
      </c>
      <c r="D514" s="72" t="str">
        <f t="shared" si="22"/>
        <v>36-15</v>
      </c>
      <c r="E514" s="72">
        <v>67819</v>
      </c>
      <c r="F514" s="72" t="str">
        <f t="shared" si="23"/>
        <v>36-67819</v>
      </c>
      <c r="G514" s="391" t="s">
        <v>1024</v>
      </c>
      <c r="H514" s="331">
        <v>14122.08</v>
      </c>
      <c r="I514" s="331">
        <v>12984.66</v>
      </c>
      <c r="J514" s="331">
        <v>13369.85</v>
      </c>
      <c r="K514" s="331">
        <v>15897.28</v>
      </c>
      <c r="L514" s="1072">
        <v>0</v>
      </c>
      <c r="M514" s="1072">
        <v>0</v>
      </c>
      <c r="N514" s="1072">
        <v>0</v>
      </c>
      <c r="O514" s="1072">
        <v>0</v>
      </c>
      <c r="P514" s="491">
        <v>0</v>
      </c>
      <c r="Q514" s="491">
        <v>0.64</v>
      </c>
      <c r="R514" s="491">
        <v>0.41</v>
      </c>
      <c r="S514" s="491">
        <v>0</v>
      </c>
      <c r="T514" s="1025" t="b">
        <v>1</v>
      </c>
      <c r="U514" s="491">
        <v>0.27</v>
      </c>
      <c r="V514" s="491">
        <v>0.9</v>
      </c>
      <c r="W514" s="491">
        <v>3.61</v>
      </c>
      <c r="X514" s="491">
        <v>0</v>
      </c>
      <c r="Y514" s="1025" t="b">
        <v>1</v>
      </c>
      <c r="Z514" s="331">
        <v>0</v>
      </c>
      <c r="AA514" s="331">
        <v>0</v>
      </c>
      <c r="AB514" s="331">
        <v>0</v>
      </c>
      <c r="AC514" s="331">
        <v>0</v>
      </c>
      <c r="AD514" s="1025" t="b">
        <v>0</v>
      </c>
      <c r="AE514" s="331">
        <v>7.0000000000000007E-2</v>
      </c>
      <c r="AF514" s="331">
        <v>7.0000000000000007E-2</v>
      </c>
      <c r="AG514" s="331">
        <v>0.18</v>
      </c>
      <c r="AH514" s="331">
        <v>0</v>
      </c>
      <c r="AI514" s="1025" t="b">
        <v>1</v>
      </c>
      <c r="AJ514" s="331">
        <v>0</v>
      </c>
      <c r="AK514" s="331">
        <v>0</v>
      </c>
      <c r="AL514" s="331">
        <v>0</v>
      </c>
      <c r="AM514" s="331">
        <v>0</v>
      </c>
      <c r="AN514" s="1025" t="b">
        <v>0</v>
      </c>
      <c r="AO514" s="331">
        <v>0</v>
      </c>
      <c r="AP514" s="331">
        <v>0</v>
      </c>
      <c r="AQ514" s="331">
        <v>0</v>
      </c>
      <c r="AR514" s="331">
        <v>0</v>
      </c>
      <c r="AS514" s="1025" t="b">
        <v>0</v>
      </c>
      <c r="AT514" s="1025" t="b">
        <v>1</v>
      </c>
      <c r="AU514" s="331">
        <v>0</v>
      </c>
      <c r="AV514" s="491" t="s">
        <v>29</v>
      </c>
    </row>
    <row r="515" spans="1:48">
      <c r="A515" s="72">
        <v>36</v>
      </c>
      <c r="B515" s="391" t="s">
        <v>110</v>
      </c>
      <c r="C515" s="72">
        <f t="shared" si="21"/>
        <v>16</v>
      </c>
      <c r="D515" s="72" t="str">
        <f t="shared" si="22"/>
        <v>36-16</v>
      </c>
      <c r="E515" s="72">
        <v>67827</v>
      </c>
      <c r="F515" s="72" t="str">
        <f t="shared" si="23"/>
        <v>36-67827</v>
      </c>
      <c r="G515" s="391" t="s">
        <v>1025</v>
      </c>
      <c r="H515" s="331">
        <v>14553.85</v>
      </c>
      <c r="I515" s="331">
        <v>13381.66</v>
      </c>
      <c r="J515" s="331">
        <v>13778.63</v>
      </c>
      <c r="K515" s="331">
        <v>16383.33</v>
      </c>
      <c r="L515" s="1072">
        <v>0</v>
      </c>
      <c r="M515" s="1072">
        <v>0</v>
      </c>
      <c r="N515" s="1072">
        <v>0</v>
      </c>
      <c r="O515" s="1072">
        <v>0</v>
      </c>
      <c r="P515" s="491">
        <v>0</v>
      </c>
      <c r="Q515" s="491">
        <v>0</v>
      </c>
      <c r="R515" s="491">
        <v>0</v>
      </c>
      <c r="S515" s="491">
        <v>0</v>
      </c>
      <c r="T515" s="1025" t="b">
        <v>0</v>
      </c>
      <c r="U515" s="491">
        <v>1.1499999999999999</v>
      </c>
      <c r="V515" s="491">
        <v>1</v>
      </c>
      <c r="W515" s="491">
        <v>0</v>
      </c>
      <c r="X515" s="491">
        <v>0</v>
      </c>
      <c r="Y515" s="1025" t="b">
        <v>1</v>
      </c>
      <c r="Z515" s="331">
        <v>0</v>
      </c>
      <c r="AA515" s="331">
        <v>0</v>
      </c>
      <c r="AB515" s="331">
        <v>0</v>
      </c>
      <c r="AC515" s="331">
        <v>0</v>
      </c>
      <c r="AD515" s="1025" t="b">
        <v>0</v>
      </c>
      <c r="AE515" s="331">
        <v>0</v>
      </c>
      <c r="AF515" s="331">
        <v>0</v>
      </c>
      <c r="AG515" s="331">
        <v>0</v>
      </c>
      <c r="AH515" s="331">
        <v>0</v>
      </c>
      <c r="AI515" s="1025" t="b">
        <v>0</v>
      </c>
      <c r="AJ515" s="331">
        <v>0</v>
      </c>
      <c r="AK515" s="331">
        <v>0</v>
      </c>
      <c r="AL515" s="331">
        <v>0</v>
      </c>
      <c r="AM515" s="331">
        <v>0</v>
      </c>
      <c r="AN515" s="1025" t="b">
        <v>0</v>
      </c>
      <c r="AO515" s="331">
        <v>0</v>
      </c>
      <c r="AP515" s="331">
        <v>0</v>
      </c>
      <c r="AQ515" s="331">
        <v>0</v>
      </c>
      <c r="AR515" s="331">
        <v>0</v>
      </c>
      <c r="AS515" s="1025" t="b">
        <v>0</v>
      </c>
      <c r="AT515" s="1025" t="b">
        <v>1</v>
      </c>
      <c r="AU515" s="331">
        <v>0</v>
      </c>
      <c r="AV515" s="491" t="s">
        <v>29</v>
      </c>
    </row>
    <row r="516" spans="1:48">
      <c r="A516" s="72">
        <v>36</v>
      </c>
      <c r="B516" s="391" t="s">
        <v>110</v>
      </c>
      <c r="C516" s="72">
        <f t="shared" si="21"/>
        <v>17</v>
      </c>
      <c r="D516" s="72" t="str">
        <f t="shared" si="22"/>
        <v>36-17</v>
      </c>
      <c r="E516" s="72">
        <v>67843</v>
      </c>
      <c r="F516" s="72" t="str">
        <f t="shared" si="23"/>
        <v>36-67843</v>
      </c>
      <c r="G516" s="391" t="s">
        <v>853</v>
      </c>
      <c r="H516" s="491">
        <v>12532.58</v>
      </c>
      <c r="I516" s="491">
        <v>11523.19</v>
      </c>
      <c r="J516" s="491">
        <v>11865.02</v>
      </c>
      <c r="K516" s="491">
        <v>14107.98</v>
      </c>
      <c r="L516" s="1072">
        <v>0</v>
      </c>
      <c r="M516" s="1072">
        <v>0</v>
      </c>
      <c r="N516" s="1072">
        <v>0</v>
      </c>
      <c r="O516" s="1072">
        <v>0</v>
      </c>
      <c r="P516" s="491">
        <v>0</v>
      </c>
      <c r="Q516" s="491">
        <v>0</v>
      </c>
      <c r="R516" s="491">
        <v>0</v>
      </c>
      <c r="S516" s="491">
        <v>0</v>
      </c>
      <c r="T516" s="1025" t="b">
        <v>0</v>
      </c>
      <c r="U516" s="491">
        <v>0.39</v>
      </c>
      <c r="V516" s="491">
        <v>1.98</v>
      </c>
      <c r="W516" s="491">
        <v>0</v>
      </c>
      <c r="X516" s="491">
        <v>3.24</v>
      </c>
      <c r="Y516" s="1025" t="b">
        <v>1</v>
      </c>
      <c r="Z516" s="491">
        <v>0</v>
      </c>
      <c r="AA516" s="491">
        <v>0</v>
      </c>
      <c r="AB516" s="491">
        <v>0</v>
      </c>
      <c r="AC516" s="491">
        <v>0</v>
      </c>
      <c r="AD516" s="1025" t="b">
        <v>0</v>
      </c>
      <c r="AE516" s="491">
        <v>0</v>
      </c>
      <c r="AF516" s="491">
        <v>0</v>
      </c>
      <c r="AG516" s="491">
        <v>0</v>
      </c>
      <c r="AH516" s="491">
        <v>0.27</v>
      </c>
      <c r="AI516" s="1025" t="b">
        <v>1</v>
      </c>
      <c r="AJ516" s="491">
        <v>0</v>
      </c>
      <c r="AK516" s="491">
        <v>0</v>
      </c>
      <c r="AL516" s="491">
        <v>0</v>
      </c>
      <c r="AM516" s="491">
        <v>0</v>
      </c>
      <c r="AN516" s="1025" t="b">
        <v>0</v>
      </c>
      <c r="AO516" s="491">
        <v>0</v>
      </c>
      <c r="AP516" s="491">
        <v>0</v>
      </c>
      <c r="AQ516" s="491">
        <v>0</v>
      </c>
      <c r="AR516" s="491">
        <v>0</v>
      </c>
      <c r="AS516" s="1025" t="b">
        <v>0</v>
      </c>
      <c r="AT516" s="1025" t="b">
        <v>1</v>
      </c>
      <c r="AU516" s="491">
        <v>0</v>
      </c>
      <c r="AV516" s="491" t="s">
        <v>29</v>
      </c>
    </row>
    <row r="517" spans="1:48">
      <c r="A517" s="72">
        <v>36</v>
      </c>
      <c r="B517" s="391" t="s">
        <v>110</v>
      </c>
      <c r="C517" s="72">
        <f t="shared" si="21"/>
        <v>18</v>
      </c>
      <c r="D517" s="72" t="str">
        <f t="shared" si="22"/>
        <v>36-18</v>
      </c>
      <c r="E517" s="72">
        <v>67850</v>
      </c>
      <c r="F517" s="72" t="str">
        <f t="shared" si="23"/>
        <v>36-67850</v>
      </c>
      <c r="G517" s="391" t="s">
        <v>854</v>
      </c>
      <c r="H517" s="331">
        <v>13916.51</v>
      </c>
      <c r="I517" s="331">
        <v>12795.65</v>
      </c>
      <c r="J517" s="331">
        <v>13175.23</v>
      </c>
      <c r="K517" s="331">
        <v>15665.87</v>
      </c>
      <c r="L517" s="1072">
        <v>0</v>
      </c>
      <c r="M517" s="1072">
        <v>0</v>
      </c>
      <c r="N517" s="1072">
        <v>0</v>
      </c>
      <c r="O517" s="1072">
        <v>0</v>
      </c>
      <c r="P517" s="491">
        <v>0</v>
      </c>
      <c r="Q517" s="491">
        <v>0</v>
      </c>
      <c r="R517" s="491">
        <v>0</v>
      </c>
      <c r="S517" s="491">
        <v>0</v>
      </c>
      <c r="T517" s="1025" t="b">
        <v>0</v>
      </c>
      <c r="U517" s="491">
        <v>3.99</v>
      </c>
      <c r="V517" s="491">
        <v>6.27</v>
      </c>
      <c r="W517" s="491">
        <v>3.59</v>
      </c>
      <c r="X517" s="491">
        <v>17.37</v>
      </c>
      <c r="Y517" s="1025" t="b">
        <v>1</v>
      </c>
      <c r="Z517" s="331">
        <v>0</v>
      </c>
      <c r="AA517" s="331">
        <v>0</v>
      </c>
      <c r="AB517" s="331">
        <v>0</v>
      </c>
      <c r="AC517" s="331">
        <v>0</v>
      </c>
      <c r="AD517" s="1025" t="b">
        <v>0</v>
      </c>
      <c r="AE517" s="331">
        <v>0.28000000000000003</v>
      </c>
      <c r="AF517" s="331">
        <v>0</v>
      </c>
      <c r="AG517" s="331">
        <v>0.32</v>
      </c>
      <c r="AH517" s="331">
        <v>1.35</v>
      </c>
      <c r="AI517" s="1025" t="b">
        <v>1</v>
      </c>
      <c r="AJ517" s="331">
        <v>0</v>
      </c>
      <c r="AK517" s="331">
        <v>0</v>
      </c>
      <c r="AL517" s="331">
        <v>0</v>
      </c>
      <c r="AM517" s="331">
        <v>0</v>
      </c>
      <c r="AN517" s="1025" t="b">
        <v>0</v>
      </c>
      <c r="AO517" s="331">
        <v>0</v>
      </c>
      <c r="AP517" s="331">
        <v>0</v>
      </c>
      <c r="AQ517" s="331">
        <v>0</v>
      </c>
      <c r="AR517" s="331">
        <v>0</v>
      </c>
      <c r="AS517" s="1025" t="b">
        <v>0</v>
      </c>
      <c r="AT517" s="1025" t="b">
        <v>1</v>
      </c>
      <c r="AU517" s="331">
        <v>0</v>
      </c>
      <c r="AV517" s="491" t="s">
        <v>29</v>
      </c>
    </row>
    <row r="518" spans="1:48">
      <c r="A518" s="72">
        <v>36</v>
      </c>
      <c r="B518" s="391" t="s">
        <v>110</v>
      </c>
      <c r="C518" s="72">
        <f t="shared" ref="C518:C581" si="24">IF(E518="N/A",0,IF(A517&lt;&gt;A518,1,C517+1))</f>
        <v>19</v>
      </c>
      <c r="D518" s="72" t="str">
        <f t="shared" ref="D518:D581" si="25">A518&amp;"-"&amp;C518</f>
        <v>36-19</v>
      </c>
      <c r="E518" s="72">
        <v>67868</v>
      </c>
      <c r="F518" s="72" t="str">
        <f t="shared" si="23"/>
        <v>36-67868</v>
      </c>
      <c r="G518" s="391" t="s">
        <v>1026</v>
      </c>
      <c r="H518" s="331">
        <v>11787.72</v>
      </c>
      <c r="I518" s="331">
        <v>10838.32</v>
      </c>
      <c r="J518" s="331">
        <v>11159.84</v>
      </c>
      <c r="K518" s="331">
        <v>13269.49</v>
      </c>
      <c r="L518" s="1072">
        <v>0</v>
      </c>
      <c r="M518" s="1072">
        <v>0</v>
      </c>
      <c r="N518" s="1072">
        <v>0</v>
      </c>
      <c r="O518" s="1072">
        <v>0</v>
      </c>
      <c r="P518" s="491">
        <v>0</v>
      </c>
      <c r="Q518" s="491">
        <v>0</v>
      </c>
      <c r="R518" s="491">
        <v>0</v>
      </c>
      <c r="S518" s="491">
        <v>0</v>
      </c>
      <c r="T518" s="1025" t="b">
        <v>0</v>
      </c>
      <c r="U518" s="491">
        <v>1.62</v>
      </c>
      <c r="V518" s="491">
        <v>0</v>
      </c>
      <c r="W518" s="491">
        <v>0.11</v>
      </c>
      <c r="X518" s="491">
        <v>0.86</v>
      </c>
      <c r="Y518" s="1025" t="b">
        <v>1</v>
      </c>
      <c r="Z518" s="331">
        <v>0</v>
      </c>
      <c r="AA518" s="331">
        <v>0</v>
      </c>
      <c r="AB518" s="331">
        <v>0</v>
      </c>
      <c r="AC518" s="331">
        <v>0</v>
      </c>
      <c r="AD518" s="1025" t="b">
        <v>0</v>
      </c>
      <c r="AE518" s="331">
        <v>0</v>
      </c>
      <c r="AF518" s="331">
        <v>0</v>
      </c>
      <c r="AG518" s="331">
        <v>0</v>
      </c>
      <c r="AH518" s="331">
        <v>0</v>
      </c>
      <c r="AI518" s="1025" t="b">
        <v>0</v>
      </c>
      <c r="AJ518" s="331">
        <v>0</v>
      </c>
      <c r="AK518" s="331">
        <v>0</v>
      </c>
      <c r="AL518" s="331">
        <v>0</v>
      </c>
      <c r="AM518" s="331">
        <v>0</v>
      </c>
      <c r="AN518" s="1025" t="b">
        <v>0</v>
      </c>
      <c r="AO518" s="331">
        <v>0</v>
      </c>
      <c r="AP518" s="331">
        <v>0</v>
      </c>
      <c r="AQ518" s="331">
        <v>0</v>
      </c>
      <c r="AR518" s="331">
        <v>0</v>
      </c>
      <c r="AS518" s="1025" t="b">
        <v>0</v>
      </c>
      <c r="AT518" s="1025" t="b">
        <v>1</v>
      </c>
      <c r="AU518" s="331">
        <v>0</v>
      </c>
      <c r="AV518" s="491" t="s">
        <v>29</v>
      </c>
    </row>
    <row r="519" spans="1:48">
      <c r="A519" s="72">
        <v>36</v>
      </c>
      <c r="B519" s="391" t="s">
        <v>110</v>
      </c>
      <c r="C519" s="72">
        <f t="shared" si="24"/>
        <v>20</v>
      </c>
      <c r="D519" s="72" t="str">
        <f t="shared" si="25"/>
        <v>36-20</v>
      </c>
      <c r="E519" s="72">
        <v>67876</v>
      </c>
      <c r="F519" s="72" t="str">
        <f t="shared" ref="F519:F582" si="26">A519&amp;"-"&amp;E519</f>
        <v>36-67876</v>
      </c>
      <c r="G519" s="391" t="s">
        <v>855</v>
      </c>
      <c r="H519" s="331">
        <v>14301.84</v>
      </c>
      <c r="I519" s="331">
        <v>13149.95</v>
      </c>
      <c r="J519" s="331">
        <v>13540.04</v>
      </c>
      <c r="K519" s="331">
        <v>16099.64</v>
      </c>
      <c r="L519" s="1072">
        <v>0</v>
      </c>
      <c r="M519" s="1072">
        <v>0</v>
      </c>
      <c r="N519" s="1072">
        <v>0</v>
      </c>
      <c r="O519" s="1072">
        <v>0</v>
      </c>
      <c r="P519" s="491">
        <v>0</v>
      </c>
      <c r="Q519" s="491">
        <v>0</v>
      </c>
      <c r="R519" s="491">
        <v>1.24</v>
      </c>
      <c r="S519" s="491">
        <v>0</v>
      </c>
      <c r="T519" s="1025" t="b">
        <v>1</v>
      </c>
      <c r="U519" s="491">
        <v>0</v>
      </c>
      <c r="V519" s="491">
        <v>0</v>
      </c>
      <c r="W519" s="491">
        <v>0</v>
      </c>
      <c r="X519" s="491">
        <v>0.78</v>
      </c>
      <c r="Y519" s="1025" t="b">
        <v>1</v>
      </c>
      <c r="Z519" s="331">
        <v>0</v>
      </c>
      <c r="AA519" s="331">
        <v>0</v>
      </c>
      <c r="AB519" s="331">
        <v>0</v>
      </c>
      <c r="AC519" s="331">
        <v>0</v>
      </c>
      <c r="AD519" s="1025" t="b">
        <v>0</v>
      </c>
      <c r="AE519" s="331">
        <v>0</v>
      </c>
      <c r="AF519" s="331">
        <v>0</v>
      </c>
      <c r="AG519" s="331">
        <v>0</v>
      </c>
      <c r="AH519" s="331">
        <v>0</v>
      </c>
      <c r="AI519" s="1025" t="b">
        <v>0</v>
      </c>
      <c r="AJ519" s="331">
        <v>0</v>
      </c>
      <c r="AK519" s="331">
        <v>0</v>
      </c>
      <c r="AL519" s="331">
        <v>0</v>
      </c>
      <c r="AM519" s="331">
        <v>0</v>
      </c>
      <c r="AN519" s="1025" t="b">
        <v>0</v>
      </c>
      <c r="AO519" s="331">
        <v>0</v>
      </c>
      <c r="AP519" s="331">
        <v>0</v>
      </c>
      <c r="AQ519" s="331">
        <v>0</v>
      </c>
      <c r="AR519" s="331">
        <v>0</v>
      </c>
      <c r="AS519" s="1025" t="b">
        <v>0</v>
      </c>
      <c r="AT519" s="1025" t="b">
        <v>1</v>
      </c>
      <c r="AU519" s="331">
        <v>0</v>
      </c>
      <c r="AV519" s="491" t="s">
        <v>29</v>
      </c>
    </row>
    <row r="520" spans="1:48">
      <c r="A520" s="72">
        <v>36</v>
      </c>
      <c r="B520" s="391" t="s">
        <v>110</v>
      </c>
      <c r="C520" s="72">
        <f t="shared" si="24"/>
        <v>21</v>
      </c>
      <c r="D520" s="72" t="str">
        <f t="shared" si="25"/>
        <v>36-21</v>
      </c>
      <c r="E520" s="72">
        <v>67892</v>
      </c>
      <c r="F520" s="72" t="str">
        <f t="shared" si="26"/>
        <v>36-67892</v>
      </c>
      <c r="G520" s="391" t="s">
        <v>1027</v>
      </c>
      <c r="H520" s="331">
        <v>13079.62</v>
      </c>
      <c r="I520" s="331">
        <v>12026.16</v>
      </c>
      <c r="J520" s="331">
        <v>12382.92</v>
      </c>
      <c r="K520" s="331">
        <v>14723.78</v>
      </c>
      <c r="L520" s="1072">
        <v>0</v>
      </c>
      <c r="M520" s="1072">
        <v>0</v>
      </c>
      <c r="N520" s="1072">
        <v>0</v>
      </c>
      <c r="O520" s="1072">
        <v>0</v>
      </c>
      <c r="P520" s="491">
        <v>0</v>
      </c>
      <c r="Q520" s="491">
        <v>0</v>
      </c>
      <c r="R520" s="491">
        <v>0</v>
      </c>
      <c r="S520" s="491">
        <v>0</v>
      </c>
      <c r="T520" s="1025" t="b">
        <v>0</v>
      </c>
      <c r="U520" s="491">
        <v>1.7</v>
      </c>
      <c r="V520" s="491">
        <v>0.91</v>
      </c>
      <c r="W520" s="491">
        <v>0</v>
      </c>
      <c r="X520" s="491">
        <v>1.91</v>
      </c>
      <c r="Y520" s="1025" t="b">
        <v>1</v>
      </c>
      <c r="Z520" s="331">
        <v>0</v>
      </c>
      <c r="AA520" s="331">
        <v>0</v>
      </c>
      <c r="AB520" s="331">
        <v>0</v>
      </c>
      <c r="AC520" s="331">
        <v>0</v>
      </c>
      <c r="AD520" s="1025" t="b">
        <v>0</v>
      </c>
      <c r="AE520" s="331">
        <v>0</v>
      </c>
      <c r="AF520" s="331">
        <v>0</v>
      </c>
      <c r="AG520" s="331">
        <v>0</v>
      </c>
      <c r="AH520" s="331">
        <v>0.11</v>
      </c>
      <c r="AI520" s="1025" t="b">
        <v>1</v>
      </c>
      <c r="AJ520" s="331">
        <v>0</v>
      </c>
      <c r="AK520" s="331">
        <v>0</v>
      </c>
      <c r="AL520" s="331">
        <v>0</v>
      </c>
      <c r="AM520" s="331">
        <v>0</v>
      </c>
      <c r="AN520" s="1025" t="b">
        <v>0</v>
      </c>
      <c r="AO520" s="331">
        <v>0</v>
      </c>
      <c r="AP520" s="331">
        <v>0</v>
      </c>
      <c r="AQ520" s="331">
        <v>0</v>
      </c>
      <c r="AR520" s="331">
        <v>0</v>
      </c>
      <c r="AS520" s="1025" t="b">
        <v>0</v>
      </c>
      <c r="AT520" s="1025" t="b">
        <v>1</v>
      </c>
      <c r="AU520" s="331">
        <v>0</v>
      </c>
      <c r="AV520" s="491" t="s">
        <v>29</v>
      </c>
    </row>
    <row r="521" spans="1:48">
      <c r="A521" s="72">
        <v>36</v>
      </c>
      <c r="B521" s="391" t="s">
        <v>110</v>
      </c>
      <c r="C521" s="72">
        <f t="shared" si="24"/>
        <v>22</v>
      </c>
      <c r="D521" s="72" t="str">
        <f t="shared" si="25"/>
        <v>36-22</v>
      </c>
      <c r="E521" s="72">
        <v>67918</v>
      </c>
      <c r="F521" s="72" t="str">
        <f t="shared" si="26"/>
        <v>36-67918</v>
      </c>
      <c r="G521" s="391" t="s">
        <v>1028</v>
      </c>
      <c r="H521" s="491">
        <v>13969.84</v>
      </c>
      <c r="I521" s="491">
        <v>12844.68</v>
      </c>
      <c r="J521" s="491">
        <v>13225.72</v>
      </c>
      <c r="K521" s="491">
        <v>15725.9</v>
      </c>
      <c r="L521" s="1072">
        <v>0</v>
      </c>
      <c r="M521" s="1072">
        <v>0</v>
      </c>
      <c r="N521" s="1072">
        <v>0</v>
      </c>
      <c r="O521" s="1072">
        <v>0</v>
      </c>
      <c r="P521" s="491">
        <v>0</v>
      </c>
      <c r="Q521" s="491">
        <v>0</v>
      </c>
      <c r="R521" s="491">
        <v>0</v>
      </c>
      <c r="S521" s="491">
        <v>0</v>
      </c>
      <c r="T521" s="1025" t="b">
        <v>0</v>
      </c>
      <c r="U521" s="491">
        <v>117.31</v>
      </c>
      <c r="V521" s="491">
        <v>71.569999999999993</v>
      </c>
      <c r="W521" s="491">
        <v>0</v>
      </c>
      <c r="X521" s="491">
        <v>0</v>
      </c>
      <c r="Y521" s="1025" t="b">
        <v>1</v>
      </c>
      <c r="Z521" s="491">
        <v>0</v>
      </c>
      <c r="AA521" s="491">
        <v>0</v>
      </c>
      <c r="AB521" s="491">
        <v>0</v>
      </c>
      <c r="AC521" s="491">
        <v>0</v>
      </c>
      <c r="AD521" s="1025" t="b">
        <v>0</v>
      </c>
      <c r="AE521" s="491">
        <v>4.01</v>
      </c>
      <c r="AF521" s="491">
        <v>2.78</v>
      </c>
      <c r="AG521" s="491">
        <v>0</v>
      </c>
      <c r="AH521" s="491">
        <v>0</v>
      </c>
      <c r="AI521" s="1025" t="b">
        <v>1</v>
      </c>
      <c r="AJ521" s="491">
        <v>0</v>
      </c>
      <c r="AK521" s="491">
        <v>0</v>
      </c>
      <c r="AL521" s="491">
        <v>0</v>
      </c>
      <c r="AM521" s="491">
        <v>0</v>
      </c>
      <c r="AN521" s="1025" t="b">
        <v>0</v>
      </c>
      <c r="AO521" s="491">
        <v>0</v>
      </c>
      <c r="AP521" s="491">
        <v>0</v>
      </c>
      <c r="AQ521" s="491">
        <v>0</v>
      </c>
      <c r="AR521" s="491">
        <v>0</v>
      </c>
      <c r="AS521" s="1025" t="b">
        <v>0</v>
      </c>
      <c r="AT521" s="1025" t="b">
        <v>1</v>
      </c>
      <c r="AU521" s="491">
        <v>0</v>
      </c>
      <c r="AV521" s="491" t="s">
        <v>29</v>
      </c>
    </row>
    <row r="522" spans="1:48">
      <c r="A522" s="72">
        <v>36</v>
      </c>
      <c r="B522" s="391" t="s">
        <v>110</v>
      </c>
      <c r="C522" s="72">
        <f t="shared" si="24"/>
        <v>23</v>
      </c>
      <c r="D522" s="72" t="str">
        <f t="shared" si="25"/>
        <v>36-23</v>
      </c>
      <c r="E522" s="72">
        <v>67934</v>
      </c>
      <c r="F522" s="72" t="str">
        <f t="shared" si="26"/>
        <v>36-67934</v>
      </c>
      <c r="G522" s="391" t="s">
        <v>856</v>
      </c>
      <c r="H522" s="331">
        <v>13767.71</v>
      </c>
      <c r="I522" s="331">
        <v>12658.84</v>
      </c>
      <c r="J522" s="331">
        <v>13034.36</v>
      </c>
      <c r="K522" s="331">
        <v>15498.37</v>
      </c>
      <c r="L522" s="1072">
        <v>0</v>
      </c>
      <c r="M522" s="1072">
        <v>0</v>
      </c>
      <c r="N522" s="1072">
        <v>0</v>
      </c>
      <c r="O522" s="1072">
        <v>0</v>
      </c>
      <c r="P522" s="491">
        <v>0</v>
      </c>
      <c r="Q522" s="491">
        <v>0</v>
      </c>
      <c r="R522" s="491">
        <v>0</v>
      </c>
      <c r="S522" s="491">
        <v>0</v>
      </c>
      <c r="T522" s="1025" t="b">
        <v>0</v>
      </c>
      <c r="U522" s="491">
        <v>0</v>
      </c>
      <c r="V522" s="491">
        <v>0</v>
      </c>
      <c r="W522" s="491">
        <v>26.88</v>
      </c>
      <c r="X522" s="491">
        <v>79.37</v>
      </c>
      <c r="Y522" s="1025" t="b">
        <v>1</v>
      </c>
      <c r="Z522" s="331">
        <v>0</v>
      </c>
      <c r="AA522" s="331">
        <v>0</v>
      </c>
      <c r="AB522" s="331">
        <v>0</v>
      </c>
      <c r="AC522" s="331">
        <v>0</v>
      </c>
      <c r="AD522" s="1025" t="b">
        <v>0</v>
      </c>
      <c r="AE522" s="331">
        <v>0</v>
      </c>
      <c r="AF522" s="331">
        <v>0</v>
      </c>
      <c r="AG522" s="331">
        <v>0.12</v>
      </c>
      <c r="AH522" s="331">
        <v>0.43</v>
      </c>
      <c r="AI522" s="1025" t="b">
        <v>1</v>
      </c>
      <c r="AJ522" s="331">
        <v>0</v>
      </c>
      <c r="AK522" s="331">
        <v>0</v>
      </c>
      <c r="AL522" s="331">
        <v>0</v>
      </c>
      <c r="AM522" s="331">
        <v>0</v>
      </c>
      <c r="AN522" s="1025" t="b">
        <v>0</v>
      </c>
      <c r="AO522" s="331">
        <v>0</v>
      </c>
      <c r="AP522" s="331">
        <v>0</v>
      </c>
      <c r="AQ522" s="331">
        <v>0</v>
      </c>
      <c r="AR522" s="331">
        <v>0</v>
      </c>
      <c r="AS522" s="1025" t="b">
        <v>0</v>
      </c>
      <c r="AT522" s="1025" t="b">
        <v>1</v>
      </c>
      <c r="AU522" s="331">
        <v>0</v>
      </c>
      <c r="AV522" s="491" t="s">
        <v>29</v>
      </c>
    </row>
    <row r="523" spans="1:48">
      <c r="A523" s="72">
        <v>36</v>
      </c>
      <c r="B523" s="391" t="s">
        <v>110</v>
      </c>
      <c r="C523" s="72">
        <f t="shared" si="24"/>
        <v>24</v>
      </c>
      <c r="D523" s="72" t="str">
        <f t="shared" si="25"/>
        <v>36-24</v>
      </c>
      <c r="E523" s="72">
        <v>67959</v>
      </c>
      <c r="F523" s="72" t="str">
        <f t="shared" si="26"/>
        <v>36-67959</v>
      </c>
      <c r="G523" s="391" t="s">
        <v>1029</v>
      </c>
      <c r="H523" s="331">
        <v>11739.56</v>
      </c>
      <c r="I523" s="331">
        <v>10794.04</v>
      </c>
      <c r="J523" s="331">
        <v>11114.24</v>
      </c>
      <c r="K523" s="331">
        <v>13215.27</v>
      </c>
      <c r="L523" s="1072">
        <v>0</v>
      </c>
      <c r="M523" s="1072">
        <v>0</v>
      </c>
      <c r="N523" s="1072">
        <v>0</v>
      </c>
      <c r="O523" s="1072">
        <v>0</v>
      </c>
      <c r="P523" s="491">
        <v>0</v>
      </c>
      <c r="Q523" s="491">
        <v>0</v>
      </c>
      <c r="R523" s="491">
        <v>0</v>
      </c>
      <c r="S523" s="491">
        <v>0</v>
      </c>
      <c r="T523" s="1025" t="b">
        <v>0</v>
      </c>
      <c r="U523" s="491">
        <v>0.79</v>
      </c>
      <c r="V523" s="491">
        <v>1.5</v>
      </c>
      <c r="W523" s="491">
        <v>2.89</v>
      </c>
      <c r="X523" s="491">
        <v>5.18</v>
      </c>
      <c r="Y523" s="1025" t="b">
        <v>1</v>
      </c>
      <c r="Z523" s="331">
        <v>0</v>
      </c>
      <c r="AA523" s="331">
        <v>0</v>
      </c>
      <c r="AB523" s="331">
        <v>0</v>
      </c>
      <c r="AC523" s="331">
        <v>0</v>
      </c>
      <c r="AD523" s="1025" t="b">
        <v>0</v>
      </c>
      <c r="AE523" s="331">
        <v>0</v>
      </c>
      <c r="AF523" s="331">
        <v>0.11</v>
      </c>
      <c r="AG523" s="331">
        <v>0.12</v>
      </c>
      <c r="AH523" s="331">
        <v>0.46</v>
      </c>
      <c r="AI523" s="1025" t="b">
        <v>1</v>
      </c>
      <c r="AJ523" s="331">
        <v>0</v>
      </c>
      <c r="AK523" s="331">
        <v>0</v>
      </c>
      <c r="AL523" s="331">
        <v>0</v>
      </c>
      <c r="AM523" s="331">
        <v>0</v>
      </c>
      <c r="AN523" s="1025" t="b">
        <v>0</v>
      </c>
      <c r="AO523" s="331">
        <v>0</v>
      </c>
      <c r="AP523" s="331">
        <v>0</v>
      </c>
      <c r="AQ523" s="331">
        <v>0</v>
      </c>
      <c r="AR523" s="331">
        <v>0</v>
      </c>
      <c r="AS523" s="1025" t="b">
        <v>0</v>
      </c>
      <c r="AT523" s="1025" t="b">
        <v>1</v>
      </c>
      <c r="AU523" s="331">
        <v>0</v>
      </c>
      <c r="AV523" s="491" t="s">
        <v>29</v>
      </c>
    </row>
    <row r="524" spans="1:48">
      <c r="A524" s="72">
        <v>36</v>
      </c>
      <c r="B524" s="391" t="s">
        <v>110</v>
      </c>
      <c r="C524" s="72">
        <f t="shared" si="24"/>
        <v>25</v>
      </c>
      <c r="D524" s="72" t="str">
        <f t="shared" si="25"/>
        <v>36-25</v>
      </c>
      <c r="E524" s="72">
        <v>73858</v>
      </c>
      <c r="F524" s="72" t="str">
        <f t="shared" si="26"/>
        <v>36-73858</v>
      </c>
      <c r="G524" s="391" t="s">
        <v>1030</v>
      </c>
      <c r="H524" s="491">
        <v>13717.82</v>
      </c>
      <c r="I524" s="491">
        <v>12612.97</v>
      </c>
      <c r="J524" s="491">
        <v>12987.13</v>
      </c>
      <c r="K524" s="491">
        <v>15442.21</v>
      </c>
      <c r="L524" s="1072">
        <v>0</v>
      </c>
      <c r="M524" s="1072">
        <v>0</v>
      </c>
      <c r="N524" s="1072">
        <v>0</v>
      </c>
      <c r="O524" s="1072">
        <v>0</v>
      </c>
      <c r="P524" s="491">
        <v>0</v>
      </c>
      <c r="Q524" s="491">
        <v>0</v>
      </c>
      <c r="R524" s="491">
        <v>0</v>
      </c>
      <c r="S524" s="491">
        <v>0</v>
      </c>
      <c r="T524" s="1025" t="b">
        <v>0</v>
      </c>
      <c r="U524" s="491">
        <v>0</v>
      </c>
      <c r="V524" s="491">
        <v>0</v>
      </c>
      <c r="W524" s="491">
        <v>0</v>
      </c>
      <c r="X524" s="491">
        <v>0</v>
      </c>
      <c r="Y524" s="1025" t="b">
        <v>0</v>
      </c>
      <c r="Z524" s="491">
        <v>0</v>
      </c>
      <c r="AA524" s="491">
        <v>0</v>
      </c>
      <c r="AB524" s="491">
        <v>0</v>
      </c>
      <c r="AC524" s="491">
        <v>0</v>
      </c>
      <c r="AD524" s="1025" t="b">
        <v>0</v>
      </c>
      <c r="AE524" s="491">
        <v>0</v>
      </c>
      <c r="AF524" s="491">
        <v>0</v>
      </c>
      <c r="AG524" s="491">
        <v>0</v>
      </c>
      <c r="AH524" s="491">
        <v>0</v>
      </c>
      <c r="AI524" s="1025" t="b">
        <v>0</v>
      </c>
      <c r="AJ524" s="491">
        <v>0</v>
      </c>
      <c r="AK524" s="491">
        <v>0</v>
      </c>
      <c r="AL524" s="491">
        <v>0</v>
      </c>
      <c r="AM524" s="491">
        <v>0</v>
      </c>
      <c r="AN524" s="1025" t="b">
        <v>0</v>
      </c>
      <c r="AO524" s="491">
        <v>0</v>
      </c>
      <c r="AP524" s="491">
        <v>0.89</v>
      </c>
      <c r="AQ524" s="491">
        <v>0</v>
      </c>
      <c r="AR524" s="491">
        <v>2.21</v>
      </c>
      <c r="AS524" s="1025" t="b">
        <v>1</v>
      </c>
      <c r="AT524" s="1025" t="b">
        <v>1</v>
      </c>
      <c r="AU524" s="491">
        <v>0</v>
      </c>
      <c r="AV524" s="491" t="s">
        <v>29</v>
      </c>
    </row>
    <row r="525" spans="1:48">
      <c r="A525" s="72">
        <v>36</v>
      </c>
      <c r="B525" s="391" t="s">
        <v>110</v>
      </c>
      <c r="C525" s="72">
        <f t="shared" si="24"/>
        <v>26</v>
      </c>
      <c r="D525" s="72" t="str">
        <f t="shared" si="25"/>
        <v>36-26</v>
      </c>
      <c r="E525" s="72">
        <v>73890</v>
      </c>
      <c r="F525" s="72" t="str">
        <f t="shared" si="26"/>
        <v>36-73890</v>
      </c>
      <c r="G525" s="391" t="s">
        <v>1031</v>
      </c>
      <c r="H525" s="331">
        <v>11590.76</v>
      </c>
      <c r="I525" s="331">
        <v>10657.22</v>
      </c>
      <c r="J525" s="331">
        <v>10973.36</v>
      </c>
      <c r="K525" s="331">
        <v>13047.76</v>
      </c>
      <c r="L525" s="1072">
        <v>0</v>
      </c>
      <c r="M525" s="1072">
        <v>0</v>
      </c>
      <c r="N525" s="1072">
        <v>0</v>
      </c>
      <c r="O525" s="1072">
        <v>0</v>
      </c>
      <c r="P525" s="491">
        <v>0</v>
      </c>
      <c r="Q525" s="491">
        <v>0</v>
      </c>
      <c r="R525" s="491">
        <v>0</v>
      </c>
      <c r="S525" s="491">
        <v>0</v>
      </c>
      <c r="T525" s="1025" t="b">
        <v>0</v>
      </c>
      <c r="U525" s="491">
        <v>1.07</v>
      </c>
      <c r="V525" s="491">
        <v>0.53</v>
      </c>
      <c r="W525" s="491">
        <v>0</v>
      </c>
      <c r="X525" s="491">
        <v>2.42</v>
      </c>
      <c r="Y525" s="1025" t="b">
        <v>1</v>
      </c>
      <c r="Z525" s="331">
        <v>0</v>
      </c>
      <c r="AA525" s="331">
        <v>0</v>
      </c>
      <c r="AB525" s="331">
        <v>0</v>
      </c>
      <c r="AC525" s="331">
        <v>0</v>
      </c>
      <c r="AD525" s="1025" t="b">
        <v>0</v>
      </c>
      <c r="AE525" s="331">
        <v>0</v>
      </c>
      <c r="AF525" s="331">
        <v>0</v>
      </c>
      <c r="AG525" s="331">
        <v>0</v>
      </c>
      <c r="AH525" s="331">
        <v>0</v>
      </c>
      <c r="AI525" s="1025" t="b">
        <v>0</v>
      </c>
      <c r="AJ525" s="331">
        <v>0</v>
      </c>
      <c r="AK525" s="331">
        <v>0</v>
      </c>
      <c r="AL525" s="331">
        <v>0</v>
      </c>
      <c r="AM525" s="331">
        <v>0</v>
      </c>
      <c r="AN525" s="1025" t="b">
        <v>0</v>
      </c>
      <c r="AO525" s="331">
        <v>0</v>
      </c>
      <c r="AP525" s="331">
        <v>0</v>
      </c>
      <c r="AQ525" s="331">
        <v>0</v>
      </c>
      <c r="AR525" s="331">
        <v>0</v>
      </c>
      <c r="AS525" s="1025" t="b">
        <v>0</v>
      </c>
      <c r="AT525" s="1025" t="b">
        <v>1</v>
      </c>
      <c r="AU525" s="331">
        <v>0</v>
      </c>
      <c r="AV525" s="491" t="s">
        <v>29</v>
      </c>
    </row>
    <row r="526" spans="1:48">
      <c r="A526" s="72">
        <v>36</v>
      </c>
      <c r="B526" s="391" t="s">
        <v>110</v>
      </c>
      <c r="C526" s="72">
        <f t="shared" si="24"/>
        <v>27</v>
      </c>
      <c r="D526" s="72" t="str">
        <f t="shared" si="25"/>
        <v>36-27</v>
      </c>
      <c r="E526" s="72">
        <v>73957</v>
      </c>
      <c r="F526" s="72" t="str">
        <f t="shared" si="26"/>
        <v>36-73957</v>
      </c>
      <c r="G526" s="391" t="s">
        <v>1032</v>
      </c>
      <c r="H526" s="331">
        <v>12133.49</v>
      </c>
      <c r="I526" s="331">
        <v>11156.24</v>
      </c>
      <c r="J526" s="331">
        <v>11487.19</v>
      </c>
      <c r="K526" s="331">
        <v>13658.72</v>
      </c>
      <c r="L526" s="1072">
        <v>0</v>
      </c>
      <c r="M526" s="1072">
        <v>0</v>
      </c>
      <c r="N526" s="1072">
        <v>0</v>
      </c>
      <c r="O526" s="1072">
        <v>0</v>
      </c>
      <c r="P526" s="491">
        <v>0</v>
      </c>
      <c r="Q526" s="491">
        <v>0</v>
      </c>
      <c r="R526" s="491">
        <v>0</v>
      </c>
      <c r="S526" s="491">
        <v>0</v>
      </c>
      <c r="T526" s="1025" t="b">
        <v>0</v>
      </c>
      <c r="U526" s="491">
        <v>33.82</v>
      </c>
      <c r="V526" s="491">
        <v>12.09</v>
      </c>
      <c r="W526" s="491">
        <v>2.74</v>
      </c>
      <c r="X526" s="491">
        <v>30.01</v>
      </c>
      <c r="Y526" s="1025" t="b">
        <v>1</v>
      </c>
      <c r="Z526" s="331">
        <v>0</v>
      </c>
      <c r="AA526" s="331">
        <v>0</v>
      </c>
      <c r="AB526" s="331">
        <v>0</v>
      </c>
      <c r="AC526" s="331">
        <v>0</v>
      </c>
      <c r="AD526" s="1025" t="b">
        <v>0</v>
      </c>
      <c r="AE526" s="331">
        <v>1.88</v>
      </c>
      <c r="AF526" s="331">
        <v>0.35</v>
      </c>
      <c r="AG526" s="331">
        <v>0</v>
      </c>
      <c r="AH526" s="331">
        <v>1.6</v>
      </c>
      <c r="AI526" s="1025" t="b">
        <v>1</v>
      </c>
      <c r="AJ526" s="331">
        <v>0</v>
      </c>
      <c r="AK526" s="331">
        <v>0</v>
      </c>
      <c r="AL526" s="331">
        <v>0</v>
      </c>
      <c r="AM526" s="331">
        <v>0</v>
      </c>
      <c r="AN526" s="1025" t="b">
        <v>0</v>
      </c>
      <c r="AO526" s="331">
        <v>0</v>
      </c>
      <c r="AP526" s="331">
        <v>0</v>
      </c>
      <c r="AQ526" s="331">
        <v>0</v>
      </c>
      <c r="AR526" s="331">
        <v>0</v>
      </c>
      <c r="AS526" s="1025" t="b">
        <v>0</v>
      </c>
      <c r="AT526" s="1025" t="b">
        <v>1</v>
      </c>
      <c r="AU526" s="331">
        <v>0</v>
      </c>
      <c r="AV526" s="491" t="s">
        <v>29</v>
      </c>
    </row>
    <row r="527" spans="1:48">
      <c r="A527" s="72">
        <v>36</v>
      </c>
      <c r="B527" s="391" t="s">
        <v>110</v>
      </c>
      <c r="C527" s="72">
        <f t="shared" si="24"/>
        <v>28</v>
      </c>
      <c r="D527" s="72" t="str">
        <f t="shared" si="25"/>
        <v>36-28</v>
      </c>
      <c r="E527" s="72">
        <v>75044</v>
      </c>
      <c r="F527" s="72" t="str">
        <f t="shared" si="26"/>
        <v>36-75044</v>
      </c>
      <c r="G527" s="391" t="s">
        <v>977</v>
      </c>
      <c r="H527" s="331">
        <v>12447.43</v>
      </c>
      <c r="I527" s="331">
        <v>11444.9</v>
      </c>
      <c r="J527" s="331">
        <v>11784.41</v>
      </c>
      <c r="K527" s="331">
        <v>14012.13</v>
      </c>
      <c r="L527" s="1072">
        <v>0</v>
      </c>
      <c r="M527" s="1072">
        <v>0</v>
      </c>
      <c r="N527" s="1072">
        <v>0</v>
      </c>
      <c r="O527" s="1072">
        <v>0</v>
      </c>
      <c r="P527" s="491">
        <v>0</v>
      </c>
      <c r="Q527" s="491">
        <v>0</v>
      </c>
      <c r="R527" s="491">
        <v>0</v>
      </c>
      <c r="S527" s="491">
        <v>0</v>
      </c>
      <c r="T527" s="1025" t="b">
        <v>0</v>
      </c>
      <c r="U527" s="491">
        <v>15.98</v>
      </c>
      <c r="V527" s="491">
        <v>7.85</v>
      </c>
      <c r="W527" s="491">
        <v>2.77</v>
      </c>
      <c r="X527" s="491">
        <v>66.760000000000005</v>
      </c>
      <c r="Y527" s="1025" t="b">
        <v>1</v>
      </c>
      <c r="Z527" s="331">
        <v>0</v>
      </c>
      <c r="AA527" s="331">
        <v>0</v>
      </c>
      <c r="AB527" s="331">
        <v>0</v>
      </c>
      <c r="AC527" s="331">
        <v>0</v>
      </c>
      <c r="AD527" s="1025" t="b">
        <v>0</v>
      </c>
      <c r="AE527" s="331">
        <v>0.09</v>
      </c>
      <c r="AF527" s="331">
        <v>0</v>
      </c>
      <c r="AG527" s="331">
        <v>0</v>
      </c>
      <c r="AH527" s="331">
        <v>0</v>
      </c>
      <c r="AI527" s="1025" t="b">
        <v>1</v>
      </c>
      <c r="AJ527" s="331">
        <v>0</v>
      </c>
      <c r="AK527" s="331">
        <v>0</v>
      </c>
      <c r="AL527" s="331">
        <v>0</v>
      </c>
      <c r="AM527" s="331">
        <v>0</v>
      </c>
      <c r="AN527" s="1025" t="b">
        <v>0</v>
      </c>
      <c r="AO527" s="331">
        <v>0</v>
      </c>
      <c r="AP527" s="331">
        <v>0</v>
      </c>
      <c r="AQ527" s="331">
        <v>0</v>
      </c>
      <c r="AR527" s="331">
        <v>0</v>
      </c>
      <c r="AS527" s="1025" t="b">
        <v>0</v>
      </c>
      <c r="AT527" s="1025" t="b">
        <v>1</v>
      </c>
      <c r="AU527" s="331">
        <v>0</v>
      </c>
      <c r="AV527" s="491" t="s">
        <v>29</v>
      </c>
    </row>
    <row r="528" spans="1:48">
      <c r="A528" s="72">
        <v>36</v>
      </c>
      <c r="B528" s="391" t="s">
        <v>110</v>
      </c>
      <c r="C528" s="72">
        <f t="shared" si="24"/>
        <v>29</v>
      </c>
      <c r="D528" s="72" t="str">
        <f t="shared" si="25"/>
        <v>36-29</v>
      </c>
      <c r="E528" s="72">
        <v>75051</v>
      </c>
      <c r="F528" s="72" t="str">
        <f t="shared" si="26"/>
        <v>36-75051</v>
      </c>
      <c r="G528" s="391" t="s">
        <v>978</v>
      </c>
      <c r="H528" s="331">
        <v>14264</v>
      </c>
      <c r="I528" s="331">
        <v>13115.15</v>
      </c>
      <c r="J528" s="331">
        <v>13504.21</v>
      </c>
      <c r="K528" s="331">
        <v>16057.04</v>
      </c>
      <c r="L528" s="1072">
        <v>0</v>
      </c>
      <c r="M528" s="1072">
        <v>0</v>
      </c>
      <c r="N528" s="1072">
        <v>0</v>
      </c>
      <c r="O528" s="1072">
        <v>0</v>
      </c>
      <c r="P528" s="491">
        <v>0</v>
      </c>
      <c r="Q528" s="491">
        <v>0</v>
      </c>
      <c r="R528" s="491">
        <v>0</v>
      </c>
      <c r="S528" s="491">
        <v>0</v>
      </c>
      <c r="T528" s="1025" t="b">
        <v>0</v>
      </c>
      <c r="U528" s="491">
        <v>2.82</v>
      </c>
      <c r="V528" s="491">
        <v>1.94</v>
      </c>
      <c r="W528" s="491">
        <v>1.73</v>
      </c>
      <c r="X528" s="491">
        <v>7.8</v>
      </c>
      <c r="Y528" s="1025" t="b">
        <v>1</v>
      </c>
      <c r="Z528" s="331">
        <v>0</v>
      </c>
      <c r="AA528" s="331">
        <v>0</v>
      </c>
      <c r="AB528" s="331">
        <v>0</v>
      </c>
      <c r="AC528" s="331">
        <v>0</v>
      </c>
      <c r="AD528" s="1025" t="b">
        <v>0</v>
      </c>
      <c r="AE528" s="331">
        <v>0</v>
      </c>
      <c r="AF528" s="331">
        <v>0</v>
      </c>
      <c r="AG528" s="331">
        <v>0</v>
      </c>
      <c r="AH528" s="331">
        <v>0</v>
      </c>
      <c r="AI528" s="1025" t="b">
        <v>0</v>
      </c>
      <c r="AJ528" s="331">
        <v>0</v>
      </c>
      <c r="AK528" s="331">
        <v>0</v>
      </c>
      <c r="AL528" s="331">
        <v>0</v>
      </c>
      <c r="AM528" s="331">
        <v>0</v>
      </c>
      <c r="AN528" s="1025" t="b">
        <v>0</v>
      </c>
      <c r="AO528" s="331">
        <v>0</v>
      </c>
      <c r="AP528" s="331">
        <v>0</v>
      </c>
      <c r="AQ528" s="331">
        <v>0</v>
      </c>
      <c r="AR528" s="331">
        <v>0</v>
      </c>
      <c r="AS528" s="1025" t="b">
        <v>0</v>
      </c>
      <c r="AT528" s="1025" t="b">
        <v>1</v>
      </c>
      <c r="AU528" s="331">
        <v>0</v>
      </c>
      <c r="AV528" s="491" t="s">
        <v>29</v>
      </c>
    </row>
    <row r="529" spans="1:48">
      <c r="A529" s="72">
        <v>36</v>
      </c>
      <c r="B529" s="391" t="s">
        <v>110</v>
      </c>
      <c r="C529" s="72">
        <f t="shared" si="24"/>
        <v>30</v>
      </c>
      <c r="D529" s="72" t="str">
        <f t="shared" si="25"/>
        <v>36-30</v>
      </c>
      <c r="E529" s="72">
        <v>75069</v>
      </c>
      <c r="F529" s="72" t="str">
        <f t="shared" si="26"/>
        <v>36-75069</v>
      </c>
      <c r="G529" s="391" t="s">
        <v>857</v>
      </c>
      <c r="H529" s="491">
        <v>12076.72</v>
      </c>
      <c r="I529" s="491">
        <v>11104.04</v>
      </c>
      <c r="J529" s="491">
        <v>11433.44</v>
      </c>
      <c r="K529" s="491">
        <v>13594.82</v>
      </c>
      <c r="L529" s="1072">
        <v>0</v>
      </c>
      <c r="M529" s="1072">
        <v>0</v>
      </c>
      <c r="N529" s="1072">
        <v>0</v>
      </c>
      <c r="O529" s="1072">
        <v>0</v>
      </c>
      <c r="P529" s="491">
        <v>0</v>
      </c>
      <c r="Q529" s="491">
        <v>0</v>
      </c>
      <c r="R529" s="491">
        <v>0</v>
      </c>
      <c r="S529" s="491">
        <v>0</v>
      </c>
      <c r="T529" s="1025" t="b">
        <v>0</v>
      </c>
      <c r="U529" s="491">
        <v>14.21</v>
      </c>
      <c r="V529" s="491">
        <v>1.7</v>
      </c>
      <c r="W529" s="491">
        <v>3.65</v>
      </c>
      <c r="X529" s="491">
        <v>6.51</v>
      </c>
      <c r="Y529" s="1025" t="b">
        <v>1</v>
      </c>
      <c r="Z529" s="491">
        <v>0</v>
      </c>
      <c r="AA529" s="491">
        <v>0</v>
      </c>
      <c r="AB529" s="491">
        <v>0</v>
      </c>
      <c r="AC529" s="491">
        <v>0</v>
      </c>
      <c r="AD529" s="1025" t="b">
        <v>0</v>
      </c>
      <c r="AE529" s="491">
        <v>0.54</v>
      </c>
      <c r="AF529" s="491">
        <v>0.16</v>
      </c>
      <c r="AG529" s="491">
        <v>0.06</v>
      </c>
      <c r="AH529" s="491">
        <v>0.28999999999999998</v>
      </c>
      <c r="AI529" s="1025" t="b">
        <v>1</v>
      </c>
      <c r="AJ529" s="491">
        <v>0</v>
      </c>
      <c r="AK529" s="491">
        <v>0</v>
      </c>
      <c r="AL529" s="491">
        <v>0</v>
      </c>
      <c r="AM529" s="491">
        <v>0</v>
      </c>
      <c r="AN529" s="1025" t="b">
        <v>0</v>
      </c>
      <c r="AO529" s="491">
        <v>0</v>
      </c>
      <c r="AP529" s="491">
        <v>0</v>
      </c>
      <c r="AQ529" s="491">
        <v>0</v>
      </c>
      <c r="AR529" s="491">
        <v>0</v>
      </c>
      <c r="AS529" s="1025" t="b">
        <v>0</v>
      </c>
      <c r="AT529" s="1025" t="b">
        <v>1</v>
      </c>
      <c r="AU529" s="491">
        <v>0</v>
      </c>
      <c r="AV529" s="491" t="s">
        <v>29</v>
      </c>
    </row>
    <row r="530" spans="1:48">
      <c r="A530" s="72">
        <v>36</v>
      </c>
      <c r="B530" s="391" t="s">
        <v>110</v>
      </c>
      <c r="C530" s="72">
        <f t="shared" si="24"/>
        <v>31</v>
      </c>
      <c r="D530" s="72" t="str">
        <f t="shared" si="25"/>
        <v>36-31</v>
      </c>
      <c r="E530" s="72">
        <v>75077</v>
      </c>
      <c r="F530" s="72" t="str">
        <f t="shared" si="26"/>
        <v>36-75077</v>
      </c>
      <c r="G530" s="391" t="s">
        <v>1033</v>
      </c>
      <c r="H530" s="331">
        <v>12921.36</v>
      </c>
      <c r="I530" s="331">
        <v>11880.65</v>
      </c>
      <c r="J530" s="331">
        <v>12233.09</v>
      </c>
      <c r="K530" s="331">
        <v>14545.62</v>
      </c>
      <c r="L530" s="1072">
        <v>0</v>
      </c>
      <c r="M530" s="1072">
        <v>0</v>
      </c>
      <c r="N530" s="1072">
        <v>0</v>
      </c>
      <c r="O530" s="1072">
        <v>0</v>
      </c>
      <c r="P530" s="491">
        <v>0</v>
      </c>
      <c r="Q530" s="491">
        <v>0</v>
      </c>
      <c r="R530" s="491">
        <v>0</v>
      </c>
      <c r="S530" s="491">
        <v>0</v>
      </c>
      <c r="T530" s="1025" t="b">
        <v>0</v>
      </c>
      <c r="U530" s="491">
        <v>35.619999999999997</v>
      </c>
      <c r="V530" s="491">
        <v>15.25</v>
      </c>
      <c r="W530" s="491">
        <v>15.19</v>
      </c>
      <c r="X530" s="491">
        <v>26.74</v>
      </c>
      <c r="Y530" s="1025" t="b">
        <v>1</v>
      </c>
      <c r="Z530" s="331">
        <v>0</v>
      </c>
      <c r="AA530" s="331">
        <v>0</v>
      </c>
      <c r="AB530" s="331">
        <v>0</v>
      </c>
      <c r="AC530" s="331">
        <v>0</v>
      </c>
      <c r="AD530" s="1025" t="b">
        <v>0</v>
      </c>
      <c r="AE530" s="331">
        <v>0</v>
      </c>
      <c r="AF530" s="331">
        <v>0</v>
      </c>
      <c r="AG530" s="331">
        <v>0</v>
      </c>
      <c r="AH530" s="331">
        <v>0</v>
      </c>
      <c r="AI530" s="1025" t="b">
        <v>0</v>
      </c>
      <c r="AJ530" s="331">
        <v>0</v>
      </c>
      <c r="AK530" s="331">
        <v>0</v>
      </c>
      <c r="AL530" s="331">
        <v>0</v>
      </c>
      <c r="AM530" s="331">
        <v>0</v>
      </c>
      <c r="AN530" s="1025" t="b">
        <v>0</v>
      </c>
      <c r="AO530" s="331">
        <v>0</v>
      </c>
      <c r="AP530" s="331">
        <v>0</v>
      </c>
      <c r="AQ530" s="331">
        <v>0</v>
      </c>
      <c r="AR530" s="331">
        <v>0</v>
      </c>
      <c r="AS530" s="1025" t="b">
        <v>0</v>
      </c>
      <c r="AT530" s="1025" t="b">
        <v>1</v>
      </c>
      <c r="AU530" s="331">
        <v>0</v>
      </c>
      <c r="AV530" s="491" t="s">
        <v>29</v>
      </c>
    </row>
    <row r="531" spans="1:48">
      <c r="A531" s="72">
        <v>36</v>
      </c>
      <c r="B531" s="391" t="s">
        <v>110</v>
      </c>
      <c r="C531" s="72">
        <f t="shared" si="24"/>
        <v>0</v>
      </c>
      <c r="D531" s="72" t="str">
        <f t="shared" si="25"/>
        <v>36-0</v>
      </c>
      <c r="E531" s="72" t="s">
        <v>29</v>
      </c>
      <c r="F531" s="72" t="str">
        <f t="shared" si="26"/>
        <v>36-N/A</v>
      </c>
      <c r="G531" s="391" t="s">
        <v>29</v>
      </c>
      <c r="H531" s="491" t="s">
        <v>29</v>
      </c>
      <c r="I531" s="491" t="s">
        <v>29</v>
      </c>
      <c r="J531" s="491" t="s">
        <v>29</v>
      </c>
      <c r="K531" s="491" t="s">
        <v>29</v>
      </c>
      <c r="L531" s="491" t="s">
        <v>29</v>
      </c>
      <c r="M531" s="491" t="s">
        <v>29</v>
      </c>
      <c r="N531" s="491" t="s">
        <v>29</v>
      </c>
      <c r="O531" s="491" t="s">
        <v>29</v>
      </c>
      <c r="P531" s="491" t="s">
        <v>29</v>
      </c>
      <c r="Q531" s="491" t="s">
        <v>29</v>
      </c>
      <c r="R531" s="491" t="s">
        <v>29</v>
      </c>
      <c r="S531" s="491" t="s">
        <v>29</v>
      </c>
      <c r="T531" s="1025" t="s">
        <v>29</v>
      </c>
      <c r="U531" s="491" t="s">
        <v>29</v>
      </c>
      <c r="V531" s="491" t="s">
        <v>29</v>
      </c>
      <c r="W531" s="491" t="s">
        <v>29</v>
      </c>
      <c r="X531" s="491" t="s">
        <v>29</v>
      </c>
      <c r="Y531" s="1025" t="s">
        <v>29</v>
      </c>
      <c r="Z531" s="491" t="s">
        <v>29</v>
      </c>
      <c r="AA531" s="491" t="s">
        <v>29</v>
      </c>
      <c r="AB531" s="491" t="s">
        <v>29</v>
      </c>
      <c r="AC531" s="491" t="s">
        <v>29</v>
      </c>
      <c r="AD531" s="1025" t="s">
        <v>29</v>
      </c>
      <c r="AE531" s="491" t="s">
        <v>29</v>
      </c>
      <c r="AF531" s="491" t="s">
        <v>29</v>
      </c>
      <c r="AG531" s="491" t="s">
        <v>29</v>
      </c>
      <c r="AH531" s="491" t="s">
        <v>29</v>
      </c>
      <c r="AI531" s="1025" t="s">
        <v>29</v>
      </c>
      <c r="AJ531" s="491" t="s">
        <v>29</v>
      </c>
      <c r="AK531" s="491" t="s">
        <v>29</v>
      </c>
      <c r="AL531" s="491" t="s">
        <v>29</v>
      </c>
      <c r="AM531" s="491" t="s">
        <v>29</v>
      </c>
      <c r="AN531" s="1025" t="s">
        <v>29</v>
      </c>
      <c r="AO531" s="491" t="s">
        <v>29</v>
      </c>
      <c r="AP531" s="491" t="s">
        <v>29</v>
      </c>
      <c r="AQ531" s="491" t="s">
        <v>29</v>
      </c>
      <c r="AR531" s="491" t="s">
        <v>29</v>
      </c>
      <c r="AS531" s="1025" t="s">
        <v>29</v>
      </c>
      <c r="AT531" s="1025" t="s">
        <v>29</v>
      </c>
      <c r="AU531" s="491" t="s">
        <v>29</v>
      </c>
      <c r="AV531" s="491">
        <v>0</v>
      </c>
    </row>
    <row r="532" spans="1:48">
      <c r="A532" s="72">
        <v>37</v>
      </c>
      <c r="B532" s="391" t="s">
        <v>71</v>
      </c>
      <c r="C532" s="72">
        <f t="shared" si="24"/>
        <v>1</v>
      </c>
      <c r="D532" s="72" t="str">
        <f t="shared" si="25"/>
        <v>37-1</v>
      </c>
      <c r="E532" s="72">
        <v>67967</v>
      </c>
      <c r="F532" s="72" t="str">
        <f t="shared" si="26"/>
        <v>37-67967</v>
      </c>
      <c r="G532" s="391" t="s">
        <v>1790</v>
      </c>
      <c r="H532" s="331">
        <v>10859.31</v>
      </c>
      <c r="I532" s="331">
        <v>9984.68</v>
      </c>
      <c r="J532" s="331">
        <v>10280.870000000001</v>
      </c>
      <c r="K532" s="331">
        <v>12224.37</v>
      </c>
      <c r="L532" s="491" t="s">
        <v>29</v>
      </c>
      <c r="M532" s="491" t="s">
        <v>29</v>
      </c>
      <c r="N532" s="491" t="s">
        <v>29</v>
      </c>
      <c r="O532" s="491" t="s">
        <v>29</v>
      </c>
      <c r="P532" s="491">
        <v>0</v>
      </c>
      <c r="Q532" s="491">
        <v>0</v>
      </c>
      <c r="R532" s="491">
        <v>0</v>
      </c>
      <c r="S532" s="491">
        <v>0</v>
      </c>
      <c r="T532" s="1025" t="b">
        <v>0</v>
      </c>
      <c r="U532" s="491">
        <v>0.88</v>
      </c>
      <c r="V532" s="491">
        <v>0</v>
      </c>
      <c r="W532" s="491">
        <v>0</v>
      </c>
      <c r="X532" s="491">
        <v>0</v>
      </c>
      <c r="Y532" s="1025" t="b">
        <v>0</v>
      </c>
      <c r="Z532" s="331">
        <v>0</v>
      </c>
      <c r="AA532" s="331">
        <v>0</v>
      </c>
      <c r="AB532" s="331">
        <v>0</v>
      </c>
      <c r="AC532" s="331">
        <v>0</v>
      </c>
      <c r="AD532" s="1025" t="b">
        <v>0</v>
      </c>
      <c r="AE532" s="331">
        <v>0</v>
      </c>
      <c r="AF532" s="331">
        <v>0</v>
      </c>
      <c r="AG532" s="331">
        <v>0</v>
      </c>
      <c r="AH532" s="331">
        <v>0</v>
      </c>
      <c r="AI532" s="1025" t="b">
        <v>0</v>
      </c>
      <c r="AJ532" s="331">
        <v>0</v>
      </c>
      <c r="AK532" s="331">
        <v>0</v>
      </c>
      <c r="AL532" s="331">
        <v>0</v>
      </c>
      <c r="AM532" s="331">
        <v>0</v>
      </c>
      <c r="AN532" s="1025" t="b">
        <v>0</v>
      </c>
      <c r="AO532" s="331">
        <v>0</v>
      </c>
      <c r="AP532" s="331">
        <v>0</v>
      </c>
      <c r="AQ532" s="331">
        <v>0</v>
      </c>
      <c r="AR532" s="331">
        <v>0</v>
      </c>
      <c r="AS532" s="1025" t="b">
        <v>0</v>
      </c>
      <c r="AT532" s="1025" t="b">
        <v>0</v>
      </c>
      <c r="AU532" s="331">
        <v>9556</v>
      </c>
      <c r="AV532" s="491" t="s">
        <v>29</v>
      </c>
    </row>
    <row r="533" spans="1:48">
      <c r="A533" s="72">
        <v>37</v>
      </c>
      <c r="B533" s="391" t="s">
        <v>71</v>
      </c>
      <c r="C533" s="72">
        <f t="shared" si="24"/>
        <v>2</v>
      </c>
      <c r="D533" s="72" t="str">
        <f t="shared" si="25"/>
        <v>37-2</v>
      </c>
      <c r="E533" s="72">
        <v>67991</v>
      </c>
      <c r="F533" s="72" t="str">
        <f t="shared" si="26"/>
        <v>37-67991</v>
      </c>
      <c r="G533" s="391" t="s">
        <v>1034</v>
      </c>
      <c r="H533" s="491">
        <v>12742.45</v>
      </c>
      <c r="I533" s="491">
        <v>11716.16</v>
      </c>
      <c r="J533" s="491">
        <v>12063.71</v>
      </c>
      <c r="K533" s="491">
        <v>14344.23</v>
      </c>
      <c r="L533" s="491" t="s">
        <v>29</v>
      </c>
      <c r="M533" s="491" t="s">
        <v>29</v>
      </c>
      <c r="N533" s="491" t="s">
        <v>29</v>
      </c>
      <c r="O533" s="491" t="s">
        <v>29</v>
      </c>
      <c r="P533" s="491">
        <v>3</v>
      </c>
      <c r="Q533" s="491">
        <v>2.09</v>
      </c>
      <c r="R533" s="491">
        <v>3.83</v>
      </c>
      <c r="S533" s="491">
        <v>0</v>
      </c>
      <c r="T533" s="1025" t="b">
        <v>0</v>
      </c>
      <c r="U533" s="491">
        <v>0.77</v>
      </c>
      <c r="V533" s="491">
        <v>1.66</v>
      </c>
      <c r="W533" s="491">
        <v>0</v>
      </c>
      <c r="X533" s="491">
        <v>0</v>
      </c>
      <c r="Y533" s="1025" t="b">
        <v>0</v>
      </c>
      <c r="Z533" s="491">
        <v>0</v>
      </c>
      <c r="AA533" s="491">
        <v>0</v>
      </c>
      <c r="AB533" s="491">
        <v>0</v>
      </c>
      <c r="AC533" s="491">
        <v>0</v>
      </c>
      <c r="AD533" s="1025" t="b">
        <v>0</v>
      </c>
      <c r="AE533" s="491">
        <v>0</v>
      </c>
      <c r="AF533" s="491">
        <v>0</v>
      </c>
      <c r="AG533" s="491">
        <v>0</v>
      </c>
      <c r="AH533" s="491">
        <v>0</v>
      </c>
      <c r="AI533" s="1025" t="b">
        <v>0</v>
      </c>
      <c r="AJ533" s="491">
        <v>0</v>
      </c>
      <c r="AK533" s="491">
        <v>0</v>
      </c>
      <c r="AL533" s="491">
        <v>0</v>
      </c>
      <c r="AM533" s="491">
        <v>0</v>
      </c>
      <c r="AN533" s="1025" t="b">
        <v>0</v>
      </c>
      <c r="AO533" s="491">
        <v>0</v>
      </c>
      <c r="AP533" s="491">
        <v>0</v>
      </c>
      <c r="AQ533" s="491">
        <v>0</v>
      </c>
      <c r="AR533" s="491">
        <v>0</v>
      </c>
      <c r="AS533" s="1025" t="b">
        <v>0</v>
      </c>
      <c r="AT533" s="1025" t="b">
        <v>0</v>
      </c>
      <c r="AU533" s="491">
        <v>138179</v>
      </c>
      <c r="AV533" s="491" t="s">
        <v>29</v>
      </c>
    </row>
    <row r="534" spans="1:48">
      <c r="A534" s="72">
        <v>37</v>
      </c>
      <c r="B534" s="391" t="s">
        <v>71</v>
      </c>
      <c r="C534" s="72">
        <f t="shared" si="24"/>
        <v>3</v>
      </c>
      <c r="D534" s="72" t="str">
        <f t="shared" si="25"/>
        <v>37-3</v>
      </c>
      <c r="E534" s="72">
        <v>68023</v>
      </c>
      <c r="F534" s="72" t="str">
        <f t="shared" si="26"/>
        <v>37-68023</v>
      </c>
      <c r="G534" s="391" t="s">
        <v>1035</v>
      </c>
      <c r="H534" s="331">
        <v>11443.68</v>
      </c>
      <c r="I534" s="331">
        <v>10521.99</v>
      </c>
      <c r="J534" s="331">
        <v>10834.12</v>
      </c>
      <c r="K534" s="331">
        <v>12882.2</v>
      </c>
      <c r="L534" s="491" t="s">
        <v>29</v>
      </c>
      <c r="M534" s="491" t="s">
        <v>29</v>
      </c>
      <c r="N534" s="491" t="s">
        <v>29</v>
      </c>
      <c r="O534" s="491" t="s">
        <v>29</v>
      </c>
      <c r="P534" s="491">
        <v>5.1100000000000003</v>
      </c>
      <c r="Q534" s="491">
        <v>6.71</v>
      </c>
      <c r="R534" s="491">
        <v>0</v>
      </c>
      <c r="S534" s="491">
        <v>0</v>
      </c>
      <c r="T534" s="1025" t="b">
        <v>0</v>
      </c>
      <c r="U534" s="491">
        <v>5.19</v>
      </c>
      <c r="V534" s="491">
        <v>3.26</v>
      </c>
      <c r="W534" s="491">
        <v>0</v>
      </c>
      <c r="X534" s="491">
        <v>0</v>
      </c>
      <c r="Y534" s="1025" t="b">
        <v>0</v>
      </c>
      <c r="Z534" s="331">
        <v>0</v>
      </c>
      <c r="AA534" s="331">
        <v>0</v>
      </c>
      <c r="AB534" s="331">
        <v>0</v>
      </c>
      <c r="AC534" s="331">
        <v>0</v>
      </c>
      <c r="AD534" s="1025" t="b">
        <v>0</v>
      </c>
      <c r="AE534" s="331">
        <v>0</v>
      </c>
      <c r="AF534" s="331">
        <v>0</v>
      </c>
      <c r="AG534" s="331">
        <v>0</v>
      </c>
      <c r="AH534" s="331">
        <v>0</v>
      </c>
      <c r="AI534" s="1025" t="b">
        <v>0</v>
      </c>
      <c r="AJ534" s="331">
        <v>0</v>
      </c>
      <c r="AK534" s="331">
        <v>0</v>
      </c>
      <c r="AL534" s="331">
        <v>0</v>
      </c>
      <c r="AM534" s="331">
        <v>0</v>
      </c>
      <c r="AN534" s="1025" t="b">
        <v>0</v>
      </c>
      <c r="AO534" s="331">
        <v>0</v>
      </c>
      <c r="AP534" s="331">
        <v>0</v>
      </c>
      <c r="AQ534" s="331">
        <v>0</v>
      </c>
      <c r="AR534" s="331">
        <v>0</v>
      </c>
      <c r="AS534" s="1025" t="b">
        <v>0</v>
      </c>
      <c r="AT534" s="1025" t="b">
        <v>0</v>
      </c>
      <c r="AU534" s="331">
        <v>222774</v>
      </c>
      <c r="AV534" s="491" t="s">
        <v>29</v>
      </c>
    </row>
    <row r="535" spans="1:48">
      <c r="A535" s="72">
        <v>37</v>
      </c>
      <c r="B535" s="391" t="s">
        <v>71</v>
      </c>
      <c r="C535" s="72">
        <f t="shared" si="24"/>
        <v>4</v>
      </c>
      <c r="D535" s="72" t="str">
        <f t="shared" si="25"/>
        <v>37-4</v>
      </c>
      <c r="E535" s="72">
        <v>68080</v>
      </c>
      <c r="F535" s="72" t="str">
        <f t="shared" si="26"/>
        <v>37-68080</v>
      </c>
      <c r="G535" s="391" t="s">
        <v>1650</v>
      </c>
      <c r="H535" s="331">
        <v>10511.01</v>
      </c>
      <c r="I535" s="331">
        <v>9664.44</v>
      </c>
      <c r="J535" s="331">
        <v>9951.1299999999992</v>
      </c>
      <c r="K535" s="331">
        <v>11832.29</v>
      </c>
      <c r="L535" s="491" t="s">
        <v>29</v>
      </c>
      <c r="M535" s="491" t="s">
        <v>29</v>
      </c>
      <c r="N535" s="491" t="s">
        <v>29</v>
      </c>
      <c r="O535" s="491" t="s">
        <v>29</v>
      </c>
      <c r="P535" s="491">
        <v>0</v>
      </c>
      <c r="Q535" s="491">
        <v>0</v>
      </c>
      <c r="R535" s="491">
        <v>0</v>
      </c>
      <c r="S535" s="491">
        <v>0</v>
      </c>
      <c r="T535" s="1025" t="b">
        <v>0</v>
      </c>
      <c r="U535" s="491">
        <v>0</v>
      </c>
      <c r="V535" s="491">
        <v>0.75</v>
      </c>
      <c r="W535" s="491">
        <v>0</v>
      </c>
      <c r="X535" s="491">
        <v>0</v>
      </c>
      <c r="Y535" s="1025" t="b">
        <v>0</v>
      </c>
      <c r="Z535" s="331">
        <v>0</v>
      </c>
      <c r="AA535" s="331">
        <v>0</v>
      </c>
      <c r="AB535" s="331">
        <v>0</v>
      </c>
      <c r="AC535" s="331">
        <v>0</v>
      </c>
      <c r="AD535" s="1025" t="b">
        <v>0</v>
      </c>
      <c r="AE535" s="331">
        <v>0</v>
      </c>
      <c r="AF535" s="331">
        <v>0.1</v>
      </c>
      <c r="AG535" s="331">
        <v>0</v>
      </c>
      <c r="AH535" s="331">
        <v>0</v>
      </c>
      <c r="AI535" s="1025" t="b">
        <v>0</v>
      </c>
      <c r="AJ535" s="331">
        <v>0</v>
      </c>
      <c r="AK535" s="331">
        <v>0</v>
      </c>
      <c r="AL535" s="331">
        <v>0</v>
      </c>
      <c r="AM535" s="331">
        <v>0</v>
      </c>
      <c r="AN535" s="1025" t="b">
        <v>0</v>
      </c>
      <c r="AO535" s="331">
        <v>0</v>
      </c>
      <c r="AP535" s="331">
        <v>0</v>
      </c>
      <c r="AQ535" s="331">
        <v>0</v>
      </c>
      <c r="AR535" s="331">
        <v>0</v>
      </c>
      <c r="AS535" s="1025" t="b">
        <v>0</v>
      </c>
      <c r="AT535" s="1025" t="b">
        <v>0</v>
      </c>
      <c r="AU535" s="331">
        <v>8215</v>
      </c>
      <c r="AV535" s="491" t="s">
        <v>29</v>
      </c>
    </row>
    <row r="536" spans="1:48">
      <c r="A536" s="72">
        <v>37</v>
      </c>
      <c r="B536" s="391" t="s">
        <v>71</v>
      </c>
      <c r="C536" s="72">
        <f t="shared" si="24"/>
        <v>5</v>
      </c>
      <c r="D536" s="72" t="str">
        <f t="shared" si="25"/>
        <v>37-5</v>
      </c>
      <c r="E536" s="72">
        <v>68098</v>
      </c>
      <c r="F536" s="72" t="str">
        <f t="shared" si="26"/>
        <v>37-68098</v>
      </c>
      <c r="G536" s="391" t="s">
        <v>1036</v>
      </c>
      <c r="H536" s="331">
        <v>13331.63</v>
      </c>
      <c r="I536" s="331">
        <v>12257.88</v>
      </c>
      <c r="J536" s="331">
        <v>12621.51</v>
      </c>
      <c r="K536" s="331">
        <v>15007.47</v>
      </c>
      <c r="L536" s="491" t="s">
        <v>29</v>
      </c>
      <c r="M536" s="491" t="s">
        <v>29</v>
      </c>
      <c r="N536" s="491" t="s">
        <v>29</v>
      </c>
      <c r="O536" s="491" t="s">
        <v>29</v>
      </c>
      <c r="P536" s="491">
        <v>0</v>
      </c>
      <c r="Q536" s="491">
        <v>0</v>
      </c>
      <c r="R536" s="491">
        <v>0</v>
      </c>
      <c r="S536" s="491">
        <v>0</v>
      </c>
      <c r="T536" s="1025" t="b">
        <v>0</v>
      </c>
      <c r="U536" s="491">
        <v>0</v>
      </c>
      <c r="V536" s="491">
        <v>0</v>
      </c>
      <c r="W536" s="491">
        <v>1.87</v>
      </c>
      <c r="X536" s="491">
        <v>0</v>
      </c>
      <c r="Y536" s="1025" t="b">
        <v>0</v>
      </c>
      <c r="Z536" s="331">
        <v>0</v>
      </c>
      <c r="AA536" s="331">
        <v>0</v>
      </c>
      <c r="AB536" s="331">
        <v>0</v>
      </c>
      <c r="AC536" s="331">
        <v>0</v>
      </c>
      <c r="AD536" s="1025" t="b">
        <v>0</v>
      </c>
      <c r="AE536" s="331">
        <v>0</v>
      </c>
      <c r="AF536" s="331">
        <v>0.1</v>
      </c>
      <c r="AG536" s="331">
        <v>0.1</v>
      </c>
      <c r="AH536" s="331">
        <v>0</v>
      </c>
      <c r="AI536" s="1025" t="b">
        <v>0</v>
      </c>
      <c r="AJ536" s="331">
        <v>0</v>
      </c>
      <c r="AK536" s="331">
        <v>0</v>
      </c>
      <c r="AL536" s="331">
        <v>0</v>
      </c>
      <c r="AM536" s="331">
        <v>0</v>
      </c>
      <c r="AN536" s="1025" t="b">
        <v>0</v>
      </c>
      <c r="AO536" s="331">
        <v>0</v>
      </c>
      <c r="AP536" s="331">
        <v>0</v>
      </c>
      <c r="AQ536" s="331">
        <v>0</v>
      </c>
      <c r="AR536" s="331">
        <v>0</v>
      </c>
      <c r="AS536" s="1025" t="b">
        <v>0</v>
      </c>
      <c r="AT536" s="1025" t="b">
        <v>0</v>
      </c>
      <c r="AU536" s="331">
        <v>26090</v>
      </c>
      <c r="AV536" s="491" t="s">
        <v>29</v>
      </c>
    </row>
    <row r="537" spans="1:48">
      <c r="A537" s="72">
        <v>37</v>
      </c>
      <c r="B537" s="391" t="s">
        <v>71</v>
      </c>
      <c r="C537" s="72">
        <f t="shared" si="24"/>
        <v>6</v>
      </c>
      <c r="D537" s="72" t="str">
        <f t="shared" si="25"/>
        <v>37-6</v>
      </c>
      <c r="E537" s="72">
        <v>68106</v>
      </c>
      <c r="F537" s="72" t="str">
        <f t="shared" si="26"/>
        <v>37-68106</v>
      </c>
      <c r="G537" s="391" t="s">
        <v>1037</v>
      </c>
      <c r="H537" s="331">
        <v>13353.13</v>
      </c>
      <c r="I537" s="331">
        <v>12277.65</v>
      </c>
      <c r="J537" s="331">
        <v>12641.86</v>
      </c>
      <c r="K537" s="331">
        <v>15031.68</v>
      </c>
      <c r="L537" s="491" t="s">
        <v>29</v>
      </c>
      <c r="M537" s="491" t="s">
        <v>29</v>
      </c>
      <c r="N537" s="491" t="s">
        <v>29</v>
      </c>
      <c r="O537" s="491" t="s">
        <v>29</v>
      </c>
      <c r="P537" s="491">
        <v>0</v>
      </c>
      <c r="Q537" s="491">
        <v>0</v>
      </c>
      <c r="R537" s="491">
        <v>0</v>
      </c>
      <c r="S537" s="491">
        <v>0</v>
      </c>
      <c r="T537" s="1025" t="b">
        <v>0</v>
      </c>
      <c r="U537" s="491">
        <v>0</v>
      </c>
      <c r="V537" s="491">
        <v>0</v>
      </c>
      <c r="W537" s="491">
        <v>0</v>
      </c>
      <c r="X537" s="491">
        <v>0.37</v>
      </c>
      <c r="Y537" s="1025" t="b">
        <v>0</v>
      </c>
      <c r="Z537" s="331">
        <v>0</v>
      </c>
      <c r="AA537" s="331">
        <v>0</v>
      </c>
      <c r="AB537" s="331">
        <v>0</v>
      </c>
      <c r="AC537" s="331">
        <v>0</v>
      </c>
      <c r="AD537" s="1025" t="b">
        <v>0</v>
      </c>
      <c r="AE537" s="331">
        <v>0</v>
      </c>
      <c r="AF537" s="331">
        <v>0</v>
      </c>
      <c r="AG537" s="331">
        <v>0</v>
      </c>
      <c r="AH537" s="331">
        <v>0.1</v>
      </c>
      <c r="AI537" s="1025" t="b">
        <v>0</v>
      </c>
      <c r="AJ537" s="331">
        <v>0</v>
      </c>
      <c r="AK537" s="331">
        <v>0</v>
      </c>
      <c r="AL537" s="331">
        <v>0</v>
      </c>
      <c r="AM537" s="331">
        <v>0</v>
      </c>
      <c r="AN537" s="1025" t="b">
        <v>0</v>
      </c>
      <c r="AO537" s="331">
        <v>0</v>
      </c>
      <c r="AP537" s="331">
        <v>0</v>
      </c>
      <c r="AQ537" s="331">
        <v>0</v>
      </c>
      <c r="AR537" s="331">
        <v>0</v>
      </c>
      <c r="AS537" s="1025" t="b">
        <v>0</v>
      </c>
      <c r="AT537" s="1025" t="b">
        <v>0</v>
      </c>
      <c r="AU537" s="331">
        <v>7065</v>
      </c>
      <c r="AV537" s="491" t="s">
        <v>29</v>
      </c>
    </row>
    <row r="538" spans="1:48">
      <c r="A538" s="72">
        <v>37</v>
      </c>
      <c r="B538" s="391" t="s">
        <v>71</v>
      </c>
      <c r="C538" s="72">
        <f t="shared" si="24"/>
        <v>7</v>
      </c>
      <c r="D538" s="72" t="str">
        <f t="shared" si="25"/>
        <v>37-7</v>
      </c>
      <c r="E538" s="72">
        <v>68114</v>
      </c>
      <c r="F538" s="72" t="str">
        <f t="shared" si="26"/>
        <v>37-68114</v>
      </c>
      <c r="G538" s="391" t="s">
        <v>1038</v>
      </c>
      <c r="H538" s="331">
        <v>13003.07</v>
      </c>
      <c r="I538" s="331">
        <v>11955.78</v>
      </c>
      <c r="J538" s="331">
        <v>12310.44</v>
      </c>
      <c r="K538" s="331">
        <v>14637.61</v>
      </c>
      <c r="L538" s="491" t="s">
        <v>29</v>
      </c>
      <c r="M538" s="491" t="s">
        <v>29</v>
      </c>
      <c r="N538" s="491" t="s">
        <v>29</v>
      </c>
      <c r="O538" s="491" t="s">
        <v>29</v>
      </c>
      <c r="P538" s="491">
        <v>0</v>
      </c>
      <c r="Q538" s="491">
        <v>0</v>
      </c>
      <c r="R538" s="491">
        <v>0</v>
      </c>
      <c r="S538" s="491">
        <v>0</v>
      </c>
      <c r="T538" s="1025" t="b">
        <v>0</v>
      </c>
      <c r="U538" s="491">
        <v>0.81</v>
      </c>
      <c r="V538" s="491">
        <v>1.89</v>
      </c>
      <c r="W538" s="491">
        <v>0</v>
      </c>
      <c r="X538" s="491">
        <v>0</v>
      </c>
      <c r="Y538" s="1025" t="b">
        <v>0</v>
      </c>
      <c r="Z538" s="331">
        <v>0</v>
      </c>
      <c r="AA538" s="331">
        <v>0</v>
      </c>
      <c r="AB538" s="331">
        <v>0</v>
      </c>
      <c r="AC538" s="331">
        <v>0</v>
      </c>
      <c r="AD538" s="1025" t="b">
        <v>0</v>
      </c>
      <c r="AE538" s="331">
        <v>0.08</v>
      </c>
      <c r="AF538" s="331">
        <v>7.0000000000000007E-2</v>
      </c>
      <c r="AG538" s="331">
        <v>0</v>
      </c>
      <c r="AH538" s="331">
        <v>0</v>
      </c>
      <c r="AI538" s="1025" t="b">
        <v>0</v>
      </c>
      <c r="AJ538" s="331">
        <v>0</v>
      </c>
      <c r="AK538" s="331">
        <v>0</v>
      </c>
      <c r="AL538" s="331">
        <v>0</v>
      </c>
      <c r="AM538" s="331">
        <v>0</v>
      </c>
      <c r="AN538" s="1025" t="b">
        <v>0</v>
      </c>
      <c r="AO538" s="331">
        <v>0</v>
      </c>
      <c r="AP538" s="331">
        <v>0</v>
      </c>
      <c r="AQ538" s="331">
        <v>0</v>
      </c>
      <c r="AR538" s="331">
        <v>0</v>
      </c>
      <c r="AS538" s="1025" t="b">
        <v>0</v>
      </c>
      <c r="AT538" s="1025" t="b">
        <v>0</v>
      </c>
      <c r="AU538" s="331">
        <v>35006</v>
      </c>
      <c r="AV538" s="491" t="s">
        <v>29</v>
      </c>
    </row>
    <row r="539" spans="1:48">
      <c r="A539" s="72">
        <v>37</v>
      </c>
      <c r="B539" s="391" t="s">
        <v>71</v>
      </c>
      <c r="C539" s="72">
        <f t="shared" si="24"/>
        <v>8</v>
      </c>
      <c r="D539" s="72" t="str">
        <f t="shared" si="25"/>
        <v>37-8</v>
      </c>
      <c r="E539" s="72">
        <v>68122</v>
      </c>
      <c r="F539" s="72" t="str">
        <f t="shared" si="26"/>
        <v>37-68122</v>
      </c>
      <c r="G539" s="391" t="s">
        <v>1039</v>
      </c>
      <c r="H539" s="331">
        <v>12680.52</v>
      </c>
      <c r="I539" s="331">
        <v>11659.21</v>
      </c>
      <c r="J539" s="331">
        <v>12005.08</v>
      </c>
      <c r="K539" s="331">
        <v>14274.52</v>
      </c>
      <c r="L539" s="491" t="s">
        <v>29</v>
      </c>
      <c r="M539" s="491" t="s">
        <v>29</v>
      </c>
      <c r="N539" s="491" t="s">
        <v>29</v>
      </c>
      <c r="O539" s="491" t="s">
        <v>29</v>
      </c>
      <c r="P539" s="491">
        <v>0</v>
      </c>
      <c r="Q539" s="491">
        <v>0</v>
      </c>
      <c r="R539" s="491">
        <v>0</v>
      </c>
      <c r="S539" s="491">
        <v>0</v>
      </c>
      <c r="T539" s="1025" t="b">
        <v>0</v>
      </c>
      <c r="U539" s="491">
        <v>0</v>
      </c>
      <c r="V539" s="491">
        <v>0</v>
      </c>
      <c r="W539" s="491">
        <v>0</v>
      </c>
      <c r="X539" s="491">
        <v>2.12</v>
      </c>
      <c r="Y539" s="1025" t="b">
        <v>0</v>
      </c>
      <c r="Z539" s="331">
        <v>0</v>
      </c>
      <c r="AA539" s="331">
        <v>0</v>
      </c>
      <c r="AB539" s="331">
        <v>0</v>
      </c>
      <c r="AC539" s="331">
        <v>0</v>
      </c>
      <c r="AD539" s="1025" t="b">
        <v>0</v>
      </c>
      <c r="AE539" s="331">
        <v>0</v>
      </c>
      <c r="AF539" s="331">
        <v>0</v>
      </c>
      <c r="AG539" s="331">
        <v>0</v>
      </c>
      <c r="AH539" s="331">
        <v>0.24</v>
      </c>
      <c r="AI539" s="1025" t="b">
        <v>0</v>
      </c>
      <c r="AJ539" s="331">
        <v>0</v>
      </c>
      <c r="AK539" s="331">
        <v>0</v>
      </c>
      <c r="AL539" s="331">
        <v>0</v>
      </c>
      <c r="AM539" s="331">
        <v>0</v>
      </c>
      <c r="AN539" s="1025" t="b">
        <v>0</v>
      </c>
      <c r="AO539" s="331">
        <v>0</v>
      </c>
      <c r="AP539" s="331">
        <v>0</v>
      </c>
      <c r="AQ539" s="331">
        <v>0</v>
      </c>
      <c r="AR539" s="331">
        <v>0</v>
      </c>
      <c r="AS539" s="1025" t="b">
        <v>0</v>
      </c>
      <c r="AT539" s="1025" t="b">
        <v>0</v>
      </c>
      <c r="AU539" s="331">
        <v>33688</v>
      </c>
      <c r="AV539" s="491" t="s">
        <v>29</v>
      </c>
    </row>
    <row r="540" spans="1:48">
      <c r="A540" s="72">
        <v>37</v>
      </c>
      <c r="B540" s="391" t="s">
        <v>71</v>
      </c>
      <c r="C540" s="72">
        <f t="shared" si="24"/>
        <v>9</v>
      </c>
      <c r="D540" s="72" t="str">
        <f t="shared" si="25"/>
        <v>37-9</v>
      </c>
      <c r="E540" s="72">
        <v>68130</v>
      </c>
      <c r="F540" s="72" t="str">
        <f t="shared" si="26"/>
        <v>37-68130</v>
      </c>
      <c r="G540" s="391" t="s">
        <v>1040</v>
      </c>
      <c r="H540" s="331">
        <v>11858.25</v>
      </c>
      <c r="I540" s="331">
        <v>10903.17</v>
      </c>
      <c r="J540" s="331">
        <v>11226.61</v>
      </c>
      <c r="K540" s="331">
        <v>13348.89</v>
      </c>
      <c r="L540" s="491" t="s">
        <v>29</v>
      </c>
      <c r="M540" s="491" t="s">
        <v>29</v>
      </c>
      <c r="N540" s="491" t="s">
        <v>29</v>
      </c>
      <c r="O540" s="491" t="s">
        <v>29</v>
      </c>
      <c r="P540" s="491">
        <v>0</v>
      </c>
      <c r="Q540" s="491">
        <v>0</v>
      </c>
      <c r="R540" s="491">
        <v>0</v>
      </c>
      <c r="S540" s="491">
        <v>7.06</v>
      </c>
      <c r="T540" s="1025" t="b">
        <v>0</v>
      </c>
      <c r="U540" s="491">
        <v>0</v>
      </c>
      <c r="V540" s="491">
        <v>0</v>
      </c>
      <c r="W540" s="491">
        <v>0</v>
      </c>
      <c r="X540" s="491">
        <v>0</v>
      </c>
      <c r="Y540" s="1025" t="b">
        <v>0</v>
      </c>
      <c r="Z540" s="331">
        <v>0</v>
      </c>
      <c r="AA540" s="331">
        <v>0</v>
      </c>
      <c r="AB540" s="331">
        <v>0</v>
      </c>
      <c r="AC540" s="331">
        <v>0</v>
      </c>
      <c r="AD540" s="1025" t="b">
        <v>0</v>
      </c>
      <c r="AE540" s="331">
        <v>0</v>
      </c>
      <c r="AF540" s="331">
        <v>0</v>
      </c>
      <c r="AG540" s="331">
        <v>0</v>
      </c>
      <c r="AH540" s="331">
        <v>0</v>
      </c>
      <c r="AI540" s="1025" t="b">
        <v>0</v>
      </c>
      <c r="AJ540" s="331">
        <v>0</v>
      </c>
      <c r="AK540" s="331">
        <v>0</v>
      </c>
      <c r="AL540" s="331">
        <v>0</v>
      </c>
      <c r="AM540" s="331">
        <v>0</v>
      </c>
      <c r="AN540" s="1025" t="b">
        <v>0</v>
      </c>
      <c r="AO540" s="331">
        <v>0</v>
      </c>
      <c r="AP540" s="331">
        <v>0</v>
      </c>
      <c r="AQ540" s="331">
        <v>0</v>
      </c>
      <c r="AR540" s="331">
        <v>0</v>
      </c>
      <c r="AS540" s="1025" t="b">
        <v>0</v>
      </c>
      <c r="AT540" s="1025" t="b">
        <v>0</v>
      </c>
      <c r="AU540" s="331">
        <v>94243</v>
      </c>
      <c r="AV540" s="491" t="s">
        <v>29</v>
      </c>
    </row>
    <row r="541" spans="1:48">
      <c r="A541" s="72">
        <v>37</v>
      </c>
      <c r="B541" s="391" t="s">
        <v>71</v>
      </c>
      <c r="C541" s="72">
        <f t="shared" si="24"/>
        <v>10</v>
      </c>
      <c r="D541" s="72" t="str">
        <f t="shared" si="25"/>
        <v>37-10</v>
      </c>
      <c r="E541" s="72">
        <v>68189</v>
      </c>
      <c r="F541" s="72" t="str">
        <f t="shared" si="26"/>
        <v>37-68189</v>
      </c>
      <c r="G541" s="391" t="s">
        <v>783</v>
      </c>
      <c r="H541" s="331">
        <v>10988.22</v>
      </c>
      <c r="I541" s="331">
        <v>10103.209999999999</v>
      </c>
      <c r="J541" s="331">
        <v>10402.92</v>
      </c>
      <c r="K541" s="331">
        <v>12369.49</v>
      </c>
      <c r="L541" s="491" t="s">
        <v>29</v>
      </c>
      <c r="M541" s="491" t="s">
        <v>29</v>
      </c>
      <c r="N541" s="491" t="s">
        <v>29</v>
      </c>
      <c r="O541" s="491" t="s">
        <v>29</v>
      </c>
      <c r="P541" s="491">
        <v>0.7</v>
      </c>
      <c r="Q541" s="491">
        <v>0</v>
      </c>
      <c r="R541" s="491">
        <v>0</v>
      </c>
      <c r="S541" s="491">
        <v>0</v>
      </c>
      <c r="T541" s="1025" t="b">
        <v>0</v>
      </c>
      <c r="U541" s="491">
        <v>0</v>
      </c>
      <c r="V541" s="491">
        <v>0</v>
      </c>
      <c r="W541" s="491">
        <v>0</v>
      </c>
      <c r="X541" s="491">
        <v>0</v>
      </c>
      <c r="Y541" s="1025" t="b">
        <v>0</v>
      </c>
      <c r="Z541" s="331">
        <v>0</v>
      </c>
      <c r="AA541" s="331">
        <v>0</v>
      </c>
      <c r="AB541" s="331">
        <v>0</v>
      </c>
      <c r="AC541" s="331">
        <v>0</v>
      </c>
      <c r="AD541" s="1025" t="b">
        <v>0</v>
      </c>
      <c r="AE541" s="331">
        <v>0</v>
      </c>
      <c r="AF541" s="331">
        <v>0</v>
      </c>
      <c r="AG541" s="331">
        <v>0</v>
      </c>
      <c r="AH541" s="331">
        <v>0</v>
      </c>
      <c r="AI541" s="1025" t="b">
        <v>0</v>
      </c>
      <c r="AJ541" s="331">
        <v>0</v>
      </c>
      <c r="AK541" s="331">
        <v>0</v>
      </c>
      <c r="AL541" s="331">
        <v>0</v>
      </c>
      <c r="AM541" s="331">
        <v>0</v>
      </c>
      <c r="AN541" s="1025" t="b">
        <v>0</v>
      </c>
      <c r="AO541" s="331">
        <v>0</v>
      </c>
      <c r="AP541" s="331">
        <v>0</v>
      </c>
      <c r="AQ541" s="331">
        <v>0</v>
      </c>
      <c r="AR541" s="331">
        <v>0</v>
      </c>
      <c r="AS541" s="1025" t="b">
        <v>0</v>
      </c>
      <c r="AT541" s="1025" t="b">
        <v>0</v>
      </c>
      <c r="AU541" s="331">
        <v>7692</v>
      </c>
      <c r="AV541" s="491" t="s">
        <v>29</v>
      </c>
    </row>
    <row r="542" spans="1:48">
      <c r="A542" s="72">
        <v>37</v>
      </c>
      <c r="B542" s="391" t="s">
        <v>71</v>
      </c>
      <c r="C542" s="72">
        <f t="shared" si="24"/>
        <v>11</v>
      </c>
      <c r="D542" s="72" t="str">
        <f t="shared" si="25"/>
        <v>37-11</v>
      </c>
      <c r="E542" s="72">
        <v>68197</v>
      </c>
      <c r="F542" s="72" t="str">
        <f t="shared" si="26"/>
        <v>37-68197</v>
      </c>
      <c r="G542" s="391" t="s">
        <v>1041</v>
      </c>
      <c r="H542" s="331">
        <v>12039.74</v>
      </c>
      <c r="I542" s="331">
        <v>11070.04</v>
      </c>
      <c r="J542" s="331">
        <v>11398.43</v>
      </c>
      <c r="K542" s="331">
        <v>13553.18</v>
      </c>
      <c r="L542" s="491" t="s">
        <v>29</v>
      </c>
      <c r="M542" s="491" t="s">
        <v>29</v>
      </c>
      <c r="N542" s="491" t="s">
        <v>29</v>
      </c>
      <c r="O542" s="491" t="s">
        <v>29</v>
      </c>
      <c r="P542" s="491">
        <v>1.96</v>
      </c>
      <c r="Q542" s="491">
        <v>1.26</v>
      </c>
      <c r="R542" s="491">
        <v>0</v>
      </c>
      <c r="S542" s="491">
        <v>0</v>
      </c>
      <c r="T542" s="1025" t="b">
        <v>0</v>
      </c>
      <c r="U542" s="491">
        <v>0.87</v>
      </c>
      <c r="V542" s="491">
        <v>0</v>
      </c>
      <c r="W542" s="491">
        <v>0</v>
      </c>
      <c r="X542" s="491">
        <v>0</v>
      </c>
      <c r="Y542" s="1025" t="b">
        <v>0</v>
      </c>
      <c r="Z542" s="331">
        <v>0</v>
      </c>
      <c r="AA542" s="331">
        <v>0</v>
      </c>
      <c r="AB542" s="331">
        <v>0</v>
      </c>
      <c r="AC542" s="331">
        <v>0</v>
      </c>
      <c r="AD542" s="1025" t="b">
        <v>0</v>
      </c>
      <c r="AE542" s="331">
        <v>0</v>
      </c>
      <c r="AF542" s="331">
        <v>0</v>
      </c>
      <c r="AG542" s="331">
        <v>0</v>
      </c>
      <c r="AH542" s="331">
        <v>0</v>
      </c>
      <c r="AI542" s="1025" t="b">
        <v>0</v>
      </c>
      <c r="AJ542" s="331">
        <v>0</v>
      </c>
      <c r="AK542" s="331">
        <v>0</v>
      </c>
      <c r="AL542" s="331">
        <v>0</v>
      </c>
      <c r="AM542" s="331">
        <v>0</v>
      </c>
      <c r="AN542" s="1025" t="b">
        <v>0</v>
      </c>
      <c r="AO542" s="331">
        <v>0</v>
      </c>
      <c r="AP542" s="331">
        <v>0</v>
      </c>
      <c r="AQ542" s="331">
        <v>0</v>
      </c>
      <c r="AR542" s="331">
        <v>0</v>
      </c>
      <c r="AS542" s="1025" t="b">
        <v>0</v>
      </c>
      <c r="AT542" s="1025" t="b">
        <v>0</v>
      </c>
      <c r="AU542" s="331">
        <v>48020</v>
      </c>
      <c r="AV542" s="491" t="s">
        <v>29</v>
      </c>
    </row>
    <row r="543" spans="1:48">
      <c r="A543" s="72">
        <v>37</v>
      </c>
      <c r="B543" s="391" t="s">
        <v>71</v>
      </c>
      <c r="C543" s="72">
        <f t="shared" si="24"/>
        <v>12</v>
      </c>
      <c r="D543" s="72" t="str">
        <f t="shared" si="25"/>
        <v>37-12</v>
      </c>
      <c r="E543" s="72">
        <v>68205</v>
      </c>
      <c r="F543" s="72" t="str">
        <f t="shared" si="26"/>
        <v>37-68205</v>
      </c>
      <c r="G543" s="391" t="s">
        <v>1651</v>
      </c>
      <c r="H543" s="331">
        <v>12836.2</v>
      </c>
      <c r="I543" s="331">
        <v>11802.36</v>
      </c>
      <c r="J543" s="331">
        <v>12152.47</v>
      </c>
      <c r="K543" s="331">
        <v>14449.77</v>
      </c>
      <c r="L543" s="491" t="s">
        <v>29</v>
      </c>
      <c r="M543" s="491" t="s">
        <v>29</v>
      </c>
      <c r="N543" s="491" t="s">
        <v>29</v>
      </c>
      <c r="O543" s="491" t="s">
        <v>29</v>
      </c>
      <c r="P543" s="491">
        <v>0</v>
      </c>
      <c r="Q543" s="491">
        <v>1.01</v>
      </c>
      <c r="R543" s="491">
        <v>0</v>
      </c>
      <c r="S543" s="491">
        <v>0</v>
      </c>
      <c r="T543" s="1025" t="b">
        <v>0</v>
      </c>
      <c r="U543" s="491">
        <v>0.86</v>
      </c>
      <c r="V543" s="491">
        <v>0</v>
      </c>
      <c r="W543" s="491">
        <v>0</v>
      </c>
      <c r="X543" s="491">
        <v>0</v>
      </c>
      <c r="Y543" s="1025" t="b">
        <v>0</v>
      </c>
      <c r="Z543" s="331">
        <v>0</v>
      </c>
      <c r="AA543" s="331">
        <v>0</v>
      </c>
      <c r="AB543" s="331">
        <v>0</v>
      </c>
      <c r="AC543" s="331">
        <v>0</v>
      </c>
      <c r="AD543" s="1025" t="b">
        <v>0</v>
      </c>
      <c r="AE543" s="331">
        <v>0</v>
      </c>
      <c r="AF543" s="331">
        <v>0</v>
      </c>
      <c r="AG543" s="331">
        <v>0</v>
      </c>
      <c r="AH543" s="331">
        <v>0</v>
      </c>
      <c r="AI543" s="1025" t="b">
        <v>0</v>
      </c>
      <c r="AJ543" s="331">
        <v>0</v>
      </c>
      <c r="AK543" s="331">
        <v>0</v>
      </c>
      <c r="AL543" s="331">
        <v>0</v>
      </c>
      <c r="AM543" s="331">
        <v>0</v>
      </c>
      <c r="AN543" s="1025" t="b">
        <v>0</v>
      </c>
      <c r="AO543" s="331">
        <v>0</v>
      </c>
      <c r="AP543" s="331">
        <v>0</v>
      </c>
      <c r="AQ543" s="331">
        <v>0</v>
      </c>
      <c r="AR543" s="331">
        <v>0</v>
      </c>
      <c r="AS543" s="1025" t="b">
        <v>0</v>
      </c>
      <c r="AT543" s="1025" t="b">
        <v>0</v>
      </c>
      <c r="AU543" s="331">
        <v>22959</v>
      </c>
      <c r="AV543" s="491" t="s">
        <v>29</v>
      </c>
    </row>
    <row r="544" spans="1:48">
      <c r="A544" s="72">
        <v>37</v>
      </c>
      <c r="B544" s="391" t="s">
        <v>71</v>
      </c>
      <c r="C544" s="72">
        <f t="shared" si="24"/>
        <v>13</v>
      </c>
      <c r="D544" s="72" t="str">
        <f t="shared" si="25"/>
        <v>37-13</v>
      </c>
      <c r="E544" s="72">
        <v>68213</v>
      </c>
      <c r="F544" s="72" t="str">
        <f t="shared" si="26"/>
        <v>37-68213</v>
      </c>
      <c r="G544" s="391" t="s">
        <v>1042</v>
      </c>
      <c r="H544" s="331">
        <v>12179.08</v>
      </c>
      <c r="I544" s="331">
        <v>11198.15</v>
      </c>
      <c r="J544" s="331">
        <v>11530.34</v>
      </c>
      <c r="K544" s="331">
        <v>13710.04</v>
      </c>
      <c r="L544" s="491" t="s">
        <v>29</v>
      </c>
      <c r="M544" s="491" t="s">
        <v>29</v>
      </c>
      <c r="N544" s="491" t="s">
        <v>29</v>
      </c>
      <c r="O544" s="491" t="s">
        <v>29</v>
      </c>
      <c r="P544" s="491">
        <v>0</v>
      </c>
      <c r="Q544" s="491">
        <v>0</v>
      </c>
      <c r="R544" s="491">
        <v>0</v>
      </c>
      <c r="S544" s="491">
        <v>0.96</v>
      </c>
      <c r="T544" s="1025" t="b">
        <v>0</v>
      </c>
      <c r="U544" s="491">
        <v>0</v>
      </c>
      <c r="V544" s="491">
        <v>0</v>
      </c>
      <c r="W544" s="491">
        <v>0</v>
      </c>
      <c r="X544" s="491">
        <v>0</v>
      </c>
      <c r="Y544" s="1025" t="b">
        <v>0</v>
      </c>
      <c r="Z544" s="331">
        <v>0</v>
      </c>
      <c r="AA544" s="331">
        <v>0</v>
      </c>
      <c r="AB544" s="331">
        <v>0</v>
      </c>
      <c r="AC544" s="331">
        <v>0</v>
      </c>
      <c r="AD544" s="1025" t="b">
        <v>0</v>
      </c>
      <c r="AE544" s="331">
        <v>0</v>
      </c>
      <c r="AF544" s="331">
        <v>0</v>
      </c>
      <c r="AG544" s="331">
        <v>0</v>
      </c>
      <c r="AH544" s="331">
        <v>0</v>
      </c>
      <c r="AI544" s="1025" t="b">
        <v>0</v>
      </c>
      <c r="AJ544" s="331">
        <v>0</v>
      </c>
      <c r="AK544" s="331">
        <v>0</v>
      </c>
      <c r="AL544" s="331">
        <v>0</v>
      </c>
      <c r="AM544" s="331">
        <v>0</v>
      </c>
      <c r="AN544" s="1025" t="b">
        <v>0</v>
      </c>
      <c r="AO544" s="331">
        <v>0</v>
      </c>
      <c r="AP544" s="331">
        <v>0</v>
      </c>
      <c r="AQ544" s="331">
        <v>0</v>
      </c>
      <c r="AR544" s="331">
        <v>0</v>
      </c>
      <c r="AS544" s="1025" t="b">
        <v>0</v>
      </c>
      <c r="AT544" s="1025" t="b">
        <v>0</v>
      </c>
      <c r="AU544" s="331">
        <v>13162</v>
      </c>
      <c r="AV544" s="491" t="s">
        <v>29</v>
      </c>
    </row>
    <row r="545" spans="1:48">
      <c r="A545" s="72">
        <v>37</v>
      </c>
      <c r="B545" s="391" t="s">
        <v>71</v>
      </c>
      <c r="C545" s="72">
        <f t="shared" si="24"/>
        <v>14</v>
      </c>
      <c r="D545" s="72" t="str">
        <f t="shared" si="25"/>
        <v>37-14</v>
      </c>
      <c r="E545" s="72">
        <v>68221</v>
      </c>
      <c r="F545" s="72" t="str">
        <f t="shared" si="26"/>
        <v>37-68221</v>
      </c>
      <c r="G545" s="391" t="s">
        <v>1043</v>
      </c>
      <c r="H545" s="331">
        <v>13978.44</v>
      </c>
      <c r="I545" s="331">
        <v>12852.59</v>
      </c>
      <c r="J545" s="331">
        <v>13233.86</v>
      </c>
      <c r="K545" s="331">
        <v>15735.58</v>
      </c>
      <c r="L545" s="491" t="s">
        <v>29</v>
      </c>
      <c r="M545" s="491" t="s">
        <v>29</v>
      </c>
      <c r="N545" s="491" t="s">
        <v>29</v>
      </c>
      <c r="O545" s="491" t="s">
        <v>29</v>
      </c>
      <c r="P545" s="491">
        <v>0</v>
      </c>
      <c r="Q545" s="491">
        <v>0</v>
      </c>
      <c r="R545" s="491">
        <v>0</v>
      </c>
      <c r="S545" s="491">
        <v>0</v>
      </c>
      <c r="T545" s="1025" t="b">
        <v>0</v>
      </c>
      <c r="U545" s="491">
        <v>4.01</v>
      </c>
      <c r="V545" s="491">
        <v>0.63</v>
      </c>
      <c r="W545" s="491">
        <v>0</v>
      </c>
      <c r="X545" s="491">
        <v>0</v>
      </c>
      <c r="Y545" s="1025" t="b">
        <v>0</v>
      </c>
      <c r="Z545" s="331">
        <v>0</v>
      </c>
      <c r="AA545" s="331">
        <v>0</v>
      </c>
      <c r="AB545" s="331">
        <v>0</v>
      </c>
      <c r="AC545" s="331">
        <v>0</v>
      </c>
      <c r="AD545" s="1025" t="b">
        <v>0</v>
      </c>
      <c r="AE545" s="331">
        <v>0</v>
      </c>
      <c r="AF545" s="331">
        <v>0</v>
      </c>
      <c r="AG545" s="331">
        <v>0</v>
      </c>
      <c r="AH545" s="331">
        <v>0</v>
      </c>
      <c r="AI545" s="1025" t="b">
        <v>0</v>
      </c>
      <c r="AJ545" s="331">
        <v>0</v>
      </c>
      <c r="AK545" s="331">
        <v>0</v>
      </c>
      <c r="AL545" s="331">
        <v>0</v>
      </c>
      <c r="AM545" s="331">
        <v>0</v>
      </c>
      <c r="AN545" s="1025" t="b">
        <v>0</v>
      </c>
      <c r="AO545" s="331">
        <v>0</v>
      </c>
      <c r="AP545" s="331">
        <v>0</v>
      </c>
      <c r="AQ545" s="331">
        <v>0</v>
      </c>
      <c r="AR545" s="331">
        <v>0</v>
      </c>
      <c r="AS545" s="1025" t="b">
        <v>0</v>
      </c>
      <c r="AT545" s="1025" t="b">
        <v>0</v>
      </c>
      <c r="AU545" s="331">
        <v>64151</v>
      </c>
      <c r="AV545" s="491" t="s">
        <v>29</v>
      </c>
    </row>
    <row r="546" spans="1:48">
      <c r="A546" s="72">
        <v>37</v>
      </c>
      <c r="B546" s="391" t="s">
        <v>71</v>
      </c>
      <c r="C546" s="72">
        <f t="shared" si="24"/>
        <v>15</v>
      </c>
      <c r="D546" s="72" t="str">
        <f t="shared" si="25"/>
        <v>37-15</v>
      </c>
      <c r="E546" s="72">
        <v>68296</v>
      </c>
      <c r="F546" s="72" t="str">
        <f t="shared" si="26"/>
        <v>37-68296</v>
      </c>
      <c r="G546" s="391" t="s">
        <v>1044</v>
      </c>
      <c r="H546" s="331">
        <v>10533.47</v>
      </c>
      <c r="I546" s="331">
        <v>9685.09</v>
      </c>
      <c r="J546" s="331">
        <v>9972.4</v>
      </c>
      <c r="K546" s="331">
        <v>11857.58</v>
      </c>
      <c r="L546" s="491" t="s">
        <v>29</v>
      </c>
      <c r="M546" s="491" t="s">
        <v>29</v>
      </c>
      <c r="N546" s="491" t="s">
        <v>29</v>
      </c>
      <c r="O546" s="491" t="s">
        <v>29</v>
      </c>
      <c r="P546" s="491">
        <v>0</v>
      </c>
      <c r="Q546" s="491">
        <v>0</v>
      </c>
      <c r="R546" s="491">
        <v>0</v>
      </c>
      <c r="S546" s="491">
        <v>1.06</v>
      </c>
      <c r="T546" s="1025" t="b">
        <v>0</v>
      </c>
      <c r="U546" s="491">
        <v>0.06</v>
      </c>
      <c r="V546" s="491">
        <v>0</v>
      </c>
      <c r="W546" s="491">
        <v>0.1</v>
      </c>
      <c r="X546" s="491">
        <v>1.1399999999999999</v>
      </c>
      <c r="Y546" s="1025" t="b">
        <v>0</v>
      </c>
      <c r="Z546" s="331">
        <v>0</v>
      </c>
      <c r="AA546" s="331">
        <v>0</v>
      </c>
      <c r="AB546" s="331">
        <v>0</v>
      </c>
      <c r="AC546" s="331">
        <v>0</v>
      </c>
      <c r="AD546" s="1025" t="b">
        <v>0</v>
      </c>
      <c r="AE546" s="331">
        <v>0</v>
      </c>
      <c r="AF546" s="331">
        <v>0</v>
      </c>
      <c r="AG546" s="331">
        <v>0</v>
      </c>
      <c r="AH546" s="331">
        <v>0.02</v>
      </c>
      <c r="AI546" s="1025" t="b">
        <v>0</v>
      </c>
      <c r="AJ546" s="331">
        <v>0</v>
      </c>
      <c r="AK546" s="331">
        <v>0</v>
      </c>
      <c r="AL546" s="331">
        <v>0</v>
      </c>
      <c r="AM546" s="331">
        <v>0</v>
      </c>
      <c r="AN546" s="1025" t="b">
        <v>0</v>
      </c>
      <c r="AO546" s="331">
        <v>0</v>
      </c>
      <c r="AP546" s="331">
        <v>0</v>
      </c>
      <c r="AQ546" s="331">
        <v>0</v>
      </c>
      <c r="AR546" s="331">
        <v>0</v>
      </c>
      <c r="AS546" s="1025" t="b">
        <v>0</v>
      </c>
      <c r="AT546" s="1025" t="b">
        <v>0</v>
      </c>
      <c r="AU546" s="331">
        <v>27953</v>
      </c>
      <c r="AV546" s="491" t="s">
        <v>29</v>
      </c>
    </row>
    <row r="547" spans="1:48">
      <c r="A547" s="72">
        <v>37</v>
      </c>
      <c r="B547" s="391" t="s">
        <v>71</v>
      </c>
      <c r="C547" s="72">
        <f t="shared" si="24"/>
        <v>16</v>
      </c>
      <c r="D547" s="72" t="str">
        <f t="shared" si="25"/>
        <v>37-16</v>
      </c>
      <c r="E547" s="72">
        <v>68338</v>
      </c>
      <c r="F547" s="72" t="str">
        <f t="shared" si="26"/>
        <v>37-68338</v>
      </c>
      <c r="G547" s="391" t="s">
        <v>1045</v>
      </c>
      <c r="H547" s="331">
        <v>11533.13</v>
      </c>
      <c r="I547" s="331">
        <v>10604.23</v>
      </c>
      <c r="J547" s="331">
        <v>10918.81</v>
      </c>
      <c r="K547" s="331">
        <v>12982.89</v>
      </c>
      <c r="L547" s="491" t="s">
        <v>29</v>
      </c>
      <c r="M547" s="491" t="s">
        <v>29</v>
      </c>
      <c r="N547" s="491" t="s">
        <v>29</v>
      </c>
      <c r="O547" s="491" t="s">
        <v>29</v>
      </c>
      <c r="P547" s="491">
        <v>67.41</v>
      </c>
      <c r="Q547" s="491">
        <v>48.23</v>
      </c>
      <c r="R547" s="491">
        <v>32.5</v>
      </c>
      <c r="S547" s="491">
        <v>71.63</v>
      </c>
      <c r="T547" s="1025" t="b">
        <v>0</v>
      </c>
      <c r="U547" s="491">
        <v>0</v>
      </c>
      <c r="V547" s="491">
        <v>0</v>
      </c>
      <c r="W547" s="491">
        <v>0</v>
      </c>
      <c r="X547" s="491">
        <v>0</v>
      </c>
      <c r="Y547" s="1025" t="b">
        <v>0</v>
      </c>
      <c r="Z547" s="331">
        <v>0</v>
      </c>
      <c r="AA547" s="331">
        <v>0</v>
      </c>
      <c r="AB547" s="331">
        <v>0</v>
      </c>
      <c r="AC547" s="331">
        <v>0</v>
      </c>
      <c r="AD547" s="1025" t="b">
        <v>0</v>
      </c>
      <c r="AE547" s="331">
        <v>0</v>
      </c>
      <c r="AF547" s="331">
        <v>0</v>
      </c>
      <c r="AG547" s="331">
        <v>0</v>
      </c>
      <c r="AH547" s="331">
        <v>0</v>
      </c>
      <c r="AI547" s="1025" t="b">
        <v>0</v>
      </c>
      <c r="AJ547" s="331">
        <v>0</v>
      </c>
      <c r="AK547" s="331">
        <v>0</v>
      </c>
      <c r="AL547" s="331">
        <v>0</v>
      </c>
      <c r="AM547" s="331">
        <v>0</v>
      </c>
      <c r="AN547" s="1025" t="b">
        <v>0</v>
      </c>
      <c r="AO547" s="331">
        <v>0</v>
      </c>
      <c r="AP547" s="331">
        <v>0</v>
      </c>
      <c r="AQ547" s="331">
        <v>0</v>
      </c>
      <c r="AR547" s="331">
        <v>0</v>
      </c>
      <c r="AS547" s="1025" t="b">
        <v>0</v>
      </c>
      <c r="AT547" s="1025" t="b">
        <v>0</v>
      </c>
      <c r="AU547" s="331">
        <v>2573715</v>
      </c>
      <c r="AV547" s="491" t="s">
        <v>29</v>
      </c>
    </row>
    <row r="548" spans="1:48">
      <c r="A548" s="72">
        <v>37</v>
      </c>
      <c r="B548" s="391" t="s">
        <v>71</v>
      </c>
      <c r="C548" s="72">
        <f t="shared" si="24"/>
        <v>17</v>
      </c>
      <c r="D548" s="72" t="str">
        <f t="shared" si="25"/>
        <v>37-17</v>
      </c>
      <c r="E548" s="72">
        <v>68346</v>
      </c>
      <c r="F548" s="72" t="str">
        <f t="shared" si="26"/>
        <v>37-68346</v>
      </c>
      <c r="G548" s="391" t="s">
        <v>1046</v>
      </c>
      <c r="H548" s="331">
        <v>10477.82</v>
      </c>
      <c r="I548" s="331">
        <v>9633.92</v>
      </c>
      <c r="J548" s="331">
        <v>9919.7099999999991</v>
      </c>
      <c r="K548" s="331">
        <v>11794.92</v>
      </c>
      <c r="L548" s="491" t="s">
        <v>29</v>
      </c>
      <c r="M548" s="491" t="s">
        <v>29</v>
      </c>
      <c r="N548" s="491" t="s">
        <v>29</v>
      </c>
      <c r="O548" s="491" t="s">
        <v>29</v>
      </c>
      <c r="P548" s="491">
        <v>0</v>
      </c>
      <c r="Q548" s="491">
        <v>0</v>
      </c>
      <c r="R548" s="491">
        <v>0</v>
      </c>
      <c r="S548" s="491">
        <v>0</v>
      </c>
      <c r="T548" s="1025" t="b">
        <v>0</v>
      </c>
      <c r="U548" s="491">
        <v>0</v>
      </c>
      <c r="V548" s="491">
        <v>0</v>
      </c>
      <c r="W548" s="491">
        <v>0</v>
      </c>
      <c r="X548" s="491">
        <v>1.49</v>
      </c>
      <c r="Y548" s="1025" t="b">
        <v>0</v>
      </c>
      <c r="Z548" s="331">
        <v>0</v>
      </c>
      <c r="AA548" s="331">
        <v>0</v>
      </c>
      <c r="AB548" s="331">
        <v>0</v>
      </c>
      <c r="AC548" s="331">
        <v>0</v>
      </c>
      <c r="AD548" s="1025" t="b">
        <v>0</v>
      </c>
      <c r="AE548" s="331">
        <v>0</v>
      </c>
      <c r="AF548" s="331">
        <v>0</v>
      </c>
      <c r="AG548" s="331">
        <v>0</v>
      </c>
      <c r="AH548" s="331">
        <v>0.31</v>
      </c>
      <c r="AI548" s="1025" t="b">
        <v>0</v>
      </c>
      <c r="AJ548" s="331">
        <v>0</v>
      </c>
      <c r="AK548" s="331">
        <v>0</v>
      </c>
      <c r="AL548" s="331">
        <v>0</v>
      </c>
      <c r="AM548" s="331">
        <v>0</v>
      </c>
      <c r="AN548" s="1025" t="b">
        <v>0</v>
      </c>
      <c r="AO548" s="331">
        <v>0</v>
      </c>
      <c r="AP548" s="331">
        <v>0</v>
      </c>
      <c r="AQ548" s="331">
        <v>0</v>
      </c>
      <c r="AR548" s="331">
        <v>0</v>
      </c>
      <c r="AS548" s="1025" t="b">
        <v>0</v>
      </c>
      <c r="AT548" s="1025" t="b">
        <v>0</v>
      </c>
      <c r="AU548" s="331">
        <v>21231</v>
      </c>
      <c r="AV548" s="491" t="s">
        <v>29</v>
      </c>
    </row>
    <row r="549" spans="1:48">
      <c r="A549" s="72">
        <v>37</v>
      </c>
      <c r="B549" s="391" t="s">
        <v>71</v>
      </c>
      <c r="C549" s="72">
        <f t="shared" si="24"/>
        <v>18</v>
      </c>
      <c r="D549" s="72" t="str">
        <f t="shared" si="25"/>
        <v>37-18</v>
      </c>
      <c r="E549" s="72">
        <v>68361</v>
      </c>
      <c r="F549" s="72" t="str">
        <f t="shared" si="26"/>
        <v>37-68361</v>
      </c>
      <c r="G549" s="391" t="s">
        <v>1047</v>
      </c>
      <c r="H549" s="331">
        <v>10901.4</v>
      </c>
      <c r="I549" s="331">
        <v>10023.39</v>
      </c>
      <c r="J549" s="331">
        <v>10320.73</v>
      </c>
      <c r="K549" s="331">
        <v>12271.75</v>
      </c>
      <c r="L549" s="491" t="s">
        <v>29</v>
      </c>
      <c r="M549" s="491" t="s">
        <v>29</v>
      </c>
      <c r="N549" s="491" t="s">
        <v>29</v>
      </c>
      <c r="O549" s="491" t="s">
        <v>29</v>
      </c>
      <c r="P549" s="491">
        <v>0</v>
      </c>
      <c r="Q549" s="491">
        <v>0</v>
      </c>
      <c r="R549" s="491">
        <v>0</v>
      </c>
      <c r="S549" s="491">
        <v>0</v>
      </c>
      <c r="T549" s="1025" t="b">
        <v>0</v>
      </c>
      <c r="U549" s="491">
        <v>1.84</v>
      </c>
      <c r="V549" s="491">
        <v>0</v>
      </c>
      <c r="W549" s="491">
        <v>0.81</v>
      </c>
      <c r="X549" s="491">
        <v>0</v>
      </c>
      <c r="Y549" s="1025" t="b">
        <v>0</v>
      </c>
      <c r="Z549" s="331">
        <v>0</v>
      </c>
      <c r="AA549" s="331">
        <v>0</v>
      </c>
      <c r="AB549" s="331">
        <v>0</v>
      </c>
      <c r="AC549" s="331">
        <v>0</v>
      </c>
      <c r="AD549" s="1025" t="b">
        <v>0</v>
      </c>
      <c r="AE549" s="331">
        <v>0</v>
      </c>
      <c r="AF549" s="331">
        <v>0</v>
      </c>
      <c r="AG549" s="331">
        <v>0</v>
      </c>
      <c r="AH549" s="331">
        <v>0</v>
      </c>
      <c r="AI549" s="1025" t="b">
        <v>0</v>
      </c>
      <c r="AJ549" s="331">
        <v>0</v>
      </c>
      <c r="AK549" s="331">
        <v>0</v>
      </c>
      <c r="AL549" s="331">
        <v>0</v>
      </c>
      <c r="AM549" s="331">
        <v>0</v>
      </c>
      <c r="AN549" s="1025" t="b">
        <v>0</v>
      </c>
      <c r="AO549" s="331">
        <v>0</v>
      </c>
      <c r="AP549" s="331">
        <v>0</v>
      </c>
      <c r="AQ549" s="331">
        <v>0</v>
      </c>
      <c r="AR549" s="331">
        <v>0</v>
      </c>
      <c r="AS549" s="1025" t="b">
        <v>0</v>
      </c>
      <c r="AT549" s="1025" t="b">
        <v>0</v>
      </c>
      <c r="AU549" s="331">
        <v>28419</v>
      </c>
      <c r="AV549" s="491" t="s">
        <v>29</v>
      </c>
    </row>
    <row r="550" spans="1:48">
      <c r="A550" s="72">
        <v>37</v>
      </c>
      <c r="B550" s="391" t="s">
        <v>71</v>
      </c>
      <c r="C550" s="72">
        <f t="shared" si="24"/>
        <v>19</v>
      </c>
      <c r="D550" s="72" t="str">
        <f t="shared" si="25"/>
        <v>37-19</v>
      </c>
      <c r="E550" s="72">
        <v>68379</v>
      </c>
      <c r="F550" s="72" t="str">
        <f t="shared" si="26"/>
        <v>37-68379</v>
      </c>
      <c r="G550" s="391" t="s">
        <v>1048</v>
      </c>
      <c r="H550" s="331">
        <v>13700.62</v>
      </c>
      <c r="I550" s="331">
        <v>12597.15</v>
      </c>
      <c r="J550" s="331">
        <v>12970.84</v>
      </c>
      <c r="K550" s="331">
        <v>15422.84</v>
      </c>
      <c r="L550" s="491" t="s">
        <v>29</v>
      </c>
      <c r="M550" s="491" t="s">
        <v>29</v>
      </c>
      <c r="N550" s="491" t="s">
        <v>29</v>
      </c>
      <c r="O550" s="491" t="s">
        <v>29</v>
      </c>
      <c r="P550" s="491">
        <v>4.43</v>
      </c>
      <c r="Q550" s="491">
        <v>3.46</v>
      </c>
      <c r="R550" s="491">
        <v>0</v>
      </c>
      <c r="S550" s="491">
        <v>0</v>
      </c>
      <c r="T550" s="1025" t="b">
        <v>0</v>
      </c>
      <c r="U550" s="491">
        <v>0</v>
      </c>
      <c r="V550" s="491">
        <v>0.63</v>
      </c>
      <c r="W550" s="491">
        <v>0</v>
      </c>
      <c r="X550" s="491">
        <v>0</v>
      </c>
      <c r="Y550" s="1025" t="b">
        <v>0</v>
      </c>
      <c r="Z550" s="331">
        <v>0</v>
      </c>
      <c r="AA550" s="331">
        <v>0</v>
      </c>
      <c r="AB550" s="331">
        <v>0</v>
      </c>
      <c r="AC550" s="331">
        <v>0</v>
      </c>
      <c r="AD550" s="1025" t="b">
        <v>0</v>
      </c>
      <c r="AE550" s="331">
        <v>0</v>
      </c>
      <c r="AF550" s="331">
        <v>0</v>
      </c>
      <c r="AG550" s="331">
        <v>0</v>
      </c>
      <c r="AH550" s="331">
        <v>0</v>
      </c>
      <c r="AI550" s="1025" t="b">
        <v>0</v>
      </c>
      <c r="AJ550" s="331">
        <v>0</v>
      </c>
      <c r="AK550" s="331">
        <v>0</v>
      </c>
      <c r="AL550" s="331">
        <v>0</v>
      </c>
      <c r="AM550" s="331">
        <v>0</v>
      </c>
      <c r="AN550" s="1025" t="b">
        <v>0</v>
      </c>
      <c r="AO550" s="331">
        <v>0</v>
      </c>
      <c r="AP550" s="331">
        <v>0</v>
      </c>
      <c r="AQ550" s="331">
        <v>0</v>
      </c>
      <c r="AR550" s="331">
        <v>0</v>
      </c>
      <c r="AS550" s="1025" t="b">
        <v>0</v>
      </c>
      <c r="AT550" s="1025" t="b">
        <v>0</v>
      </c>
      <c r="AU550" s="331">
        <v>112216</v>
      </c>
      <c r="AV550" s="491" t="s">
        <v>29</v>
      </c>
    </row>
    <row r="551" spans="1:48">
      <c r="A551" s="72">
        <v>37</v>
      </c>
      <c r="B551" s="391" t="s">
        <v>71</v>
      </c>
      <c r="C551" s="72">
        <f t="shared" si="24"/>
        <v>20</v>
      </c>
      <c r="D551" s="72" t="str">
        <f t="shared" si="25"/>
        <v>37-20</v>
      </c>
      <c r="E551" s="72">
        <v>68395</v>
      </c>
      <c r="F551" s="72" t="str">
        <f t="shared" si="26"/>
        <v>37-68395</v>
      </c>
      <c r="G551" s="391" t="s">
        <v>1049</v>
      </c>
      <c r="H551" s="331">
        <v>13568.16</v>
      </c>
      <c r="I551" s="331">
        <v>12475.36</v>
      </c>
      <c r="J551" s="331">
        <v>12845.44</v>
      </c>
      <c r="K551" s="331">
        <v>15273.74</v>
      </c>
      <c r="L551" s="491" t="s">
        <v>29</v>
      </c>
      <c r="M551" s="491" t="s">
        <v>29</v>
      </c>
      <c r="N551" s="491" t="s">
        <v>29</v>
      </c>
      <c r="O551" s="491" t="s">
        <v>29</v>
      </c>
      <c r="P551" s="491">
        <v>0</v>
      </c>
      <c r="Q551" s="491">
        <v>0</v>
      </c>
      <c r="R551" s="491">
        <v>0</v>
      </c>
      <c r="S551" s="491">
        <v>0</v>
      </c>
      <c r="T551" s="1025" t="b">
        <v>0</v>
      </c>
      <c r="U551" s="491">
        <v>5.73</v>
      </c>
      <c r="V551" s="491">
        <v>1.46</v>
      </c>
      <c r="W551" s="491">
        <v>0</v>
      </c>
      <c r="X551" s="491">
        <v>0</v>
      </c>
      <c r="Y551" s="1025" t="b">
        <v>0</v>
      </c>
      <c r="Z551" s="331">
        <v>0</v>
      </c>
      <c r="AA551" s="331">
        <v>0</v>
      </c>
      <c r="AB551" s="331">
        <v>0</v>
      </c>
      <c r="AC551" s="331">
        <v>0</v>
      </c>
      <c r="AD551" s="1025" t="b">
        <v>0</v>
      </c>
      <c r="AE551" s="331">
        <v>0</v>
      </c>
      <c r="AF551" s="331">
        <v>0</v>
      </c>
      <c r="AG551" s="331">
        <v>0</v>
      </c>
      <c r="AH551" s="331">
        <v>0</v>
      </c>
      <c r="AI551" s="1025" t="b">
        <v>0</v>
      </c>
      <c r="AJ551" s="331">
        <v>0</v>
      </c>
      <c r="AK551" s="331">
        <v>0</v>
      </c>
      <c r="AL551" s="331">
        <v>0</v>
      </c>
      <c r="AM551" s="331">
        <v>0</v>
      </c>
      <c r="AN551" s="1025" t="b">
        <v>0</v>
      </c>
      <c r="AO551" s="331">
        <v>0</v>
      </c>
      <c r="AP551" s="331">
        <v>0</v>
      </c>
      <c r="AQ551" s="331">
        <v>0</v>
      </c>
      <c r="AR551" s="331">
        <v>0</v>
      </c>
      <c r="AS551" s="1025" t="b">
        <v>0</v>
      </c>
      <c r="AT551" s="1025" t="b">
        <v>0</v>
      </c>
      <c r="AU551" s="331">
        <v>95960</v>
      </c>
      <c r="AV551" s="491" t="s">
        <v>29</v>
      </c>
    </row>
    <row r="552" spans="1:48">
      <c r="A552" s="72">
        <v>37</v>
      </c>
      <c r="B552" s="391" t="s">
        <v>71</v>
      </c>
      <c r="C552" s="72">
        <f t="shared" si="24"/>
        <v>21</v>
      </c>
      <c r="D552" s="72" t="str">
        <f t="shared" si="25"/>
        <v>37-21</v>
      </c>
      <c r="E552" s="72">
        <v>68411</v>
      </c>
      <c r="F552" s="72" t="str">
        <f t="shared" si="26"/>
        <v>37-68411</v>
      </c>
      <c r="G552" s="391" t="s">
        <v>979</v>
      </c>
      <c r="H552" s="331">
        <v>11995.87</v>
      </c>
      <c r="I552" s="331">
        <v>11029.71</v>
      </c>
      <c r="J552" s="331">
        <v>11356.9</v>
      </c>
      <c r="K552" s="331">
        <v>13503.8</v>
      </c>
      <c r="L552" s="491" t="s">
        <v>29</v>
      </c>
      <c r="M552" s="491" t="s">
        <v>29</v>
      </c>
      <c r="N552" s="491" t="s">
        <v>29</v>
      </c>
      <c r="O552" s="491" t="s">
        <v>29</v>
      </c>
      <c r="P552" s="491">
        <v>0</v>
      </c>
      <c r="Q552" s="491">
        <v>0</v>
      </c>
      <c r="R552" s="491">
        <v>6.93</v>
      </c>
      <c r="S552" s="491">
        <v>16.57</v>
      </c>
      <c r="T552" s="1025" t="b">
        <v>0</v>
      </c>
      <c r="U552" s="491">
        <v>0</v>
      </c>
      <c r="V552" s="491">
        <v>0</v>
      </c>
      <c r="W552" s="491">
        <v>0.09</v>
      </c>
      <c r="X552" s="491">
        <v>14.97</v>
      </c>
      <c r="Y552" s="1025" t="b">
        <v>0</v>
      </c>
      <c r="Z552" s="331">
        <v>0</v>
      </c>
      <c r="AA552" s="331">
        <v>0</v>
      </c>
      <c r="AB552" s="331">
        <v>0</v>
      </c>
      <c r="AC552" s="331">
        <v>0</v>
      </c>
      <c r="AD552" s="1025" t="b">
        <v>0</v>
      </c>
      <c r="AE552" s="331">
        <v>0</v>
      </c>
      <c r="AF552" s="331">
        <v>0</v>
      </c>
      <c r="AG552" s="331">
        <v>0</v>
      </c>
      <c r="AH552" s="331">
        <v>0</v>
      </c>
      <c r="AI552" s="1025" t="b">
        <v>0</v>
      </c>
      <c r="AJ552" s="331">
        <v>0</v>
      </c>
      <c r="AK552" s="331">
        <v>0</v>
      </c>
      <c r="AL552" s="331">
        <v>0</v>
      </c>
      <c r="AM552" s="331">
        <v>0</v>
      </c>
      <c r="AN552" s="1025" t="b">
        <v>0</v>
      </c>
      <c r="AO552" s="331">
        <v>0</v>
      </c>
      <c r="AP552" s="331">
        <v>0</v>
      </c>
      <c r="AQ552" s="331">
        <v>0</v>
      </c>
      <c r="AR552" s="331">
        <v>0</v>
      </c>
      <c r="AS552" s="1025" t="b">
        <v>0</v>
      </c>
      <c r="AT552" s="1025" t="b">
        <v>0</v>
      </c>
      <c r="AU552" s="331">
        <v>505635</v>
      </c>
      <c r="AV552" s="491" t="s">
        <v>29</v>
      </c>
    </row>
    <row r="553" spans="1:48">
      <c r="A553" s="72">
        <v>37</v>
      </c>
      <c r="B553" s="391" t="s">
        <v>71</v>
      </c>
      <c r="C553" s="72">
        <f t="shared" si="24"/>
        <v>22</v>
      </c>
      <c r="D553" s="72" t="str">
        <f t="shared" si="25"/>
        <v>37-22</v>
      </c>
      <c r="E553" s="72">
        <v>68452</v>
      </c>
      <c r="F553" s="72" t="str">
        <f t="shared" si="26"/>
        <v>37-68452</v>
      </c>
      <c r="G553" s="391" t="s">
        <v>1050</v>
      </c>
      <c r="H553" s="331">
        <v>12305.51</v>
      </c>
      <c r="I553" s="331">
        <v>11314.41</v>
      </c>
      <c r="J553" s="331">
        <v>11650.05</v>
      </c>
      <c r="K553" s="331">
        <v>13852.37</v>
      </c>
      <c r="L553" s="491" t="s">
        <v>29</v>
      </c>
      <c r="M553" s="491" t="s">
        <v>29</v>
      </c>
      <c r="N553" s="491" t="s">
        <v>29</v>
      </c>
      <c r="O553" s="491" t="s">
        <v>29</v>
      </c>
      <c r="P553" s="491">
        <v>0</v>
      </c>
      <c r="Q553" s="491">
        <v>0</v>
      </c>
      <c r="R553" s="491">
        <v>0</v>
      </c>
      <c r="S553" s="491">
        <v>0</v>
      </c>
      <c r="T553" s="1025" t="b">
        <v>0</v>
      </c>
      <c r="U553" s="491">
        <v>3.6</v>
      </c>
      <c r="V553" s="491">
        <v>1.05</v>
      </c>
      <c r="W553" s="491">
        <v>0.67</v>
      </c>
      <c r="X553" s="491">
        <v>7.66</v>
      </c>
      <c r="Y553" s="1025" t="b">
        <v>0</v>
      </c>
      <c r="Z553" s="331">
        <v>0</v>
      </c>
      <c r="AA553" s="331">
        <v>0</v>
      </c>
      <c r="AB553" s="331">
        <v>0</v>
      </c>
      <c r="AC553" s="331">
        <v>0</v>
      </c>
      <c r="AD553" s="1025" t="b">
        <v>0</v>
      </c>
      <c r="AE553" s="331">
        <v>0.3</v>
      </c>
      <c r="AF553" s="331">
        <v>0.13</v>
      </c>
      <c r="AG553" s="331">
        <v>0.05</v>
      </c>
      <c r="AH553" s="331">
        <v>0.57999999999999996</v>
      </c>
      <c r="AI553" s="1025" t="b">
        <v>0</v>
      </c>
      <c r="AJ553" s="331">
        <v>0</v>
      </c>
      <c r="AK553" s="331">
        <v>0</v>
      </c>
      <c r="AL553" s="331">
        <v>0</v>
      </c>
      <c r="AM553" s="331">
        <v>0</v>
      </c>
      <c r="AN553" s="1025" t="b">
        <v>0</v>
      </c>
      <c r="AO553" s="331">
        <v>0</v>
      </c>
      <c r="AP553" s="331">
        <v>0</v>
      </c>
      <c r="AQ553" s="331">
        <v>0</v>
      </c>
      <c r="AR553" s="331">
        <v>0</v>
      </c>
      <c r="AS553" s="1025" t="b">
        <v>0</v>
      </c>
      <c r="AT553" s="1025" t="b">
        <v>0</v>
      </c>
      <c r="AU553" s="331">
        <v>183874</v>
      </c>
      <c r="AV553" s="491" t="s">
        <v>29</v>
      </c>
    </row>
    <row r="554" spans="1:48">
      <c r="A554" s="72">
        <v>37</v>
      </c>
      <c r="B554" s="391" t="s">
        <v>71</v>
      </c>
      <c r="C554" s="72">
        <f t="shared" si="24"/>
        <v>23</v>
      </c>
      <c r="D554" s="72" t="str">
        <f t="shared" si="25"/>
        <v>37-23</v>
      </c>
      <c r="E554" s="72">
        <v>73551</v>
      </c>
      <c r="F554" s="72" t="str">
        <f t="shared" si="26"/>
        <v>37-73551</v>
      </c>
      <c r="G554" s="391" t="s">
        <v>1051</v>
      </c>
      <c r="H554" s="331">
        <v>10576.58</v>
      </c>
      <c r="I554" s="331">
        <v>9724.73</v>
      </c>
      <c r="J554" s="331">
        <v>10013.209999999999</v>
      </c>
      <c r="K554" s="331">
        <v>11906.1</v>
      </c>
      <c r="L554" s="491" t="s">
        <v>29</v>
      </c>
      <c r="M554" s="491" t="s">
        <v>29</v>
      </c>
      <c r="N554" s="491" t="s">
        <v>29</v>
      </c>
      <c r="O554" s="491" t="s">
        <v>29</v>
      </c>
      <c r="P554" s="491">
        <v>0</v>
      </c>
      <c r="Q554" s="491">
        <v>0</v>
      </c>
      <c r="R554" s="491">
        <v>0</v>
      </c>
      <c r="S554" s="491">
        <v>0</v>
      </c>
      <c r="T554" s="1025" t="b">
        <v>0</v>
      </c>
      <c r="U554" s="491">
        <v>0.92</v>
      </c>
      <c r="V554" s="491">
        <v>2.0099999999999998</v>
      </c>
      <c r="W554" s="491">
        <v>0</v>
      </c>
      <c r="X554" s="491">
        <v>1.54</v>
      </c>
      <c r="Y554" s="1025" t="b">
        <v>0</v>
      </c>
      <c r="Z554" s="331">
        <v>0</v>
      </c>
      <c r="AA554" s="331">
        <v>0</v>
      </c>
      <c r="AB554" s="331">
        <v>0</v>
      </c>
      <c r="AC554" s="331">
        <v>0</v>
      </c>
      <c r="AD554" s="1025" t="b">
        <v>0</v>
      </c>
      <c r="AE554" s="331">
        <v>0.27</v>
      </c>
      <c r="AF554" s="331">
        <v>0</v>
      </c>
      <c r="AG554" s="331">
        <v>0</v>
      </c>
      <c r="AH554" s="331">
        <v>0.18</v>
      </c>
      <c r="AI554" s="1025" t="b">
        <v>0</v>
      </c>
      <c r="AJ554" s="331">
        <v>0</v>
      </c>
      <c r="AK554" s="331">
        <v>0</v>
      </c>
      <c r="AL554" s="331">
        <v>0</v>
      </c>
      <c r="AM554" s="331">
        <v>0</v>
      </c>
      <c r="AN554" s="1025" t="b">
        <v>0</v>
      </c>
      <c r="AO554" s="331">
        <v>0</v>
      </c>
      <c r="AP554" s="331">
        <v>0</v>
      </c>
      <c r="AQ554" s="331">
        <v>0</v>
      </c>
      <c r="AR554" s="331">
        <v>0</v>
      </c>
      <c r="AS554" s="1025" t="b">
        <v>0</v>
      </c>
      <c r="AT554" s="1025" t="b">
        <v>0</v>
      </c>
      <c r="AU554" s="331">
        <v>52611</v>
      </c>
      <c r="AV554" s="491" t="s">
        <v>29</v>
      </c>
    </row>
    <row r="555" spans="1:48">
      <c r="A555" s="72">
        <v>37</v>
      </c>
      <c r="B555" s="391" t="s">
        <v>71</v>
      </c>
      <c r="C555" s="72">
        <f t="shared" si="24"/>
        <v>24</v>
      </c>
      <c r="D555" s="72" t="str">
        <f t="shared" si="25"/>
        <v>37-24</v>
      </c>
      <c r="E555" s="72">
        <v>73569</v>
      </c>
      <c r="F555" s="72" t="str">
        <f t="shared" si="26"/>
        <v>37-73569</v>
      </c>
      <c r="G555" s="391" t="s">
        <v>1052</v>
      </c>
      <c r="H555" s="491">
        <v>12430.23</v>
      </c>
      <c r="I555" s="491">
        <v>11429.08</v>
      </c>
      <c r="J555" s="491">
        <v>11768.12</v>
      </c>
      <c r="K555" s="491">
        <v>13992.76</v>
      </c>
      <c r="L555" s="491" t="s">
        <v>29</v>
      </c>
      <c r="M555" s="491" t="s">
        <v>29</v>
      </c>
      <c r="N555" s="491" t="s">
        <v>29</v>
      </c>
      <c r="O555" s="491" t="s">
        <v>29</v>
      </c>
      <c r="P555" s="491">
        <v>0</v>
      </c>
      <c r="Q555" s="491">
        <v>0</v>
      </c>
      <c r="R555" s="491">
        <v>0</v>
      </c>
      <c r="S555" s="491">
        <v>0</v>
      </c>
      <c r="T555" s="1025" t="b">
        <v>0</v>
      </c>
      <c r="U555" s="491">
        <v>2.0499999999999998</v>
      </c>
      <c r="V555" s="491">
        <v>0</v>
      </c>
      <c r="W555" s="491">
        <v>0</v>
      </c>
      <c r="X555" s="491">
        <v>5.48</v>
      </c>
      <c r="Y555" s="1025" t="b">
        <v>0</v>
      </c>
      <c r="Z555" s="491">
        <v>0</v>
      </c>
      <c r="AA555" s="491">
        <v>0</v>
      </c>
      <c r="AB555" s="491">
        <v>0</v>
      </c>
      <c r="AC555" s="491">
        <v>0</v>
      </c>
      <c r="AD555" s="1025" t="b">
        <v>0</v>
      </c>
      <c r="AE555" s="491">
        <v>0.08</v>
      </c>
      <c r="AF555" s="491">
        <v>0</v>
      </c>
      <c r="AG555" s="491">
        <v>0</v>
      </c>
      <c r="AH555" s="491">
        <v>0.08</v>
      </c>
      <c r="AI555" s="1025" t="b">
        <v>0</v>
      </c>
      <c r="AJ555" s="491">
        <v>0</v>
      </c>
      <c r="AK555" s="491">
        <v>0</v>
      </c>
      <c r="AL555" s="491">
        <v>0</v>
      </c>
      <c r="AM555" s="491">
        <v>0</v>
      </c>
      <c r="AN555" s="1025" t="b">
        <v>0</v>
      </c>
      <c r="AO555" s="491">
        <v>0</v>
      </c>
      <c r="AP555" s="491">
        <v>0</v>
      </c>
      <c r="AQ555" s="491">
        <v>0</v>
      </c>
      <c r="AR555" s="491">
        <v>0</v>
      </c>
      <c r="AS555" s="1025" t="b">
        <v>0</v>
      </c>
      <c r="AT555" s="1025" t="b">
        <v>0</v>
      </c>
      <c r="AU555" s="491">
        <v>104276</v>
      </c>
      <c r="AV555" s="491" t="s">
        <v>29</v>
      </c>
    </row>
    <row r="556" spans="1:48">
      <c r="A556" s="72">
        <v>37</v>
      </c>
      <c r="B556" s="391" t="s">
        <v>71</v>
      </c>
      <c r="C556" s="72">
        <f t="shared" si="24"/>
        <v>25</v>
      </c>
      <c r="D556" s="72" t="str">
        <f t="shared" si="25"/>
        <v>37-25</v>
      </c>
      <c r="E556" s="72">
        <v>73791</v>
      </c>
      <c r="F556" s="72" t="str">
        <f t="shared" si="26"/>
        <v>37-73791</v>
      </c>
      <c r="G556" s="391" t="s">
        <v>1053</v>
      </c>
      <c r="H556" s="331">
        <v>10894.72</v>
      </c>
      <c r="I556" s="331">
        <v>10017.24</v>
      </c>
      <c r="J556" s="331">
        <v>10314.4</v>
      </c>
      <c r="K556" s="331">
        <v>12264.23</v>
      </c>
      <c r="L556" s="491" t="s">
        <v>29</v>
      </c>
      <c r="M556" s="491" t="s">
        <v>29</v>
      </c>
      <c r="N556" s="491" t="s">
        <v>29</v>
      </c>
      <c r="O556" s="491" t="s">
        <v>29</v>
      </c>
      <c r="P556" s="491">
        <v>0</v>
      </c>
      <c r="Q556" s="491">
        <v>0</v>
      </c>
      <c r="R556" s="491">
        <v>0</v>
      </c>
      <c r="S556" s="491">
        <v>0</v>
      </c>
      <c r="T556" s="1025" t="b">
        <v>0</v>
      </c>
      <c r="U556" s="491">
        <v>2.72</v>
      </c>
      <c r="V556" s="491">
        <v>1.75</v>
      </c>
      <c r="W556" s="491">
        <v>0.03</v>
      </c>
      <c r="X556" s="491">
        <v>1.76</v>
      </c>
      <c r="Y556" s="1025" t="b">
        <v>0</v>
      </c>
      <c r="Z556" s="331">
        <v>0</v>
      </c>
      <c r="AA556" s="331">
        <v>0</v>
      </c>
      <c r="AB556" s="331">
        <v>0</v>
      </c>
      <c r="AC556" s="331">
        <v>0</v>
      </c>
      <c r="AD556" s="1025" t="b">
        <v>0</v>
      </c>
      <c r="AE556" s="331">
        <v>0.25</v>
      </c>
      <c r="AF556" s="331">
        <v>0</v>
      </c>
      <c r="AG556" s="331">
        <v>0</v>
      </c>
      <c r="AH556" s="331">
        <v>0.13</v>
      </c>
      <c r="AI556" s="1025" t="b">
        <v>0</v>
      </c>
      <c r="AJ556" s="331">
        <v>0</v>
      </c>
      <c r="AK556" s="331">
        <v>0</v>
      </c>
      <c r="AL556" s="331">
        <v>0</v>
      </c>
      <c r="AM556" s="331">
        <v>0</v>
      </c>
      <c r="AN556" s="1025" t="b">
        <v>0</v>
      </c>
      <c r="AO556" s="331">
        <v>0</v>
      </c>
      <c r="AP556" s="331">
        <v>0</v>
      </c>
      <c r="AQ556" s="331">
        <v>0</v>
      </c>
      <c r="AR556" s="331">
        <v>0</v>
      </c>
      <c r="AS556" s="1025" t="b">
        <v>0</v>
      </c>
      <c r="AT556" s="1025" t="b">
        <v>0</v>
      </c>
      <c r="AU556" s="331">
        <v>73375</v>
      </c>
      <c r="AV556" s="491" t="s">
        <v>29</v>
      </c>
    </row>
    <row r="557" spans="1:48">
      <c r="A557" s="72">
        <v>37</v>
      </c>
      <c r="B557" s="391" t="s">
        <v>71</v>
      </c>
      <c r="C557" s="72">
        <f t="shared" si="24"/>
        <v>26</v>
      </c>
      <c r="D557" s="72" t="str">
        <f t="shared" si="25"/>
        <v>37-26</v>
      </c>
      <c r="E557" s="72">
        <v>76851</v>
      </c>
      <c r="F557" s="72" t="str">
        <f t="shared" si="26"/>
        <v>37-76851</v>
      </c>
      <c r="G557" s="391" t="s">
        <v>1054</v>
      </c>
      <c r="H557" s="331">
        <v>10901.6</v>
      </c>
      <c r="I557" s="331">
        <v>10023.57</v>
      </c>
      <c r="J557" s="331">
        <v>10320.92</v>
      </c>
      <c r="K557" s="331">
        <v>12271.98</v>
      </c>
      <c r="L557" s="491" t="s">
        <v>29</v>
      </c>
      <c r="M557" s="491" t="s">
        <v>29</v>
      </c>
      <c r="N557" s="491" t="s">
        <v>29</v>
      </c>
      <c r="O557" s="491" t="s">
        <v>29</v>
      </c>
      <c r="P557" s="491">
        <v>0</v>
      </c>
      <c r="Q557" s="491">
        <v>0</v>
      </c>
      <c r="R557" s="491">
        <v>0</v>
      </c>
      <c r="S557" s="491">
        <v>0</v>
      </c>
      <c r="T557" s="1025" t="b">
        <v>0</v>
      </c>
      <c r="U557" s="491">
        <v>0.79</v>
      </c>
      <c r="V557" s="491">
        <v>1.46</v>
      </c>
      <c r="W557" s="491">
        <v>0</v>
      </c>
      <c r="X557" s="491">
        <v>0.73</v>
      </c>
      <c r="Y557" s="1025" t="b">
        <v>0</v>
      </c>
      <c r="Z557" s="331">
        <v>0</v>
      </c>
      <c r="AA557" s="331">
        <v>0</v>
      </c>
      <c r="AB557" s="331">
        <v>0</v>
      </c>
      <c r="AC557" s="331">
        <v>0</v>
      </c>
      <c r="AD557" s="1025" t="b">
        <v>0</v>
      </c>
      <c r="AE557" s="331">
        <v>0.04</v>
      </c>
      <c r="AF557" s="331">
        <v>0.01</v>
      </c>
      <c r="AG557" s="331">
        <v>0</v>
      </c>
      <c r="AH557" s="331">
        <v>0</v>
      </c>
      <c r="AI557" s="1025" t="b">
        <v>0</v>
      </c>
      <c r="AJ557" s="331">
        <v>0</v>
      </c>
      <c r="AK557" s="331">
        <v>0</v>
      </c>
      <c r="AL557" s="331">
        <v>0</v>
      </c>
      <c r="AM557" s="331">
        <v>0</v>
      </c>
      <c r="AN557" s="1025" t="b">
        <v>0</v>
      </c>
      <c r="AO557" s="331">
        <v>0</v>
      </c>
      <c r="AP557" s="331">
        <v>0</v>
      </c>
      <c r="AQ557" s="331">
        <v>0</v>
      </c>
      <c r="AR557" s="331">
        <v>0</v>
      </c>
      <c r="AS557" s="1025" t="b">
        <v>0</v>
      </c>
      <c r="AT557" s="1025" t="b">
        <v>0</v>
      </c>
      <c r="AU557" s="331">
        <v>32742</v>
      </c>
      <c r="AV557" s="491" t="s">
        <v>29</v>
      </c>
    </row>
    <row r="558" spans="1:48">
      <c r="A558" s="72">
        <v>37</v>
      </c>
      <c r="B558" s="391" t="s">
        <v>71</v>
      </c>
      <c r="C558" s="72">
        <f t="shared" si="24"/>
        <v>0</v>
      </c>
      <c r="D558" s="72" t="str">
        <f t="shared" si="25"/>
        <v>37-0</v>
      </c>
      <c r="E558" s="72" t="s">
        <v>29</v>
      </c>
      <c r="F558" s="72" t="str">
        <f t="shared" si="26"/>
        <v>37-N/A</v>
      </c>
      <c r="G558" s="391" t="s">
        <v>29</v>
      </c>
      <c r="H558" s="491" t="s">
        <v>29</v>
      </c>
      <c r="I558" s="491" t="s">
        <v>29</v>
      </c>
      <c r="J558" s="491" t="s">
        <v>29</v>
      </c>
      <c r="K558" s="491" t="s">
        <v>29</v>
      </c>
      <c r="L558" s="491" t="s">
        <v>29</v>
      </c>
      <c r="M558" s="491" t="s">
        <v>29</v>
      </c>
      <c r="N558" s="491" t="s">
        <v>29</v>
      </c>
      <c r="O558" s="491" t="s">
        <v>29</v>
      </c>
      <c r="P558" s="491" t="s">
        <v>29</v>
      </c>
      <c r="Q558" s="491" t="s">
        <v>29</v>
      </c>
      <c r="R558" s="491" t="s">
        <v>29</v>
      </c>
      <c r="S558" s="491" t="s">
        <v>29</v>
      </c>
      <c r="T558" s="1025" t="s">
        <v>29</v>
      </c>
      <c r="U558" s="491" t="s">
        <v>29</v>
      </c>
      <c r="V558" s="491" t="s">
        <v>29</v>
      </c>
      <c r="W558" s="491" t="s">
        <v>29</v>
      </c>
      <c r="X558" s="491" t="s">
        <v>29</v>
      </c>
      <c r="Y558" s="1025" t="s">
        <v>29</v>
      </c>
      <c r="Z558" s="491" t="s">
        <v>29</v>
      </c>
      <c r="AA558" s="491" t="s">
        <v>29</v>
      </c>
      <c r="AB558" s="491" t="s">
        <v>29</v>
      </c>
      <c r="AC558" s="491" t="s">
        <v>29</v>
      </c>
      <c r="AD558" s="1025" t="s">
        <v>29</v>
      </c>
      <c r="AE558" s="491" t="s">
        <v>29</v>
      </c>
      <c r="AF558" s="491" t="s">
        <v>29</v>
      </c>
      <c r="AG558" s="491" t="s">
        <v>29</v>
      </c>
      <c r="AH558" s="491" t="s">
        <v>29</v>
      </c>
      <c r="AI558" s="1025" t="s">
        <v>29</v>
      </c>
      <c r="AJ558" s="491" t="s">
        <v>29</v>
      </c>
      <c r="AK558" s="491" t="s">
        <v>29</v>
      </c>
      <c r="AL558" s="491" t="s">
        <v>29</v>
      </c>
      <c r="AM558" s="491" t="s">
        <v>29</v>
      </c>
      <c r="AN558" s="1025" t="s">
        <v>29</v>
      </c>
      <c r="AO558" s="491" t="s">
        <v>29</v>
      </c>
      <c r="AP558" s="491" t="s">
        <v>29</v>
      </c>
      <c r="AQ558" s="491" t="s">
        <v>29</v>
      </c>
      <c r="AR558" s="491" t="s">
        <v>29</v>
      </c>
      <c r="AS558" s="1025" t="s">
        <v>29</v>
      </c>
      <c r="AT558" s="1025" t="s">
        <v>29</v>
      </c>
      <c r="AU558" s="491" t="s">
        <v>29</v>
      </c>
      <c r="AV558" s="491">
        <v>4542807</v>
      </c>
    </row>
    <row r="559" spans="1:48">
      <c r="A559" s="72">
        <v>38</v>
      </c>
      <c r="B559" s="391" t="s">
        <v>111</v>
      </c>
      <c r="C559" s="72">
        <f t="shared" si="24"/>
        <v>1</v>
      </c>
      <c r="D559" s="72" t="str">
        <f t="shared" si="25"/>
        <v>38-1</v>
      </c>
      <c r="E559" s="72">
        <v>68478</v>
      </c>
      <c r="F559" s="72" t="str">
        <f t="shared" si="26"/>
        <v>38-68478</v>
      </c>
      <c r="G559" s="391" t="s">
        <v>1055</v>
      </c>
      <c r="H559" s="331">
        <v>11553.77</v>
      </c>
      <c r="I559" s="331">
        <v>10623.21</v>
      </c>
      <c r="J559" s="331">
        <v>10938.35</v>
      </c>
      <c r="K559" s="331">
        <v>13006.13</v>
      </c>
      <c r="L559" s="491" t="s">
        <v>29</v>
      </c>
      <c r="M559" s="491" t="s">
        <v>29</v>
      </c>
      <c r="N559" s="491" t="s">
        <v>29</v>
      </c>
      <c r="O559" s="491" t="s">
        <v>29</v>
      </c>
      <c r="P559" s="491">
        <v>0</v>
      </c>
      <c r="Q559" s="491">
        <v>0</v>
      </c>
      <c r="R559" s="491">
        <v>1.54</v>
      </c>
      <c r="S559" s="491">
        <v>27.27</v>
      </c>
      <c r="T559" s="1025" t="b">
        <v>0</v>
      </c>
      <c r="U559" s="491">
        <v>0</v>
      </c>
      <c r="V559" s="491">
        <v>0</v>
      </c>
      <c r="W559" s="491">
        <v>0</v>
      </c>
      <c r="X559" s="491">
        <v>0</v>
      </c>
      <c r="Y559" s="1025" t="b">
        <v>0</v>
      </c>
      <c r="Z559" s="331">
        <v>0</v>
      </c>
      <c r="AA559" s="331">
        <v>0</v>
      </c>
      <c r="AB559" s="331">
        <v>0</v>
      </c>
      <c r="AC559" s="331">
        <v>3.5</v>
      </c>
      <c r="AD559" s="1025" t="b">
        <v>0</v>
      </c>
      <c r="AE559" s="331">
        <v>0</v>
      </c>
      <c r="AF559" s="331">
        <v>0</v>
      </c>
      <c r="AG559" s="331">
        <v>0</v>
      </c>
      <c r="AH559" s="331">
        <v>0.56999999999999995</v>
      </c>
      <c r="AI559" s="1025" t="b">
        <v>0</v>
      </c>
      <c r="AJ559" s="331">
        <v>0</v>
      </c>
      <c r="AK559" s="331">
        <v>0</v>
      </c>
      <c r="AL559" s="331">
        <v>0</v>
      </c>
      <c r="AM559" s="331">
        <v>0</v>
      </c>
      <c r="AN559" s="1025" t="b">
        <v>0</v>
      </c>
      <c r="AO559" s="331">
        <v>0</v>
      </c>
      <c r="AP559" s="331">
        <v>0</v>
      </c>
      <c r="AQ559" s="331">
        <v>0</v>
      </c>
      <c r="AR559" s="331">
        <v>0</v>
      </c>
      <c r="AS559" s="1025" t="b">
        <v>0</v>
      </c>
      <c r="AT559" s="1025" t="b">
        <v>0</v>
      </c>
      <c r="AU559" s="331">
        <v>424457</v>
      </c>
      <c r="AV559" s="491" t="s">
        <v>29</v>
      </c>
    </row>
    <row r="560" spans="1:48">
      <c r="A560" s="72">
        <v>38</v>
      </c>
      <c r="B560" s="391" t="s">
        <v>111</v>
      </c>
      <c r="C560" s="72">
        <f t="shared" si="24"/>
        <v>0</v>
      </c>
      <c r="D560" s="72" t="str">
        <f t="shared" si="25"/>
        <v>38-0</v>
      </c>
      <c r="E560" s="72" t="s">
        <v>29</v>
      </c>
      <c r="F560" s="72" t="str">
        <f t="shared" si="26"/>
        <v>38-N/A</v>
      </c>
      <c r="G560" s="391" t="s">
        <v>29</v>
      </c>
      <c r="H560" s="491" t="s">
        <v>29</v>
      </c>
      <c r="I560" s="491" t="s">
        <v>29</v>
      </c>
      <c r="J560" s="491" t="s">
        <v>29</v>
      </c>
      <c r="K560" s="491" t="s">
        <v>29</v>
      </c>
      <c r="L560" s="491" t="s">
        <v>29</v>
      </c>
      <c r="M560" s="491" t="s">
        <v>29</v>
      </c>
      <c r="N560" s="491" t="s">
        <v>29</v>
      </c>
      <c r="O560" s="491" t="s">
        <v>29</v>
      </c>
      <c r="P560" s="491" t="s">
        <v>29</v>
      </c>
      <c r="Q560" s="491" t="s">
        <v>29</v>
      </c>
      <c r="R560" s="491" t="s">
        <v>29</v>
      </c>
      <c r="S560" s="491" t="s">
        <v>29</v>
      </c>
      <c r="T560" s="1025" t="s">
        <v>29</v>
      </c>
      <c r="U560" s="491" t="s">
        <v>29</v>
      </c>
      <c r="V560" s="491" t="s">
        <v>29</v>
      </c>
      <c r="W560" s="491" t="s">
        <v>29</v>
      </c>
      <c r="X560" s="491" t="s">
        <v>29</v>
      </c>
      <c r="Y560" s="1025" t="s">
        <v>29</v>
      </c>
      <c r="Z560" s="491" t="s">
        <v>29</v>
      </c>
      <c r="AA560" s="491" t="s">
        <v>29</v>
      </c>
      <c r="AB560" s="491" t="s">
        <v>29</v>
      </c>
      <c r="AC560" s="491" t="s">
        <v>29</v>
      </c>
      <c r="AD560" s="1025" t="s">
        <v>29</v>
      </c>
      <c r="AE560" s="491" t="s">
        <v>29</v>
      </c>
      <c r="AF560" s="491" t="s">
        <v>29</v>
      </c>
      <c r="AG560" s="491" t="s">
        <v>29</v>
      </c>
      <c r="AH560" s="491" t="s">
        <v>29</v>
      </c>
      <c r="AI560" s="1025" t="s">
        <v>29</v>
      </c>
      <c r="AJ560" s="491" t="s">
        <v>29</v>
      </c>
      <c r="AK560" s="491" t="s">
        <v>29</v>
      </c>
      <c r="AL560" s="491" t="s">
        <v>29</v>
      </c>
      <c r="AM560" s="491" t="s">
        <v>29</v>
      </c>
      <c r="AN560" s="1025" t="s">
        <v>29</v>
      </c>
      <c r="AO560" s="491" t="s">
        <v>29</v>
      </c>
      <c r="AP560" s="491" t="s">
        <v>29</v>
      </c>
      <c r="AQ560" s="491" t="s">
        <v>29</v>
      </c>
      <c r="AR560" s="491" t="s">
        <v>29</v>
      </c>
      <c r="AS560" s="1025" t="s">
        <v>29</v>
      </c>
      <c r="AT560" s="1025" t="s">
        <v>29</v>
      </c>
      <c r="AU560" s="491" t="s">
        <v>29</v>
      </c>
      <c r="AV560" s="491">
        <v>424457</v>
      </c>
    </row>
    <row r="561" spans="1:48">
      <c r="A561" s="72">
        <v>39</v>
      </c>
      <c r="B561" s="391" t="s">
        <v>112</v>
      </c>
      <c r="C561" s="72">
        <f t="shared" si="24"/>
        <v>1</v>
      </c>
      <c r="D561" s="72" t="str">
        <f t="shared" si="25"/>
        <v>39-1</v>
      </c>
      <c r="E561" s="72">
        <v>67355</v>
      </c>
      <c r="F561" s="72" t="str">
        <f t="shared" si="26"/>
        <v>39-67355</v>
      </c>
      <c r="G561" s="391" t="s">
        <v>1006</v>
      </c>
      <c r="H561" s="331">
        <v>11153.97</v>
      </c>
      <c r="I561" s="331">
        <v>10255.61</v>
      </c>
      <c r="J561" s="331">
        <v>10559.84</v>
      </c>
      <c r="K561" s="331">
        <v>12556.07</v>
      </c>
      <c r="L561" s="491" t="s">
        <v>29</v>
      </c>
      <c r="M561" s="491" t="s">
        <v>29</v>
      </c>
      <c r="N561" s="491" t="s">
        <v>29</v>
      </c>
      <c r="O561" s="491" t="s">
        <v>29</v>
      </c>
      <c r="P561" s="491">
        <v>0</v>
      </c>
      <c r="Q561" s="491">
        <v>0</v>
      </c>
      <c r="R561" s="491">
        <v>0</v>
      </c>
      <c r="S561" s="491">
        <v>2.2000000000000002</v>
      </c>
      <c r="T561" s="1025" t="b">
        <v>0</v>
      </c>
      <c r="U561" s="491">
        <v>0</v>
      </c>
      <c r="V561" s="491">
        <v>0</v>
      </c>
      <c r="W561" s="491">
        <v>0</v>
      </c>
      <c r="X561" s="491">
        <v>0</v>
      </c>
      <c r="Y561" s="1025" t="b">
        <v>0</v>
      </c>
      <c r="Z561" s="331">
        <v>0</v>
      </c>
      <c r="AA561" s="331">
        <v>0</v>
      </c>
      <c r="AB561" s="331">
        <v>0</v>
      </c>
      <c r="AC561" s="331">
        <v>0</v>
      </c>
      <c r="AD561" s="1025" t="b">
        <v>0</v>
      </c>
      <c r="AE561" s="331">
        <v>0</v>
      </c>
      <c r="AF561" s="331">
        <v>0</v>
      </c>
      <c r="AG561" s="331">
        <v>0</v>
      </c>
      <c r="AH561" s="331">
        <v>0</v>
      </c>
      <c r="AI561" s="1025" t="b">
        <v>0</v>
      </c>
      <c r="AJ561" s="331">
        <v>0</v>
      </c>
      <c r="AK561" s="331">
        <v>0</v>
      </c>
      <c r="AL561" s="331">
        <v>0</v>
      </c>
      <c r="AM561" s="331">
        <v>0</v>
      </c>
      <c r="AN561" s="1025" t="b">
        <v>0</v>
      </c>
      <c r="AO561" s="331">
        <v>0</v>
      </c>
      <c r="AP561" s="331">
        <v>0</v>
      </c>
      <c r="AQ561" s="331">
        <v>0</v>
      </c>
      <c r="AR561" s="331">
        <v>0</v>
      </c>
      <c r="AS561" s="1025" t="b">
        <v>0</v>
      </c>
      <c r="AT561" s="1025" t="b">
        <v>0</v>
      </c>
      <c r="AU561" s="331">
        <v>27623</v>
      </c>
      <c r="AV561" s="491" t="s">
        <v>29</v>
      </c>
    </row>
    <row r="562" spans="1:48">
      <c r="A562" s="72">
        <v>39</v>
      </c>
      <c r="B562" s="391" t="s">
        <v>112</v>
      </c>
      <c r="C562" s="72">
        <f t="shared" si="24"/>
        <v>2</v>
      </c>
      <c r="D562" s="72" t="str">
        <f t="shared" si="25"/>
        <v>39-2</v>
      </c>
      <c r="E562" s="72">
        <v>68502</v>
      </c>
      <c r="F562" s="72" t="str">
        <f t="shared" si="26"/>
        <v>39-68502</v>
      </c>
      <c r="G562" s="391" t="s">
        <v>1056</v>
      </c>
      <c r="H562" s="331">
        <v>11133.13</v>
      </c>
      <c r="I562" s="331">
        <v>10236.450000000001</v>
      </c>
      <c r="J562" s="331">
        <v>10540.11</v>
      </c>
      <c r="K562" s="331">
        <v>12532.61</v>
      </c>
      <c r="L562" s="491" t="s">
        <v>29</v>
      </c>
      <c r="M562" s="491" t="s">
        <v>29</v>
      </c>
      <c r="N562" s="491" t="s">
        <v>29</v>
      </c>
      <c r="O562" s="491" t="s">
        <v>29</v>
      </c>
      <c r="P562" s="491">
        <v>0</v>
      </c>
      <c r="Q562" s="491">
        <v>0</v>
      </c>
      <c r="R562" s="491">
        <v>0</v>
      </c>
      <c r="S562" s="491">
        <v>1.31</v>
      </c>
      <c r="T562" s="1025" t="b">
        <v>0</v>
      </c>
      <c r="U562" s="491">
        <v>11.97</v>
      </c>
      <c r="V562" s="491">
        <v>3.94</v>
      </c>
      <c r="W562" s="491">
        <v>4.2</v>
      </c>
      <c r="X562" s="491">
        <v>2.13</v>
      </c>
      <c r="Y562" s="1025" t="b">
        <v>0</v>
      </c>
      <c r="Z562" s="331">
        <v>0</v>
      </c>
      <c r="AA562" s="331">
        <v>0</v>
      </c>
      <c r="AB562" s="331">
        <v>0</v>
      </c>
      <c r="AC562" s="331">
        <v>0</v>
      </c>
      <c r="AD562" s="1025" t="b">
        <v>0</v>
      </c>
      <c r="AE562" s="331">
        <v>0.92</v>
      </c>
      <c r="AF562" s="331">
        <v>0.43</v>
      </c>
      <c r="AG562" s="331">
        <v>0.22</v>
      </c>
      <c r="AH562" s="331">
        <v>0.5</v>
      </c>
      <c r="AI562" s="1025" t="b">
        <v>0</v>
      </c>
      <c r="AJ562" s="331">
        <v>0</v>
      </c>
      <c r="AK562" s="331">
        <v>0</v>
      </c>
      <c r="AL562" s="331">
        <v>0</v>
      </c>
      <c r="AM562" s="331">
        <v>0</v>
      </c>
      <c r="AN562" s="1025" t="b">
        <v>0</v>
      </c>
      <c r="AO562" s="331">
        <v>0</v>
      </c>
      <c r="AP562" s="331">
        <v>0</v>
      </c>
      <c r="AQ562" s="331">
        <v>0</v>
      </c>
      <c r="AR562" s="331">
        <v>0</v>
      </c>
      <c r="AS562" s="1025" t="b">
        <v>0</v>
      </c>
      <c r="AT562" s="1025" t="b">
        <v>0</v>
      </c>
      <c r="AU562" s="331">
        <v>284204</v>
      </c>
      <c r="AV562" s="491" t="s">
        <v>29</v>
      </c>
    </row>
    <row r="563" spans="1:48">
      <c r="A563" s="72">
        <v>39</v>
      </c>
      <c r="B563" s="391" t="s">
        <v>112</v>
      </c>
      <c r="C563" s="72">
        <f t="shared" si="24"/>
        <v>3</v>
      </c>
      <c r="D563" s="72" t="str">
        <f t="shared" si="25"/>
        <v>39-3</v>
      </c>
      <c r="E563" s="72">
        <v>68544</v>
      </c>
      <c r="F563" s="72" t="str">
        <f t="shared" si="26"/>
        <v>39-68544</v>
      </c>
      <c r="G563" s="391" t="s">
        <v>1057</v>
      </c>
      <c r="H563" s="331">
        <v>10858.09</v>
      </c>
      <c r="I563" s="331">
        <v>9983.56</v>
      </c>
      <c r="J563" s="331">
        <v>10279.719999999999</v>
      </c>
      <c r="K563" s="331">
        <v>12223</v>
      </c>
      <c r="L563" s="491" t="s">
        <v>29</v>
      </c>
      <c r="M563" s="491" t="s">
        <v>29</v>
      </c>
      <c r="N563" s="491" t="s">
        <v>29</v>
      </c>
      <c r="O563" s="491" t="s">
        <v>29</v>
      </c>
      <c r="P563" s="491">
        <v>0</v>
      </c>
      <c r="Q563" s="491">
        <v>1.2</v>
      </c>
      <c r="R563" s="491">
        <v>0</v>
      </c>
      <c r="S563" s="491">
        <v>0</v>
      </c>
      <c r="T563" s="1025" t="b">
        <v>0</v>
      </c>
      <c r="U563" s="491">
        <v>27.93</v>
      </c>
      <c r="V563" s="491">
        <v>11.55</v>
      </c>
      <c r="W563" s="491">
        <v>5.05</v>
      </c>
      <c r="X563" s="491">
        <v>0.22</v>
      </c>
      <c r="Y563" s="1025" t="b">
        <v>0</v>
      </c>
      <c r="Z563" s="331">
        <v>0</v>
      </c>
      <c r="AA563" s="331">
        <v>0</v>
      </c>
      <c r="AB563" s="331">
        <v>0</v>
      </c>
      <c r="AC563" s="331">
        <v>0</v>
      </c>
      <c r="AD563" s="1025" t="b">
        <v>0</v>
      </c>
      <c r="AE563" s="331">
        <v>1.95</v>
      </c>
      <c r="AF563" s="331">
        <v>0.98</v>
      </c>
      <c r="AG563" s="331">
        <v>0.25</v>
      </c>
      <c r="AH563" s="331">
        <v>0</v>
      </c>
      <c r="AI563" s="1025" t="b">
        <v>0</v>
      </c>
      <c r="AJ563" s="331">
        <v>0</v>
      </c>
      <c r="AK563" s="331">
        <v>0</v>
      </c>
      <c r="AL563" s="331">
        <v>0</v>
      </c>
      <c r="AM563" s="331">
        <v>0</v>
      </c>
      <c r="AN563" s="1025" t="b">
        <v>0</v>
      </c>
      <c r="AO563" s="331">
        <v>0</v>
      </c>
      <c r="AP563" s="331">
        <v>0</v>
      </c>
      <c r="AQ563" s="331">
        <v>0</v>
      </c>
      <c r="AR563" s="331">
        <v>0</v>
      </c>
      <c r="AS563" s="1025" t="b">
        <v>0</v>
      </c>
      <c r="AT563" s="1025" t="b">
        <v>0</v>
      </c>
      <c r="AU563" s="331">
        <v>518686</v>
      </c>
      <c r="AV563" s="491" t="s">
        <v>29</v>
      </c>
    </row>
    <row r="564" spans="1:48">
      <c r="A564" s="72">
        <v>39</v>
      </c>
      <c r="B564" s="391" t="s">
        <v>112</v>
      </c>
      <c r="C564" s="72">
        <f t="shared" si="24"/>
        <v>4</v>
      </c>
      <c r="D564" s="72" t="str">
        <f t="shared" si="25"/>
        <v>39-4</v>
      </c>
      <c r="E564" s="72">
        <v>68569</v>
      </c>
      <c r="F564" s="72" t="str">
        <f t="shared" si="26"/>
        <v>39-68569</v>
      </c>
      <c r="G564" s="391" t="s">
        <v>1058</v>
      </c>
      <c r="H564" s="331">
        <v>11929.64</v>
      </c>
      <c r="I564" s="331">
        <v>10968.81</v>
      </c>
      <c r="J564" s="331">
        <v>11294.2</v>
      </c>
      <c r="K564" s="331">
        <v>13429.25</v>
      </c>
      <c r="L564" s="491" t="s">
        <v>29</v>
      </c>
      <c r="M564" s="491" t="s">
        <v>29</v>
      </c>
      <c r="N564" s="491" t="s">
        <v>29</v>
      </c>
      <c r="O564" s="491" t="s">
        <v>29</v>
      </c>
      <c r="P564" s="491">
        <v>0</v>
      </c>
      <c r="Q564" s="491">
        <v>0.5</v>
      </c>
      <c r="R564" s="491">
        <v>1.46</v>
      </c>
      <c r="S564" s="491">
        <v>31.21</v>
      </c>
      <c r="T564" s="1025" t="b">
        <v>0</v>
      </c>
      <c r="U564" s="491">
        <v>51.96</v>
      </c>
      <c r="V564" s="491">
        <v>23.98</v>
      </c>
      <c r="W564" s="491">
        <v>11.5</v>
      </c>
      <c r="X564" s="491">
        <v>25.25</v>
      </c>
      <c r="Y564" s="1025" t="b">
        <v>0</v>
      </c>
      <c r="Z564" s="331">
        <v>0</v>
      </c>
      <c r="AA564" s="331">
        <v>0</v>
      </c>
      <c r="AB564" s="331">
        <v>0</v>
      </c>
      <c r="AC564" s="331">
        <v>0</v>
      </c>
      <c r="AD564" s="1025" t="b">
        <v>0</v>
      </c>
      <c r="AE564" s="331">
        <v>4.3899999999999997</v>
      </c>
      <c r="AF564" s="331">
        <v>1.89</v>
      </c>
      <c r="AG564" s="331">
        <v>0.57999999999999996</v>
      </c>
      <c r="AH564" s="331">
        <v>1.76</v>
      </c>
      <c r="AI564" s="1025" t="b">
        <v>0</v>
      </c>
      <c r="AJ564" s="331">
        <v>0</v>
      </c>
      <c r="AK564" s="331">
        <v>0</v>
      </c>
      <c r="AL564" s="331">
        <v>0</v>
      </c>
      <c r="AM564" s="331">
        <v>0</v>
      </c>
      <c r="AN564" s="1025" t="b">
        <v>0</v>
      </c>
      <c r="AO564" s="331">
        <v>0</v>
      </c>
      <c r="AP564" s="331">
        <v>0</v>
      </c>
      <c r="AQ564" s="331">
        <v>0</v>
      </c>
      <c r="AR564" s="331">
        <v>0</v>
      </c>
      <c r="AS564" s="1025" t="b">
        <v>0</v>
      </c>
      <c r="AT564" s="1025" t="b">
        <v>1</v>
      </c>
      <c r="AU564" s="331">
        <v>1896257</v>
      </c>
      <c r="AV564" s="491" t="s">
        <v>29</v>
      </c>
    </row>
    <row r="565" spans="1:48">
      <c r="A565" s="72">
        <v>39</v>
      </c>
      <c r="B565" s="391" t="s">
        <v>112</v>
      </c>
      <c r="C565" s="72">
        <f t="shared" si="24"/>
        <v>5</v>
      </c>
      <c r="D565" s="72" t="str">
        <f t="shared" si="25"/>
        <v>39-5</v>
      </c>
      <c r="E565" s="72">
        <v>68577</v>
      </c>
      <c r="F565" s="72" t="str">
        <f t="shared" si="26"/>
        <v>39-68577</v>
      </c>
      <c r="G565" s="391" t="s">
        <v>1059</v>
      </c>
      <c r="H565" s="331">
        <v>11969.21</v>
      </c>
      <c r="I565" s="331">
        <v>11005.19</v>
      </c>
      <c r="J565" s="331">
        <v>11331.66</v>
      </c>
      <c r="K565" s="331">
        <v>13473.79</v>
      </c>
      <c r="L565" s="491" t="s">
        <v>29</v>
      </c>
      <c r="M565" s="491" t="s">
        <v>29</v>
      </c>
      <c r="N565" s="491" t="s">
        <v>29</v>
      </c>
      <c r="O565" s="491" t="s">
        <v>29</v>
      </c>
      <c r="P565" s="491">
        <v>0</v>
      </c>
      <c r="Q565" s="491">
        <v>0</v>
      </c>
      <c r="R565" s="491">
        <v>0</v>
      </c>
      <c r="S565" s="491">
        <v>2.63</v>
      </c>
      <c r="T565" s="1025" t="b">
        <v>0</v>
      </c>
      <c r="U565" s="491">
        <v>6.7</v>
      </c>
      <c r="V565" s="491">
        <v>2.25</v>
      </c>
      <c r="W565" s="491">
        <v>2.1</v>
      </c>
      <c r="X565" s="491">
        <v>4.8899999999999997</v>
      </c>
      <c r="Y565" s="1025" t="b">
        <v>0</v>
      </c>
      <c r="Z565" s="331">
        <v>0</v>
      </c>
      <c r="AA565" s="331">
        <v>0</v>
      </c>
      <c r="AB565" s="331">
        <v>0.46</v>
      </c>
      <c r="AC565" s="331">
        <v>0</v>
      </c>
      <c r="AD565" s="1025" t="b">
        <v>0</v>
      </c>
      <c r="AE565" s="331">
        <v>0.34</v>
      </c>
      <c r="AF565" s="331">
        <v>0.12</v>
      </c>
      <c r="AG565" s="331">
        <v>0.21</v>
      </c>
      <c r="AH565" s="331">
        <v>0.22</v>
      </c>
      <c r="AI565" s="1025" t="b">
        <v>0</v>
      </c>
      <c r="AJ565" s="331">
        <v>0</v>
      </c>
      <c r="AK565" s="331">
        <v>0</v>
      </c>
      <c r="AL565" s="331">
        <v>0</v>
      </c>
      <c r="AM565" s="331">
        <v>0</v>
      </c>
      <c r="AN565" s="1025" t="b">
        <v>0</v>
      </c>
      <c r="AO565" s="331">
        <v>0</v>
      </c>
      <c r="AP565" s="331">
        <v>0</v>
      </c>
      <c r="AQ565" s="331">
        <v>0</v>
      </c>
      <c r="AR565" s="331">
        <v>0</v>
      </c>
      <c r="AS565" s="1025" t="b">
        <v>0</v>
      </c>
      <c r="AT565" s="1025" t="b">
        <v>0</v>
      </c>
      <c r="AU565" s="331">
        <v>246021</v>
      </c>
      <c r="AV565" s="491" t="s">
        <v>29</v>
      </c>
    </row>
    <row r="566" spans="1:48">
      <c r="A566" s="72">
        <v>39</v>
      </c>
      <c r="B566" s="391" t="s">
        <v>112</v>
      </c>
      <c r="C566" s="72">
        <f t="shared" si="24"/>
        <v>6</v>
      </c>
      <c r="D566" s="72" t="str">
        <f t="shared" si="25"/>
        <v>39-6</v>
      </c>
      <c r="E566" s="72">
        <v>68585</v>
      </c>
      <c r="F566" s="72" t="str">
        <f t="shared" si="26"/>
        <v>39-68585</v>
      </c>
      <c r="G566" s="391" t="s">
        <v>1060</v>
      </c>
      <c r="H566" s="331">
        <v>12823.3</v>
      </c>
      <c r="I566" s="331">
        <v>11790.49</v>
      </c>
      <c r="J566" s="331">
        <v>12140.26</v>
      </c>
      <c r="K566" s="331">
        <v>14435.24</v>
      </c>
      <c r="L566" s="491" t="s">
        <v>29</v>
      </c>
      <c r="M566" s="491" t="s">
        <v>29</v>
      </c>
      <c r="N566" s="491" t="s">
        <v>29</v>
      </c>
      <c r="O566" s="491" t="s">
        <v>29</v>
      </c>
      <c r="P566" s="491">
        <v>0</v>
      </c>
      <c r="Q566" s="491">
        <v>1.1299999999999999</v>
      </c>
      <c r="R566" s="491">
        <v>0.97</v>
      </c>
      <c r="S566" s="491">
        <v>40.93</v>
      </c>
      <c r="T566" s="1025" t="b">
        <v>0</v>
      </c>
      <c r="U566" s="491">
        <v>0.97</v>
      </c>
      <c r="V566" s="491">
        <v>0</v>
      </c>
      <c r="W566" s="491">
        <v>0</v>
      </c>
      <c r="X566" s="491">
        <v>0</v>
      </c>
      <c r="Y566" s="1025" t="b">
        <v>0</v>
      </c>
      <c r="Z566" s="331">
        <v>0</v>
      </c>
      <c r="AA566" s="331">
        <v>0</v>
      </c>
      <c r="AB566" s="331">
        <v>0</v>
      </c>
      <c r="AC566" s="331">
        <v>0</v>
      </c>
      <c r="AD566" s="1025" t="b">
        <v>0</v>
      </c>
      <c r="AE566" s="331">
        <v>0.08</v>
      </c>
      <c r="AF566" s="331">
        <v>0</v>
      </c>
      <c r="AG566" s="331">
        <v>0</v>
      </c>
      <c r="AH566" s="331">
        <v>0</v>
      </c>
      <c r="AI566" s="1025" t="b">
        <v>0</v>
      </c>
      <c r="AJ566" s="331">
        <v>0</v>
      </c>
      <c r="AK566" s="331">
        <v>0</v>
      </c>
      <c r="AL566" s="331">
        <v>0</v>
      </c>
      <c r="AM566" s="331">
        <v>0</v>
      </c>
      <c r="AN566" s="1025" t="b">
        <v>0</v>
      </c>
      <c r="AO566" s="331">
        <v>0</v>
      </c>
      <c r="AP566" s="331">
        <v>0</v>
      </c>
      <c r="AQ566" s="331">
        <v>0</v>
      </c>
      <c r="AR566" s="331">
        <v>0</v>
      </c>
      <c r="AS566" s="1025" t="b">
        <v>0</v>
      </c>
      <c r="AT566" s="1025" t="b">
        <v>0</v>
      </c>
      <c r="AU566" s="331">
        <v>629397</v>
      </c>
      <c r="AV566" s="491" t="s">
        <v>29</v>
      </c>
    </row>
    <row r="567" spans="1:48">
      <c r="A567" s="72">
        <v>39</v>
      </c>
      <c r="B567" s="391" t="s">
        <v>112</v>
      </c>
      <c r="C567" s="72">
        <f t="shared" si="24"/>
        <v>7</v>
      </c>
      <c r="D567" s="72" t="str">
        <f t="shared" si="25"/>
        <v>39-7</v>
      </c>
      <c r="E567" s="72">
        <v>68593</v>
      </c>
      <c r="F567" s="72" t="str">
        <f t="shared" si="26"/>
        <v>39-68593</v>
      </c>
      <c r="G567" s="391" t="s">
        <v>1061</v>
      </c>
      <c r="H567" s="491">
        <v>12062.1</v>
      </c>
      <c r="I567" s="491">
        <v>11090.6</v>
      </c>
      <c r="J567" s="491">
        <v>11419.6</v>
      </c>
      <c r="K567" s="491">
        <v>13578.36</v>
      </c>
      <c r="L567" s="491" t="s">
        <v>29</v>
      </c>
      <c r="M567" s="491" t="s">
        <v>29</v>
      </c>
      <c r="N567" s="491" t="s">
        <v>29</v>
      </c>
      <c r="O567" s="491" t="s">
        <v>29</v>
      </c>
      <c r="P567" s="491">
        <v>0</v>
      </c>
      <c r="Q567" s="491">
        <v>0</v>
      </c>
      <c r="R567" s="491">
        <v>0.54</v>
      </c>
      <c r="S567" s="491">
        <v>33.590000000000003</v>
      </c>
      <c r="T567" s="1025" t="b">
        <v>0</v>
      </c>
      <c r="U567" s="491">
        <v>96.44</v>
      </c>
      <c r="V567" s="491">
        <v>33.76</v>
      </c>
      <c r="W567" s="491">
        <v>20.61</v>
      </c>
      <c r="X567" s="491">
        <v>62.15</v>
      </c>
      <c r="Y567" s="1025" t="b">
        <v>0</v>
      </c>
      <c r="Z567" s="491">
        <v>0</v>
      </c>
      <c r="AA567" s="491">
        <v>0</v>
      </c>
      <c r="AB567" s="491">
        <v>7.0000000000000007E-2</v>
      </c>
      <c r="AC567" s="491">
        <v>3.69</v>
      </c>
      <c r="AD567" s="1025" t="b">
        <v>0</v>
      </c>
      <c r="AE567" s="491">
        <v>9.86</v>
      </c>
      <c r="AF567" s="491">
        <v>2.92</v>
      </c>
      <c r="AG567" s="491">
        <v>1.88</v>
      </c>
      <c r="AH567" s="491">
        <v>5.49</v>
      </c>
      <c r="AI567" s="1025" t="b">
        <v>0</v>
      </c>
      <c r="AJ567" s="491">
        <v>0</v>
      </c>
      <c r="AK567" s="491">
        <v>0</v>
      </c>
      <c r="AL567" s="491">
        <v>0</v>
      </c>
      <c r="AM567" s="491">
        <v>0</v>
      </c>
      <c r="AN567" s="1025" t="b">
        <v>0</v>
      </c>
      <c r="AO567" s="491">
        <v>0</v>
      </c>
      <c r="AP567" s="491">
        <v>0</v>
      </c>
      <c r="AQ567" s="491">
        <v>0</v>
      </c>
      <c r="AR567" s="491">
        <v>0</v>
      </c>
      <c r="AS567" s="1025" t="b">
        <v>0</v>
      </c>
      <c r="AT567" s="1025" t="b">
        <v>0</v>
      </c>
      <c r="AU567" s="491">
        <v>3377439</v>
      </c>
      <c r="AV567" s="491" t="s">
        <v>29</v>
      </c>
    </row>
    <row r="568" spans="1:48">
      <c r="A568" s="72">
        <v>39</v>
      </c>
      <c r="B568" s="391" t="s">
        <v>112</v>
      </c>
      <c r="C568" s="72">
        <f t="shared" si="24"/>
        <v>8</v>
      </c>
      <c r="D568" s="72" t="str">
        <f t="shared" si="25"/>
        <v>39-8</v>
      </c>
      <c r="E568" s="72">
        <v>68627</v>
      </c>
      <c r="F568" s="72" t="str">
        <f t="shared" si="26"/>
        <v>39-68627</v>
      </c>
      <c r="G568" s="391" t="s">
        <v>1062</v>
      </c>
      <c r="H568" s="331">
        <v>12345.94</v>
      </c>
      <c r="I568" s="331">
        <v>11351.58</v>
      </c>
      <c r="J568" s="331">
        <v>11688.32</v>
      </c>
      <c r="K568" s="331">
        <v>13897.87</v>
      </c>
      <c r="L568" s="491" t="s">
        <v>29</v>
      </c>
      <c r="M568" s="491" t="s">
        <v>29</v>
      </c>
      <c r="N568" s="491" t="s">
        <v>29</v>
      </c>
      <c r="O568" s="491" t="s">
        <v>29</v>
      </c>
      <c r="P568" s="491">
        <v>0</v>
      </c>
      <c r="Q568" s="491">
        <v>0</v>
      </c>
      <c r="R568" s="491">
        <v>0</v>
      </c>
      <c r="S568" s="491">
        <v>0</v>
      </c>
      <c r="T568" s="1025" t="b">
        <v>0</v>
      </c>
      <c r="U568" s="491">
        <v>3.26</v>
      </c>
      <c r="V568" s="491">
        <v>0</v>
      </c>
      <c r="W568" s="491">
        <v>0</v>
      </c>
      <c r="X568" s="491">
        <v>0</v>
      </c>
      <c r="Y568" s="1025" t="b">
        <v>0</v>
      </c>
      <c r="Z568" s="331">
        <v>0</v>
      </c>
      <c r="AA568" s="331">
        <v>0</v>
      </c>
      <c r="AB568" s="331">
        <v>0</v>
      </c>
      <c r="AC568" s="331">
        <v>0</v>
      </c>
      <c r="AD568" s="1025" t="b">
        <v>0</v>
      </c>
      <c r="AE568" s="331">
        <v>0.5</v>
      </c>
      <c r="AF568" s="331">
        <v>0</v>
      </c>
      <c r="AG568" s="331">
        <v>0</v>
      </c>
      <c r="AH568" s="331">
        <v>0</v>
      </c>
      <c r="AI568" s="1025" t="b">
        <v>0</v>
      </c>
      <c r="AJ568" s="331">
        <v>0</v>
      </c>
      <c r="AK568" s="331">
        <v>0</v>
      </c>
      <c r="AL568" s="331">
        <v>0</v>
      </c>
      <c r="AM568" s="331">
        <v>0</v>
      </c>
      <c r="AN568" s="1025" t="b">
        <v>0</v>
      </c>
      <c r="AO568" s="331">
        <v>0</v>
      </c>
      <c r="AP568" s="331">
        <v>0</v>
      </c>
      <c r="AQ568" s="331">
        <v>0</v>
      </c>
      <c r="AR568" s="331">
        <v>0</v>
      </c>
      <c r="AS568" s="1025" t="b">
        <v>0</v>
      </c>
      <c r="AT568" s="1025" t="b">
        <v>1</v>
      </c>
      <c r="AU568" s="331">
        <v>46421</v>
      </c>
      <c r="AV568" s="491" t="s">
        <v>29</v>
      </c>
    </row>
    <row r="569" spans="1:48">
      <c r="A569" s="72">
        <v>39</v>
      </c>
      <c r="B569" s="391" t="s">
        <v>112</v>
      </c>
      <c r="C569" s="72">
        <f t="shared" si="24"/>
        <v>9</v>
      </c>
      <c r="D569" s="72" t="str">
        <f t="shared" si="25"/>
        <v>39-9</v>
      </c>
      <c r="E569" s="72">
        <v>68650</v>
      </c>
      <c r="F569" s="72" t="str">
        <f t="shared" si="26"/>
        <v>39-68650</v>
      </c>
      <c r="G569" s="391" t="s">
        <v>1063</v>
      </c>
      <c r="H569" s="331">
        <v>10833.81</v>
      </c>
      <c r="I569" s="331">
        <v>9961.23</v>
      </c>
      <c r="J569" s="331">
        <v>10256.73</v>
      </c>
      <c r="K569" s="331">
        <v>12195.66</v>
      </c>
      <c r="L569" s="491" t="s">
        <v>29</v>
      </c>
      <c r="M569" s="491" t="s">
        <v>29</v>
      </c>
      <c r="N569" s="491" t="s">
        <v>29</v>
      </c>
      <c r="O569" s="491" t="s">
        <v>29</v>
      </c>
      <c r="P569" s="491">
        <v>0</v>
      </c>
      <c r="Q569" s="491">
        <v>0</v>
      </c>
      <c r="R569" s="491">
        <v>0</v>
      </c>
      <c r="S569" s="491">
        <v>2.87</v>
      </c>
      <c r="T569" s="1025" t="b">
        <v>0</v>
      </c>
      <c r="U569" s="491">
        <v>16.32</v>
      </c>
      <c r="V569" s="491">
        <v>5.4</v>
      </c>
      <c r="W569" s="491">
        <v>4.1399999999999997</v>
      </c>
      <c r="X569" s="491">
        <v>10.47</v>
      </c>
      <c r="Y569" s="1025" t="b">
        <v>0</v>
      </c>
      <c r="Z569" s="331">
        <v>0</v>
      </c>
      <c r="AA569" s="331">
        <v>0</v>
      </c>
      <c r="AB569" s="331">
        <v>0</v>
      </c>
      <c r="AC569" s="331">
        <v>0</v>
      </c>
      <c r="AD569" s="1025" t="b">
        <v>0</v>
      </c>
      <c r="AE569" s="331">
        <v>0.89</v>
      </c>
      <c r="AF569" s="331">
        <v>0.43</v>
      </c>
      <c r="AG569" s="331">
        <v>0.3</v>
      </c>
      <c r="AH569" s="331">
        <v>0.79</v>
      </c>
      <c r="AI569" s="1025" t="b">
        <v>0</v>
      </c>
      <c r="AJ569" s="331">
        <v>0</v>
      </c>
      <c r="AK569" s="331">
        <v>0</v>
      </c>
      <c r="AL569" s="331">
        <v>0</v>
      </c>
      <c r="AM569" s="331">
        <v>0</v>
      </c>
      <c r="AN569" s="1025" t="b">
        <v>0</v>
      </c>
      <c r="AO569" s="331">
        <v>0</v>
      </c>
      <c r="AP569" s="331">
        <v>0</v>
      </c>
      <c r="AQ569" s="331">
        <v>0</v>
      </c>
      <c r="AR569" s="331">
        <v>0</v>
      </c>
      <c r="AS569" s="1025" t="b">
        <v>0</v>
      </c>
      <c r="AT569" s="1025" t="b">
        <v>0</v>
      </c>
      <c r="AU569" s="331">
        <v>462389</v>
      </c>
      <c r="AV569" s="491" t="s">
        <v>29</v>
      </c>
    </row>
    <row r="570" spans="1:48">
      <c r="A570" s="72">
        <v>39</v>
      </c>
      <c r="B570" s="391" t="s">
        <v>112</v>
      </c>
      <c r="C570" s="72">
        <f t="shared" si="24"/>
        <v>10</v>
      </c>
      <c r="D570" s="72" t="str">
        <f t="shared" si="25"/>
        <v>39-10</v>
      </c>
      <c r="E570" s="72">
        <v>68676</v>
      </c>
      <c r="F570" s="72" t="str">
        <f t="shared" si="26"/>
        <v>39-68676</v>
      </c>
      <c r="G570" s="391" t="s">
        <v>1064</v>
      </c>
      <c r="H570" s="331">
        <v>13637.83</v>
      </c>
      <c r="I570" s="331">
        <v>12539.42</v>
      </c>
      <c r="J570" s="331">
        <v>12911.4</v>
      </c>
      <c r="K570" s="331">
        <v>15352.16</v>
      </c>
      <c r="L570" s="491" t="s">
        <v>29</v>
      </c>
      <c r="M570" s="491" t="s">
        <v>29</v>
      </c>
      <c r="N570" s="491" t="s">
        <v>29</v>
      </c>
      <c r="O570" s="491" t="s">
        <v>29</v>
      </c>
      <c r="P570" s="491">
        <v>0</v>
      </c>
      <c r="Q570" s="491">
        <v>0.54</v>
      </c>
      <c r="R570" s="491">
        <v>2.83</v>
      </c>
      <c r="S570" s="491">
        <v>49.49</v>
      </c>
      <c r="T570" s="1025" t="b">
        <v>0</v>
      </c>
      <c r="U570" s="491">
        <v>0</v>
      </c>
      <c r="V570" s="491">
        <v>0</v>
      </c>
      <c r="W570" s="491">
        <v>0</v>
      </c>
      <c r="X570" s="491">
        <v>0</v>
      </c>
      <c r="Y570" s="1025" t="b">
        <v>0</v>
      </c>
      <c r="Z570" s="331">
        <v>0</v>
      </c>
      <c r="AA570" s="331">
        <v>0</v>
      </c>
      <c r="AB570" s="331">
        <v>0</v>
      </c>
      <c r="AC570" s="331">
        <v>0</v>
      </c>
      <c r="AD570" s="1025" t="b">
        <v>0</v>
      </c>
      <c r="AE570" s="331">
        <v>0</v>
      </c>
      <c r="AF570" s="331">
        <v>0</v>
      </c>
      <c r="AG570" s="331">
        <v>0</v>
      </c>
      <c r="AH570" s="331">
        <v>0</v>
      </c>
      <c r="AI570" s="1025" t="b">
        <v>0</v>
      </c>
      <c r="AJ570" s="331">
        <v>0</v>
      </c>
      <c r="AK570" s="331">
        <v>0</v>
      </c>
      <c r="AL570" s="331">
        <v>0</v>
      </c>
      <c r="AM570" s="331">
        <v>0</v>
      </c>
      <c r="AN570" s="1025" t="b">
        <v>0</v>
      </c>
      <c r="AO570" s="331">
        <v>0</v>
      </c>
      <c r="AP570" s="331">
        <v>0</v>
      </c>
      <c r="AQ570" s="331">
        <v>0</v>
      </c>
      <c r="AR570" s="331">
        <v>0</v>
      </c>
      <c r="AS570" s="1025" t="b">
        <v>0</v>
      </c>
      <c r="AT570" s="1025" t="b">
        <v>0</v>
      </c>
      <c r="AU570" s="331">
        <v>803088</v>
      </c>
      <c r="AV570" s="491" t="s">
        <v>29</v>
      </c>
    </row>
    <row r="571" spans="1:48">
      <c r="A571" s="72">
        <v>39</v>
      </c>
      <c r="B571" s="391" t="s">
        <v>112</v>
      </c>
      <c r="C571" s="72">
        <f t="shared" si="24"/>
        <v>11</v>
      </c>
      <c r="D571" s="72" t="str">
        <f t="shared" si="25"/>
        <v>39-11</v>
      </c>
      <c r="E571" s="72">
        <v>75499</v>
      </c>
      <c r="F571" s="72" t="str">
        <f t="shared" si="26"/>
        <v>39-75499</v>
      </c>
      <c r="G571" s="391" t="s">
        <v>1065</v>
      </c>
      <c r="H571" s="331">
        <v>11675.91</v>
      </c>
      <c r="I571" s="331">
        <v>10735.51</v>
      </c>
      <c r="J571" s="331">
        <v>11053.98</v>
      </c>
      <c r="K571" s="331">
        <v>13143.62</v>
      </c>
      <c r="L571" s="491" t="s">
        <v>29</v>
      </c>
      <c r="M571" s="491" t="s">
        <v>29</v>
      </c>
      <c r="N571" s="491" t="s">
        <v>29</v>
      </c>
      <c r="O571" s="491" t="s">
        <v>29</v>
      </c>
      <c r="P571" s="491">
        <v>0</v>
      </c>
      <c r="Q571" s="491">
        <v>1.3</v>
      </c>
      <c r="R571" s="491">
        <v>1.19</v>
      </c>
      <c r="S571" s="491">
        <v>5.71</v>
      </c>
      <c r="T571" s="1025" t="b">
        <v>0</v>
      </c>
      <c r="U571" s="491">
        <v>70.2</v>
      </c>
      <c r="V571" s="491">
        <v>35.25</v>
      </c>
      <c r="W571" s="491">
        <v>14.43</v>
      </c>
      <c r="X571" s="491">
        <v>36</v>
      </c>
      <c r="Y571" s="1025" t="b">
        <v>0</v>
      </c>
      <c r="Z571" s="331">
        <v>0</v>
      </c>
      <c r="AA571" s="331">
        <v>0</v>
      </c>
      <c r="AB571" s="331">
        <v>0</v>
      </c>
      <c r="AC571" s="331">
        <v>0</v>
      </c>
      <c r="AD571" s="1025" t="b">
        <v>0</v>
      </c>
      <c r="AE571" s="331">
        <v>5.64</v>
      </c>
      <c r="AF571" s="331">
        <v>2.95</v>
      </c>
      <c r="AG571" s="331">
        <v>0.93</v>
      </c>
      <c r="AH571" s="331">
        <v>2.34</v>
      </c>
      <c r="AI571" s="1025" t="b">
        <v>0</v>
      </c>
      <c r="AJ571" s="331">
        <v>0</v>
      </c>
      <c r="AK571" s="331">
        <v>0</v>
      </c>
      <c r="AL571" s="331">
        <v>0</v>
      </c>
      <c r="AM571" s="331">
        <v>0</v>
      </c>
      <c r="AN571" s="1025" t="b">
        <v>0</v>
      </c>
      <c r="AO571" s="331">
        <v>0</v>
      </c>
      <c r="AP571" s="331">
        <v>0</v>
      </c>
      <c r="AQ571" s="331">
        <v>0</v>
      </c>
      <c r="AR571" s="331">
        <v>0</v>
      </c>
      <c r="AS571" s="1025" t="b">
        <v>0</v>
      </c>
      <c r="AT571" s="1025" t="b">
        <v>0</v>
      </c>
      <c r="AU571" s="331">
        <v>2071473</v>
      </c>
      <c r="AV571" s="491" t="s">
        <v>29</v>
      </c>
    </row>
    <row r="572" spans="1:48">
      <c r="A572" s="72">
        <v>39</v>
      </c>
      <c r="B572" s="391" t="s">
        <v>112</v>
      </c>
      <c r="C572" s="72">
        <f t="shared" si="24"/>
        <v>12</v>
      </c>
      <c r="D572" s="72" t="str">
        <f t="shared" si="25"/>
        <v>39-12</v>
      </c>
      <c r="E572" s="72">
        <v>76760</v>
      </c>
      <c r="F572" s="72" t="str">
        <f t="shared" si="26"/>
        <v>39-76760</v>
      </c>
      <c r="G572" s="391" t="s">
        <v>1066</v>
      </c>
      <c r="H572" s="331">
        <v>10566.46</v>
      </c>
      <c r="I572" s="331">
        <v>9715.42</v>
      </c>
      <c r="J572" s="331">
        <v>10003.629999999999</v>
      </c>
      <c r="K572" s="331">
        <v>11894.71</v>
      </c>
      <c r="L572" s="491" t="s">
        <v>29</v>
      </c>
      <c r="M572" s="491" t="s">
        <v>29</v>
      </c>
      <c r="N572" s="491" t="s">
        <v>29</v>
      </c>
      <c r="O572" s="491" t="s">
        <v>29</v>
      </c>
      <c r="P572" s="491">
        <v>0</v>
      </c>
      <c r="Q572" s="491">
        <v>0</v>
      </c>
      <c r="R572" s="491">
        <v>0</v>
      </c>
      <c r="S572" s="491">
        <v>0</v>
      </c>
      <c r="T572" s="1025" t="b">
        <v>0</v>
      </c>
      <c r="U572" s="491">
        <v>16.850000000000001</v>
      </c>
      <c r="V572" s="491">
        <v>13.84</v>
      </c>
      <c r="W572" s="491">
        <v>2.14</v>
      </c>
      <c r="X572" s="491">
        <v>18.63</v>
      </c>
      <c r="Y572" s="1025" t="b">
        <v>0</v>
      </c>
      <c r="Z572" s="331">
        <v>0</v>
      </c>
      <c r="AA572" s="331">
        <v>0</v>
      </c>
      <c r="AB572" s="331">
        <v>0</v>
      </c>
      <c r="AC572" s="331">
        <v>0</v>
      </c>
      <c r="AD572" s="1025" t="b">
        <v>0</v>
      </c>
      <c r="AE572" s="331">
        <v>1.7</v>
      </c>
      <c r="AF572" s="331">
        <v>0.48</v>
      </c>
      <c r="AG572" s="331">
        <v>0.39</v>
      </c>
      <c r="AH572" s="331">
        <v>1.01</v>
      </c>
      <c r="AI572" s="1025" t="b">
        <v>0</v>
      </c>
      <c r="AJ572" s="331">
        <v>0</v>
      </c>
      <c r="AK572" s="331">
        <v>0</v>
      </c>
      <c r="AL572" s="331">
        <v>0</v>
      </c>
      <c r="AM572" s="331">
        <v>0</v>
      </c>
      <c r="AN572" s="1025" t="b">
        <v>0</v>
      </c>
      <c r="AO572" s="331">
        <v>0</v>
      </c>
      <c r="AP572" s="331">
        <v>0</v>
      </c>
      <c r="AQ572" s="331">
        <v>0</v>
      </c>
      <c r="AR572" s="331">
        <v>0</v>
      </c>
      <c r="AS572" s="1025" t="b">
        <v>0</v>
      </c>
      <c r="AT572" s="1025" t="b">
        <v>1</v>
      </c>
      <c r="AU572" s="331">
        <v>594054</v>
      </c>
      <c r="AV572" s="491" t="s">
        <v>29</v>
      </c>
    </row>
    <row r="573" spans="1:48">
      <c r="A573" s="72">
        <v>39</v>
      </c>
      <c r="B573" s="391" t="s">
        <v>112</v>
      </c>
      <c r="C573" s="72">
        <f t="shared" si="24"/>
        <v>13</v>
      </c>
      <c r="D573" s="72" t="str">
        <f t="shared" si="25"/>
        <v>39-13</v>
      </c>
      <c r="E573" s="72">
        <v>77388</v>
      </c>
      <c r="F573" s="72" t="str">
        <f t="shared" si="26"/>
        <v>39-77388</v>
      </c>
      <c r="G573" s="391" t="s">
        <v>1652</v>
      </c>
      <c r="H573" s="331">
        <v>13278.3</v>
      </c>
      <c r="I573" s="331">
        <v>12208.85</v>
      </c>
      <c r="J573" s="331">
        <v>12571.02</v>
      </c>
      <c r="K573" s="331">
        <v>14947.44</v>
      </c>
      <c r="L573" s="491" t="s">
        <v>29</v>
      </c>
      <c r="M573" s="491" t="s">
        <v>29</v>
      </c>
      <c r="N573" s="491" t="s">
        <v>29</v>
      </c>
      <c r="O573" s="491" t="s">
        <v>29</v>
      </c>
      <c r="P573" s="491">
        <v>0</v>
      </c>
      <c r="Q573" s="491">
        <v>0</v>
      </c>
      <c r="R573" s="491">
        <v>0</v>
      </c>
      <c r="S573" s="491">
        <v>0.51</v>
      </c>
      <c r="T573" s="1025" t="b">
        <v>0</v>
      </c>
      <c r="U573" s="491">
        <v>10.17</v>
      </c>
      <c r="V573" s="491">
        <v>3.4</v>
      </c>
      <c r="W573" s="491">
        <v>1.1200000000000001</v>
      </c>
      <c r="X573" s="491">
        <v>0</v>
      </c>
      <c r="Y573" s="1025" t="b">
        <v>0</v>
      </c>
      <c r="Z573" s="331">
        <v>0</v>
      </c>
      <c r="AA573" s="331">
        <v>0</v>
      </c>
      <c r="AB573" s="331">
        <v>0</v>
      </c>
      <c r="AC573" s="331">
        <v>0</v>
      </c>
      <c r="AD573" s="1025" t="b">
        <v>0</v>
      </c>
      <c r="AE573" s="331">
        <v>0.84</v>
      </c>
      <c r="AF573" s="331">
        <v>0.37</v>
      </c>
      <c r="AG573" s="331">
        <v>0.12</v>
      </c>
      <c r="AH573" s="331">
        <v>0.12</v>
      </c>
      <c r="AI573" s="1025" t="b">
        <v>0</v>
      </c>
      <c r="AJ573" s="331">
        <v>0</v>
      </c>
      <c r="AK573" s="331">
        <v>0</v>
      </c>
      <c r="AL573" s="331">
        <v>0</v>
      </c>
      <c r="AM573" s="331">
        <v>0</v>
      </c>
      <c r="AN573" s="1025" t="b">
        <v>0</v>
      </c>
      <c r="AO573" s="331">
        <v>0</v>
      </c>
      <c r="AP573" s="331">
        <v>0</v>
      </c>
      <c r="AQ573" s="331">
        <v>0</v>
      </c>
      <c r="AR573" s="331">
        <v>0</v>
      </c>
      <c r="AS573" s="1025" t="b">
        <v>0</v>
      </c>
      <c r="AT573" s="1025" t="b">
        <v>0</v>
      </c>
      <c r="AU573" s="331">
        <v>217226</v>
      </c>
      <c r="AV573" s="491" t="s">
        <v>29</v>
      </c>
    </row>
    <row r="574" spans="1:48">
      <c r="A574" s="72">
        <v>39</v>
      </c>
      <c r="B574" s="391" t="s">
        <v>112</v>
      </c>
      <c r="C574" s="72">
        <f t="shared" si="24"/>
        <v>14</v>
      </c>
      <c r="D574" s="72" t="str">
        <f t="shared" si="25"/>
        <v>39-14</v>
      </c>
      <c r="E574" s="72">
        <v>72389</v>
      </c>
      <c r="F574" s="72" t="str">
        <f t="shared" si="26"/>
        <v>39-72389</v>
      </c>
      <c r="G574" s="391" t="s">
        <v>1250</v>
      </c>
      <c r="H574" s="331">
        <v>10892.9</v>
      </c>
      <c r="I574" s="331">
        <v>10015.57</v>
      </c>
      <c r="J574" s="331">
        <v>10312.68</v>
      </c>
      <c r="K574" s="331">
        <v>12262.18</v>
      </c>
      <c r="L574" s="491" t="s">
        <v>29</v>
      </c>
      <c r="M574" s="491" t="s">
        <v>29</v>
      </c>
      <c r="N574" s="491" t="s">
        <v>29</v>
      </c>
      <c r="O574" s="491" t="s">
        <v>29</v>
      </c>
      <c r="P574" s="491">
        <v>0</v>
      </c>
      <c r="Q574" s="491">
        <v>0</v>
      </c>
      <c r="R574" s="491">
        <v>0</v>
      </c>
      <c r="S574" s="491">
        <v>0</v>
      </c>
      <c r="T574" s="1025" t="b">
        <v>0</v>
      </c>
      <c r="U574" s="491">
        <v>0</v>
      </c>
      <c r="V574" s="491">
        <v>0</v>
      </c>
      <c r="W574" s="491">
        <v>0</v>
      </c>
      <c r="X574" s="491">
        <v>0.61</v>
      </c>
      <c r="Y574" s="1025" t="b">
        <v>0</v>
      </c>
      <c r="Z574" s="331">
        <v>0</v>
      </c>
      <c r="AA574" s="331">
        <v>0</v>
      </c>
      <c r="AB574" s="331">
        <v>0</v>
      </c>
      <c r="AC574" s="331">
        <v>0</v>
      </c>
      <c r="AD574" s="1025" t="b">
        <v>0</v>
      </c>
      <c r="AE574" s="331">
        <v>0</v>
      </c>
      <c r="AF574" s="331">
        <v>0</v>
      </c>
      <c r="AG574" s="331">
        <v>0</v>
      </c>
      <c r="AH574" s="331">
        <v>0</v>
      </c>
      <c r="AI574" s="1025" t="b">
        <v>0</v>
      </c>
      <c r="AJ574" s="331">
        <v>0</v>
      </c>
      <c r="AK574" s="331">
        <v>0</v>
      </c>
      <c r="AL574" s="331">
        <v>0</v>
      </c>
      <c r="AM574" s="331">
        <v>0</v>
      </c>
      <c r="AN574" s="1025" t="b">
        <v>0</v>
      </c>
      <c r="AO574" s="331">
        <v>0</v>
      </c>
      <c r="AP574" s="331">
        <v>0</v>
      </c>
      <c r="AQ574" s="331">
        <v>0</v>
      </c>
      <c r="AR574" s="331">
        <v>0</v>
      </c>
      <c r="AS574" s="1025" t="b">
        <v>0</v>
      </c>
      <c r="AT574" s="1025" t="b">
        <v>0</v>
      </c>
      <c r="AU574" s="331">
        <v>7480</v>
      </c>
      <c r="AV574" s="491" t="s">
        <v>29</v>
      </c>
    </row>
    <row r="575" spans="1:48">
      <c r="A575" s="72">
        <v>39</v>
      </c>
      <c r="B575" s="391" t="s">
        <v>112</v>
      </c>
      <c r="C575" s="72">
        <f t="shared" si="24"/>
        <v>0</v>
      </c>
      <c r="D575" s="72" t="str">
        <f t="shared" si="25"/>
        <v>39-0</v>
      </c>
      <c r="E575" s="72" t="s">
        <v>29</v>
      </c>
      <c r="F575" s="72" t="str">
        <f t="shared" si="26"/>
        <v>39-N/A</v>
      </c>
      <c r="G575" s="391" t="s">
        <v>29</v>
      </c>
      <c r="H575" s="491" t="s">
        <v>29</v>
      </c>
      <c r="I575" s="491" t="s">
        <v>29</v>
      </c>
      <c r="J575" s="491" t="s">
        <v>29</v>
      </c>
      <c r="K575" s="491" t="s">
        <v>29</v>
      </c>
      <c r="L575" s="491" t="s">
        <v>29</v>
      </c>
      <c r="M575" s="491" t="s">
        <v>29</v>
      </c>
      <c r="N575" s="491" t="s">
        <v>29</v>
      </c>
      <c r="O575" s="491" t="s">
        <v>29</v>
      </c>
      <c r="P575" s="491" t="s">
        <v>29</v>
      </c>
      <c r="Q575" s="491" t="s">
        <v>29</v>
      </c>
      <c r="R575" s="491" t="s">
        <v>29</v>
      </c>
      <c r="S575" s="491" t="s">
        <v>29</v>
      </c>
      <c r="T575" s="1025" t="s">
        <v>29</v>
      </c>
      <c r="U575" s="491" t="s">
        <v>29</v>
      </c>
      <c r="V575" s="491" t="s">
        <v>29</v>
      </c>
      <c r="W575" s="491" t="s">
        <v>29</v>
      </c>
      <c r="X575" s="491" t="s">
        <v>29</v>
      </c>
      <c r="Y575" s="1025" t="s">
        <v>29</v>
      </c>
      <c r="Z575" s="491" t="s">
        <v>29</v>
      </c>
      <c r="AA575" s="491" t="s">
        <v>29</v>
      </c>
      <c r="AB575" s="491" t="s">
        <v>29</v>
      </c>
      <c r="AC575" s="491" t="s">
        <v>29</v>
      </c>
      <c r="AD575" s="1025" t="s">
        <v>29</v>
      </c>
      <c r="AE575" s="491" t="s">
        <v>29</v>
      </c>
      <c r="AF575" s="491" t="s">
        <v>29</v>
      </c>
      <c r="AG575" s="491" t="s">
        <v>29</v>
      </c>
      <c r="AH575" s="491" t="s">
        <v>29</v>
      </c>
      <c r="AI575" s="1025" t="s">
        <v>29</v>
      </c>
      <c r="AJ575" s="491" t="s">
        <v>29</v>
      </c>
      <c r="AK575" s="491" t="s">
        <v>29</v>
      </c>
      <c r="AL575" s="491" t="s">
        <v>29</v>
      </c>
      <c r="AM575" s="491" t="s">
        <v>29</v>
      </c>
      <c r="AN575" s="1025" t="s">
        <v>29</v>
      </c>
      <c r="AO575" s="491" t="s">
        <v>29</v>
      </c>
      <c r="AP575" s="491" t="s">
        <v>29</v>
      </c>
      <c r="AQ575" s="491" t="s">
        <v>29</v>
      </c>
      <c r="AR575" s="491" t="s">
        <v>29</v>
      </c>
      <c r="AS575" s="1025" t="s">
        <v>29</v>
      </c>
      <c r="AT575" s="1025" t="s">
        <v>29</v>
      </c>
      <c r="AU575" s="491" t="s">
        <v>29</v>
      </c>
      <c r="AV575" s="491">
        <v>11181758</v>
      </c>
    </row>
    <row r="576" spans="1:48">
      <c r="A576" s="72">
        <v>40</v>
      </c>
      <c r="B576" s="391" t="s">
        <v>113</v>
      </c>
      <c r="C576" s="72">
        <f t="shared" si="24"/>
        <v>1</v>
      </c>
      <c r="D576" s="72" t="str">
        <f t="shared" si="25"/>
        <v>40-1</v>
      </c>
      <c r="E576" s="72">
        <v>68700</v>
      </c>
      <c r="F576" s="72" t="str">
        <f t="shared" si="26"/>
        <v>40-68700</v>
      </c>
      <c r="G576" s="391" t="s">
        <v>1067</v>
      </c>
      <c r="H576" s="331">
        <v>10995.31</v>
      </c>
      <c r="I576" s="331">
        <v>10109.73</v>
      </c>
      <c r="J576" s="331">
        <v>10409.629999999999</v>
      </c>
      <c r="K576" s="331">
        <v>12377.46</v>
      </c>
      <c r="L576" s="1072">
        <v>0</v>
      </c>
      <c r="M576" s="1072">
        <v>0</v>
      </c>
      <c r="N576" s="1072">
        <v>0</v>
      </c>
      <c r="O576" s="1072">
        <v>0</v>
      </c>
      <c r="P576" s="491">
        <v>0</v>
      </c>
      <c r="Q576" s="491">
        <v>0</v>
      </c>
      <c r="R576" s="491">
        <v>0</v>
      </c>
      <c r="S576" s="491">
        <v>0</v>
      </c>
      <c r="T576" s="1025" t="b">
        <v>0</v>
      </c>
      <c r="U576" s="491">
        <v>0</v>
      </c>
      <c r="V576" s="491">
        <v>0.91</v>
      </c>
      <c r="W576" s="491">
        <v>1.5</v>
      </c>
      <c r="X576" s="491">
        <v>0.12</v>
      </c>
      <c r="Y576" s="1025" t="b">
        <v>1</v>
      </c>
      <c r="Z576" s="331">
        <v>0</v>
      </c>
      <c r="AA576" s="331">
        <v>0</v>
      </c>
      <c r="AB576" s="331">
        <v>0</v>
      </c>
      <c r="AC576" s="331">
        <v>0</v>
      </c>
      <c r="AD576" s="1025" t="b">
        <v>0</v>
      </c>
      <c r="AE576" s="331">
        <v>0</v>
      </c>
      <c r="AF576" s="331">
        <v>0.27</v>
      </c>
      <c r="AG576" s="331">
        <v>0</v>
      </c>
      <c r="AH576" s="331">
        <v>0</v>
      </c>
      <c r="AI576" s="1025" t="b">
        <v>1</v>
      </c>
      <c r="AJ576" s="331">
        <v>0</v>
      </c>
      <c r="AK576" s="331">
        <v>0</v>
      </c>
      <c r="AL576" s="331">
        <v>0</v>
      </c>
      <c r="AM576" s="331">
        <v>0</v>
      </c>
      <c r="AN576" s="1025" t="b">
        <v>0</v>
      </c>
      <c r="AO576" s="331">
        <v>0</v>
      </c>
      <c r="AP576" s="331">
        <v>0</v>
      </c>
      <c r="AQ576" s="331">
        <v>0</v>
      </c>
      <c r="AR576" s="331">
        <v>0</v>
      </c>
      <c r="AS576" s="1025" t="b">
        <v>0</v>
      </c>
      <c r="AT576" s="1025" t="b">
        <v>1</v>
      </c>
      <c r="AU576" s="331">
        <v>0</v>
      </c>
      <c r="AV576" s="491" t="s">
        <v>29</v>
      </c>
    </row>
    <row r="577" spans="1:48">
      <c r="A577" s="72">
        <v>40</v>
      </c>
      <c r="B577" s="391" t="s">
        <v>113</v>
      </c>
      <c r="C577" s="72">
        <f t="shared" si="24"/>
        <v>2</v>
      </c>
      <c r="D577" s="72" t="str">
        <f t="shared" si="25"/>
        <v>40-2</v>
      </c>
      <c r="E577" s="72">
        <v>68726</v>
      </c>
      <c r="F577" s="72" t="str">
        <f t="shared" si="26"/>
        <v>40-68726</v>
      </c>
      <c r="G577" s="391" t="s">
        <v>1068</v>
      </c>
      <c r="H577" s="331">
        <v>10901.4</v>
      </c>
      <c r="I577" s="331">
        <v>10023.39</v>
      </c>
      <c r="J577" s="331">
        <v>10320.73</v>
      </c>
      <c r="K577" s="331">
        <v>12271.75</v>
      </c>
      <c r="L577" s="491" t="s">
        <v>29</v>
      </c>
      <c r="M577" s="491" t="s">
        <v>29</v>
      </c>
      <c r="N577" s="491" t="s">
        <v>29</v>
      </c>
      <c r="O577" s="491" t="s">
        <v>29</v>
      </c>
      <c r="P577" s="491">
        <v>0</v>
      </c>
      <c r="Q577" s="491">
        <v>0</v>
      </c>
      <c r="R577" s="491">
        <v>0</v>
      </c>
      <c r="S577" s="491">
        <v>0</v>
      </c>
      <c r="T577" s="1025" t="b">
        <v>0</v>
      </c>
      <c r="U577" s="491">
        <v>0</v>
      </c>
      <c r="V577" s="491">
        <v>0</v>
      </c>
      <c r="W577" s="491">
        <v>0</v>
      </c>
      <c r="X577" s="491">
        <v>0</v>
      </c>
      <c r="Y577" s="1025" t="b">
        <v>0</v>
      </c>
      <c r="Z577" s="331">
        <v>0</v>
      </c>
      <c r="AA577" s="331">
        <v>0</v>
      </c>
      <c r="AB577" s="331">
        <v>0</v>
      </c>
      <c r="AC577" s="331">
        <v>0</v>
      </c>
      <c r="AD577" s="1025" t="b">
        <v>0</v>
      </c>
      <c r="AE577" s="331">
        <v>0</v>
      </c>
      <c r="AF577" s="331">
        <v>0</v>
      </c>
      <c r="AG577" s="331">
        <v>0</v>
      </c>
      <c r="AH577" s="331">
        <v>0</v>
      </c>
      <c r="AI577" s="1025" t="b">
        <v>0</v>
      </c>
      <c r="AJ577" s="331">
        <v>0</v>
      </c>
      <c r="AK577" s="331">
        <v>0</v>
      </c>
      <c r="AL577" s="331">
        <v>0</v>
      </c>
      <c r="AM577" s="331">
        <v>0</v>
      </c>
      <c r="AN577" s="1025" t="b">
        <v>0</v>
      </c>
      <c r="AO577" s="331">
        <v>0</v>
      </c>
      <c r="AP577" s="331">
        <v>0</v>
      </c>
      <c r="AQ577" s="331">
        <v>0</v>
      </c>
      <c r="AR577" s="331">
        <v>0</v>
      </c>
      <c r="AS577" s="1025" t="b">
        <v>0</v>
      </c>
      <c r="AT577" s="1025" t="b">
        <v>1</v>
      </c>
      <c r="AU577" s="331">
        <v>0</v>
      </c>
      <c r="AV577" s="491" t="s">
        <v>29</v>
      </c>
    </row>
    <row r="578" spans="1:48">
      <c r="A578" s="72">
        <v>40</v>
      </c>
      <c r="B578" s="391" t="s">
        <v>113</v>
      </c>
      <c r="C578" s="72">
        <f t="shared" si="24"/>
        <v>3</v>
      </c>
      <c r="D578" s="72" t="str">
        <f t="shared" si="25"/>
        <v>40-3</v>
      </c>
      <c r="E578" s="72">
        <v>68759</v>
      </c>
      <c r="F578" s="72" t="str">
        <f t="shared" si="26"/>
        <v>40-68759</v>
      </c>
      <c r="G578" s="391" t="s">
        <v>1069</v>
      </c>
      <c r="H578" s="331">
        <v>11707.73</v>
      </c>
      <c r="I578" s="331">
        <v>10764.77</v>
      </c>
      <c r="J578" s="331">
        <v>11084.11</v>
      </c>
      <c r="K578" s="331">
        <v>13179.44</v>
      </c>
      <c r="L578" s="1072">
        <v>0</v>
      </c>
      <c r="M578" s="1072">
        <v>0</v>
      </c>
      <c r="N578" s="1072">
        <v>0</v>
      </c>
      <c r="O578" s="1072">
        <v>0</v>
      </c>
      <c r="P578" s="491">
        <v>0</v>
      </c>
      <c r="Q578" s="491">
        <v>0</v>
      </c>
      <c r="R578" s="491">
        <v>0</v>
      </c>
      <c r="S578" s="491">
        <v>0</v>
      </c>
      <c r="T578" s="1025" t="b">
        <v>0</v>
      </c>
      <c r="U578" s="491">
        <v>0.96</v>
      </c>
      <c r="V578" s="491">
        <v>0</v>
      </c>
      <c r="W578" s="491">
        <v>2.5499999999999998</v>
      </c>
      <c r="X578" s="491">
        <v>0</v>
      </c>
      <c r="Y578" s="1025" t="b">
        <v>1</v>
      </c>
      <c r="Z578" s="331">
        <v>0</v>
      </c>
      <c r="AA578" s="331">
        <v>0</v>
      </c>
      <c r="AB578" s="331">
        <v>0</v>
      </c>
      <c r="AC578" s="331">
        <v>0</v>
      </c>
      <c r="AD578" s="1025" t="b">
        <v>0</v>
      </c>
      <c r="AE578" s="331">
        <v>0.11</v>
      </c>
      <c r="AF578" s="331">
        <v>0.18</v>
      </c>
      <c r="AG578" s="331">
        <v>0</v>
      </c>
      <c r="AH578" s="331">
        <v>0</v>
      </c>
      <c r="AI578" s="1025" t="b">
        <v>1</v>
      </c>
      <c r="AJ578" s="331">
        <v>0</v>
      </c>
      <c r="AK578" s="331">
        <v>0</v>
      </c>
      <c r="AL578" s="331">
        <v>0</v>
      </c>
      <c r="AM578" s="331">
        <v>0</v>
      </c>
      <c r="AN578" s="1025" t="b">
        <v>0</v>
      </c>
      <c r="AO578" s="331">
        <v>0</v>
      </c>
      <c r="AP578" s="331">
        <v>0</v>
      </c>
      <c r="AQ578" s="331">
        <v>0</v>
      </c>
      <c r="AR578" s="331">
        <v>0</v>
      </c>
      <c r="AS578" s="1025" t="b">
        <v>0</v>
      </c>
      <c r="AT578" s="1025" t="b">
        <v>1</v>
      </c>
      <c r="AU578" s="331">
        <v>0</v>
      </c>
      <c r="AV578" s="491" t="s">
        <v>29</v>
      </c>
    </row>
    <row r="579" spans="1:48" ht="26.4">
      <c r="A579" s="72">
        <v>40</v>
      </c>
      <c r="B579" s="391" t="s">
        <v>113</v>
      </c>
      <c r="C579" s="72">
        <f t="shared" si="24"/>
        <v>4</v>
      </c>
      <c r="D579" s="72" t="str">
        <f t="shared" si="25"/>
        <v>40-4</v>
      </c>
      <c r="E579" s="72">
        <v>68791</v>
      </c>
      <c r="F579" s="72" t="str">
        <f t="shared" si="26"/>
        <v>40-68791</v>
      </c>
      <c r="G579" s="391" t="s">
        <v>1070</v>
      </c>
      <c r="H579" s="331">
        <v>10846.15</v>
      </c>
      <c r="I579" s="331">
        <v>9972.59</v>
      </c>
      <c r="J579" s="331">
        <v>10268.42</v>
      </c>
      <c r="K579" s="331">
        <v>12209.56</v>
      </c>
      <c r="L579" s="491" t="s">
        <v>29</v>
      </c>
      <c r="M579" s="491" t="s">
        <v>29</v>
      </c>
      <c r="N579" s="491" t="s">
        <v>29</v>
      </c>
      <c r="O579" s="491" t="s">
        <v>29</v>
      </c>
      <c r="P579" s="491">
        <v>0</v>
      </c>
      <c r="Q579" s="491">
        <v>0</v>
      </c>
      <c r="R579" s="491">
        <v>0</v>
      </c>
      <c r="S579" s="491">
        <v>0</v>
      </c>
      <c r="T579" s="1025" t="b">
        <v>0</v>
      </c>
      <c r="U579" s="491">
        <v>0</v>
      </c>
      <c r="V579" s="491">
        <v>0</v>
      </c>
      <c r="W579" s="491">
        <v>0</v>
      </c>
      <c r="X579" s="491">
        <v>0</v>
      </c>
      <c r="Y579" s="1025" t="b">
        <v>0</v>
      </c>
      <c r="Z579" s="331">
        <v>0</v>
      </c>
      <c r="AA579" s="331">
        <v>0</v>
      </c>
      <c r="AB579" s="331">
        <v>0</v>
      </c>
      <c r="AC579" s="331">
        <v>0</v>
      </c>
      <c r="AD579" s="1025" t="b">
        <v>0</v>
      </c>
      <c r="AE579" s="331">
        <v>0</v>
      </c>
      <c r="AF579" s="331">
        <v>0</v>
      </c>
      <c r="AG579" s="331">
        <v>0</v>
      </c>
      <c r="AH579" s="331">
        <v>0</v>
      </c>
      <c r="AI579" s="1025" t="b">
        <v>0</v>
      </c>
      <c r="AJ579" s="331">
        <v>0</v>
      </c>
      <c r="AK579" s="331">
        <v>0</v>
      </c>
      <c r="AL579" s="331">
        <v>0</v>
      </c>
      <c r="AM579" s="331">
        <v>0</v>
      </c>
      <c r="AN579" s="1025" t="b">
        <v>0</v>
      </c>
      <c r="AO579" s="331">
        <v>0</v>
      </c>
      <c r="AP579" s="331">
        <v>0</v>
      </c>
      <c r="AQ579" s="331">
        <v>0</v>
      </c>
      <c r="AR579" s="331">
        <v>0</v>
      </c>
      <c r="AS579" s="1025" t="b">
        <v>0</v>
      </c>
      <c r="AT579" s="1025" t="b">
        <v>1</v>
      </c>
      <c r="AU579" s="331">
        <v>0</v>
      </c>
      <c r="AV579" s="491" t="s">
        <v>29</v>
      </c>
    </row>
    <row r="580" spans="1:48">
      <c r="A580" s="72">
        <v>40</v>
      </c>
      <c r="B580" s="391" t="s">
        <v>113</v>
      </c>
      <c r="C580" s="72">
        <f t="shared" si="24"/>
        <v>5</v>
      </c>
      <c r="D580" s="72" t="str">
        <f t="shared" si="25"/>
        <v>40-5</v>
      </c>
      <c r="E580" s="72">
        <v>68809</v>
      </c>
      <c r="F580" s="72" t="str">
        <f t="shared" si="26"/>
        <v>40-68809</v>
      </c>
      <c r="G580" s="391" t="s">
        <v>1071</v>
      </c>
      <c r="H580" s="331">
        <v>10913.14</v>
      </c>
      <c r="I580" s="331">
        <v>10034.18</v>
      </c>
      <c r="J580" s="331">
        <v>10331.84</v>
      </c>
      <c r="K580" s="331">
        <v>12284.97</v>
      </c>
      <c r="L580" s="1072">
        <v>0</v>
      </c>
      <c r="M580" s="1072">
        <v>0</v>
      </c>
      <c r="N580" s="1072">
        <v>0</v>
      </c>
      <c r="O580" s="1072">
        <v>0</v>
      </c>
      <c r="P580" s="491">
        <v>0</v>
      </c>
      <c r="Q580" s="491">
        <v>0</v>
      </c>
      <c r="R580" s="491">
        <v>0</v>
      </c>
      <c r="S580" s="491">
        <v>0</v>
      </c>
      <c r="T580" s="1025" t="b">
        <v>0</v>
      </c>
      <c r="U580" s="491">
        <v>0</v>
      </c>
      <c r="V580" s="491">
        <v>0</v>
      </c>
      <c r="W580" s="491">
        <v>0.94</v>
      </c>
      <c r="X580" s="491">
        <v>0.88</v>
      </c>
      <c r="Y580" s="1025" t="b">
        <v>1</v>
      </c>
      <c r="Z580" s="331">
        <v>0</v>
      </c>
      <c r="AA580" s="331">
        <v>0</v>
      </c>
      <c r="AB580" s="331">
        <v>0</v>
      </c>
      <c r="AC580" s="331">
        <v>0</v>
      </c>
      <c r="AD580" s="1025" t="b">
        <v>0</v>
      </c>
      <c r="AE580" s="331">
        <v>0</v>
      </c>
      <c r="AF580" s="331">
        <v>0</v>
      </c>
      <c r="AG580" s="331">
        <v>0</v>
      </c>
      <c r="AH580" s="331">
        <v>0.05</v>
      </c>
      <c r="AI580" s="1025" t="b">
        <v>1</v>
      </c>
      <c r="AJ580" s="331">
        <v>0</v>
      </c>
      <c r="AK580" s="331">
        <v>0</v>
      </c>
      <c r="AL580" s="331">
        <v>0</v>
      </c>
      <c r="AM580" s="331">
        <v>0</v>
      </c>
      <c r="AN580" s="1025" t="b">
        <v>0</v>
      </c>
      <c r="AO580" s="331">
        <v>0</v>
      </c>
      <c r="AP580" s="331">
        <v>0</v>
      </c>
      <c r="AQ580" s="331">
        <v>0</v>
      </c>
      <c r="AR580" s="331">
        <v>0</v>
      </c>
      <c r="AS580" s="1025" t="b">
        <v>0</v>
      </c>
      <c r="AT580" s="1025" t="b">
        <v>1</v>
      </c>
      <c r="AU580" s="331">
        <v>0</v>
      </c>
      <c r="AV580" s="491" t="s">
        <v>29</v>
      </c>
    </row>
    <row r="581" spans="1:48">
      <c r="A581" s="72">
        <v>40</v>
      </c>
      <c r="B581" s="391" t="s">
        <v>113</v>
      </c>
      <c r="C581" s="72">
        <f t="shared" si="24"/>
        <v>6</v>
      </c>
      <c r="D581" s="72" t="str">
        <f t="shared" si="25"/>
        <v>40-6</v>
      </c>
      <c r="E581" s="72">
        <v>68825</v>
      </c>
      <c r="F581" s="72" t="str">
        <f t="shared" si="26"/>
        <v>40-68825</v>
      </c>
      <c r="G581" s="391" t="s">
        <v>1072</v>
      </c>
      <c r="H581" s="331">
        <v>12906.73</v>
      </c>
      <c r="I581" s="331">
        <v>11867.21</v>
      </c>
      <c r="J581" s="331">
        <v>12219.24</v>
      </c>
      <c r="K581" s="331">
        <v>14529.16</v>
      </c>
      <c r="L581" s="1072">
        <v>0</v>
      </c>
      <c r="M581" s="1072">
        <v>0</v>
      </c>
      <c r="N581" s="1072">
        <v>0</v>
      </c>
      <c r="O581" s="1072">
        <v>0</v>
      </c>
      <c r="P581" s="491">
        <v>0</v>
      </c>
      <c r="Q581" s="491">
        <v>0</v>
      </c>
      <c r="R581" s="491">
        <v>0</v>
      </c>
      <c r="S581" s="491">
        <v>0</v>
      </c>
      <c r="T581" s="1025" t="b">
        <v>0</v>
      </c>
      <c r="U581" s="491">
        <v>0.69</v>
      </c>
      <c r="V581" s="491">
        <v>0.98</v>
      </c>
      <c r="W581" s="491">
        <v>0</v>
      </c>
      <c r="X581" s="491">
        <v>0</v>
      </c>
      <c r="Y581" s="1025" t="b">
        <v>1</v>
      </c>
      <c r="Z581" s="331">
        <v>0</v>
      </c>
      <c r="AA581" s="331">
        <v>0</v>
      </c>
      <c r="AB581" s="331">
        <v>0</v>
      </c>
      <c r="AC581" s="331">
        <v>0</v>
      </c>
      <c r="AD581" s="1025" t="b">
        <v>0</v>
      </c>
      <c r="AE581" s="331">
        <v>0</v>
      </c>
      <c r="AF581" s="331">
        <v>0.1</v>
      </c>
      <c r="AG581" s="331">
        <v>0</v>
      </c>
      <c r="AH581" s="331">
        <v>0</v>
      </c>
      <c r="AI581" s="1025" t="b">
        <v>1</v>
      </c>
      <c r="AJ581" s="331">
        <v>0</v>
      </c>
      <c r="AK581" s="331">
        <v>0</v>
      </c>
      <c r="AL581" s="331">
        <v>0</v>
      </c>
      <c r="AM581" s="331">
        <v>0</v>
      </c>
      <c r="AN581" s="1025" t="b">
        <v>0</v>
      </c>
      <c r="AO581" s="331">
        <v>0</v>
      </c>
      <c r="AP581" s="331">
        <v>0</v>
      </c>
      <c r="AQ581" s="331">
        <v>0</v>
      </c>
      <c r="AR581" s="331">
        <v>0</v>
      </c>
      <c r="AS581" s="1025" t="b">
        <v>0</v>
      </c>
      <c r="AT581" s="1025" t="b">
        <v>1</v>
      </c>
      <c r="AU581" s="331">
        <v>0</v>
      </c>
      <c r="AV581" s="491" t="s">
        <v>29</v>
      </c>
    </row>
    <row r="582" spans="1:48">
      <c r="A582" s="72">
        <v>40</v>
      </c>
      <c r="B582" s="391" t="s">
        <v>113</v>
      </c>
      <c r="C582" s="72">
        <f t="shared" ref="C582:C645" si="27">IF(E582="N/A",0,IF(A581&lt;&gt;A582,1,C581+1))</f>
        <v>7</v>
      </c>
      <c r="D582" s="72" t="str">
        <f t="shared" ref="D582:D645" si="28">A582&amp;"-"&amp;C582</f>
        <v>40-7</v>
      </c>
      <c r="E582" s="72">
        <v>68833</v>
      </c>
      <c r="F582" s="72" t="str">
        <f t="shared" si="26"/>
        <v>40-68833</v>
      </c>
      <c r="G582" s="391" t="s">
        <v>1073</v>
      </c>
      <c r="H582" s="331">
        <v>13487.31</v>
      </c>
      <c r="I582" s="331">
        <v>12401.02</v>
      </c>
      <c r="J582" s="331">
        <v>12768.89</v>
      </c>
      <c r="K582" s="331">
        <v>15182.72</v>
      </c>
      <c r="L582" s="491" t="s">
        <v>29</v>
      </c>
      <c r="M582" s="491" t="s">
        <v>29</v>
      </c>
      <c r="N582" s="491" t="s">
        <v>29</v>
      </c>
      <c r="O582" s="491" t="s">
        <v>29</v>
      </c>
      <c r="P582" s="491">
        <v>0</v>
      </c>
      <c r="Q582" s="491">
        <v>0</v>
      </c>
      <c r="R582" s="491">
        <v>0</v>
      </c>
      <c r="S582" s="491">
        <v>0</v>
      </c>
      <c r="T582" s="1025" t="b">
        <v>0</v>
      </c>
      <c r="U582" s="491">
        <v>0</v>
      </c>
      <c r="V582" s="491">
        <v>0</v>
      </c>
      <c r="W582" s="491">
        <v>0</v>
      </c>
      <c r="X582" s="491">
        <v>0</v>
      </c>
      <c r="Y582" s="1025" t="b">
        <v>0</v>
      </c>
      <c r="Z582" s="331">
        <v>0</v>
      </c>
      <c r="AA582" s="331">
        <v>0</v>
      </c>
      <c r="AB582" s="331">
        <v>0</v>
      </c>
      <c r="AC582" s="331">
        <v>0</v>
      </c>
      <c r="AD582" s="1025" t="b">
        <v>0</v>
      </c>
      <c r="AE582" s="331">
        <v>0</v>
      </c>
      <c r="AF582" s="331">
        <v>0</v>
      </c>
      <c r="AG582" s="331">
        <v>0</v>
      </c>
      <c r="AH582" s="331">
        <v>0</v>
      </c>
      <c r="AI582" s="1025" t="b">
        <v>0</v>
      </c>
      <c r="AJ582" s="331">
        <v>0</v>
      </c>
      <c r="AK582" s="331">
        <v>0</v>
      </c>
      <c r="AL582" s="331">
        <v>0</v>
      </c>
      <c r="AM582" s="331">
        <v>0</v>
      </c>
      <c r="AN582" s="1025" t="b">
        <v>0</v>
      </c>
      <c r="AO582" s="331">
        <v>0</v>
      </c>
      <c r="AP582" s="331">
        <v>0</v>
      </c>
      <c r="AQ582" s="331">
        <v>0</v>
      </c>
      <c r="AR582" s="331">
        <v>0</v>
      </c>
      <c r="AS582" s="1025" t="b">
        <v>0</v>
      </c>
      <c r="AT582" s="1025" t="b">
        <v>1</v>
      </c>
      <c r="AU582" s="331">
        <v>0</v>
      </c>
      <c r="AV582" s="491" t="s">
        <v>29</v>
      </c>
    </row>
    <row r="583" spans="1:48">
      <c r="A583" s="72">
        <v>40</v>
      </c>
      <c r="B583" s="391" t="s">
        <v>113</v>
      </c>
      <c r="C583" s="72">
        <f t="shared" si="27"/>
        <v>8</v>
      </c>
      <c r="D583" s="72" t="str">
        <f t="shared" si="28"/>
        <v>40-8</v>
      </c>
      <c r="E583" s="72">
        <v>68841</v>
      </c>
      <c r="F583" s="72" t="str">
        <f t="shared" ref="F583:F646" si="29">A583&amp;"-"&amp;E583</f>
        <v>40-68841</v>
      </c>
      <c r="G583" s="391" t="s">
        <v>1074</v>
      </c>
      <c r="H583" s="331">
        <v>10573.34</v>
      </c>
      <c r="I583" s="331">
        <v>9721.75</v>
      </c>
      <c r="J583" s="331">
        <v>10010.14</v>
      </c>
      <c r="K583" s="331">
        <v>11902.46</v>
      </c>
      <c r="L583" s="491" t="s">
        <v>29</v>
      </c>
      <c r="M583" s="491" t="s">
        <v>29</v>
      </c>
      <c r="N583" s="491" t="s">
        <v>29</v>
      </c>
      <c r="O583" s="491" t="s">
        <v>29</v>
      </c>
      <c r="P583" s="491">
        <v>0</v>
      </c>
      <c r="Q583" s="491">
        <v>0</v>
      </c>
      <c r="R583" s="491">
        <v>0</v>
      </c>
      <c r="S583" s="491">
        <v>0</v>
      </c>
      <c r="T583" s="1025" t="b">
        <v>0</v>
      </c>
      <c r="U583" s="491">
        <v>0</v>
      </c>
      <c r="V583" s="491">
        <v>0</v>
      </c>
      <c r="W583" s="491">
        <v>0</v>
      </c>
      <c r="X583" s="491">
        <v>0</v>
      </c>
      <c r="Y583" s="1025" t="b">
        <v>0</v>
      </c>
      <c r="Z583" s="331">
        <v>0</v>
      </c>
      <c r="AA583" s="331">
        <v>0</v>
      </c>
      <c r="AB583" s="331">
        <v>0</v>
      </c>
      <c r="AC583" s="331">
        <v>0</v>
      </c>
      <c r="AD583" s="1025" t="b">
        <v>0</v>
      </c>
      <c r="AE583" s="331">
        <v>0</v>
      </c>
      <c r="AF583" s="331">
        <v>0</v>
      </c>
      <c r="AG583" s="331">
        <v>0</v>
      </c>
      <c r="AH583" s="331">
        <v>0</v>
      </c>
      <c r="AI583" s="1025" t="b">
        <v>0</v>
      </c>
      <c r="AJ583" s="331">
        <v>0</v>
      </c>
      <c r="AK583" s="331">
        <v>0</v>
      </c>
      <c r="AL583" s="331">
        <v>0</v>
      </c>
      <c r="AM583" s="331">
        <v>0</v>
      </c>
      <c r="AN583" s="1025" t="b">
        <v>0</v>
      </c>
      <c r="AO583" s="331">
        <v>0</v>
      </c>
      <c r="AP583" s="331">
        <v>0</v>
      </c>
      <c r="AQ583" s="331">
        <v>0</v>
      </c>
      <c r="AR583" s="331">
        <v>0</v>
      </c>
      <c r="AS583" s="1025" t="b">
        <v>0</v>
      </c>
      <c r="AT583" s="1025" t="b">
        <v>1</v>
      </c>
      <c r="AU583" s="331">
        <v>0</v>
      </c>
      <c r="AV583" s="491" t="s">
        <v>29</v>
      </c>
    </row>
    <row r="584" spans="1:48">
      <c r="A584" s="72">
        <v>40</v>
      </c>
      <c r="B584" s="391" t="s">
        <v>113</v>
      </c>
      <c r="C584" s="72">
        <f t="shared" si="27"/>
        <v>9</v>
      </c>
      <c r="D584" s="72" t="str">
        <f t="shared" si="28"/>
        <v>40-9</v>
      </c>
      <c r="E584" s="72">
        <v>75457</v>
      </c>
      <c r="F584" s="72" t="str">
        <f t="shared" si="29"/>
        <v>40-75457</v>
      </c>
      <c r="G584" s="391" t="s">
        <v>1075</v>
      </c>
      <c r="H584" s="331">
        <v>11693.11</v>
      </c>
      <c r="I584" s="331">
        <v>10751.33</v>
      </c>
      <c r="J584" s="331">
        <v>11070.26</v>
      </c>
      <c r="K584" s="331">
        <v>13162.98</v>
      </c>
      <c r="L584" s="1072">
        <v>0</v>
      </c>
      <c r="M584" s="1072">
        <v>0</v>
      </c>
      <c r="N584" s="1072">
        <v>0</v>
      </c>
      <c r="O584" s="1072">
        <v>0</v>
      </c>
      <c r="P584" s="491">
        <v>0</v>
      </c>
      <c r="Q584" s="491">
        <v>0</v>
      </c>
      <c r="R584" s="491">
        <v>0</v>
      </c>
      <c r="S584" s="491">
        <v>0</v>
      </c>
      <c r="T584" s="1025" t="b">
        <v>0</v>
      </c>
      <c r="U584" s="491">
        <v>0</v>
      </c>
      <c r="V584" s="491">
        <v>0.84</v>
      </c>
      <c r="W584" s="491">
        <v>0.65</v>
      </c>
      <c r="X584" s="491">
        <v>1.56</v>
      </c>
      <c r="Y584" s="1025" t="b">
        <v>1</v>
      </c>
      <c r="Z584" s="331">
        <v>0</v>
      </c>
      <c r="AA584" s="331">
        <v>0</v>
      </c>
      <c r="AB584" s="331">
        <v>0</v>
      </c>
      <c r="AC584" s="331">
        <v>0</v>
      </c>
      <c r="AD584" s="1025" t="b">
        <v>0</v>
      </c>
      <c r="AE584" s="331">
        <v>7.0000000000000007E-2</v>
      </c>
      <c r="AF584" s="331">
        <v>0.03</v>
      </c>
      <c r="AG584" s="331">
        <v>0.11</v>
      </c>
      <c r="AH584" s="331">
        <v>0</v>
      </c>
      <c r="AI584" s="1025" t="b">
        <v>1</v>
      </c>
      <c r="AJ584" s="331">
        <v>0</v>
      </c>
      <c r="AK584" s="331">
        <v>0</v>
      </c>
      <c r="AL584" s="331">
        <v>0</v>
      </c>
      <c r="AM584" s="331">
        <v>0</v>
      </c>
      <c r="AN584" s="1025" t="b">
        <v>0</v>
      </c>
      <c r="AO584" s="331">
        <v>0</v>
      </c>
      <c r="AP584" s="331">
        <v>0</v>
      </c>
      <c r="AQ584" s="331">
        <v>0</v>
      </c>
      <c r="AR584" s="331">
        <v>0</v>
      </c>
      <c r="AS584" s="1025" t="b">
        <v>0</v>
      </c>
      <c r="AT584" s="1025" t="b">
        <v>1</v>
      </c>
      <c r="AU584" s="331">
        <v>0</v>
      </c>
      <c r="AV584" s="491" t="s">
        <v>29</v>
      </c>
    </row>
    <row r="585" spans="1:48">
      <c r="A585" s="72">
        <v>40</v>
      </c>
      <c r="B585" s="391" t="s">
        <v>113</v>
      </c>
      <c r="C585" s="72">
        <f t="shared" si="27"/>
        <v>10</v>
      </c>
      <c r="D585" s="72" t="str">
        <f t="shared" si="28"/>
        <v>40-10</v>
      </c>
      <c r="E585" s="72">
        <v>75465</v>
      </c>
      <c r="F585" s="72" t="str">
        <f t="shared" si="29"/>
        <v>40-75465</v>
      </c>
      <c r="G585" s="391" t="s">
        <v>1076</v>
      </c>
      <c r="H585" s="491">
        <v>13092.52</v>
      </c>
      <c r="I585" s="491">
        <v>12038.03</v>
      </c>
      <c r="J585" s="491">
        <v>12395.13</v>
      </c>
      <c r="K585" s="491">
        <v>14738.3</v>
      </c>
      <c r="L585" s="1072">
        <v>0</v>
      </c>
      <c r="M585" s="1072">
        <v>0</v>
      </c>
      <c r="N585" s="1072">
        <v>0</v>
      </c>
      <c r="O585" s="1072">
        <v>0</v>
      </c>
      <c r="P585" s="491">
        <v>0</v>
      </c>
      <c r="Q585" s="491">
        <v>0</v>
      </c>
      <c r="R585" s="491">
        <v>0</v>
      </c>
      <c r="S585" s="491">
        <v>0</v>
      </c>
      <c r="T585" s="1025" t="b">
        <v>0</v>
      </c>
      <c r="U585" s="491">
        <v>0.88</v>
      </c>
      <c r="V585" s="491">
        <v>0</v>
      </c>
      <c r="W585" s="491">
        <v>0</v>
      </c>
      <c r="X585" s="491">
        <v>0</v>
      </c>
      <c r="Y585" s="1025" t="b">
        <v>1</v>
      </c>
      <c r="Z585" s="491">
        <v>0</v>
      </c>
      <c r="AA585" s="491">
        <v>0</v>
      </c>
      <c r="AB585" s="491">
        <v>0</v>
      </c>
      <c r="AC585" s="491">
        <v>0</v>
      </c>
      <c r="AD585" s="1025" t="b">
        <v>0</v>
      </c>
      <c r="AE585" s="491">
        <v>0.1</v>
      </c>
      <c r="AF585" s="491">
        <v>0</v>
      </c>
      <c r="AG585" s="491">
        <v>0</v>
      </c>
      <c r="AH585" s="491">
        <v>0</v>
      </c>
      <c r="AI585" s="1025" t="b">
        <v>1</v>
      </c>
      <c r="AJ585" s="491">
        <v>0</v>
      </c>
      <c r="AK585" s="491">
        <v>0</v>
      </c>
      <c r="AL585" s="491">
        <v>0</v>
      </c>
      <c r="AM585" s="491">
        <v>0</v>
      </c>
      <c r="AN585" s="1025" t="b">
        <v>0</v>
      </c>
      <c r="AO585" s="491">
        <v>0</v>
      </c>
      <c r="AP585" s="491">
        <v>0</v>
      </c>
      <c r="AQ585" s="491">
        <v>0</v>
      </c>
      <c r="AR585" s="491">
        <v>0</v>
      </c>
      <c r="AS585" s="1025" t="b">
        <v>0</v>
      </c>
      <c r="AT585" s="1025" t="b">
        <v>1</v>
      </c>
      <c r="AU585" s="491">
        <v>0</v>
      </c>
      <c r="AV585" s="491" t="s">
        <v>29</v>
      </c>
    </row>
    <row r="586" spans="1:48">
      <c r="A586" s="72">
        <v>40</v>
      </c>
      <c r="B586" s="391" t="s">
        <v>113</v>
      </c>
      <c r="C586" s="72">
        <f t="shared" si="27"/>
        <v>0</v>
      </c>
      <c r="D586" s="72" t="str">
        <f t="shared" si="28"/>
        <v>40-0</v>
      </c>
      <c r="E586" s="72" t="s">
        <v>29</v>
      </c>
      <c r="F586" s="72" t="str">
        <f t="shared" si="29"/>
        <v>40-N/A</v>
      </c>
      <c r="G586" s="391" t="s">
        <v>29</v>
      </c>
      <c r="H586" s="491" t="s">
        <v>29</v>
      </c>
      <c r="I586" s="491" t="s">
        <v>29</v>
      </c>
      <c r="J586" s="491" t="s">
        <v>29</v>
      </c>
      <c r="K586" s="491" t="s">
        <v>29</v>
      </c>
      <c r="L586" s="491" t="s">
        <v>29</v>
      </c>
      <c r="M586" s="491" t="s">
        <v>29</v>
      </c>
      <c r="N586" s="491" t="s">
        <v>29</v>
      </c>
      <c r="O586" s="491" t="s">
        <v>29</v>
      </c>
      <c r="P586" s="491" t="s">
        <v>29</v>
      </c>
      <c r="Q586" s="491" t="s">
        <v>29</v>
      </c>
      <c r="R586" s="491" t="s">
        <v>29</v>
      </c>
      <c r="S586" s="491" t="s">
        <v>29</v>
      </c>
      <c r="T586" s="1025" t="s">
        <v>29</v>
      </c>
      <c r="U586" s="491" t="s">
        <v>29</v>
      </c>
      <c r="V586" s="491" t="s">
        <v>29</v>
      </c>
      <c r="W586" s="491" t="s">
        <v>29</v>
      </c>
      <c r="X586" s="491" t="s">
        <v>29</v>
      </c>
      <c r="Y586" s="1025" t="s">
        <v>29</v>
      </c>
      <c r="Z586" s="491" t="s">
        <v>29</v>
      </c>
      <c r="AA586" s="491" t="s">
        <v>29</v>
      </c>
      <c r="AB586" s="491" t="s">
        <v>29</v>
      </c>
      <c r="AC586" s="491" t="s">
        <v>29</v>
      </c>
      <c r="AD586" s="1025" t="s">
        <v>29</v>
      </c>
      <c r="AE586" s="491" t="s">
        <v>29</v>
      </c>
      <c r="AF586" s="491" t="s">
        <v>29</v>
      </c>
      <c r="AG586" s="491" t="s">
        <v>29</v>
      </c>
      <c r="AH586" s="491" t="s">
        <v>29</v>
      </c>
      <c r="AI586" s="1025" t="s">
        <v>29</v>
      </c>
      <c r="AJ586" s="491" t="s">
        <v>29</v>
      </c>
      <c r="AK586" s="491" t="s">
        <v>29</v>
      </c>
      <c r="AL586" s="491" t="s">
        <v>29</v>
      </c>
      <c r="AM586" s="491" t="s">
        <v>29</v>
      </c>
      <c r="AN586" s="1025" t="s">
        <v>29</v>
      </c>
      <c r="AO586" s="491" t="s">
        <v>29</v>
      </c>
      <c r="AP586" s="491" t="s">
        <v>29</v>
      </c>
      <c r="AQ586" s="491" t="s">
        <v>29</v>
      </c>
      <c r="AR586" s="491" t="s">
        <v>29</v>
      </c>
      <c r="AS586" s="1025" t="s">
        <v>29</v>
      </c>
      <c r="AT586" s="1025" t="s">
        <v>29</v>
      </c>
      <c r="AU586" s="491" t="s">
        <v>29</v>
      </c>
      <c r="AV586" s="491">
        <v>0</v>
      </c>
    </row>
    <row r="587" spans="1:48">
      <c r="A587" s="72">
        <v>41</v>
      </c>
      <c r="B587" s="391" t="s">
        <v>114</v>
      </c>
      <c r="C587" s="72">
        <f t="shared" si="27"/>
        <v>1</v>
      </c>
      <c r="D587" s="72" t="str">
        <f t="shared" si="28"/>
        <v>41-1</v>
      </c>
      <c r="E587" s="72">
        <v>68890</v>
      </c>
      <c r="F587" s="72" t="str">
        <f t="shared" si="29"/>
        <v>41-68890</v>
      </c>
      <c r="G587" s="391" t="s">
        <v>1077</v>
      </c>
      <c r="H587" s="491">
        <v>10980.53</v>
      </c>
      <c r="I587" s="491">
        <v>10096.14</v>
      </c>
      <c r="J587" s="491">
        <v>10395.64</v>
      </c>
      <c r="K587" s="491">
        <v>12360.83</v>
      </c>
      <c r="L587" s="491" t="s">
        <v>29</v>
      </c>
      <c r="M587" s="491" t="s">
        <v>29</v>
      </c>
      <c r="N587" s="1072">
        <v>0</v>
      </c>
      <c r="O587" s="1072">
        <v>0</v>
      </c>
      <c r="P587" s="491">
        <v>0</v>
      </c>
      <c r="Q587" s="491">
        <v>0</v>
      </c>
      <c r="R587" s="491">
        <v>1.06</v>
      </c>
      <c r="S587" s="491">
        <v>1.89</v>
      </c>
      <c r="T587" s="1025" t="b">
        <v>1</v>
      </c>
      <c r="U587" s="491">
        <v>0</v>
      </c>
      <c r="V587" s="491">
        <v>0</v>
      </c>
      <c r="W587" s="491">
        <v>0</v>
      </c>
      <c r="X587" s="491">
        <v>0.79</v>
      </c>
      <c r="Y587" s="1025" t="b">
        <v>1</v>
      </c>
      <c r="Z587" s="491">
        <v>0</v>
      </c>
      <c r="AA587" s="491">
        <v>0</v>
      </c>
      <c r="AB587" s="491">
        <v>0</v>
      </c>
      <c r="AC587" s="491">
        <v>0</v>
      </c>
      <c r="AD587" s="1025" t="b">
        <v>0</v>
      </c>
      <c r="AE587" s="491">
        <v>0</v>
      </c>
      <c r="AF587" s="491">
        <v>0</v>
      </c>
      <c r="AG587" s="491">
        <v>0</v>
      </c>
      <c r="AH587" s="491">
        <v>0.05</v>
      </c>
      <c r="AI587" s="1025" t="b">
        <v>1</v>
      </c>
      <c r="AJ587" s="491">
        <v>0</v>
      </c>
      <c r="AK587" s="491">
        <v>0</v>
      </c>
      <c r="AL587" s="491">
        <v>0</v>
      </c>
      <c r="AM587" s="491">
        <v>0</v>
      </c>
      <c r="AN587" s="1025" t="b">
        <v>0</v>
      </c>
      <c r="AO587" s="491">
        <v>0</v>
      </c>
      <c r="AP587" s="491">
        <v>0</v>
      </c>
      <c r="AQ587" s="491">
        <v>0</v>
      </c>
      <c r="AR587" s="491">
        <v>0</v>
      </c>
      <c r="AS587" s="1025" t="b">
        <v>0</v>
      </c>
      <c r="AT587" s="1025" t="b">
        <v>1</v>
      </c>
      <c r="AU587" s="491">
        <v>0</v>
      </c>
      <c r="AV587" s="491" t="s">
        <v>29</v>
      </c>
    </row>
    <row r="588" spans="1:48">
      <c r="A588" s="72">
        <v>41</v>
      </c>
      <c r="B588" s="391" t="s">
        <v>114</v>
      </c>
      <c r="C588" s="72">
        <f t="shared" si="27"/>
        <v>2</v>
      </c>
      <c r="D588" s="72" t="str">
        <f t="shared" si="28"/>
        <v>41-2</v>
      </c>
      <c r="E588" s="72">
        <v>68916</v>
      </c>
      <c r="F588" s="72" t="str">
        <f t="shared" si="29"/>
        <v>41-68916</v>
      </c>
      <c r="G588" s="391" t="s">
        <v>1057</v>
      </c>
      <c r="H588" s="331">
        <v>12039.74</v>
      </c>
      <c r="I588" s="331">
        <v>11070.04</v>
      </c>
      <c r="J588" s="331">
        <v>11398.43</v>
      </c>
      <c r="K588" s="331">
        <v>13553.18</v>
      </c>
      <c r="L588" s="1072">
        <v>0</v>
      </c>
      <c r="M588" s="491" t="s">
        <v>29</v>
      </c>
      <c r="N588" s="1072">
        <v>0</v>
      </c>
      <c r="O588" s="491" t="s">
        <v>29</v>
      </c>
      <c r="P588" s="491">
        <v>0</v>
      </c>
      <c r="Q588" s="491">
        <v>0</v>
      </c>
      <c r="R588" s="491">
        <v>0</v>
      </c>
      <c r="S588" s="491">
        <v>0</v>
      </c>
      <c r="T588" s="1025" t="b">
        <v>0</v>
      </c>
      <c r="U588" s="491">
        <v>2.5299999999999998</v>
      </c>
      <c r="V588" s="491">
        <v>0</v>
      </c>
      <c r="W588" s="491">
        <v>0.84</v>
      </c>
      <c r="X588" s="491">
        <v>0</v>
      </c>
      <c r="Y588" s="1025" t="b">
        <v>1</v>
      </c>
      <c r="Z588" s="331">
        <v>0</v>
      </c>
      <c r="AA588" s="331">
        <v>0</v>
      </c>
      <c r="AB588" s="331">
        <v>0</v>
      </c>
      <c r="AC588" s="331">
        <v>0</v>
      </c>
      <c r="AD588" s="1025" t="b">
        <v>0</v>
      </c>
      <c r="AE588" s="331">
        <v>0.13</v>
      </c>
      <c r="AF588" s="331">
        <v>0</v>
      </c>
      <c r="AG588" s="331">
        <v>0.37</v>
      </c>
      <c r="AH588" s="331">
        <v>0</v>
      </c>
      <c r="AI588" s="1025" t="b">
        <v>1</v>
      </c>
      <c r="AJ588" s="331">
        <v>0</v>
      </c>
      <c r="AK588" s="331">
        <v>0</v>
      </c>
      <c r="AL588" s="331">
        <v>0</v>
      </c>
      <c r="AM588" s="331">
        <v>0</v>
      </c>
      <c r="AN588" s="1025" t="b">
        <v>0</v>
      </c>
      <c r="AO588" s="331">
        <v>0</v>
      </c>
      <c r="AP588" s="331">
        <v>0</v>
      </c>
      <c r="AQ588" s="331">
        <v>0</v>
      </c>
      <c r="AR588" s="331">
        <v>0</v>
      </c>
      <c r="AS588" s="1025" t="b">
        <v>0</v>
      </c>
      <c r="AT588" s="1025" t="b">
        <v>1</v>
      </c>
      <c r="AU588" s="331">
        <v>0</v>
      </c>
      <c r="AV588" s="491" t="s">
        <v>29</v>
      </c>
    </row>
    <row r="589" spans="1:48">
      <c r="A589" s="72">
        <v>41</v>
      </c>
      <c r="B589" s="391" t="s">
        <v>114</v>
      </c>
      <c r="C589" s="72">
        <f t="shared" si="27"/>
        <v>3</v>
      </c>
      <c r="D589" s="72" t="str">
        <f t="shared" si="28"/>
        <v>41-3</v>
      </c>
      <c r="E589" s="72">
        <v>68924</v>
      </c>
      <c r="F589" s="72" t="str">
        <f t="shared" si="29"/>
        <v>41-68924</v>
      </c>
      <c r="G589" s="391" t="s">
        <v>1078</v>
      </c>
      <c r="H589" s="331">
        <v>10877.12</v>
      </c>
      <c r="I589" s="331">
        <v>10001.06</v>
      </c>
      <c r="J589" s="331">
        <v>10297.73</v>
      </c>
      <c r="K589" s="331">
        <v>12244.41</v>
      </c>
      <c r="L589" s="491" t="s">
        <v>29</v>
      </c>
      <c r="M589" s="491" t="s">
        <v>29</v>
      </c>
      <c r="N589" s="491" t="s">
        <v>29</v>
      </c>
      <c r="O589" s="1072">
        <v>0</v>
      </c>
      <c r="P589" s="491">
        <v>0</v>
      </c>
      <c r="Q589" s="491">
        <v>0</v>
      </c>
      <c r="R589" s="491">
        <v>0</v>
      </c>
      <c r="S589" s="491">
        <v>0.61</v>
      </c>
      <c r="T589" s="1025" t="b">
        <v>1</v>
      </c>
      <c r="U589" s="491">
        <v>0</v>
      </c>
      <c r="V589" s="491">
        <v>0</v>
      </c>
      <c r="W589" s="491">
        <v>0</v>
      </c>
      <c r="X589" s="491">
        <v>2.5</v>
      </c>
      <c r="Y589" s="1025" t="b">
        <v>1</v>
      </c>
      <c r="Z589" s="331">
        <v>0</v>
      </c>
      <c r="AA589" s="331">
        <v>0</v>
      </c>
      <c r="AB589" s="331">
        <v>0</v>
      </c>
      <c r="AC589" s="331">
        <v>0</v>
      </c>
      <c r="AD589" s="1025" t="b">
        <v>0</v>
      </c>
      <c r="AE589" s="331">
        <v>0</v>
      </c>
      <c r="AF589" s="331">
        <v>0</v>
      </c>
      <c r="AG589" s="331">
        <v>0</v>
      </c>
      <c r="AH589" s="331">
        <v>1.33</v>
      </c>
      <c r="AI589" s="1025" t="b">
        <v>1</v>
      </c>
      <c r="AJ589" s="331">
        <v>0</v>
      </c>
      <c r="AK589" s="331">
        <v>0</v>
      </c>
      <c r="AL589" s="331">
        <v>0</v>
      </c>
      <c r="AM589" s="331">
        <v>0</v>
      </c>
      <c r="AN589" s="1025" t="b">
        <v>0</v>
      </c>
      <c r="AO589" s="331">
        <v>0</v>
      </c>
      <c r="AP589" s="331">
        <v>0</v>
      </c>
      <c r="AQ589" s="331">
        <v>0</v>
      </c>
      <c r="AR589" s="331">
        <v>0</v>
      </c>
      <c r="AS589" s="1025" t="b">
        <v>0</v>
      </c>
      <c r="AT589" s="1025" t="b">
        <v>1</v>
      </c>
      <c r="AU589" s="331">
        <v>0</v>
      </c>
      <c r="AV589" s="491" t="s">
        <v>29</v>
      </c>
    </row>
    <row r="590" spans="1:48">
      <c r="A590" s="72">
        <v>41</v>
      </c>
      <c r="B590" s="391" t="s">
        <v>114</v>
      </c>
      <c r="C590" s="72">
        <f t="shared" si="27"/>
        <v>4</v>
      </c>
      <c r="D590" s="72" t="str">
        <f t="shared" si="28"/>
        <v>41-4</v>
      </c>
      <c r="E590" s="72">
        <v>68932</v>
      </c>
      <c r="F590" s="72" t="str">
        <f t="shared" si="29"/>
        <v>41-68932</v>
      </c>
      <c r="G590" s="391" t="s">
        <v>1079</v>
      </c>
      <c r="H590" s="331">
        <v>10582.65</v>
      </c>
      <c r="I590" s="331">
        <v>9730.31</v>
      </c>
      <c r="J590" s="331">
        <v>10018.959999999999</v>
      </c>
      <c r="K590" s="331">
        <v>11912.94</v>
      </c>
      <c r="L590" s="491" t="s">
        <v>29</v>
      </c>
      <c r="M590" s="491" t="s">
        <v>29</v>
      </c>
      <c r="N590" s="1072">
        <v>0</v>
      </c>
      <c r="O590" s="491" t="s">
        <v>29</v>
      </c>
      <c r="P590" s="491">
        <v>0</v>
      </c>
      <c r="Q590" s="491">
        <v>0</v>
      </c>
      <c r="R590" s="491">
        <v>0</v>
      </c>
      <c r="S590" s="491">
        <v>0</v>
      </c>
      <c r="T590" s="1025" t="b">
        <v>0</v>
      </c>
      <c r="U590" s="491">
        <v>0</v>
      </c>
      <c r="V590" s="491">
        <v>0</v>
      </c>
      <c r="W590" s="491">
        <v>0.44</v>
      </c>
      <c r="X590" s="491">
        <v>0</v>
      </c>
      <c r="Y590" s="1025" t="b">
        <v>1</v>
      </c>
      <c r="Z590" s="331">
        <v>0</v>
      </c>
      <c r="AA590" s="331">
        <v>0</v>
      </c>
      <c r="AB590" s="331">
        <v>0</v>
      </c>
      <c r="AC590" s="331">
        <v>0</v>
      </c>
      <c r="AD590" s="1025" t="b">
        <v>0</v>
      </c>
      <c r="AE590" s="331">
        <v>0</v>
      </c>
      <c r="AF590" s="331">
        <v>0</v>
      </c>
      <c r="AG590" s="331">
        <v>0.1</v>
      </c>
      <c r="AH590" s="331">
        <v>0</v>
      </c>
      <c r="AI590" s="1025" t="b">
        <v>1</v>
      </c>
      <c r="AJ590" s="331">
        <v>0</v>
      </c>
      <c r="AK590" s="331">
        <v>0</v>
      </c>
      <c r="AL590" s="331">
        <v>0</v>
      </c>
      <c r="AM590" s="331">
        <v>0</v>
      </c>
      <c r="AN590" s="1025" t="b">
        <v>0</v>
      </c>
      <c r="AO590" s="331">
        <v>0</v>
      </c>
      <c r="AP590" s="331">
        <v>0</v>
      </c>
      <c r="AQ590" s="331">
        <v>0</v>
      </c>
      <c r="AR590" s="331">
        <v>0</v>
      </c>
      <c r="AS590" s="1025" t="b">
        <v>0</v>
      </c>
      <c r="AT590" s="1025" t="b">
        <v>1</v>
      </c>
      <c r="AU590" s="331">
        <v>0</v>
      </c>
      <c r="AV590" s="491" t="s">
        <v>29</v>
      </c>
    </row>
    <row r="591" spans="1:48">
      <c r="A591" s="72">
        <v>41</v>
      </c>
      <c r="B591" s="391" t="s">
        <v>114</v>
      </c>
      <c r="C591" s="72">
        <f t="shared" si="27"/>
        <v>5</v>
      </c>
      <c r="D591" s="72" t="str">
        <f t="shared" si="28"/>
        <v>41-5</v>
      </c>
      <c r="E591" s="72">
        <v>68973</v>
      </c>
      <c r="F591" s="72" t="str">
        <f t="shared" si="29"/>
        <v>41-68973</v>
      </c>
      <c r="G591" s="391" t="s">
        <v>1080</v>
      </c>
      <c r="H591" s="331">
        <v>10832.39</v>
      </c>
      <c r="I591" s="331">
        <v>9959.93</v>
      </c>
      <c r="J591" s="331">
        <v>10255.39</v>
      </c>
      <c r="K591" s="331">
        <v>12194.07</v>
      </c>
      <c r="L591" s="1072">
        <v>0</v>
      </c>
      <c r="M591" s="491" t="s">
        <v>29</v>
      </c>
      <c r="N591" s="1072">
        <v>0</v>
      </c>
      <c r="O591" s="491" t="s">
        <v>29</v>
      </c>
      <c r="P591" s="491">
        <v>0</v>
      </c>
      <c r="Q591" s="491">
        <v>0</v>
      </c>
      <c r="R591" s="491">
        <v>0</v>
      </c>
      <c r="S591" s="491">
        <v>0</v>
      </c>
      <c r="T591" s="1025" t="b">
        <v>0</v>
      </c>
      <c r="U591" s="491">
        <v>0.87</v>
      </c>
      <c r="V591" s="491">
        <v>0</v>
      </c>
      <c r="W591" s="491">
        <v>0</v>
      </c>
      <c r="X591" s="491">
        <v>0</v>
      </c>
      <c r="Y591" s="1025" t="b">
        <v>1</v>
      </c>
      <c r="Z591" s="331">
        <v>0</v>
      </c>
      <c r="AA591" s="331">
        <v>0</v>
      </c>
      <c r="AB591" s="331">
        <v>0</v>
      </c>
      <c r="AC591" s="331">
        <v>0</v>
      </c>
      <c r="AD591" s="1025" t="b">
        <v>0</v>
      </c>
      <c r="AE591" s="331">
        <v>0</v>
      </c>
      <c r="AF591" s="331">
        <v>0</v>
      </c>
      <c r="AG591" s="331">
        <v>0.1</v>
      </c>
      <c r="AH591" s="331">
        <v>0</v>
      </c>
      <c r="AI591" s="1025" t="b">
        <v>1</v>
      </c>
      <c r="AJ591" s="331">
        <v>0</v>
      </c>
      <c r="AK591" s="331">
        <v>0</v>
      </c>
      <c r="AL591" s="331">
        <v>0</v>
      </c>
      <c r="AM591" s="331">
        <v>0</v>
      </c>
      <c r="AN591" s="1025" t="b">
        <v>0</v>
      </c>
      <c r="AO591" s="331">
        <v>0</v>
      </c>
      <c r="AP591" s="331">
        <v>0</v>
      </c>
      <c r="AQ591" s="331">
        <v>0</v>
      </c>
      <c r="AR591" s="331">
        <v>0</v>
      </c>
      <c r="AS591" s="1025" t="b">
        <v>0</v>
      </c>
      <c r="AT591" s="1025" t="b">
        <v>1</v>
      </c>
      <c r="AU591" s="331">
        <v>0</v>
      </c>
      <c r="AV591" s="491" t="s">
        <v>29</v>
      </c>
    </row>
    <row r="592" spans="1:48">
      <c r="A592" s="72">
        <v>41</v>
      </c>
      <c r="B592" s="391" t="s">
        <v>114</v>
      </c>
      <c r="C592" s="72">
        <f t="shared" si="27"/>
        <v>6</v>
      </c>
      <c r="D592" s="72" t="str">
        <f t="shared" si="28"/>
        <v>41-6</v>
      </c>
      <c r="E592" s="72">
        <v>68999</v>
      </c>
      <c r="F592" s="72" t="str">
        <f t="shared" si="29"/>
        <v>41-68999</v>
      </c>
      <c r="G592" s="391" t="s">
        <v>1081</v>
      </c>
      <c r="H592" s="331">
        <v>14323.34</v>
      </c>
      <c r="I592" s="331">
        <v>13169.72</v>
      </c>
      <c r="J592" s="331">
        <v>13560.39</v>
      </c>
      <c r="K592" s="331">
        <v>16123.85</v>
      </c>
      <c r="L592" s="1072">
        <v>0</v>
      </c>
      <c r="M592" s="1072">
        <v>0</v>
      </c>
      <c r="N592" s="491" t="s">
        <v>29</v>
      </c>
      <c r="O592" s="491" t="s">
        <v>29</v>
      </c>
      <c r="P592" s="491">
        <v>0</v>
      </c>
      <c r="Q592" s="491">
        <v>0</v>
      </c>
      <c r="R592" s="491">
        <v>0</v>
      </c>
      <c r="S592" s="491">
        <v>0</v>
      </c>
      <c r="T592" s="1025" t="b">
        <v>0</v>
      </c>
      <c r="U592" s="491">
        <v>1.4</v>
      </c>
      <c r="V592" s="491">
        <v>3.77</v>
      </c>
      <c r="W592" s="491">
        <v>0</v>
      </c>
      <c r="X592" s="491">
        <v>0</v>
      </c>
      <c r="Y592" s="1025" t="b">
        <v>1</v>
      </c>
      <c r="Z592" s="331">
        <v>0</v>
      </c>
      <c r="AA592" s="331">
        <v>0</v>
      </c>
      <c r="AB592" s="331">
        <v>0</v>
      </c>
      <c r="AC592" s="331">
        <v>0</v>
      </c>
      <c r="AD592" s="1025" t="b">
        <v>0</v>
      </c>
      <c r="AE592" s="331">
        <v>0.23</v>
      </c>
      <c r="AF592" s="331">
        <v>0</v>
      </c>
      <c r="AG592" s="331">
        <v>0</v>
      </c>
      <c r="AH592" s="331">
        <v>0</v>
      </c>
      <c r="AI592" s="1025" t="b">
        <v>1</v>
      </c>
      <c r="AJ592" s="331">
        <v>0</v>
      </c>
      <c r="AK592" s="331">
        <v>0</v>
      </c>
      <c r="AL592" s="331">
        <v>0</v>
      </c>
      <c r="AM592" s="331">
        <v>0</v>
      </c>
      <c r="AN592" s="1025" t="b">
        <v>0</v>
      </c>
      <c r="AO592" s="331">
        <v>0</v>
      </c>
      <c r="AP592" s="331">
        <v>0</v>
      </c>
      <c r="AQ592" s="331">
        <v>0</v>
      </c>
      <c r="AR592" s="331">
        <v>0</v>
      </c>
      <c r="AS592" s="1025" t="b">
        <v>0</v>
      </c>
      <c r="AT592" s="1025" t="b">
        <v>1</v>
      </c>
      <c r="AU592" s="331">
        <v>0</v>
      </c>
      <c r="AV592" s="491" t="s">
        <v>29</v>
      </c>
    </row>
    <row r="593" spans="1:48">
      <c r="A593" s="72">
        <v>41</v>
      </c>
      <c r="B593" s="391" t="s">
        <v>114</v>
      </c>
      <c r="C593" s="72">
        <f t="shared" si="27"/>
        <v>7</v>
      </c>
      <c r="D593" s="72" t="str">
        <f t="shared" si="28"/>
        <v>41-7</v>
      </c>
      <c r="E593" s="72">
        <v>69005</v>
      </c>
      <c r="F593" s="72" t="str">
        <f t="shared" si="29"/>
        <v>41-69005</v>
      </c>
      <c r="G593" s="391" t="s">
        <v>1082</v>
      </c>
      <c r="H593" s="331">
        <v>11673.33</v>
      </c>
      <c r="I593" s="331">
        <v>10733.14</v>
      </c>
      <c r="J593" s="331">
        <v>11051.54</v>
      </c>
      <c r="K593" s="331">
        <v>13140.71</v>
      </c>
      <c r="L593" s="491" t="s">
        <v>29</v>
      </c>
      <c r="M593" s="491" t="s">
        <v>29</v>
      </c>
      <c r="N593" s="1072">
        <v>0</v>
      </c>
      <c r="O593" s="491" t="s">
        <v>29</v>
      </c>
      <c r="P593" s="491">
        <v>0</v>
      </c>
      <c r="Q593" s="491">
        <v>0</v>
      </c>
      <c r="R593" s="491">
        <v>1.54</v>
      </c>
      <c r="S593" s="491">
        <v>0</v>
      </c>
      <c r="T593" s="1025" t="b">
        <v>1</v>
      </c>
      <c r="U593" s="491">
        <v>0</v>
      </c>
      <c r="V593" s="491">
        <v>0</v>
      </c>
      <c r="W593" s="491">
        <v>0</v>
      </c>
      <c r="X593" s="491">
        <v>0</v>
      </c>
      <c r="Y593" s="1025" t="b">
        <v>0</v>
      </c>
      <c r="Z593" s="331">
        <v>0</v>
      </c>
      <c r="AA593" s="331">
        <v>0</v>
      </c>
      <c r="AB593" s="331">
        <v>0</v>
      </c>
      <c r="AC593" s="331">
        <v>0</v>
      </c>
      <c r="AD593" s="1025" t="b">
        <v>0</v>
      </c>
      <c r="AE593" s="331">
        <v>0</v>
      </c>
      <c r="AF593" s="331">
        <v>0</v>
      </c>
      <c r="AG593" s="331">
        <v>0</v>
      </c>
      <c r="AH593" s="331">
        <v>0</v>
      </c>
      <c r="AI593" s="1025" t="b">
        <v>0</v>
      </c>
      <c r="AJ593" s="331">
        <v>0</v>
      </c>
      <c r="AK593" s="331">
        <v>0</v>
      </c>
      <c r="AL593" s="331">
        <v>0</v>
      </c>
      <c r="AM593" s="331">
        <v>0</v>
      </c>
      <c r="AN593" s="1025" t="b">
        <v>0</v>
      </c>
      <c r="AO593" s="331">
        <v>0</v>
      </c>
      <c r="AP593" s="331">
        <v>0</v>
      </c>
      <c r="AQ593" s="331">
        <v>0</v>
      </c>
      <c r="AR593" s="331">
        <v>0</v>
      </c>
      <c r="AS593" s="1025" t="b">
        <v>0</v>
      </c>
      <c r="AT593" s="1025" t="b">
        <v>1</v>
      </c>
      <c r="AU593" s="331">
        <v>0</v>
      </c>
      <c r="AV593" s="491" t="s">
        <v>29</v>
      </c>
    </row>
    <row r="594" spans="1:48">
      <c r="A594" s="72">
        <v>41</v>
      </c>
      <c r="B594" s="391" t="s">
        <v>114</v>
      </c>
      <c r="C594" s="72">
        <f t="shared" si="27"/>
        <v>8</v>
      </c>
      <c r="D594" s="72" t="str">
        <f t="shared" si="28"/>
        <v>41-8</v>
      </c>
      <c r="E594" s="72">
        <v>69013</v>
      </c>
      <c r="F594" s="72" t="str">
        <f t="shared" si="29"/>
        <v>41-69013</v>
      </c>
      <c r="G594" s="391" t="s">
        <v>1083</v>
      </c>
      <c r="H594" s="331">
        <v>11073.63</v>
      </c>
      <c r="I594" s="331">
        <v>10181.74</v>
      </c>
      <c r="J594" s="331">
        <v>10483.780000000001</v>
      </c>
      <c r="K594" s="331">
        <v>12465.63</v>
      </c>
      <c r="L594" s="1072">
        <v>0</v>
      </c>
      <c r="M594" s="1072">
        <v>0</v>
      </c>
      <c r="N594" s="1072">
        <v>0</v>
      </c>
      <c r="O594" s="491" t="s">
        <v>29</v>
      </c>
      <c r="P594" s="491">
        <v>0</v>
      </c>
      <c r="Q594" s="491">
        <v>0</v>
      </c>
      <c r="R594" s="491">
        <v>0</v>
      </c>
      <c r="S594" s="491">
        <v>0</v>
      </c>
      <c r="T594" s="1025" t="b">
        <v>0</v>
      </c>
      <c r="U594" s="491">
        <v>0</v>
      </c>
      <c r="V594" s="491">
        <v>0.99</v>
      </c>
      <c r="W594" s="491">
        <v>1.7</v>
      </c>
      <c r="X594" s="491">
        <v>0</v>
      </c>
      <c r="Y594" s="1025" t="b">
        <v>1</v>
      </c>
      <c r="Z594" s="331">
        <v>0</v>
      </c>
      <c r="AA594" s="331">
        <v>0</v>
      </c>
      <c r="AB594" s="331">
        <v>0</v>
      </c>
      <c r="AC594" s="331">
        <v>0</v>
      </c>
      <c r="AD594" s="1025" t="b">
        <v>0</v>
      </c>
      <c r="AE594" s="331">
        <v>0.1</v>
      </c>
      <c r="AF594" s="331">
        <v>0.1</v>
      </c>
      <c r="AG594" s="331">
        <v>0.04</v>
      </c>
      <c r="AH594" s="331">
        <v>0</v>
      </c>
      <c r="AI594" s="1025" t="b">
        <v>1</v>
      </c>
      <c r="AJ594" s="331">
        <v>0</v>
      </c>
      <c r="AK594" s="331">
        <v>0</v>
      </c>
      <c r="AL594" s="331">
        <v>0</v>
      </c>
      <c r="AM594" s="331">
        <v>0</v>
      </c>
      <c r="AN594" s="1025" t="b">
        <v>0</v>
      </c>
      <c r="AO594" s="331">
        <v>0</v>
      </c>
      <c r="AP594" s="331">
        <v>0</v>
      </c>
      <c r="AQ594" s="331">
        <v>0</v>
      </c>
      <c r="AR594" s="331">
        <v>0</v>
      </c>
      <c r="AS594" s="1025" t="b">
        <v>0</v>
      </c>
      <c r="AT594" s="1025" t="b">
        <v>1</v>
      </c>
      <c r="AU594" s="331">
        <v>0</v>
      </c>
      <c r="AV594" s="491" t="s">
        <v>29</v>
      </c>
    </row>
    <row r="595" spans="1:48">
      <c r="A595" s="72">
        <v>41</v>
      </c>
      <c r="B595" s="391" t="s">
        <v>114</v>
      </c>
      <c r="C595" s="72">
        <f t="shared" si="27"/>
        <v>9</v>
      </c>
      <c r="D595" s="72" t="str">
        <f t="shared" si="28"/>
        <v>41-9</v>
      </c>
      <c r="E595" s="72">
        <v>69039</v>
      </c>
      <c r="F595" s="72" t="str">
        <f t="shared" si="29"/>
        <v>41-69039</v>
      </c>
      <c r="G595" s="391" t="s">
        <v>1084</v>
      </c>
      <c r="H595" s="491">
        <v>10939.85</v>
      </c>
      <c r="I595" s="491">
        <v>10058.74</v>
      </c>
      <c r="J595" s="491">
        <v>10357.129999999999</v>
      </c>
      <c r="K595" s="491">
        <v>12315.04</v>
      </c>
      <c r="L595" s="491" t="s">
        <v>29</v>
      </c>
      <c r="M595" s="1072">
        <v>0</v>
      </c>
      <c r="N595" s="1072">
        <v>0</v>
      </c>
      <c r="O595" s="491" t="s">
        <v>29</v>
      </c>
      <c r="P595" s="491">
        <v>0</v>
      </c>
      <c r="Q595" s="491">
        <v>0</v>
      </c>
      <c r="R595" s="491">
        <v>0.28999999999999998</v>
      </c>
      <c r="S595" s="491">
        <v>0</v>
      </c>
      <c r="T595" s="1025" t="b">
        <v>1</v>
      </c>
      <c r="U595" s="491">
        <v>0</v>
      </c>
      <c r="V595" s="491">
        <v>0</v>
      </c>
      <c r="W595" s="491">
        <v>2.1</v>
      </c>
      <c r="X595" s="491">
        <v>0</v>
      </c>
      <c r="Y595" s="1025" t="b">
        <v>1</v>
      </c>
      <c r="Z595" s="491">
        <v>0</v>
      </c>
      <c r="AA595" s="491">
        <v>0</v>
      </c>
      <c r="AB595" s="491">
        <v>0</v>
      </c>
      <c r="AC595" s="491">
        <v>0</v>
      </c>
      <c r="AD595" s="1025" t="b">
        <v>0</v>
      </c>
      <c r="AE595" s="491">
        <v>0</v>
      </c>
      <c r="AF595" s="491">
        <v>0.17</v>
      </c>
      <c r="AG595" s="491">
        <v>0.1</v>
      </c>
      <c r="AH595" s="491">
        <v>0</v>
      </c>
      <c r="AI595" s="1025" t="b">
        <v>1</v>
      </c>
      <c r="AJ595" s="491">
        <v>0</v>
      </c>
      <c r="AK595" s="491">
        <v>0</v>
      </c>
      <c r="AL595" s="491">
        <v>0</v>
      </c>
      <c r="AM595" s="491">
        <v>0</v>
      </c>
      <c r="AN595" s="1025" t="b">
        <v>0</v>
      </c>
      <c r="AO595" s="491">
        <v>0</v>
      </c>
      <c r="AP595" s="491">
        <v>0</v>
      </c>
      <c r="AQ595" s="491">
        <v>0</v>
      </c>
      <c r="AR595" s="491">
        <v>0</v>
      </c>
      <c r="AS595" s="1025" t="b">
        <v>0</v>
      </c>
      <c r="AT595" s="1025" t="b">
        <v>1</v>
      </c>
      <c r="AU595" s="491">
        <v>0</v>
      </c>
      <c r="AV595" s="491" t="s">
        <v>29</v>
      </c>
    </row>
    <row r="596" spans="1:48">
      <c r="A596" s="72">
        <v>41</v>
      </c>
      <c r="B596" s="391" t="s">
        <v>114</v>
      </c>
      <c r="C596" s="72">
        <f t="shared" si="27"/>
        <v>10</v>
      </c>
      <c r="D596" s="72" t="str">
        <f t="shared" si="28"/>
        <v>41-10</v>
      </c>
      <c r="E596" s="72">
        <v>69047</v>
      </c>
      <c r="F596" s="72" t="str">
        <f t="shared" si="29"/>
        <v>41-69047</v>
      </c>
      <c r="G596" s="391" t="s">
        <v>1085</v>
      </c>
      <c r="H596" s="331">
        <v>10680.6</v>
      </c>
      <c r="I596" s="331">
        <v>9820.3700000000008</v>
      </c>
      <c r="J596" s="331">
        <v>10111.69</v>
      </c>
      <c r="K596" s="331">
        <v>12023.2</v>
      </c>
      <c r="L596" s="491" t="s">
        <v>29</v>
      </c>
      <c r="M596" s="491" t="s">
        <v>29</v>
      </c>
      <c r="N596" s="491" t="s">
        <v>29</v>
      </c>
      <c r="O596" s="1072">
        <v>0</v>
      </c>
      <c r="P596" s="491">
        <v>0</v>
      </c>
      <c r="Q596" s="491">
        <v>0</v>
      </c>
      <c r="R596" s="491">
        <v>0</v>
      </c>
      <c r="S596" s="491">
        <v>6.01</v>
      </c>
      <c r="T596" s="1025" t="b">
        <v>1</v>
      </c>
      <c r="U596" s="491">
        <v>0</v>
      </c>
      <c r="V596" s="491">
        <v>0</v>
      </c>
      <c r="W596" s="491">
        <v>0</v>
      </c>
      <c r="X596" s="491">
        <v>14.01</v>
      </c>
      <c r="Y596" s="1025" t="b">
        <v>1</v>
      </c>
      <c r="Z596" s="331">
        <v>0</v>
      </c>
      <c r="AA596" s="331">
        <v>0</v>
      </c>
      <c r="AB596" s="331">
        <v>0</v>
      </c>
      <c r="AC596" s="331">
        <v>1.93</v>
      </c>
      <c r="AD596" s="1025" t="b">
        <v>1</v>
      </c>
      <c r="AE596" s="331">
        <v>0</v>
      </c>
      <c r="AF596" s="331">
        <v>0</v>
      </c>
      <c r="AG596" s="331">
        <v>0</v>
      </c>
      <c r="AH596" s="331">
        <v>2.04</v>
      </c>
      <c r="AI596" s="1025" t="b">
        <v>1</v>
      </c>
      <c r="AJ596" s="331">
        <v>0</v>
      </c>
      <c r="AK596" s="331">
        <v>0</v>
      </c>
      <c r="AL596" s="331">
        <v>0</v>
      </c>
      <c r="AM596" s="331">
        <v>0</v>
      </c>
      <c r="AN596" s="1025" t="b">
        <v>0</v>
      </c>
      <c r="AO596" s="331">
        <v>0</v>
      </c>
      <c r="AP596" s="331">
        <v>0</v>
      </c>
      <c r="AQ596" s="331">
        <v>0</v>
      </c>
      <c r="AR596" s="331">
        <v>0</v>
      </c>
      <c r="AS596" s="1025" t="b">
        <v>0</v>
      </c>
      <c r="AT596" s="1025" t="b">
        <v>1</v>
      </c>
      <c r="AU596" s="331">
        <v>0</v>
      </c>
      <c r="AV596" s="491" t="s">
        <v>29</v>
      </c>
    </row>
    <row r="597" spans="1:48">
      <c r="A597" s="72">
        <v>41</v>
      </c>
      <c r="B597" s="391" t="s">
        <v>114</v>
      </c>
      <c r="C597" s="72">
        <f t="shared" si="27"/>
        <v>11</v>
      </c>
      <c r="D597" s="72" t="str">
        <f t="shared" si="28"/>
        <v>41-11</v>
      </c>
      <c r="E597" s="72">
        <v>69062</v>
      </c>
      <c r="F597" s="72" t="str">
        <f t="shared" si="29"/>
        <v>41-69062</v>
      </c>
      <c r="G597" s="391" t="s">
        <v>1086</v>
      </c>
      <c r="H597" s="491">
        <v>10754.68</v>
      </c>
      <c r="I597" s="491">
        <v>9888.48</v>
      </c>
      <c r="J597" s="491">
        <v>10181.82</v>
      </c>
      <c r="K597" s="491">
        <v>12106.58</v>
      </c>
      <c r="L597" s="491" t="s">
        <v>29</v>
      </c>
      <c r="M597" s="491" t="s">
        <v>29</v>
      </c>
      <c r="N597" s="491" t="s">
        <v>29</v>
      </c>
      <c r="O597" s="1072">
        <v>0</v>
      </c>
      <c r="P597" s="491">
        <v>0</v>
      </c>
      <c r="Q597" s="491">
        <v>0</v>
      </c>
      <c r="R597" s="491">
        <v>0</v>
      </c>
      <c r="S597" s="491">
        <v>8.5</v>
      </c>
      <c r="T597" s="1025" t="b">
        <v>1</v>
      </c>
      <c r="U597" s="491">
        <v>0</v>
      </c>
      <c r="V597" s="491">
        <v>0</v>
      </c>
      <c r="W597" s="491">
        <v>0</v>
      </c>
      <c r="X597" s="491">
        <v>2.19</v>
      </c>
      <c r="Y597" s="1025" t="b">
        <v>1</v>
      </c>
      <c r="Z597" s="491">
        <v>0</v>
      </c>
      <c r="AA597" s="491">
        <v>0</v>
      </c>
      <c r="AB597" s="491">
        <v>0</v>
      </c>
      <c r="AC597" s="491">
        <v>1.04</v>
      </c>
      <c r="AD597" s="1025" t="b">
        <v>1</v>
      </c>
      <c r="AE597" s="491">
        <v>0</v>
      </c>
      <c r="AF597" s="491">
        <v>0</v>
      </c>
      <c r="AG597" s="491">
        <v>0</v>
      </c>
      <c r="AH597" s="491">
        <v>0.42</v>
      </c>
      <c r="AI597" s="1025" t="b">
        <v>1</v>
      </c>
      <c r="AJ597" s="491">
        <v>0</v>
      </c>
      <c r="AK597" s="491">
        <v>0</v>
      </c>
      <c r="AL597" s="491">
        <v>0</v>
      </c>
      <c r="AM597" s="491">
        <v>0</v>
      </c>
      <c r="AN597" s="1025" t="b">
        <v>0</v>
      </c>
      <c r="AO597" s="491">
        <v>0</v>
      </c>
      <c r="AP597" s="491">
        <v>0</v>
      </c>
      <c r="AQ597" s="491">
        <v>0</v>
      </c>
      <c r="AR597" s="491">
        <v>0</v>
      </c>
      <c r="AS597" s="1025" t="b">
        <v>0</v>
      </c>
      <c r="AT597" s="1025" t="b">
        <v>1</v>
      </c>
      <c r="AU597" s="491">
        <v>0</v>
      </c>
      <c r="AV597" s="491" t="s">
        <v>29</v>
      </c>
    </row>
    <row r="598" spans="1:48">
      <c r="A598" s="72">
        <v>41</v>
      </c>
      <c r="B598" s="391" t="s">
        <v>114</v>
      </c>
      <c r="C598" s="72">
        <f t="shared" si="27"/>
        <v>12</v>
      </c>
      <c r="D598" s="72" t="str">
        <f t="shared" si="28"/>
        <v>41-12</v>
      </c>
      <c r="E598" s="72">
        <v>69070</v>
      </c>
      <c r="F598" s="72" t="str">
        <f t="shared" si="29"/>
        <v>41-69070</v>
      </c>
      <c r="G598" s="391" t="s">
        <v>1087</v>
      </c>
      <c r="H598" s="331">
        <v>11034.57</v>
      </c>
      <c r="I598" s="331">
        <v>10145.83</v>
      </c>
      <c r="J598" s="331">
        <v>10446.799999999999</v>
      </c>
      <c r="K598" s="331">
        <v>12421.66</v>
      </c>
      <c r="L598" s="491" t="s">
        <v>29</v>
      </c>
      <c r="M598" s="1072">
        <v>0</v>
      </c>
      <c r="N598" s="1072">
        <v>0</v>
      </c>
      <c r="O598" s="1072">
        <v>0</v>
      </c>
      <c r="P598" s="491">
        <v>0</v>
      </c>
      <c r="Q598" s="491">
        <v>0</v>
      </c>
      <c r="R598" s="491">
        <v>0</v>
      </c>
      <c r="S598" s="491">
        <v>0.47</v>
      </c>
      <c r="T598" s="1025" t="b">
        <v>1</v>
      </c>
      <c r="U598" s="491">
        <v>0</v>
      </c>
      <c r="V598" s="491">
        <v>1.81</v>
      </c>
      <c r="W598" s="491">
        <v>1.4</v>
      </c>
      <c r="X598" s="491">
        <v>5.97</v>
      </c>
      <c r="Y598" s="1025" t="b">
        <v>1</v>
      </c>
      <c r="Z598" s="331">
        <v>0</v>
      </c>
      <c r="AA598" s="331">
        <v>0</v>
      </c>
      <c r="AB598" s="331">
        <v>0</v>
      </c>
      <c r="AC598" s="331">
        <v>1.04</v>
      </c>
      <c r="AD598" s="1025" t="b">
        <v>1</v>
      </c>
      <c r="AE598" s="331">
        <v>0</v>
      </c>
      <c r="AF598" s="331">
        <v>0</v>
      </c>
      <c r="AG598" s="331">
        <v>0.8</v>
      </c>
      <c r="AH598" s="331">
        <v>1.08</v>
      </c>
      <c r="AI598" s="1025" t="b">
        <v>1</v>
      </c>
      <c r="AJ598" s="331">
        <v>0</v>
      </c>
      <c r="AK598" s="331">
        <v>0</v>
      </c>
      <c r="AL598" s="331">
        <v>0</v>
      </c>
      <c r="AM598" s="331">
        <v>0</v>
      </c>
      <c r="AN598" s="1025" t="b">
        <v>0</v>
      </c>
      <c r="AO598" s="331">
        <v>0</v>
      </c>
      <c r="AP598" s="331">
        <v>0</v>
      </c>
      <c r="AQ598" s="331">
        <v>0</v>
      </c>
      <c r="AR598" s="331">
        <v>0</v>
      </c>
      <c r="AS598" s="1025" t="b">
        <v>0</v>
      </c>
      <c r="AT598" s="1025" t="b">
        <v>1</v>
      </c>
      <c r="AU598" s="331">
        <v>0</v>
      </c>
      <c r="AV598" s="491" t="s">
        <v>29</v>
      </c>
    </row>
    <row r="599" spans="1:48">
      <c r="A599" s="72">
        <v>41</v>
      </c>
      <c r="B599" s="391" t="s">
        <v>114</v>
      </c>
      <c r="C599" s="72">
        <f t="shared" si="27"/>
        <v>13</v>
      </c>
      <c r="D599" s="72" t="str">
        <f t="shared" si="28"/>
        <v>41-13</v>
      </c>
      <c r="E599" s="72">
        <v>69641</v>
      </c>
      <c r="F599" s="72" t="str">
        <f t="shared" si="29"/>
        <v>41-69641</v>
      </c>
      <c r="G599" s="391" t="s">
        <v>1113</v>
      </c>
      <c r="H599" s="331">
        <v>10469.52</v>
      </c>
      <c r="I599" s="331">
        <v>9626.2900000000009</v>
      </c>
      <c r="J599" s="331">
        <v>9911.85</v>
      </c>
      <c r="K599" s="331">
        <v>11785.58</v>
      </c>
      <c r="L599" s="491" t="s">
        <v>29</v>
      </c>
      <c r="M599" s="491" t="s">
        <v>29</v>
      </c>
      <c r="N599" s="491" t="s">
        <v>29</v>
      </c>
      <c r="O599" s="1072">
        <v>0</v>
      </c>
      <c r="P599" s="491">
        <v>0</v>
      </c>
      <c r="Q599" s="491">
        <v>0</v>
      </c>
      <c r="R599" s="491">
        <v>0</v>
      </c>
      <c r="S599" s="491">
        <v>0.01</v>
      </c>
      <c r="T599" s="1025" t="b">
        <v>1</v>
      </c>
      <c r="U599" s="491">
        <v>0</v>
      </c>
      <c r="V599" s="491">
        <v>0</v>
      </c>
      <c r="W599" s="491">
        <v>0</v>
      </c>
      <c r="X599" s="491">
        <v>0</v>
      </c>
      <c r="Y599" s="1025" t="b">
        <v>0</v>
      </c>
      <c r="Z599" s="331">
        <v>0</v>
      </c>
      <c r="AA599" s="331">
        <v>0</v>
      </c>
      <c r="AB599" s="331">
        <v>0</v>
      </c>
      <c r="AC599" s="331">
        <v>0</v>
      </c>
      <c r="AD599" s="1025" t="b">
        <v>0</v>
      </c>
      <c r="AE599" s="331">
        <v>0</v>
      </c>
      <c r="AF599" s="331">
        <v>0</v>
      </c>
      <c r="AG599" s="331">
        <v>0</v>
      </c>
      <c r="AH599" s="331">
        <v>0</v>
      </c>
      <c r="AI599" s="1025" t="b">
        <v>0</v>
      </c>
      <c r="AJ599" s="331">
        <v>0</v>
      </c>
      <c r="AK599" s="331">
        <v>0</v>
      </c>
      <c r="AL599" s="331">
        <v>0</v>
      </c>
      <c r="AM599" s="331">
        <v>0</v>
      </c>
      <c r="AN599" s="1025" t="b">
        <v>0</v>
      </c>
      <c r="AO599" s="331">
        <v>0</v>
      </c>
      <c r="AP599" s="331">
        <v>0</v>
      </c>
      <c r="AQ599" s="331">
        <v>0</v>
      </c>
      <c r="AR599" s="331">
        <v>0</v>
      </c>
      <c r="AS599" s="1025" t="b">
        <v>0</v>
      </c>
      <c r="AT599" s="1025" t="b">
        <v>0</v>
      </c>
      <c r="AU599" s="331">
        <v>118</v>
      </c>
      <c r="AV599" s="491" t="s">
        <v>29</v>
      </c>
    </row>
    <row r="600" spans="1:48">
      <c r="A600" s="72">
        <v>41</v>
      </c>
      <c r="B600" s="391" t="s">
        <v>114</v>
      </c>
      <c r="C600" s="72">
        <f t="shared" si="27"/>
        <v>0</v>
      </c>
      <c r="D600" s="72" t="str">
        <f t="shared" si="28"/>
        <v>41-0</v>
      </c>
      <c r="E600" s="72" t="s">
        <v>29</v>
      </c>
      <c r="F600" s="72" t="str">
        <f t="shared" si="29"/>
        <v>41-N/A</v>
      </c>
      <c r="G600" s="391" t="s">
        <v>29</v>
      </c>
      <c r="H600" s="491" t="s">
        <v>29</v>
      </c>
      <c r="I600" s="491" t="s">
        <v>29</v>
      </c>
      <c r="J600" s="491" t="s">
        <v>29</v>
      </c>
      <c r="K600" s="491" t="s">
        <v>29</v>
      </c>
      <c r="L600" s="491" t="s">
        <v>29</v>
      </c>
      <c r="M600" s="491" t="s">
        <v>29</v>
      </c>
      <c r="N600" s="491" t="s">
        <v>29</v>
      </c>
      <c r="O600" s="491" t="s">
        <v>29</v>
      </c>
      <c r="P600" s="491" t="s">
        <v>29</v>
      </c>
      <c r="Q600" s="491" t="s">
        <v>29</v>
      </c>
      <c r="R600" s="491" t="s">
        <v>29</v>
      </c>
      <c r="S600" s="491" t="s">
        <v>29</v>
      </c>
      <c r="T600" s="1025" t="s">
        <v>29</v>
      </c>
      <c r="U600" s="491" t="s">
        <v>29</v>
      </c>
      <c r="V600" s="491" t="s">
        <v>29</v>
      </c>
      <c r="W600" s="491" t="s">
        <v>29</v>
      </c>
      <c r="X600" s="491" t="s">
        <v>29</v>
      </c>
      <c r="Y600" s="1025" t="s">
        <v>29</v>
      </c>
      <c r="Z600" s="491" t="s">
        <v>29</v>
      </c>
      <c r="AA600" s="491" t="s">
        <v>29</v>
      </c>
      <c r="AB600" s="491" t="s">
        <v>29</v>
      </c>
      <c r="AC600" s="491" t="s">
        <v>29</v>
      </c>
      <c r="AD600" s="1025" t="s">
        <v>29</v>
      </c>
      <c r="AE600" s="491" t="s">
        <v>29</v>
      </c>
      <c r="AF600" s="491" t="s">
        <v>29</v>
      </c>
      <c r="AG600" s="491" t="s">
        <v>29</v>
      </c>
      <c r="AH600" s="491" t="s">
        <v>29</v>
      </c>
      <c r="AI600" s="1025" t="s">
        <v>29</v>
      </c>
      <c r="AJ600" s="491" t="s">
        <v>29</v>
      </c>
      <c r="AK600" s="491" t="s">
        <v>29</v>
      </c>
      <c r="AL600" s="491" t="s">
        <v>29</v>
      </c>
      <c r="AM600" s="491" t="s">
        <v>29</v>
      </c>
      <c r="AN600" s="1025" t="s">
        <v>29</v>
      </c>
      <c r="AO600" s="491" t="s">
        <v>29</v>
      </c>
      <c r="AP600" s="491" t="s">
        <v>29</v>
      </c>
      <c r="AQ600" s="491" t="s">
        <v>29</v>
      </c>
      <c r="AR600" s="491" t="s">
        <v>29</v>
      </c>
      <c r="AS600" s="1025" t="s">
        <v>29</v>
      </c>
      <c r="AT600" s="1025" t="s">
        <v>29</v>
      </c>
      <c r="AU600" s="491" t="s">
        <v>29</v>
      </c>
      <c r="AV600" s="491">
        <v>118</v>
      </c>
    </row>
    <row r="601" spans="1:48">
      <c r="A601" s="72">
        <v>42</v>
      </c>
      <c r="B601" s="391" t="s">
        <v>115</v>
      </c>
      <c r="C601" s="72">
        <f t="shared" si="27"/>
        <v>1</v>
      </c>
      <c r="D601" s="72" t="str">
        <f t="shared" si="28"/>
        <v>42-1</v>
      </c>
      <c r="E601" s="72">
        <v>69120</v>
      </c>
      <c r="F601" s="72" t="str">
        <f t="shared" si="29"/>
        <v>42-69120</v>
      </c>
      <c r="G601" s="391" t="s">
        <v>1088</v>
      </c>
      <c r="H601" s="491">
        <v>14320.76</v>
      </c>
      <c r="I601" s="491">
        <v>13167.35</v>
      </c>
      <c r="J601" s="491">
        <v>13557.95</v>
      </c>
      <c r="K601" s="491">
        <v>16120.94</v>
      </c>
      <c r="L601" s="1072">
        <v>0</v>
      </c>
      <c r="M601" s="1072">
        <v>0</v>
      </c>
      <c r="N601" s="1072">
        <v>0</v>
      </c>
      <c r="O601" s="1072">
        <v>0</v>
      </c>
      <c r="P601" s="491">
        <v>0</v>
      </c>
      <c r="Q601" s="491">
        <v>0</v>
      </c>
      <c r="R601" s="491">
        <v>4.21</v>
      </c>
      <c r="S601" s="491">
        <v>0</v>
      </c>
      <c r="T601" s="1025" t="b">
        <v>1</v>
      </c>
      <c r="U601" s="491">
        <v>5.89</v>
      </c>
      <c r="V601" s="491">
        <v>5.91</v>
      </c>
      <c r="W601" s="491">
        <v>6.63</v>
      </c>
      <c r="X601" s="491">
        <v>0</v>
      </c>
      <c r="Y601" s="1025" t="b">
        <v>1</v>
      </c>
      <c r="Z601" s="491">
        <v>0</v>
      </c>
      <c r="AA601" s="491">
        <v>0</v>
      </c>
      <c r="AB601" s="491">
        <v>0</v>
      </c>
      <c r="AC601" s="491">
        <v>0</v>
      </c>
      <c r="AD601" s="1025" t="b">
        <v>0</v>
      </c>
      <c r="AE601" s="491">
        <v>0</v>
      </c>
      <c r="AF601" s="491">
        <v>0</v>
      </c>
      <c r="AG601" s="491">
        <v>0</v>
      </c>
      <c r="AH601" s="491">
        <v>0</v>
      </c>
      <c r="AI601" s="1025" t="b">
        <v>0</v>
      </c>
      <c r="AJ601" s="491">
        <v>0</v>
      </c>
      <c r="AK601" s="491">
        <v>0</v>
      </c>
      <c r="AL601" s="491">
        <v>0</v>
      </c>
      <c r="AM601" s="491">
        <v>0</v>
      </c>
      <c r="AN601" s="1025" t="b">
        <v>0</v>
      </c>
      <c r="AO601" s="491">
        <v>0</v>
      </c>
      <c r="AP601" s="491">
        <v>0</v>
      </c>
      <c r="AQ601" s="491">
        <v>0</v>
      </c>
      <c r="AR601" s="491">
        <v>0</v>
      </c>
      <c r="AS601" s="1025" t="b">
        <v>0</v>
      </c>
      <c r="AT601" s="1025" t="b">
        <v>1</v>
      </c>
      <c r="AU601" s="491">
        <v>0</v>
      </c>
      <c r="AV601" s="491" t="s">
        <v>29</v>
      </c>
    </row>
    <row r="602" spans="1:48">
      <c r="A602" s="72">
        <v>42</v>
      </c>
      <c r="B602" s="391" t="s">
        <v>115</v>
      </c>
      <c r="C602" s="72">
        <f t="shared" si="27"/>
        <v>2</v>
      </c>
      <c r="D602" s="72" t="str">
        <f t="shared" si="28"/>
        <v>42-2</v>
      </c>
      <c r="E602" s="72">
        <v>69195</v>
      </c>
      <c r="F602" s="72" t="str">
        <f t="shared" si="29"/>
        <v>42-69195</v>
      </c>
      <c r="G602" s="391" t="s">
        <v>1089</v>
      </c>
      <c r="H602" s="331">
        <v>10958.27</v>
      </c>
      <c r="I602" s="331">
        <v>10075.67</v>
      </c>
      <c r="J602" s="331">
        <v>10374.57</v>
      </c>
      <c r="K602" s="331">
        <v>12335.77</v>
      </c>
      <c r="L602" s="1072">
        <v>0</v>
      </c>
      <c r="M602" s="1072">
        <v>0</v>
      </c>
      <c r="N602" s="1072">
        <v>0</v>
      </c>
      <c r="O602" s="1072">
        <v>0</v>
      </c>
      <c r="P602" s="491">
        <v>0</v>
      </c>
      <c r="Q602" s="491">
        <v>0</v>
      </c>
      <c r="R602" s="491">
        <v>0</v>
      </c>
      <c r="S602" s="491">
        <v>0</v>
      </c>
      <c r="T602" s="1025" t="b">
        <v>0</v>
      </c>
      <c r="U602" s="491">
        <v>0</v>
      </c>
      <c r="V602" s="491">
        <v>0.79</v>
      </c>
      <c r="W602" s="491">
        <v>0</v>
      </c>
      <c r="X602" s="491">
        <v>0</v>
      </c>
      <c r="Y602" s="1025" t="b">
        <v>1</v>
      </c>
      <c r="Z602" s="331">
        <v>0</v>
      </c>
      <c r="AA602" s="331">
        <v>0</v>
      </c>
      <c r="AB602" s="331">
        <v>0</v>
      </c>
      <c r="AC602" s="331">
        <v>0</v>
      </c>
      <c r="AD602" s="1025" t="b">
        <v>0</v>
      </c>
      <c r="AE602" s="331">
        <v>0</v>
      </c>
      <c r="AF602" s="331">
        <v>0</v>
      </c>
      <c r="AG602" s="331">
        <v>0</v>
      </c>
      <c r="AH602" s="331">
        <v>0</v>
      </c>
      <c r="AI602" s="1025" t="b">
        <v>0</v>
      </c>
      <c r="AJ602" s="331">
        <v>0</v>
      </c>
      <c r="AK602" s="331">
        <v>0</v>
      </c>
      <c r="AL602" s="331">
        <v>0</v>
      </c>
      <c r="AM602" s="331">
        <v>0</v>
      </c>
      <c r="AN602" s="1025" t="b">
        <v>0</v>
      </c>
      <c r="AO602" s="331">
        <v>0</v>
      </c>
      <c r="AP602" s="331">
        <v>0</v>
      </c>
      <c r="AQ602" s="331">
        <v>0</v>
      </c>
      <c r="AR602" s="331">
        <v>0</v>
      </c>
      <c r="AS602" s="1025" t="b">
        <v>0</v>
      </c>
      <c r="AT602" s="1025" t="b">
        <v>1</v>
      </c>
      <c r="AU602" s="331">
        <v>0</v>
      </c>
      <c r="AV602" s="491" t="s">
        <v>29</v>
      </c>
    </row>
    <row r="603" spans="1:48">
      <c r="A603" s="72">
        <v>42</v>
      </c>
      <c r="B603" s="391" t="s">
        <v>115</v>
      </c>
      <c r="C603" s="72">
        <f t="shared" si="27"/>
        <v>3</v>
      </c>
      <c r="D603" s="72" t="str">
        <f t="shared" si="28"/>
        <v>42-3</v>
      </c>
      <c r="E603" s="72">
        <v>69229</v>
      </c>
      <c r="F603" s="72" t="str">
        <f t="shared" si="29"/>
        <v>42-69229</v>
      </c>
      <c r="G603" s="391" t="s">
        <v>1090</v>
      </c>
      <c r="H603" s="331">
        <v>12216.92</v>
      </c>
      <c r="I603" s="331">
        <v>11232.95</v>
      </c>
      <c r="J603" s="331">
        <v>11566.17</v>
      </c>
      <c r="K603" s="331">
        <v>13752.64</v>
      </c>
      <c r="L603" s="1072">
        <v>0</v>
      </c>
      <c r="M603" s="1072">
        <v>0</v>
      </c>
      <c r="N603" s="1072">
        <v>0</v>
      </c>
      <c r="O603" s="1072">
        <v>0</v>
      </c>
      <c r="P603" s="491">
        <v>0</v>
      </c>
      <c r="Q603" s="491">
        <v>0</v>
      </c>
      <c r="R603" s="491">
        <v>0</v>
      </c>
      <c r="S603" s="491">
        <v>0</v>
      </c>
      <c r="T603" s="1025" t="b">
        <v>0</v>
      </c>
      <c r="U603" s="491">
        <v>3.63</v>
      </c>
      <c r="V603" s="491">
        <v>3.87</v>
      </c>
      <c r="W603" s="491">
        <v>0.8</v>
      </c>
      <c r="X603" s="491">
        <v>7.82</v>
      </c>
      <c r="Y603" s="1025" t="b">
        <v>1</v>
      </c>
      <c r="Z603" s="331">
        <v>0</v>
      </c>
      <c r="AA603" s="331">
        <v>0</v>
      </c>
      <c r="AB603" s="331">
        <v>0</v>
      </c>
      <c r="AC603" s="331">
        <v>0</v>
      </c>
      <c r="AD603" s="1025" t="b">
        <v>0</v>
      </c>
      <c r="AE603" s="331">
        <v>0</v>
      </c>
      <c r="AF603" s="331">
        <v>0</v>
      </c>
      <c r="AG603" s="331">
        <v>0</v>
      </c>
      <c r="AH603" s="331">
        <v>0</v>
      </c>
      <c r="AI603" s="1025" t="b">
        <v>0</v>
      </c>
      <c r="AJ603" s="331">
        <v>0</v>
      </c>
      <c r="AK603" s="331">
        <v>0</v>
      </c>
      <c r="AL603" s="331">
        <v>0</v>
      </c>
      <c r="AM603" s="331">
        <v>0</v>
      </c>
      <c r="AN603" s="1025" t="b">
        <v>0</v>
      </c>
      <c r="AO603" s="331">
        <v>0</v>
      </c>
      <c r="AP603" s="331">
        <v>0</v>
      </c>
      <c r="AQ603" s="331">
        <v>0</v>
      </c>
      <c r="AR603" s="331">
        <v>0</v>
      </c>
      <c r="AS603" s="1025" t="b">
        <v>0</v>
      </c>
      <c r="AT603" s="1025" t="b">
        <v>1</v>
      </c>
      <c r="AU603" s="331">
        <v>0</v>
      </c>
      <c r="AV603" s="491" t="s">
        <v>29</v>
      </c>
    </row>
    <row r="604" spans="1:48">
      <c r="A604" s="72">
        <v>42</v>
      </c>
      <c r="B604" s="391" t="s">
        <v>115</v>
      </c>
      <c r="C604" s="72">
        <f t="shared" si="27"/>
        <v>4</v>
      </c>
      <c r="D604" s="72" t="str">
        <f t="shared" si="28"/>
        <v>42-4</v>
      </c>
      <c r="E604" s="72">
        <v>69260</v>
      </c>
      <c r="F604" s="72" t="str">
        <f t="shared" si="29"/>
        <v>42-69260</v>
      </c>
      <c r="G604" s="391" t="s">
        <v>1653</v>
      </c>
      <c r="H604" s="331">
        <v>11039.63</v>
      </c>
      <c r="I604" s="331">
        <v>10150.48</v>
      </c>
      <c r="J604" s="331">
        <v>10451.59</v>
      </c>
      <c r="K604" s="331">
        <v>12427.35</v>
      </c>
      <c r="L604" s="1072">
        <v>0</v>
      </c>
      <c r="M604" s="1072">
        <v>0</v>
      </c>
      <c r="N604" s="1072">
        <v>0</v>
      </c>
      <c r="O604" s="1072">
        <v>0</v>
      </c>
      <c r="P604" s="491">
        <v>0</v>
      </c>
      <c r="Q604" s="491">
        <v>0</v>
      </c>
      <c r="R604" s="491">
        <v>0</v>
      </c>
      <c r="S604" s="491">
        <v>0</v>
      </c>
      <c r="T604" s="1025" t="b">
        <v>0</v>
      </c>
      <c r="U604" s="491">
        <v>0</v>
      </c>
      <c r="V604" s="491">
        <v>0.75</v>
      </c>
      <c r="W604" s="491">
        <v>0.89</v>
      </c>
      <c r="X604" s="491">
        <v>0</v>
      </c>
      <c r="Y604" s="1025" t="b">
        <v>1</v>
      </c>
      <c r="Z604" s="331">
        <v>0</v>
      </c>
      <c r="AA604" s="331">
        <v>0</v>
      </c>
      <c r="AB604" s="331">
        <v>0</v>
      </c>
      <c r="AC604" s="331">
        <v>0</v>
      </c>
      <c r="AD604" s="1025" t="b">
        <v>0</v>
      </c>
      <c r="AE604" s="331">
        <v>0</v>
      </c>
      <c r="AF604" s="331">
        <v>0</v>
      </c>
      <c r="AG604" s="331">
        <v>0</v>
      </c>
      <c r="AH604" s="331">
        <v>0</v>
      </c>
      <c r="AI604" s="1025" t="b">
        <v>0</v>
      </c>
      <c r="AJ604" s="331">
        <v>0</v>
      </c>
      <c r="AK604" s="331">
        <v>0</v>
      </c>
      <c r="AL604" s="331">
        <v>0</v>
      </c>
      <c r="AM604" s="331">
        <v>0</v>
      </c>
      <c r="AN604" s="1025" t="b">
        <v>0</v>
      </c>
      <c r="AO604" s="331">
        <v>0</v>
      </c>
      <c r="AP604" s="331">
        <v>0</v>
      </c>
      <c r="AQ604" s="331">
        <v>0</v>
      </c>
      <c r="AR604" s="331">
        <v>0</v>
      </c>
      <c r="AS604" s="1025" t="b">
        <v>0</v>
      </c>
      <c r="AT604" s="1025" t="b">
        <v>1</v>
      </c>
      <c r="AU604" s="331">
        <v>0</v>
      </c>
      <c r="AV604" s="491" t="s">
        <v>29</v>
      </c>
    </row>
    <row r="605" spans="1:48">
      <c r="A605" s="72">
        <v>42</v>
      </c>
      <c r="B605" s="391" t="s">
        <v>115</v>
      </c>
      <c r="C605" s="72">
        <f t="shared" si="27"/>
        <v>5</v>
      </c>
      <c r="D605" s="72" t="str">
        <f t="shared" si="28"/>
        <v>42-5</v>
      </c>
      <c r="E605" s="72">
        <v>69310</v>
      </c>
      <c r="F605" s="72" t="str">
        <f t="shared" si="29"/>
        <v>42-69310</v>
      </c>
      <c r="G605" s="391" t="s">
        <v>1091</v>
      </c>
      <c r="H605" s="331">
        <v>13207.77</v>
      </c>
      <c r="I605" s="331">
        <v>12144</v>
      </c>
      <c r="J605" s="331">
        <v>12504.25</v>
      </c>
      <c r="K605" s="331">
        <v>14868.05</v>
      </c>
      <c r="L605" s="1072">
        <v>0</v>
      </c>
      <c r="M605" s="1072">
        <v>0</v>
      </c>
      <c r="N605" s="1072">
        <v>0</v>
      </c>
      <c r="O605" s="1072">
        <v>0</v>
      </c>
      <c r="P605" s="491">
        <v>0</v>
      </c>
      <c r="Q605" s="491">
        <v>0</v>
      </c>
      <c r="R605" s="491">
        <v>0</v>
      </c>
      <c r="S605" s="491">
        <v>3.3</v>
      </c>
      <c r="T605" s="1025" t="b">
        <v>1</v>
      </c>
      <c r="U605" s="491">
        <v>0</v>
      </c>
      <c r="V605" s="491">
        <v>0</v>
      </c>
      <c r="W605" s="491">
        <v>0</v>
      </c>
      <c r="X605" s="491">
        <v>2.81</v>
      </c>
      <c r="Y605" s="1025" t="b">
        <v>1</v>
      </c>
      <c r="Z605" s="331">
        <v>0</v>
      </c>
      <c r="AA605" s="331">
        <v>0</v>
      </c>
      <c r="AB605" s="331">
        <v>0</v>
      </c>
      <c r="AC605" s="331">
        <v>0</v>
      </c>
      <c r="AD605" s="1025" t="b">
        <v>0</v>
      </c>
      <c r="AE605" s="331">
        <v>0</v>
      </c>
      <c r="AF605" s="331">
        <v>0</v>
      </c>
      <c r="AG605" s="331">
        <v>0</v>
      </c>
      <c r="AH605" s="331">
        <v>0</v>
      </c>
      <c r="AI605" s="1025" t="b">
        <v>0</v>
      </c>
      <c r="AJ605" s="331">
        <v>0</v>
      </c>
      <c r="AK605" s="331">
        <v>0</v>
      </c>
      <c r="AL605" s="331">
        <v>0</v>
      </c>
      <c r="AM605" s="331">
        <v>0</v>
      </c>
      <c r="AN605" s="1025" t="b">
        <v>0</v>
      </c>
      <c r="AO605" s="331">
        <v>0</v>
      </c>
      <c r="AP605" s="331">
        <v>0</v>
      </c>
      <c r="AQ605" s="331">
        <v>0</v>
      </c>
      <c r="AR605" s="331">
        <v>0</v>
      </c>
      <c r="AS605" s="1025" t="b">
        <v>0</v>
      </c>
      <c r="AT605" s="1025" t="b">
        <v>1</v>
      </c>
      <c r="AU605" s="331">
        <v>0</v>
      </c>
      <c r="AV605" s="491" t="s">
        <v>29</v>
      </c>
    </row>
    <row r="606" spans="1:48">
      <c r="A606" s="72">
        <v>42</v>
      </c>
      <c r="B606" s="391" t="s">
        <v>115</v>
      </c>
      <c r="C606" s="72">
        <f t="shared" si="27"/>
        <v>6</v>
      </c>
      <c r="D606" s="72" t="str">
        <f t="shared" si="28"/>
        <v>42-6</v>
      </c>
      <c r="E606" s="72">
        <v>76786</v>
      </c>
      <c r="F606" s="72" t="str">
        <f t="shared" si="29"/>
        <v>42-76786</v>
      </c>
      <c r="G606" s="391" t="s">
        <v>1092</v>
      </c>
      <c r="H606" s="331">
        <v>11558.93</v>
      </c>
      <c r="I606" s="331">
        <v>10627.96</v>
      </c>
      <c r="J606" s="331">
        <v>10943.23</v>
      </c>
      <c r="K606" s="331">
        <v>13011.94</v>
      </c>
      <c r="L606" s="1072">
        <v>0</v>
      </c>
      <c r="M606" s="1072">
        <v>0</v>
      </c>
      <c r="N606" s="1072">
        <v>0</v>
      </c>
      <c r="O606" s="1072">
        <v>0</v>
      </c>
      <c r="P606" s="491">
        <v>0</v>
      </c>
      <c r="Q606" s="491">
        <v>0</v>
      </c>
      <c r="R606" s="491">
        <v>0</v>
      </c>
      <c r="S606" s="491">
        <v>0</v>
      </c>
      <c r="T606" s="1025" t="b">
        <v>0</v>
      </c>
      <c r="U606" s="491">
        <v>0</v>
      </c>
      <c r="V606" s="491">
        <v>2.87</v>
      </c>
      <c r="W606" s="491">
        <v>0</v>
      </c>
      <c r="X606" s="491">
        <v>0</v>
      </c>
      <c r="Y606" s="1025" t="b">
        <v>1</v>
      </c>
      <c r="Z606" s="331">
        <v>0</v>
      </c>
      <c r="AA606" s="331">
        <v>0</v>
      </c>
      <c r="AB606" s="331">
        <v>0</v>
      </c>
      <c r="AC606" s="331">
        <v>0</v>
      </c>
      <c r="AD606" s="1025" t="b">
        <v>0</v>
      </c>
      <c r="AE606" s="331">
        <v>0</v>
      </c>
      <c r="AF606" s="331">
        <v>0</v>
      </c>
      <c r="AG606" s="331">
        <v>0</v>
      </c>
      <c r="AH606" s="331">
        <v>0</v>
      </c>
      <c r="AI606" s="1025" t="b">
        <v>0</v>
      </c>
      <c r="AJ606" s="331">
        <v>0</v>
      </c>
      <c r="AK606" s="331">
        <v>0</v>
      </c>
      <c r="AL606" s="331">
        <v>0</v>
      </c>
      <c r="AM606" s="331">
        <v>0</v>
      </c>
      <c r="AN606" s="1025" t="b">
        <v>0</v>
      </c>
      <c r="AO606" s="331">
        <v>0</v>
      </c>
      <c r="AP606" s="331">
        <v>0</v>
      </c>
      <c r="AQ606" s="331">
        <v>0</v>
      </c>
      <c r="AR606" s="331">
        <v>0</v>
      </c>
      <c r="AS606" s="1025" t="b">
        <v>0</v>
      </c>
      <c r="AT606" s="1025" t="b">
        <v>1</v>
      </c>
      <c r="AU606" s="331">
        <v>0</v>
      </c>
      <c r="AV606" s="491" t="s">
        <v>29</v>
      </c>
    </row>
    <row r="607" spans="1:48">
      <c r="A607" s="72">
        <v>42</v>
      </c>
      <c r="B607" s="391" t="s">
        <v>115</v>
      </c>
      <c r="C607" s="72">
        <f t="shared" si="27"/>
        <v>0</v>
      </c>
      <c r="D607" s="72" t="str">
        <f t="shared" si="28"/>
        <v>42-0</v>
      </c>
      <c r="E607" s="72" t="s">
        <v>29</v>
      </c>
      <c r="F607" s="72" t="str">
        <f t="shared" si="29"/>
        <v>42-N/A</v>
      </c>
      <c r="G607" s="391" t="s">
        <v>29</v>
      </c>
      <c r="H607" s="491" t="s">
        <v>29</v>
      </c>
      <c r="I607" s="491" t="s">
        <v>29</v>
      </c>
      <c r="J607" s="491" t="s">
        <v>29</v>
      </c>
      <c r="K607" s="491" t="s">
        <v>29</v>
      </c>
      <c r="L607" s="491" t="s">
        <v>29</v>
      </c>
      <c r="M607" s="491" t="s">
        <v>29</v>
      </c>
      <c r="N607" s="491" t="s">
        <v>29</v>
      </c>
      <c r="O607" s="491" t="s">
        <v>29</v>
      </c>
      <c r="P607" s="491" t="s">
        <v>29</v>
      </c>
      <c r="Q607" s="491" t="s">
        <v>29</v>
      </c>
      <c r="R607" s="491" t="s">
        <v>29</v>
      </c>
      <c r="S607" s="491" t="s">
        <v>29</v>
      </c>
      <c r="T607" s="1025" t="s">
        <v>29</v>
      </c>
      <c r="U607" s="491" t="s">
        <v>29</v>
      </c>
      <c r="V607" s="491" t="s">
        <v>29</v>
      </c>
      <c r="W607" s="491" t="s">
        <v>29</v>
      </c>
      <c r="X607" s="491" t="s">
        <v>29</v>
      </c>
      <c r="Y607" s="1025" t="s">
        <v>29</v>
      </c>
      <c r="Z607" s="491" t="s">
        <v>29</v>
      </c>
      <c r="AA607" s="491" t="s">
        <v>29</v>
      </c>
      <c r="AB607" s="491" t="s">
        <v>29</v>
      </c>
      <c r="AC607" s="491" t="s">
        <v>29</v>
      </c>
      <c r="AD607" s="1025" t="s">
        <v>29</v>
      </c>
      <c r="AE607" s="491" t="s">
        <v>29</v>
      </c>
      <c r="AF607" s="491" t="s">
        <v>29</v>
      </c>
      <c r="AG607" s="491" t="s">
        <v>29</v>
      </c>
      <c r="AH607" s="491" t="s">
        <v>29</v>
      </c>
      <c r="AI607" s="1025" t="s">
        <v>29</v>
      </c>
      <c r="AJ607" s="491" t="s">
        <v>29</v>
      </c>
      <c r="AK607" s="491" t="s">
        <v>29</v>
      </c>
      <c r="AL607" s="491" t="s">
        <v>29</v>
      </c>
      <c r="AM607" s="491" t="s">
        <v>29</v>
      </c>
      <c r="AN607" s="1025" t="s">
        <v>29</v>
      </c>
      <c r="AO607" s="491" t="s">
        <v>29</v>
      </c>
      <c r="AP607" s="491" t="s">
        <v>29</v>
      </c>
      <c r="AQ607" s="491" t="s">
        <v>29</v>
      </c>
      <c r="AR607" s="491" t="s">
        <v>29</v>
      </c>
      <c r="AS607" s="1025" t="s">
        <v>29</v>
      </c>
      <c r="AT607" s="1025" t="s">
        <v>29</v>
      </c>
      <c r="AU607" s="491" t="s">
        <v>29</v>
      </c>
      <c r="AV607" s="491">
        <v>0</v>
      </c>
    </row>
    <row r="608" spans="1:48">
      <c r="A608" s="72">
        <v>43</v>
      </c>
      <c r="B608" s="391" t="s">
        <v>116</v>
      </c>
      <c r="C608" s="72">
        <f t="shared" si="27"/>
        <v>1</v>
      </c>
      <c r="D608" s="72" t="str">
        <f t="shared" si="28"/>
        <v>43-1</v>
      </c>
      <c r="E608" s="72">
        <v>68999</v>
      </c>
      <c r="F608" s="72" t="str">
        <f t="shared" si="29"/>
        <v>43-68999</v>
      </c>
      <c r="G608" s="391" t="s">
        <v>1081</v>
      </c>
      <c r="H608" s="331">
        <v>14323.34</v>
      </c>
      <c r="I608" s="331">
        <v>13169.72</v>
      </c>
      <c r="J608" s="331">
        <v>13560.39</v>
      </c>
      <c r="K608" s="331">
        <v>16123.85</v>
      </c>
      <c r="L608" s="1072">
        <v>0</v>
      </c>
      <c r="M608" s="1072">
        <v>0</v>
      </c>
      <c r="N608" s="1072">
        <v>0</v>
      </c>
      <c r="O608" s="1072">
        <v>0</v>
      </c>
      <c r="P608" s="491">
        <v>0</v>
      </c>
      <c r="Q608" s="491">
        <v>0</v>
      </c>
      <c r="R608" s="491">
        <v>0</v>
      </c>
      <c r="S608" s="491">
        <v>0</v>
      </c>
      <c r="T608" s="1025" t="b">
        <v>0</v>
      </c>
      <c r="U608" s="491">
        <v>1.19</v>
      </c>
      <c r="V608" s="491">
        <v>0</v>
      </c>
      <c r="W608" s="491">
        <v>0</v>
      </c>
      <c r="X608" s="491">
        <v>0</v>
      </c>
      <c r="Y608" s="1025" t="b">
        <v>1</v>
      </c>
      <c r="Z608" s="331">
        <v>0</v>
      </c>
      <c r="AA608" s="331">
        <v>0</v>
      </c>
      <c r="AB608" s="331">
        <v>0</v>
      </c>
      <c r="AC608" s="331">
        <v>0</v>
      </c>
      <c r="AD608" s="1025" t="b">
        <v>0</v>
      </c>
      <c r="AE608" s="331">
        <v>0.1</v>
      </c>
      <c r="AF608" s="331">
        <v>0</v>
      </c>
      <c r="AG608" s="331">
        <v>0</v>
      </c>
      <c r="AH608" s="331">
        <v>0</v>
      </c>
      <c r="AI608" s="1025" t="b">
        <v>1</v>
      </c>
      <c r="AJ608" s="331">
        <v>0</v>
      </c>
      <c r="AK608" s="331">
        <v>0</v>
      </c>
      <c r="AL608" s="331">
        <v>0</v>
      </c>
      <c r="AM608" s="331">
        <v>0</v>
      </c>
      <c r="AN608" s="1025" t="b">
        <v>0</v>
      </c>
      <c r="AO608" s="331">
        <v>0</v>
      </c>
      <c r="AP608" s="331">
        <v>0</v>
      </c>
      <c r="AQ608" s="331">
        <v>0</v>
      </c>
      <c r="AR608" s="331">
        <v>0</v>
      </c>
      <c r="AS608" s="1025" t="b">
        <v>0</v>
      </c>
      <c r="AT608" s="1025" t="b">
        <v>0</v>
      </c>
      <c r="AU608" s="331">
        <v>18477</v>
      </c>
      <c r="AV608" s="491" t="s">
        <v>29</v>
      </c>
    </row>
    <row r="609" spans="1:48">
      <c r="A609" s="72">
        <v>43</v>
      </c>
      <c r="B609" s="391" t="s">
        <v>116</v>
      </c>
      <c r="C609" s="72">
        <f t="shared" si="27"/>
        <v>2</v>
      </c>
      <c r="D609" s="72" t="str">
        <f t="shared" si="28"/>
        <v>43-2</v>
      </c>
      <c r="E609" s="72">
        <v>69039</v>
      </c>
      <c r="F609" s="72" t="str">
        <f t="shared" si="29"/>
        <v>43-69039</v>
      </c>
      <c r="G609" s="391" t="s">
        <v>1084</v>
      </c>
      <c r="H609" s="331">
        <v>10939.85</v>
      </c>
      <c r="I609" s="331">
        <v>10058.74</v>
      </c>
      <c r="J609" s="331">
        <v>10357.129999999999</v>
      </c>
      <c r="K609" s="331">
        <v>12315.04</v>
      </c>
      <c r="L609" s="1072">
        <v>0</v>
      </c>
      <c r="M609" s="1072">
        <v>0</v>
      </c>
      <c r="N609" s="1072">
        <v>0</v>
      </c>
      <c r="O609" s="1072">
        <v>0</v>
      </c>
      <c r="P609" s="491">
        <v>0</v>
      </c>
      <c r="Q609" s="491">
        <v>0</v>
      </c>
      <c r="R609" s="491">
        <v>0</v>
      </c>
      <c r="S609" s="491">
        <v>0</v>
      </c>
      <c r="T609" s="1025" t="b">
        <v>0</v>
      </c>
      <c r="U609" s="491">
        <v>1.18</v>
      </c>
      <c r="V609" s="491">
        <v>0</v>
      </c>
      <c r="W609" s="491">
        <v>0</v>
      </c>
      <c r="X609" s="491">
        <v>0</v>
      </c>
      <c r="Y609" s="1025" t="b">
        <v>1</v>
      </c>
      <c r="Z609" s="331">
        <v>0</v>
      </c>
      <c r="AA609" s="331">
        <v>0</v>
      </c>
      <c r="AB609" s="331">
        <v>0</v>
      </c>
      <c r="AC609" s="331">
        <v>0</v>
      </c>
      <c r="AD609" s="1025" t="b">
        <v>0</v>
      </c>
      <c r="AE609" s="331">
        <v>0.06</v>
      </c>
      <c r="AF609" s="331">
        <v>0</v>
      </c>
      <c r="AG609" s="331">
        <v>0</v>
      </c>
      <c r="AH609" s="331">
        <v>0</v>
      </c>
      <c r="AI609" s="1025" t="b">
        <v>1</v>
      </c>
      <c r="AJ609" s="331">
        <v>0</v>
      </c>
      <c r="AK609" s="331">
        <v>0</v>
      </c>
      <c r="AL609" s="331">
        <v>0</v>
      </c>
      <c r="AM609" s="331">
        <v>0</v>
      </c>
      <c r="AN609" s="1025" t="b">
        <v>0</v>
      </c>
      <c r="AO609" s="331">
        <v>0</v>
      </c>
      <c r="AP609" s="331">
        <v>0</v>
      </c>
      <c r="AQ609" s="331">
        <v>0</v>
      </c>
      <c r="AR609" s="331">
        <v>0</v>
      </c>
      <c r="AS609" s="1025" t="b">
        <v>0</v>
      </c>
      <c r="AT609" s="1025" t="b">
        <v>1</v>
      </c>
      <c r="AU609" s="331">
        <v>0</v>
      </c>
      <c r="AV609" s="491" t="s">
        <v>29</v>
      </c>
    </row>
    <row r="610" spans="1:48">
      <c r="A610" s="72">
        <v>43</v>
      </c>
      <c r="B610" s="391" t="s">
        <v>116</v>
      </c>
      <c r="C610" s="72">
        <f t="shared" si="27"/>
        <v>3</v>
      </c>
      <c r="D610" s="72" t="str">
        <f t="shared" si="28"/>
        <v>43-3</v>
      </c>
      <c r="E610" s="72">
        <v>69070</v>
      </c>
      <c r="F610" s="72" t="str">
        <f t="shared" si="29"/>
        <v>43-69070</v>
      </c>
      <c r="G610" s="391" t="s">
        <v>1087</v>
      </c>
      <c r="H610" s="331">
        <v>11034.57</v>
      </c>
      <c r="I610" s="331">
        <v>10145.83</v>
      </c>
      <c r="J610" s="331">
        <v>10446.799999999999</v>
      </c>
      <c r="K610" s="331">
        <v>12421.66</v>
      </c>
      <c r="L610" s="1072">
        <v>0</v>
      </c>
      <c r="M610" s="1072">
        <v>0</v>
      </c>
      <c r="N610" s="1072">
        <v>0</v>
      </c>
      <c r="O610" s="1072">
        <v>0</v>
      </c>
      <c r="P610" s="491">
        <v>0</v>
      </c>
      <c r="Q610" s="491">
        <v>0</v>
      </c>
      <c r="R610" s="491">
        <v>0</v>
      </c>
      <c r="S610" s="491">
        <v>0</v>
      </c>
      <c r="T610" s="1025" t="b">
        <v>0</v>
      </c>
      <c r="U610" s="491">
        <v>0</v>
      </c>
      <c r="V610" s="491">
        <v>0.96</v>
      </c>
      <c r="W610" s="491">
        <v>0</v>
      </c>
      <c r="X610" s="491">
        <v>0</v>
      </c>
      <c r="Y610" s="1025" t="b">
        <v>1</v>
      </c>
      <c r="Z610" s="331">
        <v>0</v>
      </c>
      <c r="AA610" s="331">
        <v>0</v>
      </c>
      <c r="AB610" s="331">
        <v>0</v>
      </c>
      <c r="AC610" s="331">
        <v>0</v>
      </c>
      <c r="AD610" s="1025" t="b">
        <v>0</v>
      </c>
      <c r="AE610" s="331">
        <v>0.08</v>
      </c>
      <c r="AF610" s="331">
        <v>0</v>
      </c>
      <c r="AG610" s="331">
        <v>0</v>
      </c>
      <c r="AH610" s="331">
        <v>0</v>
      </c>
      <c r="AI610" s="1025" t="b">
        <v>1</v>
      </c>
      <c r="AJ610" s="331">
        <v>0</v>
      </c>
      <c r="AK610" s="331">
        <v>0</v>
      </c>
      <c r="AL610" s="331">
        <v>0</v>
      </c>
      <c r="AM610" s="331">
        <v>0</v>
      </c>
      <c r="AN610" s="1025" t="b">
        <v>0</v>
      </c>
      <c r="AO610" s="331">
        <v>0</v>
      </c>
      <c r="AP610" s="331">
        <v>0</v>
      </c>
      <c r="AQ610" s="331">
        <v>0</v>
      </c>
      <c r="AR610" s="331">
        <v>0</v>
      </c>
      <c r="AS610" s="1025" t="b">
        <v>0</v>
      </c>
      <c r="AT610" s="1025" t="b">
        <v>1</v>
      </c>
      <c r="AU610" s="331">
        <v>0</v>
      </c>
      <c r="AV610" s="491" t="s">
        <v>29</v>
      </c>
    </row>
    <row r="611" spans="1:48">
      <c r="A611" s="72">
        <v>43</v>
      </c>
      <c r="B611" s="391" t="s">
        <v>116</v>
      </c>
      <c r="C611" s="72">
        <f t="shared" si="27"/>
        <v>4</v>
      </c>
      <c r="D611" s="72" t="str">
        <f t="shared" si="28"/>
        <v>43-4</v>
      </c>
      <c r="E611" s="72">
        <v>69369</v>
      </c>
      <c r="F611" s="72" t="str">
        <f t="shared" si="29"/>
        <v>43-69369</v>
      </c>
      <c r="G611" s="391" t="s">
        <v>1093</v>
      </c>
      <c r="H611" s="331">
        <v>13544.08</v>
      </c>
      <c r="I611" s="331">
        <v>12453.22</v>
      </c>
      <c r="J611" s="331">
        <v>12822.64</v>
      </c>
      <c r="K611" s="331">
        <v>15246.63</v>
      </c>
      <c r="L611" s="1072">
        <v>0</v>
      </c>
      <c r="M611" s="1072">
        <v>0</v>
      </c>
      <c r="N611" s="1072">
        <v>0</v>
      </c>
      <c r="O611" s="1072">
        <v>0</v>
      </c>
      <c r="P611" s="491">
        <v>0</v>
      </c>
      <c r="Q611" s="491">
        <v>0</v>
      </c>
      <c r="R611" s="491">
        <v>0</v>
      </c>
      <c r="S611" s="491">
        <v>0</v>
      </c>
      <c r="T611" s="1025" t="b">
        <v>0</v>
      </c>
      <c r="U611" s="491">
        <v>21.24</v>
      </c>
      <c r="V611" s="491">
        <v>11.6</v>
      </c>
      <c r="W611" s="491">
        <v>10.8</v>
      </c>
      <c r="X611" s="491">
        <v>0</v>
      </c>
      <c r="Y611" s="1025" t="b">
        <v>1</v>
      </c>
      <c r="Z611" s="331">
        <v>0</v>
      </c>
      <c r="AA611" s="331">
        <v>0</v>
      </c>
      <c r="AB611" s="331">
        <v>0</v>
      </c>
      <c r="AC611" s="331">
        <v>0</v>
      </c>
      <c r="AD611" s="1025" t="b">
        <v>0</v>
      </c>
      <c r="AE611" s="331">
        <v>1.59</v>
      </c>
      <c r="AF611" s="331">
        <v>1.51</v>
      </c>
      <c r="AG611" s="331">
        <v>0.8</v>
      </c>
      <c r="AH611" s="331">
        <v>0</v>
      </c>
      <c r="AI611" s="1025" t="b">
        <v>1</v>
      </c>
      <c r="AJ611" s="331">
        <v>0</v>
      </c>
      <c r="AK611" s="331">
        <v>0</v>
      </c>
      <c r="AL611" s="331">
        <v>0</v>
      </c>
      <c r="AM611" s="331">
        <v>0</v>
      </c>
      <c r="AN611" s="1025" t="b">
        <v>0</v>
      </c>
      <c r="AO611" s="331">
        <v>0</v>
      </c>
      <c r="AP611" s="331">
        <v>0</v>
      </c>
      <c r="AQ611" s="331">
        <v>0</v>
      </c>
      <c r="AR611" s="331">
        <v>0</v>
      </c>
      <c r="AS611" s="1025" t="b">
        <v>0</v>
      </c>
      <c r="AT611" s="1025" t="b">
        <v>1</v>
      </c>
      <c r="AU611" s="331">
        <v>0</v>
      </c>
      <c r="AV611" s="491" t="s">
        <v>29</v>
      </c>
    </row>
    <row r="612" spans="1:48">
      <c r="A612" s="72">
        <v>43</v>
      </c>
      <c r="B612" s="391" t="s">
        <v>116</v>
      </c>
      <c r="C612" s="72">
        <f t="shared" si="27"/>
        <v>5</v>
      </c>
      <c r="D612" s="72" t="str">
        <f t="shared" si="28"/>
        <v>43-5</v>
      </c>
      <c r="E612" s="72">
        <v>69377</v>
      </c>
      <c r="F612" s="72" t="str">
        <f t="shared" si="29"/>
        <v>43-69377</v>
      </c>
      <c r="G612" s="391" t="s">
        <v>1094</v>
      </c>
      <c r="H612" s="491">
        <v>11031.33</v>
      </c>
      <c r="I612" s="491">
        <v>10142.85</v>
      </c>
      <c r="J612" s="491">
        <v>10443.73</v>
      </c>
      <c r="K612" s="491">
        <v>12418.01</v>
      </c>
      <c r="L612" s="1072">
        <v>0</v>
      </c>
      <c r="M612" s="1072">
        <v>0</v>
      </c>
      <c r="N612" s="1072">
        <v>0</v>
      </c>
      <c r="O612" s="1072">
        <v>0</v>
      </c>
      <c r="P612" s="491">
        <v>0</v>
      </c>
      <c r="Q612" s="491">
        <v>0</v>
      </c>
      <c r="R612" s="491">
        <v>0</v>
      </c>
      <c r="S612" s="491">
        <v>0</v>
      </c>
      <c r="T612" s="1025" t="b">
        <v>0</v>
      </c>
      <c r="U612" s="491">
        <v>9.6300000000000008</v>
      </c>
      <c r="V612" s="491">
        <v>11.69</v>
      </c>
      <c r="W612" s="491">
        <v>5.42</v>
      </c>
      <c r="X612" s="491">
        <v>0</v>
      </c>
      <c r="Y612" s="1025" t="b">
        <v>1</v>
      </c>
      <c r="Z612" s="491">
        <v>0</v>
      </c>
      <c r="AA612" s="491">
        <v>0</v>
      </c>
      <c r="AB612" s="491">
        <v>0</v>
      </c>
      <c r="AC612" s="491">
        <v>0</v>
      </c>
      <c r="AD612" s="1025" t="b">
        <v>0</v>
      </c>
      <c r="AE612" s="491">
        <v>0.86</v>
      </c>
      <c r="AF612" s="491">
        <v>0.44</v>
      </c>
      <c r="AG612" s="491">
        <v>0.97</v>
      </c>
      <c r="AH612" s="491">
        <v>0</v>
      </c>
      <c r="AI612" s="1025" t="b">
        <v>1</v>
      </c>
      <c r="AJ612" s="491">
        <v>0</v>
      </c>
      <c r="AK612" s="491">
        <v>0</v>
      </c>
      <c r="AL612" s="491">
        <v>0</v>
      </c>
      <c r="AM612" s="491">
        <v>0</v>
      </c>
      <c r="AN612" s="1025" t="b">
        <v>0</v>
      </c>
      <c r="AO612" s="491">
        <v>0</v>
      </c>
      <c r="AP612" s="491">
        <v>0</v>
      </c>
      <c r="AQ612" s="491">
        <v>0</v>
      </c>
      <c r="AR612" s="491">
        <v>0</v>
      </c>
      <c r="AS612" s="1025" t="b">
        <v>0</v>
      </c>
      <c r="AT612" s="1025" t="b">
        <v>1</v>
      </c>
      <c r="AU612" s="491">
        <v>0</v>
      </c>
      <c r="AV612" s="491" t="s">
        <v>29</v>
      </c>
    </row>
    <row r="613" spans="1:48">
      <c r="A613" s="72">
        <v>43</v>
      </c>
      <c r="B613" s="391" t="s">
        <v>116</v>
      </c>
      <c r="C613" s="72">
        <f t="shared" si="27"/>
        <v>6</v>
      </c>
      <c r="D613" s="72" t="str">
        <f t="shared" si="28"/>
        <v>43-6</v>
      </c>
      <c r="E613" s="72">
        <v>69385</v>
      </c>
      <c r="F613" s="72" t="str">
        <f t="shared" si="29"/>
        <v>43-69385</v>
      </c>
      <c r="G613" s="391" t="s">
        <v>1095</v>
      </c>
      <c r="H613" s="491">
        <v>10476.4</v>
      </c>
      <c r="I613" s="491">
        <v>9632.6200000000008</v>
      </c>
      <c r="J613" s="491">
        <v>9918.3700000000008</v>
      </c>
      <c r="K613" s="491">
        <v>11793.33</v>
      </c>
      <c r="L613" s="1072">
        <v>0</v>
      </c>
      <c r="M613" s="1072">
        <v>0</v>
      </c>
      <c r="N613" s="1072">
        <v>0</v>
      </c>
      <c r="O613" s="1072">
        <v>0</v>
      </c>
      <c r="P613" s="491">
        <v>0</v>
      </c>
      <c r="Q613" s="491">
        <v>0</v>
      </c>
      <c r="R613" s="491">
        <v>0</v>
      </c>
      <c r="S613" s="491">
        <v>0</v>
      </c>
      <c r="T613" s="1025" t="b">
        <v>0</v>
      </c>
      <c r="U613" s="491">
        <v>8.86</v>
      </c>
      <c r="V613" s="491">
        <v>1.99</v>
      </c>
      <c r="W613" s="491">
        <v>2.61</v>
      </c>
      <c r="X613" s="491">
        <v>0</v>
      </c>
      <c r="Y613" s="1025" t="b">
        <v>1</v>
      </c>
      <c r="Z613" s="491">
        <v>0</v>
      </c>
      <c r="AA613" s="491">
        <v>0</v>
      </c>
      <c r="AB613" s="491">
        <v>0</v>
      </c>
      <c r="AC613" s="491">
        <v>0</v>
      </c>
      <c r="AD613" s="1025" t="b">
        <v>0</v>
      </c>
      <c r="AE613" s="491">
        <v>0.9</v>
      </c>
      <c r="AF613" s="491">
        <v>0.26</v>
      </c>
      <c r="AG613" s="491">
        <v>0.23</v>
      </c>
      <c r="AH613" s="491">
        <v>0</v>
      </c>
      <c r="AI613" s="1025" t="b">
        <v>1</v>
      </c>
      <c r="AJ613" s="491">
        <v>0</v>
      </c>
      <c r="AK613" s="491">
        <v>0</v>
      </c>
      <c r="AL613" s="491">
        <v>0</v>
      </c>
      <c r="AM613" s="491">
        <v>0</v>
      </c>
      <c r="AN613" s="1025" t="b">
        <v>0</v>
      </c>
      <c r="AO613" s="491">
        <v>0</v>
      </c>
      <c r="AP613" s="491">
        <v>0</v>
      </c>
      <c r="AQ613" s="491">
        <v>0</v>
      </c>
      <c r="AR613" s="491">
        <v>0</v>
      </c>
      <c r="AS613" s="1025" t="b">
        <v>0</v>
      </c>
      <c r="AT613" s="1025" t="b">
        <v>1</v>
      </c>
      <c r="AU613" s="491">
        <v>0</v>
      </c>
      <c r="AV613" s="491" t="s">
        <v>29</v>
      </c>
    </row>
    <row r="614" spans="1:48">
      <c r="A614" s="72">
        <v>43</v>
      </c>
      <c r="B614" s="391" t="s">
        <v>116</v>
      </c>
      <c r="C614" s="72">
        <f t="shared" si="27"/>
        <v>7</v>
      </c>
      <c r="D614" s="72" t="str">
        <f t="shared" si="28"/>
        <v>43-7</v>
      </c>
      <c r="E614" s="72">
        <v>69393</v>
      </c>
      <c r="F614" s="72" t="str">
        <f t="shared" si="29"/>
        <v>43-69393</v>
      </c>
      <c r="G614" s="391" t="s">
        <v>1096</v>
      </c>
      <c r="H614" s="331">
        <v>13071.88</v>
      </c>
      <c r="I614" s="331">
        <v>12019.05</v>
      </c>
      <c r="J614" s="331">
        <v>12375.59</v>
      </c>
      <c r="K614" s="331">
        <v>14715.06</v>
      </c>
      <c r="L614" s="1072">
        <v>0</v>
      </c>
      <c r="M614" s="1072">
        <v>0</v>
      </c>
      <c r="N614" s="1072">
        <v>0</v>
      </c>
      <c r="O614" s="1072">
        <v>0</v>
      </c>
      <c r="P614" s="491">
        <v>0</v>
      </c>
      <c r="Q614" s="491">
        <v>0</v>
      </c>
      <c r="R614" s="491">
        <v>0</v>
      </c>
      <c r="S614" s="491">
        <v>0</v>
      </c>
      <c r="T614" s="1025" t="b">
        <v>0</v>
      </c>
      <c r="U614" s="491">
        <v>15.19</v>
      </c>
      <c r="V614" s="491">
        <v>9.24</v>
      </c>
      <c r="W614" s="491">
        <v>4.5999999999999996</v>
      </c>
      <c r="X614" s="491">
        <v>0</v>
      </c>
      <c r="Y614" s="1025" t="b">
        <v>1</v>
      </c>
      <c r="Z614" s="331">
        <v>0</v>
      </c>
      <c r="AA614" s="331">
        <v>0</v>
      </c>
      <c r="AB614" s="331">
        <v>0</v>
      </c>
      <c r="AC614" s="331">
        <v>0</v>
      </c>
      <c r="AD614" s="1025" t="b">
        <v>0</v>
      </c>
      <c r="AE614" s="331">
        <v>0.74</v>
      </c>
      <c r="AF614" s="331">
        <v>0.68</v>
      </c>
      <c r="AG614" s="331">
        <v>0.36</v>
      </c>
      <c r="AH614" s="331">
        <v>0</v>
      </c>
      <c r="AI614" s="1025" t="b">
        <v>1</v>
      </c>
      <c r="AJ614" s="331">
        <v>0</v>
      </c>
      <c r="AK614" s="331">
        <v>0</v>
      </c>
      <c r="AL614" s="331">
        <v>0</v>
      </c>
      <c r="AM614" s="331">
        <v>0</v>
      </c>
      <c r="AN614" s="1025" t="b">
        <v>0</v>
      </c>
      <c r="AO614" s="331">
        <v>0</v>
      </c>
      <c r="AP614" s="331">
        <v>0</v>
      </c>
      <c r="AQ614" s="331">
        <v>0</v>
      </c>
      <c r="AR614" s="331">
        <v>0</v>
      </c>
      <c r="AS614" s="1025" t="b">
        <v>0</v>
      </c>
      <c r="AT614" s="1025" t="b">
        <v>1</v>
      </c>
      <c r="AU614" s="331">
        <v>0</v>
      </c>
      <c r="AV614" s="491" t="s">
        <v>29</v>
      </c>
    </row>
    <row r="615" spans="1:48">
      <c r="A615" s="72">
        <v>43</v>
      </c>
      <c r="B615" s="391" t="s">
        <v>116</v>
      </c>
      <c r="C615" s="72">
        <f t="shared" si="27"/>
        <v>8</v>
      </c>
      <c r="D615" s="72" t="str">
        <f t="shared" si="28"/>
        <v>43-8</v>
      </c>
      <c r="E615" s="72">
        <v>69401</v>
      </c>
      <c r="F615" s="72" t="str">
        <f t="shared" si="29"/>
        <v>43-69401</v>
      </c>
      <c r="G615" s="391" t="s">
        <v>1097</v>
      </c>
      <c r="H615" s="331">
        <v>10838.87</v>
      </c>
      <c r="I615" s="331">
        <v>9965.89</v>
      </c>
      <c r="J615" s="331">
        <v>10261.52</v>
      </c>
      <c r="K615" s="331">
        <v>12201.36</v>
      </c>
      <c r="L615" s="1072">
        <v>0</v>
      </c>
      <c r="M615" s="1072">
        <v>0</v>
      </c>
      <c r="N615" s="1072">
        <v>0</v>
      </c>
      <c r="O615" s="1072">
        <v>0</v>
      </c>
      <c r="P615" s="491">
        <v>0</v>
      </c>
      <c r="Q615" s="491">
        <v>0</v>
      </c>
      <c r="R615" s="491">
        <v>0</v>
      </c>
      <c r="S615" s="491">
        <v>0</v>
      </c>
      <c r="T615" s="1025" t="b">
        <v>0</v>
      </c>
      <c r="U615" s="491">
        <v>0</v>
      </c>
      <c r="V615" s="491">
        <v>0</v>
      </c>
      <c r="W615" s="491">
        <v>0</v>
      </c>
      <c r="X615" s="491">
        <v>52.42</v>
      </c>
      <c r="Y615" s="1025" t="b">
        <v>1</v>
      </c>
      <c r="Z615" s="331">
        <v>0</v>
      </c>
      <c r="AA615" s="331">
        <v>0</v>
      </c>
      <c r="AB615" s="331">
        <v>0</v>
      </c>
      <c r="AC615" s="331">
        <v>0</v>
      </c>
      <c r="AD615" s="1025" t="b">
        <v>0</v>
      </c>
      <c r="AE615" s="331">
        <v>0</v>
      </c>
      <c r="AF615" s="331">
        <v>0</v>
      </c>
      <c r="AG615" s="331">
        <v>0</v>
      </c>
      <c r="AH615" s="331">
        <v>4.51</v>
      </c>
      <c r="AI615" s="1025" t="b">
        <v>1</v>
      </c>
      <c r="AJ615" s="331">
        <v>0</v>
      </c>
      <c r="AK615" s="331">
        <v>0</v>
      </c>
      <c r="AL615" s="331">
        <v>0</v>
      </c>
      <c r="AM615" s="331">
        <v>0</v>
      </c>
      <c r="AN615" s="1025" t="b">
        <v>0</v>
      </c>
      <c r="AO615" s="331">
        <v>0</v>
      </c>
      <c r="AP615" s="331">
        <v>0</v>
      </c>
      <c r="AQ615" s="331">
        <v>0</v>
      </c>
      <c r="AR615" s="331">
        <v>0</v>
      </c>
      <c r="AS615" s="1025" t="b">
        <v>0</v>
      </c>
      <c r="AT615" s="1025" t="b">
        <v>1</v>
      </c>
      <c r="AU615" s="331">
        <v>0</v>
      </c>
      <c r="AV615" s="491" t="s">
        <v>29</v>
      </c>
    </row>
    <row r="616" spans="1:48">
      <c r="A616" s="72">
        <v>43</v>
      </c>
      <c r="B616" s="391" t="s">
        <v>116</v>
      </c>
      <c r="C616" s="72">
        <f t="shared" si="27"/>
        <v>9</v>
      </c>
      <c r="D616" s="72" t="str">
        <f t="shared" si="28"/>
        <v>43-9</v>
      </c>
      <c r="E616" s="72">
        <v>69419</v>
      </c>
      <c r="F616" s="72" t="str">
        <f t="shared" si="29"/>
        <v>43-69419</v>
      </c>
      <c r="G616" s="391" t="s">
        <v>1098</v>
      </c>
      <c r="H616" s="331">
        <v>10612.4</v>
      </c>
      <c r="I616" s="331">
        <v>9757.66</v>
      </c>
      <c r="J616" s="331">
        <v>10047.120000000001</v>
      </c>
      <c r="K616" s="331">
        <v>11946.43</v>
      </c>
      <c r="L616" s="1072">
        <v>0</v>
      </c>
      <c r="M616" s="1072">
        <v>0</v>
      </c>
      <c r="N616" s="1072">
        <v>0</v>
      </c>
      <c r="O616" s="1072">
        <v>0</v>
      </c>
      <c r="P616" s="491">
        <v>0</v>
      </c>
      <c r="Q616" s="491">
        <v>0</v>
      </c>
      <c r="R616" s="491">
        <v>0</v>
      </c>
      <c r="S616" s="491">
        <v>0</v>
      </c>
      <c r="T616" s="1025" t="b">
        <v>0</v>
      </c>
      <c r="U616" s="491">
        <v>6.2</v>
      </c>
      <c r="V616" s="491">
        <v>5.46</v>
      </c>
      <c r="W616" s="491">
        <v>0</v>
      </c>
      <c r="X616" s="491">
        <v>0</v>
      </c>
      <c r="Y616" s="1025" t="b">
        <v>1</v>
      </c>
      <c r="Z616" s="331">
        <v>0</v>
      </c>
      <c r="AA616" s="331">
        <v>0</v>
      </c>
      <c r="AB616" s="331">
        <v>1.62</v>
      </c>
      <c r="AC616" s="331">
        <v>0</v>
      </c>
      <c r="AD616" s="1025" t="b">
        <v>1</v>
      </c>
      <c r="AE616" s="331">
        <v>0.83</v>
      </c>
      <c r="AF616" s="331">
        <v>0.27</v>
      </c>
      <c r="AG616" s="331">
        <v>0.18</v>
      </c>
      <c r="AH616" s="331">
        <v>0</v>
      </c>
      <c r="AI616" s="1025" t="b">
        <v>1</v>
      </c>
      <c r="AJ616" s="331">
        <v>0</v>
      </c>
      <c r="AK616" s="331">
        <v>0</v>
      </c>
      <c r="AL616" s="331">
        <v>0</v>
      </c>
      <c r="AM616" s="331">
        <v>0</v>
      </c>
      <c r="AN616" s="1025" t="b">
        <v>0</v>
      </c>
      <c r="AO616" s="331">
        <v>0</v>
      </c>
      <c r="AP616" s="331">
        <v>0</v>
      </c>
      <c r="AQ616" s="331">
        <v>0</v>
      </c>
      <c r="AR616" s="331">
        <v>0</v>
      </c>
      <c r="AS616" s="1025" t="b">
        <v>0</v>
      </c>
      <c r="AT616" s="1025" t="b">
        <v>1</v>
      </c>
      <c r="AU616" s="331">
        <v>0</v>
      </c>
      <c r="AV616" s="491" t="s">
        <v>29</v>
      </c>
    </row>
    <row r="617" spans="1:48">
      <c r="A617" s="72">
        <v>43</v>
      </c>
      <c r="B617" s="391" t="s">
        <v>116</v>
      </c>
      <c r="C617" s="72">
        <f t="shared" si="27"/>
        <v>10</v>
      </c>
      <c r="D617" s="72" t="str">
        <f t="shared" si="28"/>
        <v>43-10</v>
      </c>
      <c r="E617" s="72">
        <v>69427</v>
      </c>
      <c r="F617" s="72" t="str">
        <f t="shared" si="29"/>
        <v>43-69427</v>
      </c>
      <c r="G617" s="391" t="s">
        <v>1099</v>
      </c>
      <c r="H617" s="331">
        <v>11109.04</v>
      </c>
      <c r="I617" s="331">
        <v>10214.299999999999</v>
      </c>
      <c r="J617" s="331">
        <v>10517.31</v>
      </c>
      <c r="K617" s="331">
        <v>12505.5</v>
      </c>
      <c r="L617" s="1072">
        <v>0</v>
      </c>
      <c r="M617" s="1072">
        <v>0</v>
      </c>
      <c r="N617" s="1072">
        <v>0</v>
      </c>
      <c r="O617" s="1072">
        <v>0</v>
      </c>
      <c r="P617" s="491">
        <v>0</v>
      </c>
      <c r="Q617" s="491">
        <v>0</v>
      </c>
      <c r="R617" s="491">
        <v>0</v>
      </c>
      <c r="S617" s="491">
        <v>0</v>
      </c>
      <c r="T617" s="1025" t="b">
        <v>0</v>
      </c>
      <c r="U617" s="491">
        <v>0</v>
      </c>
      <c r="V617" s="491">
        <v>0</v>
      </c>
      <c r="W617" s="491">
        <v>0</v>
      </c>
      <c r="X617" s="491">
        <v>182.79</v>
      </c>
      <c r="Y617" s="1025" t="b">
        <v>1</v>
      </c>
      <c r="Z617" s="331">
        <v>0</v>
      </c>
      <c r="AA617" s="331">
        <v>0</v>
      </c>
      <c r="AB617" s="331">
        <v>0</v>
      </c>
      <c r="AC617" s="331">
        <v>7.26</v>
      </c>
      <c r="AD617" s="1025" t="b">
        <v>1</v>
      </c>
      <c r="AE617" s="331">
        <v>0</v>
      </c>
      <c r="AF617" s="331">
        <v>0</v>
      </c>
      <c r="AG617" s="331">
        <v>0</v>
      </c>
      <c r="AH617" s="331">
        <v>15.63</v>
      </c>
      <c r="AI617" s="1025" t="b">
        <v>1</v>
      </c>
      <c r="AJ617" s="331">
        <v>0</v>
      </c>
      <c r="AK617" s="331">
        <v>0</v>
      </c>
      <c r="AL617" s="331">
        <v>0</v>
      </c>
      <c r="AM617" s="331">
        <v>0</v>
      </c>
      <c r="AN617" s="1025" t="b">
        <v>0</v>
      </c>
      <c r="AO617" s="331">
        <v>0</v>
      </c>
      <c r="AP617" s="331">
        <v>0</v>
      </c>
      <c r="AQ617" s="331">
        <v>0</v>
      </c>
      <c r="AR617" s="331">
        <v>0</v>
      </c>
      <c r="AS617" s="1025" t="b">
        <v>0</v>
      </c>
      <c r="AT617" s="1025" t="b">
        <v>1</v>
      </c>
      <c r="AU617" s="331">
        <v>0</v>
      </c>
      <c r="AV617" s="491" t="s">
        <v>29</v>
      </c>
    </row>
    <row r="618" spans="1:48">
      <c r="A618" s="72">
        <v>43</v>
      </c>
      <c r="B618" s="391" t="s">
        <v>116</v>
      </c>
      <c r="C618" s="72">
        <f t="shared" si="27"/>
        <v>11</v>
      </c>
      <c r="D618" s="72" t="str">
        <f t="shared" si="28"/>
        <v>43-11</v>
      </c>
      <c r="E618" s="72">
        <v>69435</v>
      </c>
      <c r="F618" s="72" t="str">
        <f t="shared" si="29"/>
        <v>43-69435</v>
      </c>
      <c r="G618" s="391" t="s">
        <v>1100</v>
      </c>
      <c r="H618" s="331">
        <v>10982.35</v>
      </c>
      <c r="I618" s="331">
        <v>10097.82</v>
      </c>
      <c r="J618" s="331">
        <v>10397.370000000001</v>
      </c>
      <c r="K618" s="331">
        <v>12362.88</v>
      </c>
      <c r="L618" s="1072">
        <v>0</v>
      </c>
      <c r="M618" s="1072">
        <v>0</v>
      </c>
      <c r="N618" s="1072">
        <v>0</v>
      </c>
      <c r="O618" s="1072">
        <v>0</v>
      </c>
      <c r="P618" s="491">
        <v>0</v>
      </c>
      <c r="Q618" s="491">
        <v>0</v>
      </c>
      <c r="R618" s="491">
        <v>0</v>
      </c>
      <c r="S618" s="491">
        <v>0</v>
      </c>
      <c r="T618" s="1025" t="b">
        <v>0</v>
      </c>
      <c r="U618" s="491">
        <v>12.88</v>
      </c>
      <c r="V618" s="491">
        <v>15.58</v>
      </c>
      <c r="W618" s="491">
        <v>12.91</v>
      </c>
      <c r="X618" s="491">
        <v>0</v>
      </c>
      <c r="Y618" s="1025" t="b">
        <v>1</v>
      </c>
      <c r="Z618" s="331">
        <v>0</v>
      </c>
      <c r="AA618" s="331">
        <v>0</v>
      </c>
      <c r="AB618" s="331">
        <v>0.83</v>
      </c>
      <c r="AC618" s="331">
        <v>0</v>
      </c>
      <c r="AD618" s="1025" t="b">
        <v>1</v>
      </c>
      <c r="AE618" s="331">
        <v>1.37</v>
      </c>
      <c r="AF618" s="331">
        <v>1.21</v>
      </c>
      <c r="AG618" s="331">
        <v>1.73</v>
      </c>
      <c r="AH618" s="331">
        <v>0</v>
      </c>
      <c r="AI618" s="1025" t="b">
        <v>1</v>
      </c>
      <c r="AJ618" s="331">
        <v>0</v>
      </c>
      <c r="AK618" s="331">
        <v>0</v>
      </c>
      <c r="AL618" s="331">
        <v>0</v>
      </c>
      <c r="AM618" s="331">
        <v>0</v>
      </c>
      <c r="AN618" s="1025" t="b">
        <v>0</v>
      </c>
      <c r="AO618" s="331">
        <v>0</v>
      </c>
      <c r="AP618" s="331">
        <v>0</v>
      </c>
      <c r="AQ618" s="331">
        <v>0</v>
      </c>
      <c r="AR618" s="331">
        <v>0</v>
      </c>
      <c r="AS618" s="1025" t="b">
        <v>0</v>
      </c>
      <c r="AT618" s="1025" t="b">
        <v>1</v>
      </c>
      <c r="AU618" s="331">
        <v>0</v>
      </c>
      <c r="AV618" s="491" t="s">
        <v>29</v>
      </c>
    </row>
    <row r="619" spans="1:48">
      <c r="A619" s="72">
        <v>43</v>
      </c>
      <c r="B619" s="391" t="s">
        <v>116</v>
      </c>
      <c r="C619" s="72">
        <f t="shared" si="27"/>
        <v>12</v>
      </c>
      <c r="D619" s="72" t="str">
        <f t="shared" si="28"/>
        <v>43-12</v>
      </c>
      <c r="E619" s="72">
        <v>69450</v>
      </c>
      <c r="F619" s="72" t="str">
        <f t="shared" si="29"/>
        <v>43-69450</v>
      </c>
      <c r="G619" s="391" t="s">
        <v>1101</v>
      </c>
      <c r="H619" s="331">
        <v>13377.22</v>
      </c>
      <c r="I619" s="331">
        <v>12299.79</v>
      </c>
      <c r="J619" s="331">
        <v>12664.66</v>
      </c>
      <c r="K619" s="331">
        <v>15058.79</v>
      </c>
      <c r="L619" s="1072">
        <v>0</v>
      </c>
      <c r="M619" s="1072">
        <v>0</v>
      </c>
      <c r="N619" s="1072">
        <v>0</v>
      </c>
      <c r="O619" s="1072">
        <v>0</v>
      </c>
      <c r="P619" s="491">
        <v>0</v>
      </c>
      <c r="Q619" s="491">
        <v>0</v>
      </c>
      <c r="R619" s="491">
        <v>0</v>
      </c>
      <c r="S619" s="491">
        <v>0</v>
      </c>
      <c r="T619" s="1025" t="b">
        <v>0</v>
      </c>
      <c r="U619" s="491">
        <v>12.09</v>
      </c>
      <c r="V619" s="491">
        <v>14.03</v>
      </c>
      <c r="W619" s="491">
        <v>4.32</v>
      </c>
      <c r="X619" s="491">
        <v>0</v>
      </c>
      <c r="Y619" s="1025" t="b">
        <v>1</v>
      </c>
      <c r="Z619" s="331">
        <v>0</v>
      </c>
      <c r="AA619" s="331">
        <v>0</v>
      </c>
      <c r="AB619" s="331">
        <v>0</v>
      </c>
      <c r="AC619" s="331">
        <v>0</v>
      </c>
      <c r="AD619" s="1025" t="b">
        <v>0</v>
      </c>
      <c r="AE619" s="331">
        <v>1.1499999999999999</v>
      </c>
      <c r="AF619" s="331">
        <v>0.72</v>
      </c>
      <c r="AG619" s="331">
        <v>0.36</v>
      </c>
      <c r="AH619" s="331">
        <v>0</v>
      </c>
      <c r="AI619" s="1025" t="b">
        <v>1</v>
      </c>
      <c r="AJ619" s="331">
        <v>0</v>
      </c>
      <c r="AK619" s="331">
        <v>0</v>
      </c>
      <c r="AL619" s="331">
        <v>0</v>
      </c>
      <c r="AM619" s="331">
        <v>0</v>
      </c>
      <c r="AN619" s="1025" t="b">
        <v>0</v>
      </c>
      <c r="AO619" s="331">
        <v>0</v>
      </c>
      <c r="AP619" s="331">
        <v>0</v>
      </c>
      <c r="AQ619" s="331">
        <v>0</v>
      </c>
      <c r="AR619" s="331">
        <v>0</v>
      </c>
      <c r="AS619" s="1025" t="b">
        <v>0</v>
      </c>
      <c r="AT619" s="1025" t="b">
        <v>1</v>
      </c>
      <c r="AU619" s="331">
        <v>0</v>
      </c>
      <c r="AV619" s="491" t="s">
        <v>29</v>
      </c>
    </row>
    <row r="620" spans="1:48">
      <c r="A620" s="72">
        <v>43</v>
      </c>
      <c r="B620" s="391" t="s">
        <v>116</v>
      </c>
      <c r="C620" s="72">
        <f t="shared" si="27"/>
        <v>13</v>
      </c>
      <c r="D620" s="72" t="str">
        <f t="shared" si="28"/>
        <v>43-13</v>
      </c>
      <c r="E620" s="72">
        <v>69468</v>
      </c>
      <c r="F620" s="72" t="str">
        <f t="shared" si="29"/>
        <v>43-69468</v>
      </c>
      <c r="G620" s="391" t="s">
        <v>1102</v>
      </c>
      <c r="H620" s="331">
        <v>10456.57</v>
      </c>
      <c r="I620" s="331">
        <v>9614.3799999999992</v>
      </c>
      <c r="J620" s="331">
        <v>9899.59</v>
      </c>
      <c r="K620" s="331">
        <v>11771</v>
      </c>
      <c r="L620" s="1072">
        <v>0</v>
      </c>
      <c r="M620" s="1072">
        <v>0</v>
      </c>
      <c r="N620" s="1072">
        <v>0</v>
      </c>
      <c r="O620" s="1072">
        <v>0</v>
      </c>
      <c r="P620" s="491">
        <v>0</v>
      </c>
      <c r="Q620" s="491">
        <v>0</v>
      </c>
      <c r="R620" s="491">
        <v>0</v>
      </c>
      <c r="S620" s="491">
        <v>0</v>
      </c>
      <c r="T620" s="1025" t="b">
        <v>0</v>
      </c>
      <c r="U620" s="491">
        <v>0</v>
      </c>
      <c r="V620" s="491">
        <v>0</v>
      </c>
      <c r="W620" s="491">
        <v>0</v>
      </c>
      <c r="X620" s="491">
        <v>20.3</v>
      </c>
      <c r="Y620" s="1025" t="b">
        <v>1</v>
      </c>
      <c r="Z620" s="331">
        <v>0</v>
      </c>
      <c r="AA620" s="331">
        <v>0</v>
      </c>
      <c r="AB620" s="331">
        <v>0</v>
      </c>
      <c r="AC620" s="331">
        <v>3.32</v>
      </c>
      <c r="AD620" s="1025" t="b">
        <v>1</v>
      </c>
      <c r="AE620" s="331">
        <v>0</v>
      </c>
      <c r="AF620" s="331">
        <v>0</v>
      </c>
      <c r="AG620" s="331">
        <v>0</v>
      </c>
      <c r="AH620" s="331">
        <v>2.4</v>
      </c>
      <c r="AI620" s="1025" t="b">
        <v>1</v>
      </c>
      <c r="AJ620" s="331">
        <v>0</v>
      </c>
      <c r="AK620" s="331">
        <v>0</v>
      </c>
      <c r="AL620" s="331">
        <v>0</v>
      </c>
      <c r="AM620" s="331">
        <v>0</v>
      </c>
      <c r="AN620" s="1025" t="b">
        <v>0</v>
      </c>
      <c r="AO620" s="331">
        <v>0</v>
      </c>
      <c r="AP620" s="331">
        <v>0</v>
      </c>
      <c r="AQ620" s="331">
        <v>0</v>
      </c>
      <c r="AR620" s="331">
        <v>0</v>
      </c>
      <c r="AS620" s="1025" t="b">
        <v>0</v>
      </c>
      <c r="AT620" s="1025" t="b">
        <v>1</v>
      </c>
      <c r="AU620" s="331">
        <v>0</v>
      </c>
      <c r="AV620" s="491" t="s">
        <v>29</v>
      </c>
    </row>
    <row r="621" spans="1:48">
      <c r="A621" s="72">
        <v>43</v>
      </c>
      <c r="B621" s="391" t="s">
        <v>116</v>
      </c>
      <c r="C621" s="72">
        <f t="shared" si="27"/>
        <v>14</v>
      </c>
      <c r="D621" s="72" t="str">
        <f t="shared" si="28"/>
        <v>43-14</v>
      </c>
      <c r="E621" s="72">
        <v>69484</v>
      </c>
      <c r="F621" s="72" t="str">
        <f t="shared" si="29"/>
        <v>43-69484</v>
      </c>
      <c r="G621" s="391" t="s">
        <v>1103</v>
      </c>
      <c r="H621" s="331">
        <v>11625.16</v>
      </c>
      <c r="I621" s="331">
        <v>10688.85</v>
      </c>
      <c r="J621" s="331">
        <v>11005.94</v>
      </c>
      <c r="K621" s="331">
        <v>13086.49</v>
      </c>
      <c r="L621" s="1072">
        <v>0</v>
      </c>
      <c r="M621" s="1072">
        <v>0</v>
      </c>
      <c r="N621" s="1072">
        <v>0</v>
      </c>
      <c r="O621" s="1072">
        <v>0</v>
      </c>
      <c r="P621" s="491">
        <v>0</v>
      </c>
      <c r="Q621" s="491">
        <v>0</v>
      </c>
      <c r="R621" s="491">
        <v>0</v>
      </c>
      <c r="S621" s="491">
        <v>0</v>
      </c>
      <c r="T621" s="1025" t="b">
        <v>0</v>
      </c>
      <c r="U621" s="491">
        <v>6.81</v>
      </c>
      <c r="V621" s="491">
        <v>6.89</v>
      </c>
      <c r="W621" s="491">
        <v>3.09</v>
      </c>
      <c r="X621" s="491">
        <v>11.42</v>
      </c>
      <c r="Y621" s="1025" t="b">
        <v>1</v>
      </c>
      <c r="Z621" s="331">
        <v>0</v>
      </c>
      <c r="AA621" s="331">
        <v>0</v>
      </c>
      <c r="AB621" s="331">
        <v>0</v>
      </c>
      <c r="AC621" s="331">
        <v>1.93</v>
      </c>
      <c r="AD621" s="1025" t="b">
        <v>1</v>
      </c>
      <c r="AE621" s="331">
        <v>0.44</v>
      </c>
      <c r="AF621" s="331">
        <v>0.67</v>
      </c>
      <c r="AG621" s="331">
        <v>0.14000000000000001</v>
      </c>
      <c r="AH621" s="331">
        <v>0.94</v>
      </c>
      <c r="AI621" s="1025" t="b">
        <v>1</v>
      </c>
      <c r="AJ621" s="331">
        <v>0</v>
      </c>
      <c r="AK621" s="331">
        <v>0</v>
      </c>
      <c r="AL621" s="331">
        <v>0</v>
      </c>
      <c r="AM621" s="331">
        <v>0</v>
      </c>
      <c r="AN621" s="1025" t="b">
        <v>0</v>
      </c>
      <c r="AO621" s="331">
        <v>0</v>
      </c>
      <c r="AP621" s="331">
        <v>0</v>
      </c>
      <c r="AQ621" s="331">
        <v>0</v>
      </c>
      <c r="AR621" s="331">
        <v>0</v>
      </c>
      <c r="AS621" s="1025" t="b">
        <v>0</v>
      </c>
      <c r="AT621" s="1025" t="b">
        <v>1</v>
      </c>
      <c r="AU621" s="331">
        <v>0</v>
      </c>
      <c r="AV621" s="491" t="s">
        <v>29</v>
      </c>
    </row>
    <row r="622" spans="1:48">
      <c r="A622" s="72">
        <v>43</v>
      </c>
      <c r="B622" s="391" t="s">
        <v>116</v>
      </c>
      <c r="C622" s="72">
        <f t="shared" si="27"/>
        <v>15</v>
      </c>
      <c r="D622" s="72" t="str">
        <f t="shared" si="28"/>
        <v>43-15</v>
      </c>
      <c r="E622" s="72">
        <v>69500</v>
      </c>
      <c r="F622" s="72" t="str">
        <f t="shared" si="29"/>
        <v>43-69500</v>
      </c>
      <c r="G622" s="391" t="s">
        <v>1654</v>
      </c>
      <c r="H622" s="331">
        <v>10313.08</v>
      </c>
      <c r="I622" s="331">
        <v>9482.4500000000007</v>
      </c>
      <c r="J622" s="331">
        <v>9763.74</v>
      </c>
      <c r="K622" s="331">
        <v>11609.48</v>
      </c>
      <c r="L622" s="1072">
        <v>0</v>
      </c>
      <c r="M622" s="1072">
        <v>0</v>
      </c>
      <c r="N622" s="1072">
        <v>0</v>
      </c>
      <c r="O622" s="1072">
        <v>0</v>
      </c>
      <c r="P622" s="491">
        <v>0</v>
      </c>
      <c r="Q622" s="491">
        <v>0</v>
      </c>
      <c r="R622" s="491">
        <v>0</v>
      </c>
      <c r="S622" s="491">
        <v>0</v>
      </c>
      <c r="T622" s="1025" t="b">
        <v>0</v>
      </c>
      <c r="U622" s="491">
        <v>0.96</v>
      </c>
      <c r="V622" s="491">
        <v>0</v>
      </c>
      <c r="W622" s="491">
        <v>0</v>
      </c>
      <c r="X622" s="491">
        <v>0</v>
      </c>
      <c r="Y622" s="1025" t="b">
        <v>1</v>
      </c>
      <c r="Z622" s="331">
        <v>0</v>
      </c>
      <c r="AA622" s="331">
        <v>0</v>
      </c>
      <c r="AB622" s="331">
        <v>0</v>
      </c>
      <c r="AC622" s="331">
        <v>0</v>
      </c>
      <c r="AD622" s="1025" t="b">
        <v>0</v>
      </c>
      <c r="AE622" s="331">
        <v>0.11</v>
      </c>
      <c r="AF622" s="331">
        <v>0</v>
      </c>
      <c r="AG622" s="331">
        <v>0</v>
      </c>
      <c r="AH622" s="331">
        <v>0</v>
      </c>
      <c r="AI622" s="1025" t="b">
        <v>1</v>
      </c>
      <c r="AJ622" s="331">
        <v>0</v>
      </c>
      <c r="AK622" s="331">
        <v>0</v>
      </c>
      <c r="AL622" s="331">
        <v>0</v>
      </c>
      <c r="AM622" s="331">
        <v>0</v>
      </c>
      <c r="AN622" s="1025" t="b">
        <v>0</v>
      </c>
      <c r="AO622" s="331">
        <v>0</v>
      </c>
      <c r="AP622" s="331">
        <v>0</v>
      </c>
      <c r="AQ622" s="331">
        <v>0</v>
      </c>
      <c r="AR622" s="331">
        <v>0</v>
      </c>
      <c r="AS622" s="1025" t="b">
        <v>0</v>
      </c>
      <c r="AT622" s="1025" t="b">
        <v>1</v>
      </c>
      <c r="AU622" s="331">
        <v>0</v>
      </c>
      <c r="AV622" s="491" t="s">
        <v>29</v>
      </c>
    </row>
    <row r="623" spans="1:48">
      <c r="A623" s="72">
        <v>43</v>
      </c>
      <c r="B623" s="391" t="s">
        <v>116</v>
      </c>
      <c r="C623" s="72">
        <f t="shared" si="27"/>
        <v>16</v>
      </c>
      <c r="D623" s="72" t="str">
        <f t="shared" si="28"/>
        <v>43-16</v>
      </c>
      <c r="E623" s="72">
        <v>69526</v>
      </c>
      <c r="F623" s="72" t="str">
        <f t="shared" si="29"/>
        <v>43-69526</v>
      </c>
      <c r="G623" s="391" t="s">
        <v>1104</v>
      </c>
      <c r="H623" s="331">
        <v>10304.780000000001</v>
      </c>
      <c r="I623" s="331">
        <v>9474.82</v>
      </c>
      <c r="J623" s="331">
        <v>9755.89</v>
      </c>
      <c r="K623" s="331">
        <v>11600.14</v>
      </c>
      <c r="L623" s="1072">
        <v>0</v>
      </c>
      <c r="M623" s="1072">
        <v>0</v>
      </c>
      <c r="N623" s="1072">
        <v>0</v>
      </c>
      <c r="O623" s="1072">
        <v>0</v>
      </c>
      <c r="P623" s="491">
        <v>0</v>
      </c>
      <c r="Q623" s="491">
        <v>0</v>
      </c>
      <c r="R623" s="491">
        <v>0</v>
      </c>
      <c r="S623" s="491">
        <v>0</v>
      </c>
      <c r="T623" s="1025" t="b">
        <v>0</v>
      </c>
      <c r="U623" s="491">
        <v>0</v>
      </c>
      <c r="V623" s="491">
        <v>0.93</v>
      </c>
      <c r="W623" s="491">
        <v>0</v>
      </c>
      <c r="X623" s="491">
        <v>0</v>
      </c>
      <c r="Y623" s="1025" t="b">
        <v>1</v>
      </c>
      <c r="Z623" s="331">
        <v>0</v>
      </c>
      <c r="AA623" s="331">
        <v>0</v>
      </c>
      <c r="AB623" s="331">
        <v>0</v>
      </c>
      <c r="AC623" s="331">
        <v>0</v>
      </c>
      <c r="AD623" s="1025" t="b">
        <v>0</v>
      </c>
      <c r="AE623" s="331">
        <v>0</v>
      </c>
      <c r="AF623" s="331">
        <v>0.11</v>
      </c>
      <c r="AG623" s="331">
        <v>0</v>
      </c>
      <c r="AH623" s="331">
        <v>0</v>
      </c>
      <c r="AI623" s="1025" t="b">
        <v>1</v>
      </c>
      <c r="AJ623" s="331">
        <v>0</v>
      </c>
      <c r="AK623" s="331">
        <v>0</v>
      </c>
      <c r="AL623" s="331">
        <v>0</v>
      </c>
      <c r="AM623" s="331">
        <v>0</v>
      </c>
      <c r="AN623" s="1025" t="b">
        <v>0</v>
      </c>
      <c r="AO623" s="331">
        <v>0</v>
      </c>
      <c r="AP623" s="331">
        <v>0</v>
      </c>
      <c r="AQ623" s="331">
        <v>0</v>
      </c>
      <c r="AR623" s="331">
        <v>0</v>
      </c>
      <c r="AS623" s="1025" t="b">
        <v>0</v>
      </c>
      <c r="AT623" s="1025" t="b">
        <v>1</v>
      </c>
      <c r="AU623" s="331">
        <v>0</v>
      </c>
      <c r="AV623" s="491" t="s">
        <v>29</v>
      </c>
    </row>
    <row r="624" spans="1:48">
      <c r="A624" s="72">
        <v>43</v>
      </c>
      <c r="B624" s="391" t="s">
        <v>116</v>
      </c>
      <c r="C624" s="72">
        <f t="shared" si="27"/>
        <v>17</v>
      </c>
      <c r="D624" s="72" t="str">
        <f t="shared" si="28"/>
        <v>43-17</v>
      </c>
      <c r="E624" s="72">
        <v>69534</v>
      </c>
      <c r="F624" s="72" t="str">
        <f t="shared" si="29"/>
        <v>43-69534</v>
      </c>
      <c r="G624" s="391" t="s">
        <v>1105</v>
      </c>
      <c r="H624" s="491">
        <v>10284.549999999999</v>
      </c>
      <c r="I624" s="491">
        <v>9456.2099999999991</v>
      </c>
      <c r="J624" s="491">
        <v>9736.73</v>
      </c>
      <c r="K624" s="491">
        <v>11577.36</v>
      </c>
      <c r="L624" s="1072">
        <v>0</v>
      </c>
      <c r="M624" s="1072">
        <v>0</v>
      </c>
      <c r="N624" s="1072">
        <v>0</v>
      </c>
      <c r="O624" s="1072">
        <v>0</v>
      </c>
      <c r="P624" s="491">
        <v>0</v>
      </c>
      <c r="Q624" s="491">
        <v>0</v>
      </c>
      <c r="R624" s="491">
        <v>0</v>
      </c>
      <c r="S624" s="491">
        <v>0</v>
      </c>
      <c r="T624" s="1025" t="b">
        <v>0</v>
      </c>
      <c r="U624" s="491">
        <v>0</v>
      </c>
      <c r="V624" s="491">
        <v>0</v>
      </c>
      <c r="W624" s="491">
        <v>0</v>
      </c>
      <c r="X624" s="491">
        <v>4.34</v>
      </c>
      <c r="Y624" s="1025" t="b">
        <v>1</v>
      </c>
      <c r="Z624" s="491">
        <v>0</v>
      </c>
      <c r="AA624" s="491">
        <v>0</v>
      </c>
      <c r="AB624" s="491">
        <v>0</v>
      </c>
      <c r="AC624" s="491">
        <v>0</v>
      </c>
      <c r="AD624" s="1025" t="b">
        <v>0</v>
      </c>
      <c r="AE624" s="491">
        <v>0</v>
      </c>
      <c r="AF624" s="491">
        <v>0</v>
      </c>
      <c r="AG624" s="491">
        <v>0</v>
      </c>
      <c r="AH624" s="491">
        <v>0.42</v>
      </c>
      <c r="AI624" s="1025" t="b">
        <v>1</v>
      </c>
      <c r="AJ624" s="491">
        <v>0</v>
      </c>
      <c r="AK624" s="491">
        <v>0</v>
      </c>
      <c r="AL624" s="491">
        <v>0</v>
      </c>
      <c r="AM624" s="491">
        <v>0</v>
      </c>
      <c r="AN624" s="1025" t="b">
        <v>0</v>
      </c>
      <c r="AO624" s="491">
        <v>0</v>
      </c>
      <c r="AP624" s="491">
        <v>0</v>
      </c>
      <c r="AQ624" s="491">
        <v>0</v>
      </c>
      <c r="AR624" s="491">
        <v>0</v>
      </c>
      <c r="AS624" s="1025" t="b">
        <v>0</v>
      </c>
      <c r="AT624" s="1025" t="b">
        <v>1</v>
      </c>
      <c r="AU624" s="491">
        <v>0</v>
      </c>
      <c r="AV624" s="491" t="s">
        <v>29</v>
      </c>
    </row>
    <row r="625" spans="1:48">
      <c r="A625" s="72">
        <v>43</v>
      </c>
      <c r="B625" s="391" t="s">
        <v>116</v>
      </c>
      <c r="C625" s="72">
        <f t="shared" si="27"/>
        <v>18</v>
      </c>
      <c r="D625" s="72" t="str">
        <f t="shared" si="28"/>
        <v>43-18</v>
      </c>
      <c r="E625" s="72">
        <v>69542</v>
      </c>
      <c r="F625" s="72" t="str">
        <f t="shared" si="29"/>
        <v>43-69542</v>
      </c>
      <c r="G625" s="391" t="s">
        <v>1106</v>
      </c>
      <c r="H625" s="331">
        <v>14104.01</v>
      </c>
      <c r="I625" s="331">
        <v>12968.05</v>
      </c>
      <c r="J625" s="331">
        <v>13352.75</v>
      </c>
      <c r="K625" s="331">
        <v>15876.95</v>
      </c>
      <c r="L625" s="1072">
        <v>0</v>
      </c>
      <c r="M625" s="1072">
        <v>0</v>
      </c>
      <c r="N625" s="1072">
        <v>0</v>
      </c>
      <c r="O625" s="1072">
        <v>0</v>
      </c>
      <c r="P625" s="491">
        <v>0</v>
      </c>
      <c r="Q625" s="491">
        <v>0</v>
      </c>
      <c r="R625" s="491">
        <v>0</v>
      </c>
      <c r="S625" s="491">
        <v>0</v>
      </c>
      <c r="T625" s="1025" t="b">
        <v>0</v>
      </c>
      <c r="U625" s="491">
        <v>2.96</v>
      </c>
      <c r="V625" s="491">
        <v>0</v>
      </c>
      <c r="W625" s="491">
        <v>0.96</v>
      </c>
      <c r="X625" s="491">
        <v>0</v>
      </c>
      <c r="Y625" s="1025" t="b">
        <v>1</v>
      </c>
      <c r="Z625" s="331">
        <v>0</v>
      </c>
      <c r="AA625" s="331">
        <v>0</v>
      </c>
      <c r="AB625" s="331">
        <v>0</v>
      </c>
      <c r="AC625" s="331">
        <v>0</v>
      </c>
      <c r="AD625" s="1025" t="b">
        <v>0</v>
      </c>
      <c r="AE625" s="331">
        <v>7.0000000000000007E-2</v>
      </c>
      <c r="AF625" s="331">
        <v>0</v>
      </c>
      <c r="AG625" s="331">
        <v>0.11</v>
      </c>
      <c r="AH625" s="331">
        <v>0</v>
      </c>
      <c r="AI625" s="1025" t="b">
        <v>1</v>
      </c>
      <c r="AJ625" s="331">
        <v>0</v>
      </c>
      <c r="AK625" s="331">
        <v>0</v>
      </c>
      <c r="AL625" s="331">
        <v>0</v>
      </c>
      <c r="AM625" s="331">
        <v>0</v>
      </c>
      <c r="AN625" s="1025" t="b">
        <v>0</v>
      </c>
      <c r="AO625" s="331">
        <v>0</v>
      </c>
      <c r="AP625" s="331">
        <v>0</v>
      </c>
      <c r="AQ625" s="331">
        <v>0</v>
      </c>
      <c r="AR625" s="331">
        <v>0</v>
      </c>
      <c r="AS625" s="1025" t="b">
        <v>0</v>
      </c>
      <c r="AT625" s="1025" t="b">
        <v>1</v>
      </c>
      <c r="AU625" s="331">
        <v>0</v>
      </c>
      <c r="AV625" s="491" t="s">
        <v>29</v>
      </c>
    </row>
    <row r="626" spans="1:48">
      <c r="A626" s="72">
        <v>43</v>
      </c>
      <c r="B626" s="391" t="s">
        <v>116</v>
      </c>
      <c r="C626" s="72">
        <f t="shared" si="27"/>
        <v>19</v>
      </c>
      <c r="D626" s="72" t="str">
        <f t="shared" si="28"/>
        <v>43-19</v>
      </c>
      <c r="E626" s="72">
        <v>69575</v>
      </c>
      <c r="F626" s="72" t="str">
        <f t="shared" si="29"/>
        <v>43-69575</v>
      </c>
      <c r="G626" s="391" t="s">
        <v>1107</v>
      </c>
      <c r="H626" s="331">
        <v>10987.61</v>
      </c>
      <c r="I626" s="331">
        <v>10102.66</v>
      </c>
      <c r="J626" s="331">
        <v>10402.35</v>
      </c>
      <c r="K626" s="331">
        <v>12368.8</v>
      </c>
      <c r="L626" s="1072">
        <v>0</v>
      </c>
      <c r="M626" s="1072">
        <v>0</v>
      </c>
      <c r="N626" s="1072">
        <v>0</v>
      </c>
      <c r="O626" s="1072">
        <v>0</v>
      </c>
      <c r="P626" s="491">
        <v>0</v>
      </c>
      <c r="Q626" s="491">
        <v>0</v>
      </c>
      <c r="R626" s="491">
        <v>0</v>
      </c>
      <c r="S626" s="491">
        <v>0</v>
      </c>
      <c r="T626" s="1025" t="b">
        <v>0</v>
      </c>
      <c r="U626" s="491">
        <v>3.97</v>
      </c>
      <c r="V626" s="491">
        <v>5.24</v>
      </c>
      <c r="W626" s="491">
        <v>2.89</v>
      </c>
      <c r="X626" s="491">
        <v>0</v>
      </c>
      <c r="Y626" s="1025" t="b">
        <v>1</v>
      </c>
      <c r="Z626" s="331">
        <v>0</v>
      </c>
      <c r="AA626" s="331">
        <v>0</v>
      </c>
      <c r="AB626" s="331">
        <v>0</v>
      </c>
      <c r="AC626" s="331">
        <v>0</v>
      </c>
      <c r="AD626" s="1025" t="b">
        <v>0</v>
      </c>
      <c r="AE626" s="331">
        <v>0.69</v>
      </c>
      <c r="AF626" s="331">
        <v>0.33</v>
      </c>
      <c r="AG626" s="331">
        <v>0.22</v>
      </c>
      <c r="AH626" s="331">
        <v>0</v>
      </c>
      <c r="AI626" s="1025" t="b">
        <v>1</v>
      </c>
      <c r="AJ626" s="331">
        <v>0</v>
      </c>
      <c r="AK626" s="331">
        <v>0</v>
      </c>
      <c r="AL626" s="331">
        <v>0</v>
      </c>
      <c r="AM626" s="331">
        <v>0</v>
      </c>
      <c r="AN626" s="1025" t="b">
        <v>0</v>
      </c>
      <c r="AO626" s="331">
        <v>0</v>
      </c>
      <c r="AP626" s="331">
        <v>0</v>
      </c>
      <c r="AQ626" s="331">
        <v>0</v>
      </c>
      <c r="AR626" s="331">
        <v>0</v>
      </c>
      <c r="AS626" s="1025" t="b">
        <v>0</v>
      </c>
      <c r="AT626" s="1025" t="b">
        <v>1</v>
      </c>
      <c r="AU626" s="331">
        <v>0</v>
      </c>
      <c r="AV626" s="491" t="s">
        <v>29</v>
      </c>
    </row>
    <row r="627" spans="1:48">
      <c r="A627" s="72">
        <v>43</v>
      </c>
      <c r="B627" s="391" t="s">
        <v>116</v>
      </c>
      <c r="C627" s="72">
        <f t="shared" si="27"/>
        <v>20</v>
      </c>
      <c r="D627" s="72" t="str">
        <f t="shared" si="28"/>
        <v>43-20</v>
      </c>
      <c r="E627" s="72">
        <v>69583</v>
      </c>
      <c r="F627" s="72" t="str">
        <f t="shared" si="29"/>
        <v>43-69583</v>
      </c>
      <c r="G627" s="391" t="s">
        <v>1108</v>
      </c>
      <c r="H627" s="331">
        <v>11007.45</v>
      </c>
      <c r="I627" s="331">
        <v>10120.89</v>
      </c>
      <c r="J627" s="331">
        <v>10421.120000000001</v>
      </c>
      <c r="K627" s="331">
        <v>12391.13</v>
      </c>
      <c r="L627" s="1072">
        <v>0</v>
      </c>
      <c r="M627" s="1072">
        <v>0</v>
      </c>
      <c r="N627" s="1072">
        <v>0</v>
      </c>
      <c r="O627" s="1072">
        <v>0</v>
      </c>
      <c r="P627" s="491">
        <v>0</v>
      </c>
      <c r="Q627" s="491">
        <v>0</v>
      </c>
      <c r="R627" s="491">
        <v>0</v>
      </c>
      <c r="S627" s="491">
        <v>0</v>
      </c>
      <c r="T627" s="1025" t="b">
        <v>0</v>
      </c>
      <c r="U627" s="491">
        <v>2.41</v>
      </c>
      <c r="V627" s="491">
        <v>4.58</v>
      </c>
      <c r="W627" s="491">
        <v>3.67</v>
      </c>
      <c r="X627" s="491">
        <v>16.87</v>
      </c>
      <c r="Y627" s="1025" t="b">
        <v>1</v>
      </c>
      <c r="Z627" s="331">
        <v>0</v>
      </c>
      <c r="AA627" s="331">
        <v>0</v>
      </c>
      <c r="AB627" s="331">
        <v>0</v>
      </c>
      <c r="AC627" s="331">
        <v>0.83</v>
      </c>
      <c r="AD627" s="1025" t="b">
        <v>1</v>
      </c>
      <c r="AE627" s="331">
        <v>0.05</v>
      </c>
      <c r="AF627" s="331">
        <v>0.38</v>
      </c>
      <c r="AG627" s="331">
        <v>0.05</v>
      </c>
      <c r="AH627" s="331">
        <v>1.61</v>
      </c>
      <c r="AI627" s="1025" t="b">
        <v>1</v>
      </c>
      <c r="AJ627" s="331">
        <v>0</v>
      </c>
      <c r="AK627" s="331">
        <v>0</v>
      </c>
      <c r="AL627" s="331">
        <v>0</v>
      </c>
      <c r="AM627" s="331">
        <v>0</v>
      </c>
      <c r="AN627" s="1025" t="b">
        <v>0</v>
      </c>
      <c r="AO627" s="331">
        <v>0</v>
      </c>
      <c r="AP627" s="331">
        <v>0</v>
      </c>
      <c r="AQ627" s="331">
        <v>0</v>
      </c>
      <c r="AR627" s="331">
        <v>0</v>
      </c>
      <c r="AS627" s="1025" t="b">
        <v>0</v>
      </c>
      <c r="AT627" s="1025" t="b">
        <v>1</v>
      </c>
      <c r="AU627" s="331">
        <v>0</v>
      </c>
      <c r="AV627" s="491" t="s">
        <v>29</v>
      </c>
    </row>
    <row r="628" spans="1:48">
      <c r="A628" s="72">
        <v>43</v>
      </c>
      <c r="B628" s="391" t="s">
        <v>116</v>
      </c>
      <c r="C628" s="72">
        <f t="shared" si="27"/>
        <v>21</v>
      </c>
      <c r="D628" s="72" t="str">
        <f t="shared" si="28"/>
        <v>43-21</v>
      </c>
      <c r="E628" s="72">
        <v>69609</v>
      </c>
      <c r="F628" s="72" t="str">
        <f t="shared" si="29"/>
        <v>43-69609</v>
      </c>
      <c r="G628" s="391" t="s">
        <v>1109</v>
      </c>
      <c r="H628" s="331">
        <v>10439.77</v>
      </c>
      <c r="I628" s="331">
        <v>9598.94</v>
      </c>
      <c r="J628" s="331">
        <v>9883.69</v>
      </c>
      <c r="K628" s="331">
        <v>11752.09</v>
      </c>
      <c r="L628" s="1072">
        <v>0</v>
      </c>
      <c r="M628" s="1072">
        <v>0</v>
      </c>
      <c r="N628" s="1072">
        <v>0</v>
      </c>
      <c r="O628" s="1072">
        <v>0</v>
      </c>
      <c r="P628" s="491">
        <v>0</v>
      </c>
      <c r="Q628" s="491">
        <v>0</v>
      </c>
      <c r="R628" s="491">
        <v>0</v>
      </c>
      <c r="S628" s="491">
        <v>0</v>
      </c>
      <c r="T628" s="1025" t="b">
        <v>0</v>
      </c>
      <c r="U628" s="491">
        <v>0</v>
      </c>
      <c r="V628" s="491">
        <v>0</v>
      </c>
      <c r="W628" s="491">
        <v>0</v>
      </c>
      <c r="X628" s="491">
        <v>2.08</v>
      </c>
      <c r="Y628" s="1025" t="b">
        <v>1</v>
      </c>
      <c r="Z628" s="331">
        <v>0</v>
      </c>
      <c r="AA628" s="331">
        <v>0</v>
      </c>
      <c r="AB628" s="331">
        <v>0</v>
      </c>
      <c r="AC628" s="331">
        <v>0</v>
      </c>
      <c r="AD628" s="1025" t="b">
        <v>0</v>
      </c>
      <c r="AE628" s="331">
        <v>0</v>
      </c>
      <c r="AF628" s="331">
        <v>0</v>
      </c>
      <c r="AG628" s="331">
        <v>0</v>
      </c>
      <c r="AH628" s="331">
        <v>0.31</v>
      </c>
      <c r="AI628" s="1025" t="b">
        <v>1</v>
      </c>
      <c r="AJ628" s="331">
        <v>0</v>
      </c>
      <c r="AK628" s="331">
        <v>0</v>
      </c>
      <c r="AL628" s="331">
        <v>0</v>
      </c>
      <c r="AM628" s="331">
        <v>0</v>
      </c>
      <c r="AN628" s="1025" t="b">
        <v>0</v>
      </c>
      <c r="AO628" s="331">
        <v>0</v>
      </c>
      <c r="AP628" s="331">
        <v>0</v>
      </c>
      <c r="AQ628" s="331">
        <v>0</v>
      </c>
      <c r="AR628" s="331">
        <v>0</v>
      </c>
      <c r="AS628" s="1025" t="b">
        <v>0</v>
      </c>
      <c r="AT628" s="1025" t="b">
        <v>1</v>
      </c>
      <c r="AU628" s="331">
        <v>0</v>
      </c>
      <c r="AV628" s="491" t="s">
        <v>29</v>
      </c>
    </row>
    <row r="629" spans="1:48">
      <c r="A629" s="72">
        <v>43</v>
      </c>
      <c r="B629" s="391" t="s">
        <v>116</v>
      </c>
      <c r="C629" s="72">
        <f t="shared" si="27"/>
        <v>22</v>
      </c>
      <c r="D629" s="72" t="str">
        <f t="shared" si="28"/>
        <v>43-22</v>
      </c>
      <c r="E629" s="72">
        <v>69617</v>
      </c>
      <c r="F629" s="72" t="str">
        <f t="shared" si="29"/>
        <v>43-69617</v>
      </c>
      <c r="G629" s="391" t="s">
        <v>1110</v>
      </c>
      <c r="H629" s="331">
        <v>13083.92</v>
      </c>
      <c r="I629" s="331">
        <v>12030.12</v>
      </c>
      <c r="J629" s="331">
        <v>12386.99</v>
      </c>
      <c r="K629" s="331">
        <v>14728.62</v>
      </c>
      <c r="L629" s="1072">
        <v>0</v>
      </c>
      <c r="M629" s="1072">
        <v>0</v>
      </c>
      <c r="N629" s="1072">
        <v>0</v>
      </c>
      <c r="O629" s="1072">
        <v>0</v>
      </c>
      <c r="P629" s="491">
        <v>0</v>
      </c>
      <c r="Q629" s="491">
        <v>0</v>
      </c>
      <c r="R629" s="491">
        <v>0</v>
      </c>
      <c r="S629" s="491">
        <v>0</v>
      </c>
      <c r="T629" s="1025" t="b">
        <v>0</v>
      </c>
      <c r="U629" s="491">
        <v>4.91</v>
      </c>
      <c r="V629" s="491">
        <v>5.3</v>
      </c>
      <c r="W629" s="491">
        <v>2.41</v>
      </c>
      <c r="X629" s="491">
        <v>0</v>
      </c>
      <c r="Y629" s="1025" t="b">
        <v>1</v>
      </c>
      <c r="Z629" s="331">
        <v>0</v>
      </c>
      <c r="AA629" s="331">
        <v>0</v>
      </c>
      <c r="AB629" s="331">
        <v>0</v>
      </c>
      <c r="AC629" s="331">
        <v>0</v>
      </c>
      <c r="AD629" s="1025" t="b">
        <v>0</v>
      </c>
      <c r="AE629" s="331">
        <v>0.53</v>
      </c>
      <c r="AF629" s="331">
        <v>0.11</v>
      </c>
      <c r="AG629" s="331">
        <v>0.14000000000000001</v>
      </c>
      <c r="AH629" s="331">
        <v>0</v>
      </c>
      <c r="AI629" s="1025" t="b">
        <v>1</v>
      </c>
      <c r="AJ629" s="331">
        <v>0</v>
      </c>
      <c r="AK629" s="331">
        <v>0</v>
      </c>
      <c r="AL629" s="331">
        <v>0</v>
      </c>
      <c r="AM629" s="331">
        <v>0</v>
      </c>
      <c r="AN629" s="1025" t="b">
        <v>0</v>
      </c>
      <c r="AO629" s="331">
        <v>0</v>
      </c>
      <c r="AP629" s="331">
        <v>0</v>
      </c>
      <c r="AQ629" s="331">
        <v>0</v>
      </c>
      <c r="AR629" s="331">
        <v>0</v>
      </c>
      <c r="AS629" s="1025" t="b">
        <v>0</v>
      </c>
      <c r="AT629" s="1025" t="b">
        <v>1</v>
      </c>
      <c r="AU629" s="331">
        <v>0</v>
      </c>
      <c r="AV629" s="491" t="s">
        <v>29</v>
      </c>
    </row>
    <row r="630" spans="1:48">
      <c r="A630" s="72">
        <v>43</v>
      </c>
      <c r="B630" s="391" t="s">
        <v>116</v>
      </c>
      <c r="C630" s="72">
        <f t="shared" si="27"/>
        <v>23</v>
      </c>
      <c r="D630" s="72" t="str">
        <f t="shared" si="28"/>
        <v>43-23</v>
      </c>
      <c r="E630" s="72">
        <v>69625</v>
      </c>
      <c r="F630" s="72" t="str">
        <f t="shared" si="29"/>
        <v>43-69625</v>
      </c>
      <c r="G630" s="391" t="s">
        <v>1111</v>
      </c>
      <c r="H630" s="491">
        <v>11004.21</v>
      </c>
      <c r="I630" s="491">
        <v>10117.91</v>
      </c>
      <c r="J630" s="491">
        <v>10418.06</v>
      </c>
      <c r="K630" s="491">
        <v>12387.48</v>
      </c>
      <c r="L630" s="1072">
        <v>0</v>
      </c>
      <c r="M630" s="1072">
        <v>0</v>
      </c>
      <c r="N630" s="1072">
        <v>0</v>
      </c>
      <c r="O630" s="1072">
        <v>0</v>
      </c>
      <c r="P630" s="491">
        <v>0</v>
      </c>
      <c r="Q630" s="491">
        <v>0</v>
      </c>
      <c r="R630" s="491">
        <v>0</v>
      </c>
      <c r="S630" s="491">
        <v>0</v>
      </c>
      <c r="T630" s="1025" t="b">
        <v>0</v>
      </c>
      <c r="U630" s="491">
        <v>21.86</v>
      </c>
      <c r="V630" s="491">
        <v>15.73</v>
      </c>
      <c r="W630" s="491">
        <v>10.24</v>
      </c>
      <c r="X630" s="491">
        <v>0</v>
      </c>
      <c r="Y630" s="1025" t="b">
        <v>1</v>
      </c>
      <c r="Z630" s="491">
        <v>0</v>
      </c>
      <c r="AA630" s="491">
        <v>0</v>
      </c>
      <c r="AB630" s="491">
        <v>0</v>
      </c>
      <c r="AC630" s="491">
        <v>0</v>
      </c>
      <c r="AD630" s="1025" t="b">
        <v>0</v>
      </c>
      <c r="AE630" s="491">
        <v>1.19</v>
      </c>
      <c r="AF630" s="491">
        <v>1.21</v>
      </c>
      <c r="AG630" s="491">
        <v>0.86</v>
      </c>
      <c r="AH630" s="491">
        <v>0</v>
      </c>
      <c r="AI630" s="1025" t="b">
        <v>1</v>
      </c>
      <c r="AJ630" s="491">
        <v>0</v>
      </c>
      <c r="AK630" s="491">
        <v>0</v>
      </c>
      <c r="AL630" s="491">
        <v>0</v>
      </c>
      <c r="AM630" s="491">
        <v>0</v>
      </c>
      <c r="AN630" s="1025" t="b">
        <v>0</v>
      </c>
      <c r="AO630" s="491">
        <v>0</v>
      </c>
      <c r="AP630" s="491">
        <v>0</v>
      </c>
      <c r="AQ630" s="491">
        <v>0</v>
      </c>
      <c r="AR630" s="491">
        <v>0</v>
      </c>
      <c r="AS630" s="1025" t="b">
        <v>0</v>
      </c>
      <c r="AT630" s="1025" t="b">
        <v>1</v>
      </c>
      <c r="AU630" s="491">
        <v>0</v>
      </c>
      <c r="AV630" s="491" t="s">
        <v>29</v>
      </c>
    </row>
    <row r="631" spans="1:48">
      <c r="A631" s="72">
        <v>43</v>
      </c>
      <c r="B631" s="391" t="s">
        <v>116</v>
      </c>
      <c r="C631" s="72">
        <f t="shared" si="27"/>
        <v>24</v>
      </c>
      <c r="D631" s="72" t="str">
        <f t="shared" si="28"/>
        <v>43-24</v>
      </c>
      <c r="E631" s="72">
        <v>69633</v>
      </c>
      <c r="F631" s="72" t="str">
        <f t="shared" si="29"/>
        <v>43-69633</v>
      </c>
      <c r="G631" s="391" t="s">
        <v>1112</v>
      </c>
      <c r="H631" s="331">
        <v>11503.89</v>
      </c>
      <c r="I631" s="331">
        <v>10577.35</v>
      </c>
      <c r="J631" s="331">
        <v>10891.12</v>
      </c>
      <c r="K631" s="331">
        <v>12949.97</v>
      </c>
      <c r="L631" s="1072">
        <v>0</v>
      </c>
      <c r="M631" s="1072">
        <v>0</v>
      </c>
      <c r="N631" s="1072">
        <v>0</v>
      </c>
      <c r="O631" s="1072">
        <v>0</v>
      </c>
      <c r="P631" s="491">
        <v>0</v>
      </c>
      <c r="Q631" s="491">
        <v>0</v>
      </c>
      <c r="R631" s="491">
        <v>0</v>
      </c>
      <c r="S631" s="491">
        <v>0</v>
      </c>
      <c r="T631" s="1025" t="b">
        <v>0</v>
      </c>
      <c r="U631" s="491">
        <v>4.87</v>
      </c>
      <c r="V631" s="491">
        <v>1.89</v>
      </c>
      <c r="W631" s="491">
        <v>0</v>
      </c>
      <c r="X631" s="491">
        <v>0</v>
      </c>
      <c r="Y631" s="1025" t="b">
        <v>1</v>
      </c>
      <c r="Z631" s="331">
        <v>0</v>
      </c>
      <c r="AA631" s="331">
        <v>0</v>
      </c>
      <c r="AB631" s="331">
        <v>0</v>
      </c>
      <c r="AC631" s="331">
        <v>0</v>
      </c>
      <c r="AD631" s="1025" t="b">
        <v>0</v>
      </c>
      <c r="AE631" s="331">
        <v>0.2</v>
      </c>
      <c r="AF631" s="331">
        <v>0.21</v>
      </c>
      <c r="AG631" s="331">
        <v>0.11</v>
      </c>
      <c r="AH631" s="331">
        <v>0</v>
      </c>
      <c r="AI631" s="1025" t="b">
        <v>1</v>
      </c>
      <c r="AJ631" s="331">
        <v>0</v>
      </c>
      <c r="AK631" s="331">
        <v>0</v>
      </c>
      <c r="AL631" s="331">
        <v>0</v>
      </c>
      <c r="AM631" s="331">
        <v>0</v>
      </c>
      <c r="AN631" s="1025" t="b">
        <v>0</v>
      </c>
      <c r="AO631" s="331">
        <v>0</v>
      </c>
      <c r="AP631" s="331">
        <v>0</v>
      </c>
      <c r="AQ631" s="331">
        <v>0</v>
      </c>
      <c r="AR631" s="331">
        <v>0</v>
      </c>
      <c r="AS631" s="1025" t="b">
        <v>0</v>
      </c>
      <c r="AT631" s="1025" t="b">
        <v>1</v>
      </c>
      <c r="AU631" s="331">
        <v>0</v>
      </c>
      <c r="AV631" s="491" t="s">
        <v>29</v>
      </c>
    </row>
    <row r="632" spans="1:48">
      <c r="A632" s="72">
        <v>43</v>
      </c>
      <c r="B632" s="391" t="s">
        <v>116</v>
      </c>
      <c r="C632" s="72">
        <f t="shared" si="27"/>
        <v>25</v>
      </c>
      <c r="D632" s="72" t="str">
        <f t="shared" si="28"/>
        <v>43-25</v>
      </c>
      <c r="E632" s="72">
        <v>69666</v>
      </c>
      <c r="F632" s="72" t="str">
        <f t="shared" si="29"/>
        <v>43-69666</v>
      </c>
      <c r="G632" s="391" t="s">
        <v>1114</v>
      </c>
      <c r="H632" s="331">
        <v>11020.4</v>
      </c>
      <c r="I632" s="331">
        <v>10132.799999999999</v>
      </c>
      <c r="J632" s="331">
        <v>10433.39</v>
      </c>
      <c r="K632" s="331">
        <v>12405.71</v>
      </c>
      <c r="L632" s="1072">
        <v>0</v>
      </c>
      <c r="M632" s="1072">
        <v>0</v>
      </c>
      <c r="N632" s="1072">
        <v>0</v>
      </c>
      <c r="O632" s="1072">
        <v>0</v>
      </c>
      <c r="P632" s="491">
        <v>0</v>
      </c>
      <c r="Q632" s="491">
        <v>0</v>
      </c>
      <c r="R632" s="491">
        <v>0</v>
      </c>
      <c r="S632" s="491">
        <v>0</v>
      </c>
      <c r="T632" s="1025" t="b">
        <v>0</v>
      </c>
      <c r="U632" s="491">
        <v>25.24</v>
      </c>
      <c r="V632" s="491">
        <v>26.21</v>
      </c>
      <c r="W632" s="491">
        <v>8.85</v>
      </c>
      <c r="X632" s="491">
        <v>50.59</v>
      </c>
      <c r="Y632" s="1025" t="b">
        <v>1</v>
      </c>
      <c r="Z632" s="331">
        <v>0</v>
      </c>
      <c r="AA632" s="331">
        <v>0</v>
      </c>
      <c r="AB632" s="331">
        <v>0</v>
      </c>
      <c r="AC632" s="331">
        <v>0</v>
      </c>
      <c r="AD632" s="1025" t="b">
        <v>0</v>
      </c>
      <c r="AE632" s="331">
        <v>3.83</v>
      </c>
      <c r="AF632" s="331">
        <v>1.31</v>
      </c>
      <c r="AG632" s="331">
        <v>1.44</v>
      </c>
      <c r="AH632" s="331">
        <v>4.38</v>
      </c>
      <c r="AI632" s="1025" t="b">
        <v>1</v>
      </c>
      <c r="AJ632" s="331">
        <v>0</v>
      </c>
      <c r="AK632" s="331">
        <v>0</v>
      </c>
      <c r="AL632" s="331">
        <v>0</v>
      </c>
      <c r="AM632" s="331">
        <v>0</v>
      </c>
      <c r="AN632" s="1025" t="b">
        <v>0</v>
      </c>
      <c r="AO632" s="331">
        <v>0</v>
      </c>
      <c r="AP632" s="331">
        <v>0</v>
      </c>
      <c r="AQ632" s="331">
        <v>0</v>
      </c>
      <c r="AR632" s="331">
        <v>0</v>
      </c>
      <c r="AS632" s="1025" t="b">
        <v>0</v>
      </c>
      <c r="AT632" s="1025" t="b">
        <v>1</v>
      </c>
      <c r="AU632" s="331">
        <v>0</v>
      </c>
      <c r="AV632" s="491" t="s">
        <v>29</v>
      </c>
    </row>
    <row r="633" spans="1:48">
      <c r="A633" s="72">
        <v>43</v>
      </c>
      <c r="B633" s="391" t="s">
        <v>116</v>
      </c>
      <c r="C633" s="72">
        <f t="shared" si="27"/>
        <v>26</v>
      </c>
      <c r="D633" s="72" t="str">
        <f t="shared" si="28"/>
        <v>43-26</v>
      </c>
      <c r="E633" s="72">
        <v>69674</v>
      </c>
      <c r="F633" s="72" t="str">
        <f t="shared" si="29"/>
        <v>43-69674</v>
      </c>
      <c r="G633" s="391" t="s">
        <v>1115</v>
      </c>
      <c r="H633" s="331">
        <v>11056.42</v>
      </c>
      <c r="I633" s="331">
        <v>10165.92</v>
      </c>
      <c r="J633" s="331">
        <v>10467.49</v>
      </c>
      <c r="K633" s="331">
        <v>12446.26</v>
      </c>
      <c r="L633" s="1072">
        <v>0</v>
      </c>
      <c r="M633" s="1072">
        <v>0</v>
      </c>
      <c r="N633" s="1072">
        <v>0</v>
      </c>
      <c r="O633" s="1072">
        <v>0</v>
      </c>
      <c r="P633" s="491">
        <v>0</v>
      </c>
      <c r="Q633" s="491">
        <v>0</v>
      </c>
      <c r="R633" s="491">
        <v>0</v>
      </c>
      <c r="S633" s="491">
        <v>0</v>
      </c>
      <c r="T633" s="1025" t="b">
        <v>0</v>
      </c>
      <c r="U633" s="491">
        <v>3.32</v>
      </c>
      <c r="V633" s="491">
        <v>6.98</v>
      </c>
      <c r="W633" s="491">
        <v>2.62</v>
      </c>
      <c r="X633" s="491">
        <v>12.29</v>
      </c>
      <c r="Y633" s="1025" t="b">
        <v>1</v>
      </c>
      <c r="Z633" s="331">
        <v>0</v>
      </c>
      <c r="AA633" s="331">
        <v>0</v>
      </c>
      <c r="AB633" s="331">
        <v>0</v>
      </c>
      <c r="AC633" s="331">
        <v>0</v>
      </c>
      <c r="AD633" s="1025" t="b">
        <v>0</v>
      </c>
      <c r="AE633" s="331">
        <v>0.36</v>
      </c>
      <c r="AF633" s="331">
        <v>0.65</v>
      </c>
      <c r="AG633" s="331">
        <v>0.33</v>
      </c>
      <c r="AH633" s="331">
        <v>0.8</v>
      </c>
      <c r="AI633" s="1025" t="b">
        <v>1</v>
      </c>
      <c r="AJ633" s="331">
        <v>0</v>
      </c>
      <c r="AK633" s="331">
        <v>0</v>
      </c>
      <c r="AL633" s="331">
        <v>0</v>
      </c>
      <c r="AM633" s="331">
        <v>0</v>
      </c>
      <c r="AN633" s="1025" t="b">
        <v>0</v>
      </c>
      <c r="AO633" s="331">
        <v>0</v>
      </c>
      <c r="AP633" s="331">
        <v>0</v>
      </c>
      <c r="AQ633" s="331">
        <v>0</v>
      </c>
      <c r="AR633" s="331">
        <v>0</v>
      </c>
      <c r="AS633" s="1025" t="b">
        <v>0</v>
      </c>
      <c r="AT633" s="1025" t="b">
        <v>1</v>
      </c>
      <c r="AU633" s="331">
        <v>0</v>
      </c>
      <c r="AV633" s="491" t="s">
        <v>29</v>
      </c>
    </row>
    <row r="634" spans="1:48">
      <c r="A634" s="72">
        <v>43</v>
      </c>
      <c r="B634" s="391" t="s">
        <v>116</v>
      </c>
      <c r="C634" s="72">
        <f t="shared" si="27"/>
        <v>27</v>
      </c>
      <c r="D634" s="72" t="str">
        <f t="shared" si="28"/>
        <v>43-27</v>
      </c>
      <c r="E634" s="72">
        <v>69682</v>
      </c>
      <c r="F634" s="72" t="str">
        <f t="shared" si="29"/>
        <v>43-69682</v>
      </c>
      <c r="G634" s="391" t="s">
        <v>1116</v>
      </c>
      <c r="H634" s="331">
        <v>10299.52</v>
      </c>
      <c r="I634" s="331">
        <v>9469.98</v>
      </c>
      <c r="J634" s="331">
        <v>9750.91</v>
      </c>
      <c r="K634" s="331">
        <v>11594.22</v>
      </c>
      <c r="L634" s="1072">
        <v>0</v>
      </c>
      <c r="M634" s="1072">
        <v>0</v>
      </c>
      <c r="N634" s="1072">
        <v>0</v>
      </c>
      <c r="O634" s="1072">
        <v>0</v>
      </c>
      <c r="P634" s="491">
        <v>0</v>
      </c>
      <c r="Q634" s="491">
        <v>0</v>
      </c>
      <c r="R634" s="491">
        <v>0</v>
      </c>
      <c r="S634" s="491">
        <v>0</v>
      </c>
      <c r="T634" s="1025" t="b">
        <v>0</v>
      </c>
      <c r="U634" s="491">
        <v>0.99</v>
      </c>
      <c r="V634" s="491">
        <v>0</v>
      </c>
      <c r="W634" s="491">
        <v>0</v>
      </c>
      <c r="X634" s="491">
        <v>0</v>
      </c>
      <c r="Y634" s="1025" t="b">
        <v>1</v>
      </c>
      <c r="Z634" s="331">
        <v>0</v>
      </c>
      <c r="AA634" s="331">
        <v>0</v>
      </c>
      <c r="AB634" s="331">
        <v>0</v>
      </c>
      <c r="AC634" s="331">
        <v>0</v>
      </c>
      <c r="AD634" s="1025" t="b">
        <v>0</v>
      </c>
      <c r="AE634" s="331">
        <v>0.11</v>
      </c>
      <c r="AF634" s="331">
        <v>0</v>
      </c>
      <c r="AG634" s="331">
        <v>0</v>
      </c>
      <c r="AH634" s="331">
        <v>0</v>
      </c>
      <c r="AI634" s="1025" t="b">
        <v>1</v>
      </c>
      <c r="AJ634" s="331">
        <v>0</v>
      </c>
      <c r="AK634" s="331">
        <v>0</v>
      </c>
      <c r="AL634" s="331">
        <v>0</v>
      </c>
      <c r="AM634" s="331">
        <v>0</v>
      </c>
      <c r="AN634" s="1025" t="b">
        <v>0</v>
      </c>
      <c r="AO634" s="331">
        <v>0</v>
      </c>
      <c r="AP634" s="331">
        <v>0</v>
      </c>
      <c r="AQ634" s="331">
        <v>0</v>
      </c>
      <c r="AR634" s="331">
        <v>0</v>
      </c>
      <c r="AS634" s="1025" t="b">
        <v>0</v>
      </c>
      <c r="AT634" s="1025" t="b">
        <v>1</v>
      </c>
      <c r="AU634" s="331">
        <v>0</v>
      </c>
      <c r="AV634" s="491" t="s">
        <v>29</v>
      </c>
    </row>
    <row r="635" spans="1:48">
      <c r="A635" s="72">
        <v>43</v>
      </c>
      <c r="B635" s="391" t="s">
        <v>116</v>
      </c>
      <c r="C635" s="72">
        <f t="shared" si="27"/>
        <v>28</v>
      </c>
      <c r="D635" s="72" t="str">
        <f t="shared" si="28"/>
        <v>43-28</v>
      </c>
      <c r="E635" s="72">
        <v>69690</v>
      </c>
      <c r="F635" s="72" t="str">
        <f t="shared" si="29"/>
        <v>43-69690</v>
      </c>
      <c r="G635" s="391" t="s">
        <v>1117</v>
      </c>
      <c r="H635" s="331">
        <v>10999.96</v>
      </c>
      <c r="I635" s="331">
        <v>10114.01</v>
      </c>
      <c r="J635" s="331">
        <v>10414.030000000001</v>
      </c>
      <c r="K635" s="331">
        <v>12382.7</v>
      </c>
      <c r="L635" s="1072">
        <v>0</v>
      </c>
      <c r="M635" s="1072">
        <v>0</v>
      </c>
      <c r="N635" s="1072">
        <v>0</v>
      </c>
      <c r="O635" s="1072">
        <v>0</v>
      </c>
      <c r="P635" s="491">
        <v>0</v>
      </c>
      <c r="Q635" s="491">
        <v>0</v>
      </c>
      <c r="R635" s="491">
        <v>0</v>
      </c>
      <c r="S635" s="491">
        <v>0</v>
      </c>
      <c r="T635" s="1025" t="b">
        <v>0</v>
      </c>
      <c r="U635" s="491">
        <v>0.13</v>
      </c>
      <c r="V635" s="491">
        <v>2.36</v>
      </c>
      <c r="W635" s="491">
        <v>0.83</v>
      </c>
      <c r="X635" s="491">
        <v>0</v>
      </c>
      <c r="Y635" s="1025" t="b">
        <v>1</v>
      </c>
      <c r="Z635" s="331">
        <v>0</v>
      </c>
      <c r="AA635" s="331">
        <v>0</v>
      </c>
      <c r="AB635" s="331">
        <v>0</v>
      </c>
      <c r="AC635" s="331">
        <v>0</v>
      </c>
      <c r="AD635" s="1025" t="b">
        <v>0</v>
      </c>
      <c r="AE635" s="331">
        <v>0.1</v>
      </c>
      <c r="AF635" s="331">
        <v>0.08</v>
      </c>
      <c r="AG635" s="331">
        <v>0.1</v>
      </c>
      <c r="AH635" s="331">
        <v>0</v>
      </c>
      <c r="AI635" s="1025" t="b">
        <v>1</v>
      </c>
      <c r="AJ635" s="331">
        <v>0</v>
      </c>
      <c r="AK635" s="331">
        <v>0</v>
      </c>
      <c r="AL635" s="331">
        <v>0</v>
      </c>
      <c r="AM635" s="331">
        <v>0</v>
      </c>
      <c r="AN635" s="1025" t="b">
        <v>0</v>
      </c>
      <c r="AO635" s="331">
        <v>0</v>
      </c>
      <c r="AP635" s="331">
        <v>0</v>
      </c>
      <c r="AQ635" s="331">
        <v>0</v>
      </c>
      <c r="AR635" s="331">
        <v>0</v>
      </c>
      <c r="AS635" s="1025" t="b">
        <v>0</v>
      </c>
      <c r="AT635" s="1025" t="b">
        <v>1</v>
      </c>
      <c r="AU635" s="331">
        <v>0</v>
      </c>
      <c r="AV635" s="491" t="s">
        <v>29</v>
      </c>
    </row>
    <row r="636" spans="1:48">
      <c r="A636" s="72">
        <v>43</v>
      </c>
      <c r="B636" s="391" t="s">
        <v>116</v>
      </c>
      <c r="C636" s="72">
        <f t="shared" si="27"/>
        <v>29</v>
      </c>
      <c r="D636" s="72" t="str">
        <f t="shared" si="28"/>
        <v>43-29</v>
      </c>
      <c r="E636" s="72">
        <v>69708</v>
      </c>
      <c r="F636" s="72" t="str">
        <f t="shared" si="29"/>
        <v>43-69708</v>
      </c>
      <c r="G636" s="391" t="s">
        <v>1118</v>
      </c>
      <c r="H636" s="331">
        <v>10530.44</v>
      </c>
      <c r="I636" s="331">
        <v>9682.2999999999993</v>
      </c>
      <c r="J636" s="331">
        <v>9969.52</v>
      </c>
      <c r="K636" s="331">
        <v>11854.16</v>
      </c>
      <c r="L636" s="1072">
        <v>0</v>
      </c>
      <c r="M636" s="1072">
        <v>0</v>
      </c>
      <c r="N636" s="1072">
        <v>0</v>
      </c>
      <c r="O636" s="1072">
        <v>0</v>
      </c>
      <c r="P636" s="491">
        <v>0</v>
      </c>
      <c r="Q636" s="491">
        <v>0</v>
      </c>
      <c r="R636" s="491">
        <v>0</v>
      </c>
      <c r="S636" s="491">
        <v>0</v>
      </c>
      <c r="T636" s="1025" t="b">
        <v>0</v>
      </c>
      <c r="U636" s="491">
        <v>4.26</v>
      </c>
      <c r="V636" s="491">
        <v>2.78</v>
      </c>
      <c r="W636" s="491">
        <v>0.01</v>
      </c>
      <c r="X636" s="491">
        <v>0</v>
      </c>
      <c r="Y636" s="1025" t="b">
        <v>1</v>
      </c>
      <c r="Z636" s="331">
        <v>0</v>
      </c>
      <c r="AA636" s="331">
        <v>0</v>
      </c>
      <c r="AB636" s="331">
        <v>0</v>
      </c>
      <c r="AC636" s="331">
        <v>0</v>
      </c>
      <c r="AD636" s="1025" t="b">
        <v>0</v>
      </c>
      <c r="AE636" s="331">
        <v>0.54</v>
      </c>
      <c r="AF636" s="331">
        <v>0.14000000000000001</v>
      </c>
      <c r="AG636" s="331">
        <v>0</v>
      </c>
      <c r="AH636" s="331">
        <v>0</v>
      </c>
      <c r="AI636" s="1025" t="b">
        <v>1</v>
      </c>
      <c r="AJ636" s="331">
        <v>0</v>
      </c>
      <c r="AK636" s="331">
        <v>0</v>
      </c>
      <c r="AL636" s="331">
        <v>0</v>
      </c>
      <c r="AM636" s="331">
        <v>0</v>
      </c>
      <c r="AN636" s="1025" t="b">
        <v>0</v>
      </c>
      <c r="AO636" s="331">
        <v>0</v>
      </c>
      <c r="AP636" s="331">
        <v>0</v>
      </c>
      <c r="AQ636" s="331">
        <v>0</v>
      </c>
      <c r="AR636" s="331">
        <v>0</v>
      </c>
      <c r="AS636" s="1025" t="b">
        <v>0</v>
      </c>
      <c r="AT636" s="1025" t="b">
        <v>1</v>
      </c>
      <c r="AU636" s="331">
        <v>0</v>
      </c>
      <c r="AV636" s="491" t="s">
        <v>29</v>
      </c>
    </row>
    <row r="637" spans="1:48">
      <c r="A637" s="72">
        <v>43</v>
      </c>
      <c r="B637" s="391" t="s">
        <v>116</v>
      </c>
      <c r="C637" s="72">
        <f t="shared" si="27"/>
        <v>30</v>
      </c>
      <c r="D637" s="72" t="str">
        <f t="shared" si="28"/>
        <v>43-30</v>
      </c>
      <c r="E637" s="72">
        <v>73387</v>
      </c>
      <c r="F637" s="72" t="str">
        <f t="shared" si="29"/>
        <v>43-73387</v>
      </c>
      <c r="G637" s="391" t="s">
        <v>1119</v>
      </c>
      <c r="H637" s="331">
        <v>10972.03</v>
      </c>
      <c r="I637" s="331">
        <v>10088.33</v>
      </c>
      <c r="J637" s="331">
        <v>10387.59</v>
      </c>
      <c r="K637" s="331">
        <v>12351.26</v>
      </c>
      <c r="L637" s="1072">
        <v>0</v>
      </c>
      <c r="M637" s="1072">
        <v>0</v>
      </c>
      <c r="N637" s="1072">
        <v>0</v>
      </c>
      <c r="O637" s="1072">
        <v>0</v>
      </c>
      <c r="P637" s="491">
        <v>0</v>
      </c>
      <c r="Q637" s="491">
        <v>0</v>
      </c>
      <c r="R637" s="491">
        <v>0</v>
      </c>
      <c r="S637" s="491">
        <v>0</v>
      </c>
      <c r="T637" s="1025" t="b">
        <v>0</v>
      </c>
      <c r="U637" s="491">
        <v>2.69</v>
      </c>
      <c r="V637" s="491">
        <v>1.5</v>
      </c>
      <c r="W637" s="491">
        <v>1.81</v>
      </c>
      <c r="X637" s="491">
        <v>9.74</v>
      </c>
      <c r="Y637" s="1025" t="b">
        <v>1</v>
      </c>
      <c r="Z637" s="331">
        <v>0</v>
      </c>
      <c r="AA637" s="331">
        <v>0</v>
      </c>
      <c r="AB637" s="331">
        <v>0</v>
      </c>
      <c r="AC637" s="331">
        <v>0</v>
      </c>
      <c r="AD637" s="1025" t="b">
        <v>0</v>
      </c>
      <c r="AE637" s="331">
        <v>0.25</v>
      </c>
      <c r="AF637" s="331">
        <v>0.11</v>
      </c>
      <c r="AG637" s="331">
        <v>0.28999999999999998</v>
      </c>
      <c r="AH637" s="331">
        <v>0.94</v>
      </c>
      <c r="AI637" s="1025" t="b">
        <v>1</v>
      </c>
      <c r="AJ637" s="331">
        <v>0</v>
      </c>
      <c r="AK637" s="331">
        <v>0</v>
      </c>
      <c r="AL637" s="331">
        <v>0</v>
      </c>
      <c r="AM637" s="331">
        <v>0</v>
      </c>
      <c r="AN637" s="1025" t="b">
        <v>0</v>
      </c>
      <c r="AO637" s="331">
        <v>0</v>
      </c>
      <c r="AP637" s="331">
        <v>0</v>
      </c>
      <c r="AQ637" s="331">
        <v>0</v>
      </c>
      <c r="AR637" s="331">
        <v>0</v>
      </c>
      <c r="AS637" s="1025" t="b">
        <v>0</v>
      </c>
      <c r="AT637" s="1025" t="b">
        <v>1</v>
      </c>
      <c r="AU637" s="331">
        <v>0</v>
      </c>
      <c r="AV637" s="491" t="s">
        <v>29</v>
      </c>
    </row>
    <row r="638" spans="1:48">
      <c r="A638" s="72">
        <v>43</v>
      </c>
      <c r="B638" s="391" t="s">
        <v>116</v>
      </c>
      <c r="C638" s="72">
        <f t="shared" si="27"/>
        <v>31</v>
      </c>
      <c r="D638" s="72" t="str">
        <f t="shared" si="28"/>
        <v>43-31</v>
      </c>
      <c r="E638" s="72">
        <v>69815</v>
      </c>
      <c r="F638" s="72" t="str">
        <f t="shared" si="29"/>
        <v>43-69815</v>
      </c>
      <c r="G638" s="391" t="s">
        <v>1123</v>
      </c>
      <c r="H638" s="331">
        <v>10975.27</v>
      </c>
      <c r="I638" s="331">
        <v>10091.299999999999</v>
      </c>
      <c r="J638" s="331">
        <v>10390.66</v>
      </c>
      <c r="K638" s="331">
        <v>12354.91</v>
      </c>
      <c r="L638" s="1072">
        <v>0</v>
      </c>
      <c r="M638" s="1072">
        <v>0</v>
      </c>
      <c r="N638" s="1072">
        <v>0</v>
      </c>
      <c r="O638" s="1072">
        <v>0</v>
      </c>
      <c r="P638" s="491">
        <v>0</v>
      </c>
      <c r="Q638" s="491">
        <v>0</v>
      </c>
      <c r="R638" s="491">
        <v>0</v>
      </c>
      <c r="S638" s="491">
        <v>0</v>
      </c>
      <c r="T638" s="1025" t="b">
        <v>0</v>
      </c>
      <c r="U638" s="491">
        <v>0</v>
      </c>
      <c r="V638" s="491">
        <v>0.9</v>
      </c>
      <c r="W638" s="491">
        <v>0</v>
      </c>
      <c r="X638" s="491">
        <v>0</v>
      </c>
      <c r="Y638" s="1025" t="b">
        <v>1</v>
      </c>
      <c r="Z638" s="331">
        <v>0</v>
      </c>
      <c r="AA638" s="331">
        <v>0</v>
      </c>
      <c r="AB638" s="331">
        <v>0</v>
      </c>
      <c r="AC638" s="331">
        <v>0</v>
      </c>
      <c r="AD638" s="1025" t="b">
        <v>0</v>
      </c>
      <c r="AE638" s="331">
        <v>0</v>
      </c>
      <c r="AF638" s="331">
        <v>0</v>
      </c>
      <c r="AG638" s="331">
        <v>0</v>
      </c>
      <c r="AH638" s="331">
        <v>0</v>
      </c>
      <c r="AI638" s="1025" t="b">
        <v>0</v>
      </c>
      <c r="AJ638" s="331">
        <v>0</v>
      </c>
      <c r="AK638" s="331">
        <v>0</v>
      </c>
      <c r="AL638" s="331">
        <v>0</v>
      </c>
      <c r="AM638" s="331">
        <v>0</v>
      </c>
      <c r="AN638" s="1025" t="b">
        <v>0</v>
      </c>
      <c r="AO638" s="331">
        <v>0</v>
      </c>
      <c r="AP638" s="331">
        <v>0</v>
      </c>
      <c r="AQ638" s="331">
        <v>0</v>
      </c>
      <c r="AR638" s="331">
        <v>0</v>
      </c>
      <c r="AS638" s="1025" t="b">
        <v>0</v>
      </c>
      <c r="AT638" s="1025" t="b">
        <v>0</v>
      </c>
      <c r="AU638" s="331">
        <v>9082</v>
      </c>
      <c r="AV638" s="491" t="s">
        <v>29</v>
      </c>
    </row>
    <row r="639" spans="1:48">
      <c r="A639" s="72">
        <v>43</v>
      </c>
      <c r="B639" s="391" t="s">
        <v>116</v>
      </c>
      <c r="C639" s="72">
        <f t="shared" si="27"/>
        <v>32</v>
      </c>
      <c r="D639" s="72" t="str">
        <f t="shared" si="28"/>
        <v>43-32</v>
      </c>
      <c r="E639" s="72">
        <v>75432</v>
      </c>
      <c r="F639" s="72" t="str">
        <f t="shared" si="29"/>
        <v>43-75432</v>
      </c>
      <c r="G639" s="391" t="s">
        <v>1120</v>
      </c>
      <c r="H639" s="331">
        <v>10386.75</v>
      </c>
      <c r="I639" s="331">
        <v>9550.18</v>
      </c>
      <c r="J639" s="331">
        <v>9833.49</v>
      </c>
      <c r="K639" s="331">
        <v>11692.41</v>
      </c>
      <c r="L639" s="1072">
        <v>0</v>
      </c>
      <c r="M639" s="1072">
        <v>0</v>
      </c>
      <c r="N639" s="1072">
        <v>0</v>
      </c>
      <c r="O639" s="1072">
        <v>0</v>
      </c>
      <c r="P639" s="491">
        <v>0</v>
      </c>
      <c r="Q639" s="491">
        <v>0</v>
      </c>
      <c r="R639" s="491">
        <v>0</v>
      </c>
      <c r="S639" s="491">
        <v>0</v>
      </c>
      <c r="T639" s="1025" t="b">
        <v>0</v>
      </c>
      <c r="U639" s="491">
        <v>0</v>
      </c>
      <c r="V639" s="491">
        <v>0.99</v>
      </c>
      <c r="W639" s="491">
        <v>0</v>
      </c>
      <c r="X639" s="491">
        <v>0</v>
      </c>
      <c r="Y639" s="1025" t="b">
        <v>1</v>
      </c>
      <c r="Z639" s="331">
        <v>0</v>
      </c>
      <c r="AA639" s="331">
        <v>0</v>
      </c>
      <c r="AB639" s="331">
        <v>0</v>
      </c>
      <c r="AC639" s="331">
        <v>0</v>
      </c>
      <c r="AD639" s="1025" t="b">
        <v>0</v>
      </c>
      <c r="AE639" s="331">
        <v>0.09</v>
      </c>
      <c r="AF639" s="331">
        <v>0</v>
      </c>
      <c r="AG639" s="331">
        <v>0</v>
      </c>
      <c r="AH639" s="331">
        <v>0</v>
      </c>
      <c r="AI639" s="1025" t="b">
        <v>1</v>
      </c>
      <c r="AJ639" s="331">
        <v>0</v>
      </c>
      <c r="AK639" s="331">
        <v>0</v>
      </c>
      <c r="AL639" s="331">
        <v>0</v>
      </c>
      <c r="AM639" s="331">
        <v>0</v>
      </c>
      <c r="AN639" s="1025" t="b">
        <v>0</v>
      </c>
      <c r="AO639" s="331">
        <v>0</v>
      </c>
      <c r="AP639" s="331">
        <v>0</v>
      </c>
      <c r="AQ639" s="331">
        <v>0</v>
      </c>
      <c r="AR639" s="331">
        <v>0</v>
      </c>
      <c r="AS639" s="1025" t="b">
        <v>0</v>
      </c>
      <c r="AT639" s="1025" t="b">
        <v>1</v>
      </c>
      <c r="AU639" s="331">
        <v>0</v>
      </c>
      <c r="AV639" s="491" t="s">
        <v>29</v>
      </c>
    </row>
    <row r="640" spans="1:48">
      <c r="A640" s="72">
        <v>43</v>
      </c>
      <c r="B640" s="391" t="s">
        <v>116</v>
      </c>
      <c r="C640" s="72">
        <f t="shared" si="27"/>
        <v>0</v>
      </c>
      <c r="D640" s="72" t="str">
        <f t="shared" si="28"/>
        <v>43-0</v>
      </c>
      <c r="E640" s="72" t="s">
        <v>29</v>
      </c>
      <c r="F640" s="72" t="str">
        <f t="shared" si="29"/>
        <v>43-N/A</v>
      </c>
      <c r="G640" s="391" t="s">
        <v>29</v>
      </c>
      <c r="H640" s="491" t="s">
        <v>29</v>
      </c>
      <c r="I640" s="491" t="s">
        <v>29</v>
      </c>
      <c r="J640" s="491" t="s">
        <v>29</v>
      </c>
      <c r="K640" s="491" t="s">
        <v>29</v>
      </c>
      <c r="L640" s="491" t="s">
        <v>29</v>
      </c>
      <c r="M640" s="491" t="s">
        <v>29</v>
      </c>
      <c r="N640" s="491" t="s">
        <v>29</v>
      </c>
      <c r="O640" s="491" t="s">
        <v>29</v>
      </c>
      <c r="P640" s="491" t="s">
        <v>29</v>
      </c>
      <c r="Q640" s="491" t="s">
        <v>29</v>
      </c>
      <c r="R640" s="491" t="s">
        <v>29</v>
      </c>
      <c r="S640" s="491" t="s">
        <v>29</v>
      </c>
      <c r="T640" s="1025" t="s">
        <v>29</v>
      </c>
      <c r="U640" s="491" t="s">
        <v>29</v>
      </c>
      <c r="V640" s="491" t="s">
        <v>29</v>
      </c>
      <c r="W640" s="491" t="s">
        <v>29</v>
      </c>
      <c r="X640" s="491" t="s">
        <v>29</v>
      </c>
      <c r="Y640" s="1025" t="s">
        <v>29</v>
      </c>
      <c r="Z640" s="491" t="s">
        <v>29</v>
      </c>
      <c r="AA640" s="491" t="s">
        <v>29</v>
      </c>
      <c r="AB640" s="491" t="s">
        <v>29</v>
      </c>
      <c r="AC640" s="491" t="s">
        <v>29</v>
      </c>
      <c r="AD640" s="1025" t="s">
        <v>29</v>
      </c>
      <c r="AE640" s="491" t="s">
        <v>29</v>
      </c>
      <c r="AF640" s="491" t="s">
        <v>29</v>
      </c>
      <c r="AG640" s="491" t="s">
        <v>29</v>
      </c>
      <c r="AH640" s="491" t="s">
        <v>29</v>
      </c>
      <c r="AI640" s="1025" t="s">
        <v>29</v>
      </c>
      <c r="AJ640" s="491" t="s">
        <v>29</v>
      </c>
      <c r="AK640" s="491" t="s">
        <v>29</v>
      </c>
      <c r="AL640" s="491" t="s">
        <v>29</v>
      </c>
      <c r="AM640" s="491" t="s">
        <v>29</v>
      </c>
      <c r="AN640" s="1025" t="s">
        <v>29</v>
      </c>
      <c r="AO640" s="491" t="s">
        <v>29</v>
      </c>
      <c r="AP640" s="491" t="s">
        <v>29</v>
      </c>
      <c r="AQ640" s="491" t="s">
        <v>29</v>
      </c>
      <c r="AR640" s="491" t="s">
        <v>29</v>
      </c>
      <c r="AS640" s="1025" t="s">
        <v>29</v>
      </c>
      <c r="AT640" s="1025" t="s">
        <v>29</v>
      </c>
      <c r="AU640" s="491" t="s">
        <v>29</v>
      </c>
      <c r="AV640" s="491">
        <v>27559</v>
      </c>
    </row>
    <row r="641" spans="1:48">
      <c r="A641" s="72">
        <v>44</v>
      </c>
      <c r="B641" s="391" t="s">
        <v>117</v>
      </c>
      <c r="C641" s="72">
        <f t="shared" si="27"/>
        <v>1</v>
      </c>
      <c r="D641" s="72" t="str">
        <f t="shared" si="28"/>
        <v>44-1</v>
      </c>
      <c r="E641" s="72">
        <v>69765</v>
      </c>
      <c r="F641" s="72" t="str">
        <f t="shared" si="29"/>
        <v>44-69765</v>
      </c>
      <c r="G641" s="391" t="s">
        <v>1121</v>
      </c>
      <c r="H641" s="491">
        <v>11958.03</v>
      </c>
      <c r="I641" s="491">
        <v>10994.91</v>
      </c>
      <c r="J641" s="491">
        <v>11321.07</v>
      </c>
      <c r="K641" s="491">
        <v>13461.2</v>
      </c>
      <c r="L641" s="1072">
        <v>0</v>
      </c>
      <c r="M641" s="1072">
        <v>0</v>
      </c>
      <c r="N641" s="491" t="s">
        <v>29</v>
      </c>
      <c r="O641" s="491" t="s">
        <v>29</v>
      </c>
      <c r="P641" s="491">
        <v>0</v>
      </c>
      <c r="Q641" s="491">
        <v>0</v>
      </c>
      <c r="R641" s="491">
        <v>0</v>
      </c>
      <c r="S641" s="491">
        <v>0</v>
      </c>
      <c r="T641" s="1025" t="b">
        <v>0</v>
      </c>
      <c r="U641" s="491">
        <v>4.16</v>
      </c>
      <c r="V641" s="491">
        <v>3.51</v>
      </c>
      <c r="W641" s="491">
        <v>0</v>
      </c>
      <c r="X641" s="491">
        <v>0</v>
      </c>
      <c r="Y641" s="1025" t="b">
        <v>1</v>
      </c>
      <c r="Z641" s="491">
        <v>0</v>
      </c>
      <c r="AA641" s="491">
        <v>0</v>
      </c>
      <c r="AB641" s="491">
        <v>0</v>
      </c>
      <c r="AC641" s="491">
        <v>0</v>
      </c>
      <c r="AD641" s="1025" t="b">
        <v>0</v>
      </c>
      <c r="AE641" s="491">
        <v>0.53</v>
      </c>
      <c r="AF641" s="491">
        <v>0.31</v>
      </c>
      <c r="AG641" s="491">
        <v>0</v>
      </c>
      <c r="AH641" s="491">
        <v>0</v>
      </c>
      <c r="AI641" s="1025" t="b">
        <v>1</v>
      </c>
      <c r="AJ641" s="491">
        <v>0</v>
      </c>
      <c r="AK641" s="491">
        <v>0</v>
      </c>
      <c r="AL641" s="491">
        <v>0</v>
      </c>
      <c r="AM641" s="491">
        <v>0</v>
      </c>
      <c r="AN641" s="1025" t="b">
        <v>0</v>
      </c>
      <c r="AO641" s="491">
        <v>0</v>
      </c>
      <c r="AP641" s="491">
        <v>0</v>
      </c>
      <c r="AQ641" s="491">
        <v>0</v>
      </c>
      <c r="AR641" s="491">
        <v>0</v>
      </c>
      <c r="AS641" s="1025" t="b">
        <v>0</v>
      </c>
      <c r="AT641" s="1025" t="b">
        <v>1</v>
      </c>
      <c r="AU641" s="491">
        <v>0</v>
      </c>
      <c r="AV641" s="491" t="s">
        <v>29</v>
      </c>
    </row>
    <row r="642" spans="1:48">
      <c r="A642" s="72">
        <v>44</v>
      </c>
      <c r="B642" s="391" t="s">
        <v>117</v>
      </c>
      <c r="C642" s="72">
        <f t="shared" si="27"/>
        <v>2</v>
      </c>
      <c r="D642" s="72" t="str">
        <f t="shared" si="28"/>
        <v>44-2</v>
      </c>
      <c r="E642" s="72">
        <v>69807</v>
      </c>
      <c r="F642" s="72" t="str">
        <f t="shared" si="29"/>
        <v>44-69807</v>
      </c>
      <c r="G642" s="391" t="s">
        <v>1122</v>
      </c>
      <c r="H642" s="331">
        <v>10665.83</v>
      </c>
      <c r="I642" s="331">
        <v>9806.7900000000009</v>
      </c>
      <c r="J642" s="331">
        <v>10097.700000000001</v>
      </c>
      <c r="K642" s="331">
        <v>12006.57</v>
      </c>
      <c r="L642" s="1072">
        <v>0</v>
      </c>
      <c r="M642" s="491" t="s">
        <v>29</v>
      </c>
      <c r="N642" s="1072">
        <v>0</v>
      </c>
      <c r="O642" s="1072">
        <v>0</v>
      </c>
      <c r="P642" s="491">
        <v>0</v>
      </c>
      <c r="Q642" s="491">
        <v>0</v>
      </c>
      <c r="R642" s="491">
        <v>0</v>
      </c>
      <c r="S642" s="491">
        <v>0</v>
      </c>
      <c r="T642" s="1025" t="b">
        <v>0</v>
      </c>
      <c r="U642" s="491">
        <v>3.36</v>
      </c>
      <c r="V642" s="491">
        <v>0</v>
      </c>
      <c r="W642" s="491">
        <v>1.51</v>
      </c>
      <c r="X642" s="491">
        <v>7.42</v>
      </c>
      <c r="Y642" s="1025" t="b">
        <v>1</v>
      </c>
      <c r="Z642" s="331">
        <v>0</v>
      </c>
      <c r="AA642" s="331">
        <v>0</v>
      </c>
      <c r="AB642" s="331">
        <v>0</v>
      </c>
      <c r="AC642" s="331">
        <v>0</v>
      </c>
      <c r="AD642" s="1025" t="b">
        <v>0</v>
      </c>
      <c r="AE642" s="331">
        <v>0.09</v>
      </c>
      <c r="AF642" s="331">
        <v>0</v>
      </c>
      <c r="AG642" s="331">
        <v>0.1</v>
      </c>
      <c r="AH642" s="331">
        <v>0.45</v>
      </c>
      <c r="AI642" s="1025" t="b">
        <v>1</v>
      </c>
      <c r="AJ642" s="331">
        <v>0</v>
      </c>
      <c r="AK642" s="331">
        <v>0</v>
      </c>
      <c r="AL642" s="331">
        <v>0</v>
      </c>
      <c r="AM642" s="331">
        <v>0</v>
      </c>
      <c r="AN642" s="1025" t="b">
        <v>0</v>
      </c>
      <c r="AO642" s="331">
        <v>0</v>
      </c>
      <c r="AP642" s="331">
        <v>0</v>
      </c>
      <c r="AQ642" s="331">
        <v>0</v>
      </c>
      <c r="AR642" s="331">
        <v>0</v>
      </c>
      <c r="AS642" s="1025" t="b">
        <v>0</v>
      </c>
      <c r="AT642" s="1025" t="b">
        <v>1</v>
      </c>
      <c r="AU642" s="331">
        <v>0</v>
      </c>
      <c r="AV642" s="491" t="s">
        <v>29</v>
      </c>
    </row>
    <row r="643" spans="1:48">
      <c r="A643" s="72">
        <v>44</v>
      </c>
      <c r="B643" s="391" t="s">
        <v>117</v>
      </c>
      <c r="C643" s="72">
        <f t="shared" si="27"/>
        <v>3</v>
      </c>
      <c r="D643" s="72" t="str">
        <f t="shared" si="28"/>
        <v>44-3</v>
      </c>
      <c r="E643" s="72">
        <v>69815</v>
      </c>
      <c r="F643" s="72" t="str">
        <f t="shared" si="29"/>
        <v>44-69815</v>
      </c>
      <c r="G643" s="391" t="s">
        <v>1123</v>
      </c>
      <c r="H643" s="331">
        <v>10975.27</v>
      </c>
      <c r="I643" s="331">
        <v>10091.299999999999</v>
      </c>
      <c r="J643" s="331">
        <v>10390.66</v>
      </c>
      <c r="K643" s="331">
        <v>12354.91</v>
      </c>
      <c r="L643" s="1072">
        <v>0</v>
      </c>
      <c r="M643" s="1072">
        <v>0</v>
      </c>
      <c r="N643" s="491" t="s">
        <v>29</v>
      </c>
      <c r="O643" s="491" t="s">
        <v>29</v>
      </c>
      <c r="P643" s="491">
        <v>0</v>
      </c>
      <c r="Q643" s="491">
        <v>0</v>
      </c>
      <c r="R643" s="491">
        <v>0</v>
      </c>
      <c r="S643" s="491">
        <v>0</v>
      </c>
      <c r="T643" s="1025" t="b">
        <v>0</v>
      </c>
      <c r="U643" s="491">
        <v>9.5</v>
      </c>
      <c r="V643" s="491">
        <v>4.09</v>
      </c>
      <c r="W643" s="491">
        <v>0</v>
      </c>
      <c r="X643" s="491">
        <v>0</v>
      </c>
      <c r="Y643" s="1025" t="b">
        <v>1</v>
      </c>
      <c r="Z643" s="331">
        <v>0</v>
      </c>
      <c r="AA643" s="331">
        <v>0</v>
      </c>
      <c r="AB643" s="331">
        <v>0</v>
      </c>
      <c r="AC643" s="331">
        <v>0</v>
      </c>
      <c r="AD643" s="1025" t="b">
        <v>0</v>
      </c>
      <c r="AE643" s="331">
        <v>0.52</v>
      </c>
      <c r="AF643" s="331">
        <v>0.17</v>
      </c>
      <c r="AG643" s="331">
        <v>0</v>
      </c>
      <c r="AH643" s="331">
        <v>0</v>
      </c>
      <c r="AI643" s="1025" t="b">
        <v>1</v>
      </c>
      <c r="AJ643" s="331">
        <v>0</v>
      </c>
      <c r="AK643" s="331">
        <v>0</v>
      </c>
      <c r="AL643" s="331">
        <v>0</v>
      </c>
      <c r="AM643" s="331">
        <v>0</v>
      </c>
      <c r="AN643" s="1025" t="b">
        <v>0</v>
      </c>
      <c r="AO643" s="331">
        <v>0</v>
      </c>
      <c r="AP643" s="331">
        <v>0</v>
      </c>
      <c r="AQ643" s="331">
        <v>0</v>
      </c>
      <c r="AR643" s="331">
        <v>0</v>
      </c>
      <c r="AS643" s="1025" t="b">
        <v>0</v>
      </c>
      <c r="AT643" s="1025" t="b">
        <v>1</v>
      </c>
      <c r="AU643" s="331">
        <v>0</v>
      </c>
      <c r="AV643" s="491" t="s">
        <v>29</v>
      </c>
    </row>
    <row r="644" spans="1:48">
      <c r="A644" s="72">
        <v>44</v>
      </c>
      <c r="B644" s="391" t="s">
        <v>117</v>
      </c>
      <c r="C644" s="72">
        <f t="shared" si="27"/>
        <v>4</v>
      </c>
      <c r="D644" s="72" t="str">
        <f t="shared" si="28"/>
        <v>44-4</v>
      </c>
      <c r="E644" s="72">
        <v>69823</v>
      </c>
      <c r="F644" s="72" t="str">
        <f t="shared" si="29"/>
        <v>44-69823</v>
      </c>
      <c r="G644" s="391" t="s">
        <v>1124</v>
      </c>
      <c r="H644" s="331">
        <v>10823.48</v>
      </c>
      <c r="I644" s="331">
        <v>9951.74</v>
      </c>
      <c r="J644" s="331">
        <v>10246.959999999999</v>
      </c>
      <c r="K644" s="331">
        <v>12184.04</v>
      </c>
      <c r="L644" s="491" t="s">
        <v>29</v>
      </c>
      <c r="M644" s="491" t="s">
        <v>29</v>
      </c>
      <c r="N644" s="1072">
        <v>0</v>
      </c>
      <c r="O644" s="1072">
        <v>0</v>
      </c>
      <c r="P644" s="491">
        <v>0</v>
      </c>
      <c r="Q644" s="491">
        <v>0</v>
      </c>
      <c r="R644" s="491">
        <v>0</v>
      </c>
      <c r="S644" s="491">
        <v>0</v>
      </c>
      <c r="T644" s="1025" t="b">
        <v>0</v>
      </c>
      <c r="U644" s="491">
        <v>0</v>
      </c>
      <c r="V644" s="491">
        <v>0</v>
      </c>
      <c r="W644" s="491">
        <v>3.89</v>
      </c>
      <c r="X644" s="491">
        <v>27.36</v>
      </c>
      <c r="Y644" s="1025" t="b">
        <v>1</v>
      </c>
      <c r="Z644" s="331">
        <v>0</v>
      </c>
      <c r="AA644" s="331">
        <v>0</v>
      </c>
      <c r="AB644" s="331">
        <v>0</v>
      </c>
      <c r="AC644" s="331">
        <v>0</v>
      </c>
      <c r="AD644" s="1025" t="b">
        <v>0</v>
      </c>
      <c r="AE644" s="331">
        <v>0</v>
      </c>
      <c r="AF644" s="331">
        <v>0</v>
      </c>
      <c r="AG644" s="331">
        <v>0.22</v>
      </c>
      <c r="AH644" s="331">
        <v>1.44</v>
      </c>
      <c r="AI644" s="1025" t="b">
        <v>1</v>
      </c>
      <c r="AJ644" s="331">
        <v>0</v>
      </c>
      <c r="AK644" s="331">
        <v>0</v>
      </c>
      <c r="AL644" s="331">
        <v>0</v>
      </c>
      <c r="AM644" s="331">
        <v>0</v>
      </c>
      <c r="AN644" s="1025" t="b">
        <v>0</v>
      </c>
      <c r="AO644" s="331">
        <v>0</v>
      </c>
      <c r="AP644" s="331">
        <v>0</v>
      </c>
      <c r="AQ644" s="331">
        <v>0</v>
      </c>
      <c r="AR644" s="331">
        <v>0</v>
      </c>
      <c r="AS644" s="1025" t="b">
        <v>0</v>
      </c>
      <c r="AT644" s="1025" t="b">
        <v>1</v>
      </c>
      <c r="AU644" s="331">
        <v>0</v>
      </c>
      <c r="AV644" s="491" t="s">
        <v>29</v>
      </c>
    </row>
    <row r="645" spans="1:48">
      <c r="A645" s="72">
        <v>44</v>
      </c>
      <c r="B645" s="391" t="s">
        <v>117</v>
      </c>
      <c r="C645" s="72">
        <f t="shared" si="27"/>
        <v>5</v>
      </c>
      <c r="D645" s="72" t="str">
        <f t="shared" si="28"/>
        <v>44-5</v>
      </c>
      <c r="E645" s="72">
        <v>69849</v>
      </c>
      <c r="F645" s="72" t="str">
        <f t="shared" si="29"/>
        <v>44-69849</v>
      </c>
      <c r="G645" s="391" t="s">
        <v>1125</v>
      </c>
      <c r="H645" s="331">
        <v>10744.15</v>
      </c>
      <c r="I645" s="331">
        <v>9878.7999999999993</v>
      </c>
      <c r="J645" s="331">
        <v>10171.85</v>
      </c>
      <c r="K645" s="331">
        <v>12094.74</v>
      </c>
      <c r="L645" s="1072">
        <v>0</v>
      </c>
      <c r="M645" s="1072">
        <v>0</v>
      </c>
      <c r="N645" s="1072">
        <v>0</v>
      </c>
      <c r="O645" s="491" t="s">
        <v>29</v>
      </c>
      <c r="P645" s="491">
        <v>0</v>
      </c>
      <c r="Q645" s="491">
        <v>0</v>
      </c>
      <c r="R645" s="491">
        <v>0</v>
      </c>
      <c r="S645" s="491">
        <v>0</v>
      </c>
      <c r="T645" s="1025" t="b">
        <v>0</v>
      </c>
      <c r="U645" s="491">
        <v>0.7</v>
      </c>
      <c r="V645" s="491">
        <v>0.74</v>
      </c>
      <c r="W645" s="491">
        <v>0.92</v>
      </c>
      <c r="X645" s="491">
        <v>0</v>
      </c>
      <c r="Y645" s="1025" t="b">
        <v>1</v>
      </c>
      <c r="Z645" s="331">
        <v>0</v>
      </c>
      <c r="AA645" s="331">
        <v>0</v>
      </c>
      <c r="AB645" s="331">
        <v>0</v>
      </c>
      <c r="AC645" s="331">
        <v>0</v>
      </c>
      <c r="AD645" s="1025" t="b">
        <v>0</v>
      </c>
      <c r="AE645" s="331">
        <v>0</v>
      </c>
      <c r="AF645" s="331">
        <v>0</v>
      </c>
      <c r="AG645" s="331">
        <v>0.09</v>
      </c>
      <c r="AH645" s="331">
        <v>0</v>
      </c>
      <c r="AI645" s="1025" t="b">
        <v>1</v>
      </c>
      <c r="AJ645" s="331">
        <v>0</v>
      </c>
      <c r="AK645" s="331">
        <v>0</v>
      </c>
      <c r="AL645" s="331">
        <v>0</v>
      </c>
      <c r="AM645" s="331">
        <v>0</v>
      </c>
      <c r="AN645" s="1025" t="b">
        <v>0</v>
      </c>
      <c r="AO645" s="331">
        <v>0</v>
      </c>
      <c r="AP645" s="331">
        <v>0</v>
      </c>
      <c r="AQ645" s="331">
        <v>0</v>
      </c>
      <c r="AR645" s="331">
        <v>0</v>
      </c>
      <c r="AS645" s="1025" t="b">
        <v>0</v>
      </c>
      <c r="AT645" s="1025" t="b">
        <v>1</v>
      </c>
      <c r="AU645" s="331">
        <v>0</v>
      </c>
      <c r="AV645" s="491" t="s">
        <v>29</v>
      </c>
    </row>
    <row r="646" spans="1:48">
      <c r="A646" s="72">
        <v>44</v>
      </c>
      <c r="B646" s="391" t="s">
        <v>117</v>
      </c>
      <c r="C646" s="72">
        <f t="shared" ref="C646:C709" si="30">IF(E646="N/A",0,IF(A645&lt;&gt;A646,1,C645+1))</f>
        <v>6</v>
      </c>
      <c r="D646" s="72" t="str">
        <f t="shared" ref="D646:D709" si="31">A646&amp;"-"&amp;C646</f>
        <v>44-6</v>
      </c>
      <c r="E646" s="72">
        <v>75432</v>
      </c>
      <c r="F646" s="72" t="str">
        <f t="shared" si="29"/>
        <v>44-75432</v>
      </c>
      <c r="G646" s="391" t="s">
        <v>1120</v>
      </c>
      <c r="H646" s="331">
        <v>10386.75</v>
      </c>
      <c r="I646" s="331">
        <v>9550.18</v>
      </c>
      <c r="J646" s="331">
        <v>9833.49</v>
      </c>
      <c r="K646" s="331">
        <v>11692.41</v>
      </c>
      <c r="L646" s="1072">
        <v>0</v>
      </c>
      <c r="M646" s="491" t="s">
        <v>29</v>
      </c>
      <c r="N646" s="1072">
        <v>0</v>
      </c>
      <c r="O646" s="1072">
        <v>0</v>
      </c>
      <c r="P646" s="491">
        <v>0</v>
      </c>
      <c r="Q646" s="491">
        <v>0</v>
      </c>
      <c r="R646" s="491">
        <v>0</v>
      </c>
      <c r="S646" s="491">
        <v>0</v>
      </c>
      <c r="T646" s="1025" t="b">
        <v>0</v>
      </c>
      <c r="U646" s="491">
        <v>3.49</v>
      </c>
      <c r="V646" s="491">
        <v>0</v>
      </c>
      <c r="W646" s="491">
        <v>1.76</v>
      </c>
      <c r="X646" s="491">
        <v>4.37</v>
      </c>
      <c r="Y646" s="1025" t="b">
        <v>1</v>
      </c>
      <c r="Z646" s="331">
        <v>0</v>
      </c>
      <c r="AA646" s="331">
        <v>0</v>
      </c>
      <c r="AB646" s="331">
        <v>0</v>
      </c>
      <c r="AC646" s="331">
        <v>0</v>
      </c>
      <c r="AD646" s="1025" t="b">
        <v>0</v>
      </c>
      <c r="AE646" s="331">
        <v>0.2</v>
      </c>
      <c r="AF646" s="331">
        <v>0</v>
      </c>
      <c r="AG646" s="331">
        <v>0.2</v>
      </c>
      <c r="AH646" s="331">
        <v>0.25</v>
      </c>
      <c r="AI646" s="1025" t="b">
        <v>1</v>
      </c>
      <c r="AJ646" s="331">
        <v>0</v>
      </c>
      <c r="AK646" s="331">
        <v>0</v>
      </c>
      <c r="AL646" s="331">
        <v>0</v>
      </c>
      <c r="AM646" s="331">
        <v>0</v>
      </c>
      <c r="AN646" s="1025" t="b">
        <v>0</v>
      </c>
      <c r="AO646" s="331">
        <v>0</v>
      </c>
      <c r="AP646" s="331">
        <v>0</v>
      </c>
      <c r="AQ646" s="331">
        <v>0</v>
      </c>
      <c r="AR646" s="331">
        <v>0</v>
      </c>
      <c r="AS646" s="1025" t="b">
        <v>0</v>
      </c>
      <c r="AT646" s="1025" t="b">
        <v>1</v>
      </c>
      <c r="AU646" s="331">
        <v>0</v>
      </c>
      <c r="AV646" s="491" t="s">
        <v>29</v>
      </c>
    </row>
    <row r="647" spans="1:48">
      <c r="A647" s="72">
        <v>44</v>
      </c>
      <c r="B647" s="391" t="s">
        <v>117</v>
      </c>
      <c r="C647" s="72">
        <f t="shared" si="30"/>
        <v>0</v>
      </c>
      <c r="D647" s="72" t="str">
        <f t="shared" si="31"/>
        <v>44-0</v>
      </c>
      <c r="E647" s="72" t="s">
        <v>29</v>
      </c>
      <c r="F647" s="72" t="str">
        <f t="shared" ref="F647:F710" si="32">A647&amp;"-"&amp;E647</f>
        <v>44-N/A</v>
      </c>
      <c r="G647" s="391" t="s">
        <v>29</v>
      </c>
      <c r="H647" s="491" t="s">
        <v>29</v>
      </c>
      <c r="I647" s="491" t="s">
        <v>29</v>
      </c>
      <c r="J647" s="491" t="s">
        <v>29</v>
      </c>
      <c r="K647" s="491" t="s">
        <v>29</v>
      </c>
      <c r="L647" s="491" t="s">
        <v>29</v>
      </c>
      <c r="M647" s="491" t="s">
        <v>29</v>
      </c>
      <c r="N647" s="491" t="s">
        <v>29</v>
      </c>
      <c r="O647" s="491" t="s">
        <v>29</v>
      </c>
      <c r="P647" s="491" t="s">
        <v>29</v>
      </c>
      <c r="Q647" s="491" t="s">
        <v>29</v>
      </c>
      <c r="R647" s="491" t="s">
        <v>29</v>
      </c>
      <c r="S647" s="491" t="s">
        <v>29</v>
      </c>
      <c r="T647" s="1025" t="s">
        <v>29</v>
      </c>
      <c r="U647" s="491" t="s">
        <v>29</v>
      </c>
      <c r="V647" s="491" t="s">
        <v>29</v>
      </c>
      <c r="W647" s="491" t="s">
        <v>29</v>
      </c>
      <c r="X647" s="491" t="s">
        <v>29</v>
      </c>
      <c r="Y647" s="1025" t="s">
        <v>29</v>
      </c>
      <c r="Z647" s="491" t="s">
        <v>29</v>
      </c>
      <c r="AA647" s="491" t="s">
        <v>29</v>
      </c>
      <c r="AB647" s="491" t="s">
        <v>29</v>
      </c>
      <c r="AC647" s="491" t="s">
        <v>29</v>
      </c>
      <c r="AD647" s="1025" t="s">
        <v>29</v>
      </c>
      <c r="AE647" s="491" t="s">
        <v>29</v>
      </c>
      <c r="AF647" s="491" t="s">
        <v>29</v>
      </c>
      <c r="AG647" s="491" t="s">
        <v>29</v>
      </c>
      <c r="AH647" s="491" t="s">
        <v>29</v>
      </c>
      <c r="AI647" s="1025" t="s">
        <v>29</v>
      </c>
      <c r="AJ647" s="491" t="s">
        <v>29</v>
      </c>
      <c r="AK647" s="491" t="s">
        <v>29</v>
      </c>
      <c r="AL647" s="491" t="s">
        <v>29</v>
      </c>
      <c r="AM647" s="491" t="s">
        <v>29</v>
      </c>
      <c r="AN647" s="1025" t="s">
        <v>29</v>
      </c>
      <c r="AO647" s="491" t="s">
        <v>29</v>
      </c>
      <c r="AP647" s="491" t="s">
        <v>29</v>
      </c>
      <c r="AQ647" s="491" t="s">
        <v>29</v>
      </c>
      <c r="AR647" s="491" t="s">
        <v>29</v>
      </c>
      <c r="AS647" s="1025" t="s">
        <v>29</v>
      </c>
      <c r="AT647" s="1025" t="s">
        <v>29</v>
      </c>
      <c r="AU647" s="491" t="s">
        <v>29</v>
      </c>
      <c r="AV647" s="491">
        <v>0</v>
      </c>
    </row>
    <row r="648" spans="1:48">
      <c r="A648" s="72">
        <v>45</v>
      </c>
      <c r="B648" s="391" t="s">
        <v>72</v>
      </c>
      <c r="C648" s="72">
        <f t="shared" si="30"/>
        <v>1</v>
      </c>
      <c r="D648" s="72" t="str">
        <f t="shared" si="31"/>
        <v>45-1</v>
      </c>
      <c r="E648" s="72">
        <v>69856</v>
      </c>
      <c r="F648" s="72" t="str">
        <f t="shared" si="32"/>
        <v>45-69856</v>
      </c>
      <c r="G648" s="391" t="s">
        <v>1126</v>
      </c>
      <c r="H648" s="331">
        <v>11601.94</v>
      </c>
      <c r="I648" s="331">
        <v>10667.5</v>
      </c>
      <c r="J648" s="331">
        <v>10983.95</v>
      </c>
      <c r="K648" s="331">
        <v>13060.35</v>
      </c>
      <c r="L648" s="1072">
        <v>0</v>
      </c>
      <c r="M648" s="1072">
        <v>0</v>
      </c>
      <c r="N648" s="1072">
        <v>0</v>
      </c>
      <c r="O648" s="1072">
        <v>0</v>
      </c>
      <c r="P648" s="491">
        <v>0</v>
      </c>
      <c r="Q648" s="491">
        <v>0</v>
      </c>
      <c r="R648" s="491">
        <v>0</v>
      </c>
      <c r="S648" s="491">
        <v>7.27</v>
      </c>
      <c r="T648" s="1025" t="b">
        <v>0</v>
      </c>
      <c r="U648" s="491">
        <v>0</v>
      </c>
      <c r="V648" s="491">
        <v>0</v>
      </c>
      <c r="W648" s="491">
        <v>0</v>
      </c>
      <c r="X648" s="491">
        <v>0</v>
      </c>
      <c r="Y648" s="1025" t="b">
        <v>0</v>
      </c>
      <c r="Z648" s="331">
        <v>0</v>
      </c>
      <c r="AA648" s="331">
        <v>0</v>
      </c>
      <c r="AB648" s="331">
        <v>0</v>
      </c>
      <c r="AC648" s="331">
        <v>0.34</v>
      </c>
      <c r="AD648" s="1025" t="b">
        <v>1</v>
      </c>
      <c r="AE648" s="331">
        <v>0</v>
      </c>
      <c r="AF648" s="331">
        <v>0</v>
      </c>
      <c r="AG648" s="331">
        <v>0</v>
      </c>
      <c r="AH648" s="331">
        <v>0</v>
      </c>
      <c r="AI648" s="1025" t="b">
        <v>0</v>
      </c>
      <c r="AJ648" s="331">
        <v>0</v>
      </c>
      <c r="AK648" s="331">
        <v>0</v>
      </c>
      <c r="AL648" s="331">
        <v>0</v>
      </c>
      <c r="AM648" s="331">
        <v>0</v>
      </c>
      <c r="AN648" s="1025" t="b">
        <v>0</v>
      </c>
      <c r="AO648" s="331">
        <v>0</v>
      </c>
      <c r="AP648" s="331">
        <v>0</v>
      </c>
      <c r="AQ648" s="331">
        <v>0</v>
      </c>
      <c r="AR648" s="331">
        <v>0</v>
      </c>
      <c r="AS648" s="1025" t="b">
        <v>0</v>
      </c>
      <c r="AT648" s="1025" t="b">
        <v>1</v>
      </c>
      <c r="AU648" s="331">
        <v>94949</v>
      </c>
      <c r="AV648" s="491" t="s">
        <v>29</v>
      </c>
    </row>
    <row r="649" spans="1:48">
      <c r="A649" s="72">
        <v>45</v>
      </c>
      <c r="B649" s="391" t="s">
        <v>72</v>
      </c>
      <c r="C649" s="72">
        <f t="shared" si="30"/>
        <v>2</v>
      </c>
      <c r="D649" s="72" t="str">
        <f t="shared" si="31"/>
        <v>45-2</v>
      </c>
      <c r="E649" s="72">
        <v>69880</v>
      </c>
      <c r="F649" s="72" t="str">
        <f t="shared" si="32"/>
        <v>45-69880</v>
      </c>
      <c r="G649" s="391" t="s">
        <v>1791</v>
      </c>
      <c r="H649" s="491">
        <v>12743.31</v>
      </c>
      <c r="I649" s="491">
        <v>11716.95</v>
      </c>
      <c r="J649" s="491">
        <v>12064.53</v>
      </c>
      <c r="K649" s="491">
        <v>14345.2</v>
      </c>
      <c r="L649" s="491" t="s">
        <v>29</v>
      </c>
      <c r="M649" s="491" t="s">
        <v>29</v>
      </c>
      <c r="N649" s="491" t="s">
        <v>29</v>
      </c>
      <c r="O649" s="491" t="s">
        <v>29</v>
      </c>
      <c r="P649" s="491">
        <v>0</v>
      </c>
      <c r="Q649" s="491">
        <v>1.01</v>
      </c>
      <c r="R649" s="491">
        <v>0</v>
      </c>
      <c r="S649" s="491">
        <v>0</v>
      </c>
      <c r="T649" s="1025" t="b">
        <v>0</v>
      </c>
      <c r="U649" s="491">
        <v>0</v>
      </c>
      <c r="V649" s="491">
        <v>0</v>
      </c>
      <c r="W649" s="491">
        <v>0</v>
      </c>
      <c r="X649" s="491">
        <v>0</v>
      </c>
      <c r="Y649" s="1025" t="b">
        <v>0</v>
      </c>
      <c r="Z649" s="491">
        <v>0</v>
      </c>
      <c r="AA649" s="491">
        <v>0</v>
      </c>
      <c r="AB649" s="491">
        <v>0</v>
      </c>
      <c r="AC649" s="491">
        <v>0</v>
      </c>
      <c r="AD649" s="1025" t="b">
        <v>0</v>
      </c>
      <c r="AE649" s="491">
        <v>0</v>
      </c>
      <c r="AF649" s="491">
        <v>0</v>
      </c>
      <c r="AG649" s="491">
        <v>0</v>
      </c>
      <c r="AH649" s="491">
        <v>0</v>
      </c>
      <c r="AI649" s="1025" t="b">
        <v>0</v>
      </c>
      <c r="AJ649" s="491">
        <v>0</v>
      </c>
      <c r="AK649" s="491">
        <v>0</v>
      </c>
      <c r="AL649" s="491">
        <v>0</v>
      </c>
      <c r="AM649" s="491">
        <v>0</v>
      </c>
      <c r="AN649" s="1025" t="b">
        <v>0</v>
      </c>
      <c r="AO649" s="491">
        <v>0</v>
      </c>
      <c r="AP649" s="491">
        <v>0</v>
      </c>
      <c r="AQ649" s="491">
        <v>0</v>
      </c>
      <c r="AR649" s="491">
        <v>0</v>
      </c>
      <c r="AS649" s="1025" t="b">
        <v>0</v>
      </c>
      <c r="AT649" s="1025" t="b">
        <v>1</v>
      </c>
      <c r="AU649" s="491">
        <v>11834</v>
      </c>
      <c r="AV649" s="491" t="s">
        <v>29</v>
      </c>
    </row>
    <row r="650" spans="1:48">
      <c r="A650" s="72">
        <v>45</v>
      </c>
      <c r="B650" s="391" t="s">
        <v>72</v>
      </c>
      <c r="C650" s="72">
        <f t="shared" si="30"/>
        <v>3</v>
      </c>
      <c r="D650" s="72" t="str">
        <f t="shared" si="31"/>
        <v>45-3</v>
      </c>
      <c r="E650" s="72">
        <v>69914</v>
      </c>
      <c r="F650" s="72" t="str">
        <f t="shared" si="32"/>
        <v>45-69914</v>
      </c>
      <c r="G650" s="391" t="s">
        <v>1127</v>
      </c>
      <c r="H650" s="331">
        <v>13086.5</v>
      </c>
      <c r="I650" s="331">
        <v>12032.49</v>
      </c>
      <c r="J650" s="331">
        <v>12389.43</v>
      </c>
      <c r="K650" s="331">
        <v>14731.52</v>
      </c>
      <c r="L650" s="1072">
        <v>0</v>
      </c>
      <c r="M650" s="1072">
        <v>0</v>
      </c>
      <c r="N650" s="1072">
        <v>0</v>
      </c>
      <c r="O650" s="1072">
        <v>0</v>
      </c>
      <c r="P650" s="491">
        <v>0</v>
      </c>
      <c r="Q650" s="491">
        <v>0</v>
      </c>
      <c r="R650" s="491">
        <v>0</v>
      </c>
      <c r="S650" s="491">
        <v>0</v>
      </c>
      <c r="T650" s="1025" t="b">
        <v>0</v>
      </c>
      <c r="U650" s="491">
        <v>0.85</v>
      </c>
      <c r="V650" s="491">
        <v>0</v>
      </c>
      <c r="W650" s="491">
        <v>0.12</v>
      </c>
      <c r="X650" s="491">
        <v>0</v>
      </c>
      <c r="Y650" s="1025" t="b">
        <v>1</v>
      </c>
      <c r="Z650" s="331">
        <v>0</v>
      </c>
      <c r="AA650" s="331">
        <v>0</v>
      </c>
      <c r="AB650" s="331">
        <v>0</v>
      </c>
      <c r="AC650" s="331">
        <v>0</v>
      </c>
      <c r="AD650" s="1025" t="b">
        <v>0</v>
      </c>
      <c r="AE650" s="331">
        <v>0.01</v>
      </c>
      <c r="AF650" s="331">
        <v>0</v>
      </c>
      <c r="AG650" s="331">
        <v>0</v>
      </c>
      <c r="AH650" s="331">
        <v>0</v>
      </c>
      <c r="AI650" s="1025" t="b">
        <v>1</v>
      </c>
      <c r="AJ650" s="331">
        <v>0</v>
      </c>
      <c r="AK650" s="331">
        <v>0</v>
      </c>
      <c r="AL650" s="331">
        <v>0</v>
      </c>
      <c r="AM650" s="331">
        <v>0</v>
      </c>
      <c r="AN650" s="1025" t="b">
        <v>0</v>
      </c>
      <c r="AO650" s="331">
        <v>0</v>
      </c>
      <c r="AP650" s="331">
        <v>0</v>
      </c>
      <c r="AQ650" s="331">
        <v>0</v>
      </c>
      <c r="AR650" s="331">
        <v>0</v>
      </c>
      <c r="AS650" s="1025" t="b">
        <v>0</v>
      </c>
      <c r="AT650" s="1025" t="b">
        <v>1</v>
      </c>
      <c r="AU650" s="331">
        <v>0</v>
      </c>
      <c r="AV650" s="491" t="s">
        <v>29</v>
      </c>
    </row>
    <row r="651" spans="1:48">
      <c r="A651" s="72">
        <v>45</v>
      </c>
      <c r="B651" s="391" t="s">
        <v>72</v>
      </c>
      <c r="C651" s="72">
        <f t="shared" si="30"/>
        <v>4</v>
      </c>
      <c r="D651" s="72" t="str">
        <f t="shared" si="31"/>
        <v>45-4</v>
      </c>
      <c r="E651" s="72">
        <v>69948</v>
      </c>
      <c r="F651" s="72" t="str">
        <f t="shared" si="32"/>
        <v>45-69948</v>
      </c>
      <c r="G651" s="391" t="s">
        <v>1128</v>
      </c>
      <c r="H651" s="331">
        <v>10940.66</v>
      </c>
      <c r="I651" s="331">
        <v>10059.48</v>
      </c>
      <c r="J651" s="331">
        <v>10357.9</v>
      </c>
      <c r="K651" s="331">
        <v>12315.95</v>
      </c>
      <c r="L651" s="1072">
        <v>0</v>
      </c>
      <c r="M651" s="1072">
        <v>0</v>
      </c>
      <c r="N651" s="1072">
        <v>0</v>
      </c>
      <c r="O651" s="1072">
        <v>0</v>
      </c>
      <c r="P651" s="491">
        <v>0</v>
      </c>
      <c r="Q651" s="491">
        <v>0</v>
      </c>
      <c r="R651" s="491">
        <v>0</v>
      </c>
      <c r="S651" s="491">
        <v>0</v>
      </c>
      <c r="T651" s="1025" t="b">
        <v>0</v>
      </c>
      <c r="U651" s="491">
        <v>0</v>
      </c>
      <c r="V651" s="491">
        <v>0.98</v>
      </c>
      <c r="W651" s="491">
        <v>0</v>
      </c>
      <c r="X651" s="491">
        <v>0</v>
      </c>
      <c r="Y651" s="1025" t="b">
        <v>1</v>
      </c>
      <c r="Z651" s="331">
        <v>0</v>
      </c>
      <c r="AA651" s="331">
        <v>0</v>
      </c>
      <c r="AB651" s="331">
        <v>0</v>
      </c>
      <c r="AC651" s="331">
        <v>0</v>
      </c>
      <c r="AD651" s="1025" t="b">
        <v>0</v>
      </c>
      <c r="AE651" s="331">
        <v>0</v>
      </c>
      <c r="AF651" s="331">
        <v>0</v>
      </c>
      <c r="AG651" s="331">
        <v>0</v>
      </c>
      <c r="AH651" s="331">
        <v>0</v>
      </c>
      <c r="AI651" s="1025" t="b">
        <v>0</v>
      </c>
      <c r="AJ651" s="331">
        <v>0</v>
      </c>
      <c r="AK651" s="331">
        <v>0</v>
      </c>
      <c r="AL651" s="331">
        <v>0</v>
      </c>
      <c r="AM651" s="331">
        <v>0</v>
      </c>
      <c r="AN651" s="1025" t="b">
        <v>0</v>
      </c>
      <c r="AO651" s="331">
        <v>0</v>
      </c>
      <c r="AP651" s="331">
        <v>0</v>
      </c>
      <c r="AQ651" s="331">
        <v>0</v>
      </c>
      <c r="AR651" s="331">
        <v>0</v>
      </c>
      <c r="AS651" s="1025" t="b">
        <v>0</v>
      </c>
      <c r="AT651" s="1025" t="b">
        <v>1</v>
      </c>
      <c r="AU651" s="331">
        <v>0</v>
      </c>
      <c r="AV651" s="491" t="s">
        <v>29</v>
      </c>
    </row>
    <row r="652" spans="1:48">
      <c r="A652" s="72">
        <v>45</v>
      </c>
      <c r="B652" s="391" t="s">
        <v>72</v>
      </c>
      <c r="C652" s="72">
        <f t="shared" si="30"/>
        <v>5</v>
      </c>
      <c r="D652" s="72" t="str">
        <f t="shared" si="31"/>
        <v>45-5</v>
      </c>
      <c r="E652" s="72">
        <v>69955</v>
      </c>
      <c r="F652" s="72" t="str">
        <f t="shared" si="32"/>
        <v>45-69955</v>
      </c>
      <c r="G652" s="391" t="s">
        <v>1129</v>
      </c>
      <c r="H652" s="331">
        <v>11123.82</v>
      </c>
      <c r="I652" s="331">
        <v>10227.89</v>
      </c>
      <c r="J652" s="331">
        <v>10531.29</v>
      </c>
      <c r="K652" s="331">
        <v>12522.13</v>
      </c>
      <c r="L652" s="1072">
        <v>0</v>
      </c>
      <c r="M652" s="1072">
        <v>0</v>
      </c>
      <c r="N652" s="1072">
        <v>0</v>
      </c>
      <c r="O652" s="1072">
        <v>0</v>
      </c>
      <c r="P652" s="491">
        <v>0</v>
      </c>
      <c r="Q652" s="491">
        <v>0</v>
      </c>
      <c r="R652" s="491">
        <v>0</v>
      </c>
      <c r="S652" s="491">
        <v>0</v>
      </c>
      <c r="T652" s="1025" t="b">
        <v>0</v>
      </c>
      <c r="U652" s="491">
        <v>0.92</v>
      </c>
      <c r="V652" s="491">
        <v>0</v>
      </c>
      <c r="W652" s="491">
        <v>0</v>
      </c>
      <c r="X652" s="491">
        <v>0</v>
      </c>
      <c r="Y652" s="1025" t="b">
        <v>1</v>
      </c>
      <c r="Z652" s="331">
        <v>0</v>
      </c>
      <c r="AA652" s="331">
        <v>0</v>
      </c>
      <c r="AB652" s="331">
        <v>0</v>
      </c>
      <c r="AC652" s="331">
        <v>0</v>
      </c>
      <c r="AD652" s="1025" t="b">
        <v>0</v>
      </c>
      <c r="AE652" s="331">
        <v>0.08</v>
      </c>
      <c r="AF652" s="331">
        <v>0</v>
      </c>
      <c r="AG652" s="331">
        <v>0</v>
      </c>
      <c r="AH652" s="331">
        <v>0</v>
      </c>
      <c r="AI652" s="1025" t="b">
        <v>1</v>
      </c>
      <c r="AJ652" s="331">
        <v>0</v>
      </c>
      <c r="AK652" s="331">
        <v>0</v>
      </c>
      <c r="AL652" s="331">
        <v>0</v>
      </c>
      <c r="AM652" s="331">
        <v>0</v>
      </c>
      <c r="AN652" s="1025" t="b">
        <v>0</v>
      </c>
      <c r="AO652" s="331">
        <v>0</v>
      </c>
      <c r="AP652" s="331">
        <v>0</v>
      </c>
      <c r="AQ652" s="331">
        <v>0</v>
      </c>
      <c r="AR652" s="331">
        <v>0</v>
      </c>
      <c r="AS652" s="1025" t="b">
        <v>0</v>
      </c>
      <c r="AT652" s="1025" t="b">
        <v>1</v>
      </c>
      <c r="AU652" s="331">
        <v>0</v>
      </c>
      <c r="AV652" s="491" t="s">
        <v>29</v>
      </c>
    </row>
    <row r="653" spans="1:48">
      <c r="A653" s="72">
        <v>45</v>
      </c>
      <c r="B653" s="391" t="s">
        <v>72</v>
      </c>
      <c r="C653" s="72">
        <f t="shared" si="30"/>
        <v>6</v>
      </c>
      <c r="D653" s="72" t="str">
        <f t="shared" si="31"/>
        <v>45-6</v>
      </c>
      <c r="E653" s="72">
        <v>69971</v>
      </c>
      <c r="F653" s="72" t="str">
        <f t="shared" si="32"/>
        <v>45-69971</v>
      </c>
      <c r="G653" s="391" t="s">
        <v>1130</v>
      </c>
      <c r="H653" s="331">
        <v>12667.62</v>
      </c>
      <c r="I653" s="331">
        <v>11647.35</v>
      </c>
      <c r="J653" s="331">
        <v>11992.87</v>
      </c>
      <c r="K653" s="331">
        <v>14259.99</v>
      </c>
      <c r="L653" s="1072">
        <v>0</v>
      </c>
      <c r="M653" s="1072">
        <v>0</v>
      </c>
      <c r="N653" s="1072">
        <v>0</v>
      </c>
      <c r="O653" s="1072">
        <v>0</v>
      </c>
      <c r="P653" s="491">
        <v>0</v>
      </c>
      <c r="Q653" s="491">
        <v>0</v>
      </c>
      <c r="R653" s="491">
        <v>0</v>
      </c>
      <c r="S653" s="491">
        <v>0</v>
      </c>
      <c r="T653" s="1025" t="b">
        <v>0</v>
      </c>
      <c r="U653" s="491">
        <v>1.02</v>
      </c>
      <c r="V653" s="491">
        <v>1.19</v>
      </c>
      <c r="W653" s="491">
        <v>0.85</v>
      </c>
      <c r="X653" s="491">
        <v>0</v>
      </c>
      <c r="Y653" s="1025" t="b">
        <v>1</v>
      </c>
      <c r="Z653" s="331">
        <v>0</v>
      </c>
      <c r="AA653" s="331">
        <v>0</v>
      </c>
      <c r="AB653" s="331">
        <v>0</v>
      </c>
      <c r="AC653" s="331">
        <v>0</v>
      </c>
      <c r="AD653" s="1025" t="b">
        <v>0</v>
      </c>
      <c r="AE653" s="331">
        <v>0.15</v>
      </c>
      <c r="AF653" s="331">
        <v>0</v>
      </c>
      <c r="AG653" s="331">
        <v>0</v>
      </c>
      <c r="AH653" s="331">
        <v>0</v>
      </c>
      <c r="AI653" s="1025" t="b">
        <v>1</v>
      </c>
      <c r="AJ653" s="331">
        <v>0</v>
      </c>
      <c r="AK653" s="331">
        <v>0</v>
      </c>
      <c r="AL653" s="331">
        <v>0</v>
      </c>
      <c r="AM653" s="331">
        <v>0</v>
      </c>
      <c r="AN653" s="1025" t="b">
        <v>0</v>
      </c>
      <c r="AO653" s="331">
        <v>0</v>
      </c>
      <c r="AP653" s="331">
        <v>0</v>
      </c>
      <c r="AQ653" s="331">
        <v>0</v>
      </c>
      <c r="AR653" s="331">
        <v>0</v>
      </c>
      <c r="AS653" s="1025" t="b">
        <v>0</v>
      </c>
      <c r="AT653" s="1025" t="b">
        <v>1</v>
      </c>
      <c r="AU653" s="331">
        <v>0</v>
      </c>
      <c r="AV653" s="491" t="s">
        <v>29</v>
      </c>
    </row>
    <row r="654" spans="1:48">
      <c r="A654" s="72">
        <v>45</v>
      </c>
      <c r="B654" s="391" t="s">
        <v>72</v>
      </c>
      <c r="C654" s="72">
        <f t="shared" si="30"/>
        <v>7</v>
      </c>
      <c r="D654" s="72" t="str">
        <f t="shared" si="31"/>
        <v>45-7</v>
      </c>
      <c r="E654" s="72">
        <v>69989</v>
      </c>
      <c r="F654" s="72" t="str">
        <f t="shared" si="32"/>
        <v>45-69989</v>
      </c>
      <c r="G654" s="391" t="s">
        <v>1131</v>
      </c>
      <c r="H654" s="331">
        <v>11603.66</v>
      </c>
      <c r="I654" s="331">
        <v>10669.08</v>
      </c>
      <c r="J654" s="331">
        <v>10985.58</v>
      </c>
      <c r="K654" s="331">
        <v>13062.29</v>
      </c>
      <c r="L654" s="491" t="s">
        <v>29</v>
      </c>
      <c r="M654" s="491" t="s">
        <v>29</v>
      </c>
      <c r="N654" s="491" t="s">
        <v>29</v>
      </c>
      <c r="O654" s="491" t="s">
        <v>29</v>
      </c>
      <c r="P654" s="491">
        <v>0</v>
      </c>
      <c r="Q654" s="491">
        <v>0</v>
      </c>
      <c r="R654" s="491">
        <v>0</v>
      </c>
      <c r="S654" s="491">
        <v>1.91</v>
      </c>
      <c r="T654" s="1025" t="b">
        <v>0</v>
      </c>
      <c r="U654" s="491">
        <v>0</v>
      </c>
      <c r="V654" s="491">
        <v>0</v>
      </c>
      <c r="W654" s="491">
        <v>0</v>
      </c>
      <c r="X654" s="491">
        <v>0</v>
      </c>
      <c r="Y654" s="1025" t="b">
        <v>0</v>
      </c>
      <c r="Z654" s="331">
        <v>0</v>
      </c>
      <c r="AA654" s="331">
        <v>0</v>
      </c>
      <c r="AB654" s="331">
        <v>0</v>
      </c>
      <c r="AC654" s="331">
        <v>0</v>
      </c>
      <c r="AD654" s="1025" t="b">
        <v>0</v>
      </c>
      <c r="AE654" s="331">
        <v>0</v>
      </c>
      <c r="AF654" s="331">
        <v>0</v>
      </c>
      <c r="AG654" s="331">
        <v>0</v>
      </c>
      <c r="AH654" s="331">
        <v>0</v>
      </c>
      <c r="AI654" s="1025" t="b">
        <v>0</v>
      </c>
      <c r="AJ654" s="331">
        <v>0</v>
      </c>
      <c r="AK654" s="331">
        <v>0</v>
      </c>
      <c r="AL654" s="331">
        <v>0</v>
      </c>
      <c r="AM654" s="331">
        <v>0</v>
      </c>
      <c r="AN654" s="1025" t="b">
        <v>0</v>
      </c>
      <c r="AO654" s="331">
        <v>0</v>
      </c>
      <c r="AP654" s="331">
        <v>0</v>
      </c>
      <c r="AQ654" s="331">
        <v>0</v>
      </c>
      <c r="AR654" s="331">
        <v>0</v>
      </c>
      <c r="AS654" s="1025" t="b">
        <v>0</v>
      </c>
      <c r="AT654" s="1025" t="b">
        <v>1</v>
      </c>
      <c r="AU654" s="331">
        <v>24949</v>
      </c>
      <c r="AV654" s="491" t="s">
        <v>29</v>
      </c>
    </row>
    <row r="655" spans="1:48">
      <c r="A655" s="72">
        <v>45</v>
      </c>
      <c r="B655" s="391" t="s">
        <v>72</v>
      </c>
      <c r="C655" s="72">
        <f t="shared" si="30"/>
        <v>8</v>
      </c>
      <c r="D655" s="72" t="str">
        <f t="shared" si="31"/>
        <v>45-8</v>
      </c>
      <c r="E655" s="72">
        <v>70003</v>
      </c>
      <c r="F655" s="72" t="str">
        <f t="shared" si="32"/>
        <v>45-70003</v>
      </c>
      <c r="G655" s="391" t="s">
        <v>1655</v>
      </c>
      <c r="H655" s="331">
        <v>10500.49</v>
      </c>
      <c r="I655" s="331">
        <v>9654.76</v>
      </c>
      <c r="J655" s="331">
        <v>9941.17</v>
      </c>
      <c r="K655" s="331">
        <v>11820.44</v>
      </c>
      <c r="L655" s="1072">
        <v>0</v>
      </c>
      <c r="M655" s="1072">
        <v>0</v>
      </c>
      <c r="N655" s="1072">
        <v>0</v>
      </c>
      <c r="O655" s="491" t="s">
        <v>29</v>
      </c>
      <c r="P655" s="491">
        <v>0</v>
      </c>
      <c r="Q655" s="491">
        <v>0</v>
      </c>
      <c r="R655" s="491">
        <v>0</v>
      </c>
      <c r="S655" s="491">
        <v>0</v>
      </c>
      <c r="T655" s="1025" t="b">
        <v>0</v>
      </c>
      <c r="U655" s="491">
        <v>0</v>
      </c>
      <c r="V655" s="491">
        <v>0</v>
      </c>
      <c r="W655" s="491">
        <v>0</v>
      </c>
      <c r="X655" s="491">
        <v>0</v>
      </c>
      <c r="Y655" s="1025" t="b">
        <v>0</v>
      </c>
      <c r="Z655" s="331">
        <v>0</v>
      </c>
      <c r="AA655" s="331">
        <v>0</v>
      </c>
      <c r="AB655" s="331">
        <v>0</v>
      </c>
      <c r="AC655" s="331">
        <v>0</v>
      </c>
      <c r="AD655" s="1025" t="b">
        <v>0</v>
      </c>
      <c r="AE655" s="331">
        <v>0</v>
      </c>
      <c r="AF655" s="331">
        <v>0.05</v>
      </c>
      <c r="AG655" s="331">
        <v>0</v>
      </c>
      <c r="AH655" s="331">
        <v>0</v>
      </c>
      <c r="AI655" s="1025" t="b">
        <v>1</v>
      </c>
      <c r="AJ655" s="331">
        <v>0</v>
      </c>
      <c r="AK655" s="331">
        <v>0</v>
      </c>
      <c r="AL655" s="331">
        <v>0</v>
      </c>
      <c r="AM655" s="331">
        <v>0</v>
      </c>
      <c r="AN655" s="1025" t="b">
        <v>0</v>
      </c>
      <c r="AO655" s="331">
        <v>0</v>
      </c>
      <c r="AP655" s="331">
        <v>0</v>
      </c>
      <c r="AQ655" s="331">
        <v>0</v>
      </c>
      <c r="AR655" s="331">
        <v>0</v>
      </c>
      <c r="AS655" s="1025" t="b">
        <v>0</v>
      </c>
      <c r="AT655" s="1025" t="b">
        <v>1</v>
      </c>
      <c r="AU655" s="331">
        <v>0</v>
      </c>
      <c r="AV655" s="491" t="s">
        <v>29</v>
      </c>
    </row>
    <row r="656" spans="1:48">
      <c r="A656" s="72">
        <v>45</v>
      </c>
      <c r="B656" s="391" t="s">
        <v>72</v>
      </c>
      <c r="C656" s="72">
        <f t="shared" si="30"/>
        <v>9</v>
      </c>
      <c r="D656" s="72" t="str">
        <f t="shared" si="31"/>
        <v>45-9</v>
      </c>
      <c r="E656" s="72">
        <v>70011</v>
      </c>
      <c r="F656" s="72" t="str">
        <f t="shared" si="32"/>
        <v>45-70011</v>
      </c>
      <c r="G656" s="391" t="s">
        <v>1132</v>
      </c>
      <c r="H656" s="331">
        <v>11916.74</v>
      </c>
      <c r="I656" s="331">
        <v>10956.95</v>
      </c>
      <c r="J656" s="331">
        <v>11281.98</v>
      </c>
      <c r="K656" s="331">
        <v>13414.73</v>
      </c>
      <c r="L656" s="1072">
        <v>0</v>
      </c>
      <c r="M656" s="1072">
        <v>0</v>
      </c>
      <c r="N656" s="1072">
        <v>0</v>
      </c>
      <c r="O656" s="1072">
        <v>0</v>
      </c>
      <c r="P656" s="491">
        <v>0</v>
      </c>
      <c r="Q656" s="491">
        <v>0</v>
      </c>
      <c r="R656" s="491">
        <v>0</v>
      </c>
      <c r="S656" s="491">
        <v>0</v>
      </c>
      <c r="T656" s="1025" t="b">
        <v>0</v>
      </c>
      <c r="U656" s="491">
        <v>0.98</v>
      </c>
      <c r="V656" s="491">
        <v>0</v>
      </c>
      <c r="W656" s="491">
        <v>0</v>
      </c>
      <c r="X656" s="491">
        <v>0</v>
      </c>
      <c r="Y656" s="1025" t="b">
        <v>1</v>
      </c>
      <c r="Z656" s="331">
        <v>0</v>
      </c>
      <c r="AA656" s="331">
        <v>0</v>
      </c>
      <c r="AB656" s="331">
        <v>0</v>
      </c>
      <c r="AC656" s="331">
        <v>0</v>
      </c>
      <c r="AD656" s="1025" t="b">
        <v>0</v>
      </c>
      <c r="AE656" s="331">
        <v>7.0000000000000007E-2</v>
      </c>
      <c r="AF656" s="331">
        <v>0</v>
      </c>
      <c r="AG656" s="331">
        <v>0</v>
      </c>
      <c r="AH656" s="331">
        <v>0</v>
      </c>
      <c r="AI656" s="1025" t="b">
        <v>1</v>
      </c>
      <c r="AJ656" s="331">
        <v>0</v>
      </c>
      <c r="AK656" s="331">
        <v>0</v>
      </c>
      <c r="AL656" s="331">
        <v>0</v>
      </c>
      <c r="AM656" s="331">
        <v>0</v>
      </c>
      <c r="AN656" s="1025" t="b">
        <v>0</v>
      </c>
      <c r="AO656" s="331">
        <v>0</v>
      </c>
      <c r="AP656" s="331">
        <v>0</v>
      </c>
      <c r="AQ656" s="331">
        <v>0</v>
      </c>
      <c r="AR656" s="331">
        <v>0</v>
      </c>
      <c r="AS656" s="1025" t="b">
        <v>0</v>
      </c>
      <c r="AT656" s="1025" t="b">
        <v>1</v>
      </c>
      <c r="AU656" s="331">
        <v>0</v>
      </c>
      <c r="AV656" s="491" t="s">
        <v>29</v>
      </c>
    </row>
    <row r="657" spans="1:48">
      <c r="A657" s="72">
        <v>45</v>
      </c>
      <c r="B657" s="391" t="s">
        <v>72</v>
      </c>
      <c r="C657" s="72">
        <f t="shared" si="30"/>
        <v>10</v>
      </c>
      <c r="D657" s="72" t="str">
        <f t="shared" si="31"/>
        <v>45-10</v>
      </c>
      <c r="E657" s="72">
        <v>70045</v>
      </c>
      <c r="F657" s="72" t="str">
        <f t="shared" si="32"/>
        <v>45-70045</v>
      </c>
      <c r="G657" s="391" t="s">
        <v>1792</v>
      </c>
      <c r="H657" s="331">
        <v>10805.68</v>
      </c>
      <c r="I657" s="331">
        <v>9935.3700000000008</v>
      </c>
      <c r="J657" s="331">
        <v>10230.1</v>
      </c>
      <c r="K657" s="331">
        <v>12163.99</v>
      </c>
      <c r="L657" s="1072">
        <v>0</v>
      </c>
      <c r="M657" s="1072">
        <v>0</v>
      </c>
      <c r="N657" s="1072">
        <v>0</v>
      </c>
      <c r="O657" s="1072">
        <v>0</v>
      </c>
      <c r="P657" s="491">
        <v>0</v>
      </c>
      <c r="Q657" s="491">
        <v>0</v>
      </c>
      <c r="R657" s="491">
        <v>0</v>
      </c>
      <c r="S657" s="491">
        <v>0</v>
      </c>
      <c r="T657" s="1025" t="b">
        <v>0</v>
      </c>
      <c r="U657" s="491">
        <v>0</v>
      </c>
      <c r="V657" s="491">
        <v>0.11</v>
      </c>
      <c r="W657" s="491">
        <v>0</v>
      </c>
      <c r="X657" s="491">
        <v>0</v>
      </c>
      <c r="Y657" s="1025" t="b">
        <v>1</v>
      </c>
      <c r="Z657" s="331">
        <v>0</v>
      </c>
      <c r="AA657" s="331">
        <v>0</v>
      </c>
      <c r="AB657" s="331">
        <v>0</v>
      </c>
      <c r="AC657" s="331">
        <v>0</v>
      </c>
      <c r="AD657" s="1025" t="b">
        <v>0</v>
      </c>
      <c r="AE657" s="331">
        <v>0</v>
      </c>
      <c r="AF657" s="331">
        <v>0.08</v>
      </c>
      <c r="AG657" s="331">
        <v>0</v>
      </c>
      <c r="AH657" s="331">
        <v>0</v>
      </c>
      <c r="AI657" s="1025" t="b">
        <v>1</v>
      </c>
      <c r="AJ657" s="331">
        <v>0</v>
      </c>
      <c r="AK657" s="331">
        <v>0</v>
      </c>
      <c r="AL657" s="331">
        <v>0</v>
      </c>
      <c r="AM657" s="331">
        <v>0</v>
      </c>
      <c r="AN657" s="1025" t="b">
        <v>0</v>
      </c>
      <c r="AO657" s="331">
        <v>0</v>
      </c>
      <c r="AP657" s="331">
        <v>0</v>
      </c>
      <c r="AQ657" s="331">
        <v>0</v>
      </c>
      <c r="AR657" s="331">
        <v>0</v>
      </c>
      <c r="AS657" s="1025" t="b">
        <v>0</v>
      </c>
      <c r="AT657" s="1025" t="b">
        <v>1</v>
      </c>
      <c r="AU657" s="331">
        <v>0</v>
      </c>
      <c r="AV657" s="491" t="s">
        <v>29</v>
      </c>
    </row>
    <row r="658" spans="1:48">
      <c r="A658" s="72">
        <v>45</v>
      </c>
      <c r="B658" s="391" t="s">
        <v>72</v>
      </c>
      <c r="C658" s="72">
        <f t="shared" si="30"/>
        <v>11</v>
      </c>
      <c r="D658" s="72" t="str">
        <f t="shared" si="31"/>
        <v>45-11</v>
      </c>
      <c r="E658" s="72">
        <v>70094</v>
      </c>
      <c r="F658" s="72" t="str">
        <f t="shared" si="32"/>
        <v>45-70094</v>
      </c>
      <c r="G658" s="391" t="s">
        <v>1133</v>
      </c>
      <c r="H658" s="331">
        <v>11184.13</v>
      </c>
      <c r="I658" s="331">
        <v>10283.34</v>
      </c>
      <c r="J658" s="331">
        <v>10588.39</v>
      </c>
      <c r="K658" s="331">
        <v>12590.02</v>
      </c>
      <c r="L658" s="1072">
        <v>0</v>
      </c>
      <c r="M658" s="1072">
        <v>0</v>
      </c>
      <c r="N658" s="1072">
        <v>0</v>
      </c>
      <c r="O658" s="1072">
        <v>0</v>
      </c>
      <c r="P658" s="491">
        <v>0</v>
      </c>
      <c r="Q658" s="491">
        <v>0</v>
      </c>
      <c r="R658" s="491">
        <v>0</v>
      </c>
      <c r="S658" s="491">
        <v>0</v>
      </c>
      <c r="T658" s="1025" t="b">
        <v>0</v>
      </c>
      <c r="U658" s="491">
        <v>0.93</v>
      </c>
      <c r="V658" s="491">
        <v>1.71</v>
      </c>
      <c r="W658" s="491">
        <v>1.87</v>
      </c>
      <c r="X658" s="491">
        <v>0</v>
      </c>
      <c r="Y658" s="1025" t="b">
        <v>1</v>
      </c>
      <c r="Z658" s="331">
        <v>0</v>
      </c>
      <c r="AA658" s="331">
        <v>0</v>
      </c>
      <c r="AB658" s="331">
        <v>0</v>
      </c>
      <c r="AC658" s="331">
        <v>0</v>
      </c>
      <c r="AD658" s="1025" t="b">
        <v>0</v>
      </c>
      <c r="AE658" s="331">
        <v>0.08</v>
      </c>
      <c r="AF658" s="331">
        <v>0.05</v>
      </c>
      <c r="AG658" s="331">
        <v>0</v>
      </c>
      <c r="AH658" s="331">
        <v>0</v>
      </c>
      <c r="AI658" s="1025" t="b">
        <v>1</v>
      </c>
      <c r="AJ658" s="331">
        <v>0</v>
      </c>
      <c r="AK658" s="331">
        <v>0</v>
      </c>
      <c r="AL658" s="331">
        <v>0</v>
      </c>
      <c r="AM658" s="331">
        <v>0</v>
      </c>
      <c r="AN658" s="1025" t="b">
        <v>0</v>
      </c>
      <c r="AO658" s="331">
        <v>0</v>
      </c>
      <c r="AP658" s="331">
        <v>0</v>
      </c>
      <c r="AQ658" s="331">
        <v>0</v>
      </c>
      <c r="AR658" s="331">
        <v>0</v>
      </c>
      <c r="AS658" s="1025" t="b">
        <v>0</v>
      </c>
      <c r="AT658" s="1025" t="b">
        <v>1</v>
      </c>
      <c r="AU658" s="331">
        <v>0</v>
      </c>
      <c r="AV658" s="491" t="s">
        <v>29</v>
      </c>
    </row>
    <row r="659" spans="1:48">
      <c r="A659" s="72">
        <v>45</v>
      </c>
      <c r="B659" s="391" t="s">
        <v>72</v>
      </c>
      <c r="C659" s="72">
        <f t="shared" si="30"/>
        <v>12</v>
      </c>
      <c r="D659" s="72" t="str">
        <f t="shared" si="31"/>
        <v>45-12</v>
      </c>
      <c r="E659" s="72">
        <v>70110</v>
      </c>
      <c r="F659" s="72" t="str">
        <f t="shared" si="32"/>
        <v>45-70110</v>
      </c>
      <c r="G659" s="391" t="s">
        <v>1134</v>
      </c>
      <c r="H659" s="331">
        <v>12288.31</v>
      </c>
      <c r="I659" s="331">
        <v>11298.59</v>
      </c>
      <c r="J659" s="331">
        <v>11633.76</v>
      </c>
      <c r="K659" s="331">
        <v>13833</v>
      </c>
      <c r="L659" s="1072">
        <v>0</v>
      </c>
      <c r="M659" s="1072">
        <v>0</v>
      </c>
      <c r="N659" s="1072">
        <v>0</v>
      </c>
      <c r="O659" s="1072">
        <v>0</v>
      </c>
      <c r="P659" s="491">
        <v>0</v>
      </c>
      <c r="Q659" s="491">
        <v>0</v>
      </c>
      <c r="R659" s="491">
        <v>2.61</v>
      </c>
      <c r="S659" s="491">
        <v>0</v>
      </c>
      <c r="T659" s="1025" t="b">
        <v>0</v>
      </c>
      <c r="U659" s="491">
        <v>2.2200000000000002</v>
      </c>
      <c r="V659" s="491">
        <v>2.1800000000000002</v>
      </c>
      <c r="W659" s="491">
        <v>0.82</v>
      </c>
      <c r="X659" s="491">
        <v>0</v>
      </c>
      <c r="Y659" s="1025" t="b">
        <v>1</v>
      </c>
      <c r="Z659" s="331">
        <v>0</v>
      </c>
      <c r="AA659" s="331">
        <v>0</v>
      </c>
      <c r="AB659" s="331">
        <v>0</v>
      </c>
      <c r="AC659" s="331">
        <v>0</v>
      </c>
      <c r="AD659" s="1025" t="b">
        <v>0</v>
      </c>
      <c r="AE659" s="331">
        <v>0.11</v>
      </c>
      <c r="AF659" s="331">
        <v>0.24</v>
      </c>
      <c r="AG659" s="331">
        <v>0</v>
      </c>
      <c r="AH659" s="331">
        <v>0</v>
      </c>
      <c r="AI659" s="1025" t="b">
        <v>1</v>
      </c>
      <c r="AJ659" s="331">
        <v>0</v>
      </c>
      <c r="AK659" s="331">
        <v>0</v>
      </c>
      <c r="AL659" s="331">
        <v>0</v>
      </c>
      <c r="AM659" s="331">
        <v>0</v>
      </c>
      <c r="AN659" s="1025" t="b">
        <v>0</v>
      </c>
      <c r="AO659" s="331">
        <v>0</v>
      </c>
      <c r="AP659" s="331">
        <v>0</v>
      </c>
      <c r="AQ659" s="331">
        <v>0</v>
      </c>
      <c r="AR659" s="331">
        <v>0</v>
      </c>
      <c r="AS659" s="1025" t="b">
        <v>0</v>
      </c>
      <c r="AT659" s="1025" t="b">
        <v>1</v>
      </c>
      <c r="AU659" s="331">
        <v>30364</v>
      </c>
      <c r="AV659" s="491" t="s">
        <v>29</v>
      </c>
    </row>
    <row r="660" spans="1:48">
      <c r="A660" s="72">
        <v>45</v>
      </c>
      <c r="B660" s="391" t="s">
        <v>72</v>
      </c>
      <c r="C660" s="72">
        <f t="shared" si="30"/>
        <v>13</v>
      </c>
      <c r="D660" s="72" t="str">
        <f t="shared" si="31"/>
        <v>45-13</v>
      </c>
      <c r="E660" s="72">
        <v>70128</v>
      </c>
      <c r="F660" s="72" t="str">
        <f t="shared" si="32"/>
        <v>45-70128</v>
      </c>
      <c r="G660" s="391" t="s">
        <v>1135</v>
      </c>
      <c r="H660" s="331">
        <v>11261.33</v>
      </c>
      <c r="I660" s="331">
        <v>10354.33</v>
      </c>
      <c r="J660" s="331">
        <v>10661.49</v>
      </c>
      <c r="K660" s="331">
        <v>12676.93</v>
      </c>
      <c r="L660" s="1072">
        <v>0</v>
      </c>
      <c r="M660" s="1072">
        <v>0</v>
      </c>
      <c r="N660" s="1072">
        <v>0</v>
      </c>
      <c r="O660" s="1072">
        <v>0</v>
      </c>
      <c r="P660" s="491">
        <v>0</v>
      </c>
      <c r="Q660" s="491">
        <v>0</v>
      </c>
      <c r="R660" s="491">
        <v>0</v>
      </c>
      <c r="S660" s="491">
        <v>0</v>
      </c>
      <c r="T660" s="1025" t="b">
        <v>0</v>
      </c>
      <c r="U660" s="491">
        <v>0</v>
      </c>
      <c r="V660" s="491">
        <v>0</v>
      </c>
      <c r="W660" s="491">
        <v>1.48</v>
      </c>
      <c r="X660" s="491">
        <v>0</v>
      </c>
      <c r="Y660" s="1025" t="b">
        <v>1</v>
      </c>
      <c r="Z660" s="331">
        <v>0</v>
      </c>
      <c r="AA660" s="331">
        <v>0</v>
      </c>
      <c r="AB660" s="331">
        <v>0</v>
      </c>
      <c r="AC660" s="331">
        <v>0</v>
      </c>
      <c r="AD660" s="1025" t="b">
        <v>0</v>
      </c>
      <c r="AE660" s="331">
        <v>0</v>
      </c>
      <c r="AF660" s="331">
        <v>0</v>
      </c>
      <c r="AG660" s="331">
        <v>0.05</v>
      </c>
      <c r="AH660" s="331">
        <v>0</v>
      </c>
      <c r="AI660" s="1025" t="b">
        <v>1</v>
      </c>
      <c r="AJ660" s="331">
        <v>0</v>
      </c>
      <c r="AK660" s="331">
        <v>0</v>
      </c>
      <c r="AL660" s="331">
        <v>0</v>
      </c>
      <c r="AM660" s="331">
        <v>0</v>
      </c>
      <c r="AN660" s="1025" t="b">
        <v>0</v>
      </c>
      <c r="AO660" s="331">
        <v>0</v>
      </c>
      <c r="AP660" s="331">
        <v>0</v>
      </c>
      <c r="AQ660" s="331">
        <v>0</v>
      </c>
      <c r="AR660" s="331">
        <v>0</v>
      </c>
      <c r="AS660" s="1025" t="b">
        <v>0</v>
      </c>
      <c r="AT660" s="1025" t="b">
        <v>1</v>
      </c>
      <c r="AU660" s="331">
        <v>0</v>
      </c>
      <c r="AV660" s="491" t="s">
        <v>29</v>
      </c>
    </row>
    <row r="661" spans="1:48">
      <c r="A661" s="72">
        <v>45</v>
      </c>
      <c r="B661" s="391" t="s">
        <v>72</v>
      </c>
      <c r="C661" s="72">
        <f t="shared" si="30"/>
        <v>14</v>
      </c>
      <c r="D661" s="72" t="str">
        <f t="shared" si="31"/>
        <v>45-14</v>
      </c>
      <c r="E661" s="72">
        <v>70136</v>
      </c>
      <c r="F661" s="72" t="str">
        <f t="shared" si="32"/>
        <v>45-70136</v>
      </c>
      <c r="G661" s="391" t="s">
        <v>1136</v>
      </c>
      <c r="H661" s="331">
        <v>11056.63</v>
      </c>
      <c r="I661" s="331">
        <v>10166.11</v>
      </c>
      <c r="J661" s="331">
        <v>10467.68</v>
      </c>
      <c r="K661" s="331">
        <v>12446.49</v>
      </c>
      <c r="L661" s="1072">
        <v>0</v>
      </c>
      <c r="M661" s="1072">
        <v>0</v>
      </c>
      <c r="N661" s="1072">
        <v>0</v>
      </c>
      <c r="O661" s="1072">
        <v>0</v>
      </c>
      <c r="P661" s="491">
        <v>0</v>
      </c>
      <c r="Q661" s="491">
        <v>0</v>
      </c>
      <c r="R661" s="491">
        <v>0</v>
      </c>
      <c r="S661" s="491">
        <v>48.91</v>
      </c>
      <c r="T661" s="1025" t="b">
        <v>0</v>
      </c>
      <c r="U661" s="491">
        <v>0</v>
      </c>
      <c r="V661" s="491">
        <v>0</v>
      </c>
      <c r="W661" s="491">
        <v>0</v>
      </c>
      <c r="X661" s="491">
        <v>0</v>
      </c>
      <c r="Y661" s="1025" t="b">
        <v>0</v>
      </c>
      <c r="Z661" s="331">
        <v>0</v>
      </c>
      <c r="AA661" s="331">
        <v>0</v>
      </c>
      <c r="AB661" s="331">
        <v>0</v>
      </c>
      <c r="AC661" s="331">
        <v>1.07</v>
      </c>
      <c r="AD661" s="1025" t="b">
        <v>1</v>
      </c>
      <c r="AE661" s="331">
        <v>0</v>
      </c>
      <c r="AF661" s="331">
        <v>0</v>
      </c>
      <c r="AG661" s="331">
        <v>0</v>
      </c>
      <c r="AH661" s="331">
        <v>0</v>
      </c>
      <c r="AI661" s="1025" t="b">
        <v>0</v>
      </c>
      <c r="AJ661" s="331">
        <v>0</v>
      </c>
      <c r="AK661" s="331">
        <v>0</v>
      </c>
      <c r="AL661" s="331">
        <v>0</v>
      </c>
      <c r="AM661" s="331">
        <v>0</v>
      </c>
      <c r="AN661" s="1025" t="b">
        <v>0</v>
      </c>
      <c r="AO661" s="331">
        <v>0</v>
      </c>
      <c r="AP661" s="331">
        <v>0</v>
      </c>
      <c r="AQ661" s="331">
        <v>0</v>
      </c>
      <c r="AR661" s="331">
        <v>0</v>
      </c>
      <c r="AS661" s="1025" t="b">
        <v>0</v>
      </c>
      <c r="AT661" s="1025" t="b">
        <v>1</v>
      </c>
      <c r="AU661" s="331">
        <v>608758</v>
      </c>
      <c r="AV661" s="491" t="s">
        <v>29</v>
      </c>
    </row>
    <row r="662" spans="1:48">
      <c r="A662" s="72">
        <v>45</v>
      </c>
      <c r="B662" s="391" t="s">
        <v>72</v>
      </c>
      <c r="C662" s="72">
        <f t="shared" si="30"/>
        <v>15</v>
      </c>
      <c r="D662" s="72" t="str">
        <f t="shared" si="31"/>
        <v>45-15</v>
      </c>
      <c r="E662" s="72">
        <v>75267</v>
      </c>
      <c r="F662" s="72" t="str">
        <f t="shared" si="32"/>
        <v>45-75267</v>
      </c>
      <c r="G662" s="391" t="s">
        <v>1137</v>
      </c>
      <c r="H662" s="331">
        <v>12802.66</v>
      </c>
      <c r="I662" s="331">
        <v>11771.51</v>
      </c>
      <c r="J662" s="331">
        <v>12120.71</v>
      </c>
      <c r="K662" s="331">
        <v>14412.01</v>
      </c>
      <c r="L662" s="1072">
        <v>0</v>
      </c>
      <c r="M662" s="1072">
        <v>0</v>
      </c>
      <c r="N662" s="1072">
        <v>0</v>
      </c>
      <c r="O662" s="1072">
        <v>0</v>
      </c>
      <c r="P662" s="491">
        <v>0</v>
      </c>
      <c r="Q662" s="491">
        <v>0</v>
      </c>
      <c r="R662" s="491">
        <v>0.87</v>
      </c>
      <c r="S662" s="491">
        <v>24.03</v>
      </c>
      <c r="T662" s="1025" t="b">
        <v>0</v>
      </c>
      <c r="U662" s="491">
        <v>4.72</v>
      </c>
      <c r="V662" s="491">
        <v>3.16</v>
      </c>
      <c r="W662" s="491">
        <v>1.78</v>
      </c>
      <c r="X662" s="491">
        <v>0</v>
      </c>
      <c r="Y662" s="1025" t="b">
        <v>1</v>
      </c>
      <c r="Z662" s="331">
        <v>0</v>
      </c>
      <c r="AA662" s="331">
        <v>0</v>
      </c>
      <c r="AB662" s="331">
        <v>0</v>
      </c>
      <c r="AC662" s="331">
        <v>7.0000000000000007E-2</v>
      </c>
      <c r="AD662" s="1025" t="b">
        <v>1</v>
      </c>
      <c r="AE662" s="331">
        <v>0.27</v>
      </c>
      <c r="AF662" s="331">
        <v>0.27</v>
      </c>
      <c r="AG662" s="331">
        <v>0</v>
      </c>
      <c r="AH662" s="331">
        <v>0</v>
      </c>
      <c r="AI662" s="1025" t="b">
        <v>1</v>
      </c>
      <c r="AJ662" s="331">
        <v>0</v>
      </c>
      <c r="AK662" s="331">
        <v>0</v>
      </c>
      <c r="AL662" s="331">
        <v>0</v>
      </c>
      <c r="AM662" s="331">
        <v>0</v>
      </c>
      <c r="AN662" s="1025" t="b">
        <v>0</v>
      </c>
      <c r="AO662" s="331">
        <v>0</v>
      </c>
      <c r="AP662" s="331">
        <v>0</v>
      </c>
      <c r="AQ662" s="331">
        <v>0</v>
      </c>
      <c r="AR662" s="331">
        <v>0</v>
      </c>
      <c r="AS662" s="1025" t="b">
        <v>0</v>
      </c>
      <c r="AT662" s="1025" t="b">
        <v>1</v>
      </c>
      <c r="AU662" s="331">
        <v>356866</v>
      </c>
      <c r="AV662" s="491" t="s">
        <v>29</v>
      </c>
    </row>
    <row r="663" spans="1:48">
      <c r="A663" s="72">
        <v>45</v>
      </c>
      <c r="B663" s="391" t="s">
        <v>72</v>
      </c>
      <c r="C663" s="72">
        <f t="shared" si="30"/>
        <v>16</v>
      </c>
      <c r="D663" s="72" t="str">
        <f t="shared" si="31"/>
        <v>45-16</v>
      </c>
      <c r="E663" s="72">
        <v>71639</v>
      </c>
      <c r="F663" s="72" t="str">
        <f t="shared" si="32"/>
        <v>45-71639</v>
      </c>
      <c r="G663" s="391" t="s">
        <v>1216</v>
      </c>
      <c r="H663" s="331">
        <v>12240.14</v>
      </c>
      <c r="I663" s="331">
        <v>11254.3</v>
      </c>
      <c r="J663" s="331">
        <v>11588.16</v>
      </c>
      <c r="K663" s="331">
        <v>13778.78</v>
      </c>
      <c r="L663" s="491" t="s">
        <v>29</v>
      </c>
      <c r="M663" s="491" t="s">
        <v>29</v>
      </c>
      <c r="N663" s="491" t="s">
        <v>29</v>
      </c>
      <c r="O663" s="491" t="s">
        <v>29</v>
      </c>
      <c r="P663" s="491">
        <v>0</v>
      </c>
      <c r="Q663" s="491">
        <v>0</v>
      </c>
      <c r="R663" s="491">
        <v>0</v>
      </c>
      <c r="S663" s="491">
        <v>2.0099999999999998</v>
      </c>
      <c r="T663" s="1025" t="b">
        <v>0</v>
      </c>
      <c r="U663" s="491">
        <v>0</v>
      </c>
      <c r="V663" s="491">
        <v>0</v>
      </c>
      <c r="W663" s="491">
        <v>0</v>
      </c>
      <c r="X663" s="491">
        <v>0</v>
      </c>
      <c r="Y663" s="1025" t="b">
        <v>0</v>
      </c>
      <c r="Z663" s="331">
        <v>0</v>
      </c>
      <c r="AA663" s="331">
        <v>0</v>
      </c>
      <c r="AB663" s="331">
        <v>0</v>
      </c>
      <c r="AC663" s="331">
        <v>0</v>
      </c>
      <c r="AD663" s="1025" t="b">
        <v>0</v>
      </c>
      <c r="AE663" s="331">
        <v>0</v>
      </c>
      <c r="AF663" s="331">
        <v>0</v>
      </c>
      <c r="AG663" s="331">
        <v>0</v>
      </c>
      <c r="AH663" s="331">
        <v>0</v>
      </c>
      <c r="AI663" s="1025" t="b">
        <v>0</v>
      </c>
      <c r="AJ663" s="331">
        <v>0</v>
      </c>
      <c r="AK663" s="331">
        <v>0</v>
      </c>
      <c r="AL663" s="331">
        <v>0</v>
      </c>
      <c r="AM663" s="331">
        <v>0</v>
      </c>
      <c r="AN663" s="1025" t="b">
        <v>0</v>
      </c>
      <c r="AO663" s="331">
        <v>0</v>
      </c>
      <c r="AP663" s="331">
        <v>0</v>
      </c>
      <c r="AQ663" s="331">
        <v>0</v>
      </c>
      <c r="AR663" s="331">
        <v>0</v>
      </c>
      <c r="AS663" s="1025" t="b">
        <v>0</v>
      </c>
      <c r="AT663" s="1025" t="b">
        <v>0</v>
      </c>
      <c r="AU663" s="331">
        <v>27695</v>
      </c>
      <c r="AV663" s="491" t="s">
        <v>29</v>
      </c>
    </row>
    <row r="664" spans="1:48">
      <c r="A664" s="72">
        <v>45</v>
      </c>
      <c r="B664" s="391" t="s">
        <v>72</v>
      </c>
      <c r="C664" s="72">
        <f t="shared" si="30"/>
        <v>0</v>
      </c>
      <c r="D664" s="72" t="str">
        <f t="shared" si="31"/>
        <v>45-0</v>
      </c>
      <c r="E664" s="72" t="s">
        <v>29</v>
      </c>
      <c r="F664" s="72" t="str">
        <f t="shared" si="32"/>
        <v>45-N/A</v>
      </c>
      <c r="G664" s="391" t="s">
        <v>29</v>
      </c>
      <c r="H664" s="491" t="s">
        <v>29</v>
      </c>
      <c r="I664" s="491" t="s">
        <v>29</v>
      </c>
      <c r="J664" s="491" t="s">
        <v>29</v>
      </c>
      <c r="K664" s="491" t="s">
        <v>29</v>
      </c>
      <c r="L664" s="491" t="s">
        <v>29</v>
      </c>
      <c r="M664" s="491" t="s">
        <v>29</v>
      </c>
      <c r="N664" s="491" t="s">
        <v>29</v>
      </c>
      <c r="O664" s="491" t="s">
        <v>29</v>
      </c>
      <c r="P664" s="491" t="s">
        <v>29</v>
      </c>
      <c r="Q664" s="491" t="s">
        <v>29</v>
      </c>
      <c r="R664" s="491" t="s">
        <v>29</v>
      </c>
      <c r="S664" s="491" t="s">
        <v>29</v>
      </c>
      <c r="T664" s="1025" t="s">
        <v>29</v>
      </c>
      <c r="U664" s="491" t="s">
        <v>29</v>
      </c>
      <c r="V664" s="491" t="s">
        <v>29</v>
      </c>
      <c r="W664" s="491" t="s">
        <v>29</v>
      </c>
      <c r="X664" s="491" t="s">
        <v>29</v>
      </c>
      <c r="Y664" s="1025" t="s">
        <v>29</v>
      </c>
      <c r="Z664" s="491" t="s">
        <v>29</v>
      </c>
      <c r="AA664" s="491" t="s">
        <v>29</v>
      </c>
      <c r="AB664" s="491" t="s">
        <v>29</v>
      </c>
      <c r="AC664" s="491" t="s">
        <v>29</v>
      </c>
      <c r="AD664" s="1025" t="s">
        <v>29</v>
      </c>
      <c r="AE664" s="491" t="s">
        <v>29</v>
      </c>
      <c r="AF664" s="491" t="s">
        <v>29</v>
      </c>
      <c r="AG664" s="491" t="s">
        <v>29</v>
      </c>
      <c r="AH664" s="491" t="s">
        <v>29</v>
      </c>
      <c r="AI664" s="1025" t="s">
        <v>29</v>
      </c>
      <c r="AJ664" s="491" t="s">
        <v>29</v>
      </c>
      <c r="AK664" s="491" t="s">
        <v>29</v>
      </c>
      <c r="AL664" s="491" t="s">
        <v>29</v>
      </c>
      <c r="AM664" s="491" t="s">
        <v>29</v>
      </c>
      <c r="AN664" s="1025" t="s">
        <v>29</v>
      </c>
      <c r="AO664" s="491" t="s">
        <v>29</v>
      </c>
      <c r="AP664" s="491" t="s">
        <v>29</v>
      </c>
      <c r="AQ664" s="491" t="s">
        <v>29</v>
      </c>
      <c r="AR664" s="491" t="s">
        <v>29</v>
      </c>
      <c r="AS664" s="1025" t="s">
        <v>29</v>
      </c>
      <c r="AT664" s="1025" t="s">
        <v>29</v>
      </c>
      <c r="AU664" s="491" t="s">
        <v>29</v>
      </c>
      <c r="AV664" s="491">
        <v>1155415</v>
      </c>
    </row>
    <row r="665" spans="1:48">
      <c r="A665" s="72">
        <v>46</v>
      </c>
      <c r="B665" s="391" t="s">
        <v>73</v>
      </c>
      <c r="C665" s="72">
        <f t="shared" si="30"/>
        <v>1</v>
      </c>
      <c r="D665" s="72" t="str">
        <f t="shared" si="31"/>
        <v>46-1</v>
      </c>
      <c r="E665" s="72">
        <v>70177</v>
      </c>
      <c r="F665" s="72" t="str">
        <f t="shared" si="32"/>
        <v>46-70177</v>
      </c>
      <c r="G665" s="391" t="s">
        <v>1138</v>
      </c>
      <c r="H665" s="331">
        <v>10993.89</v>
      </c>
      <c r="I665" s="331">
        <v>10108.42</v>
      </c>
      <c r="J665" s="331">
        <v>10408.290000000001</v>
      </c>
      <c r="K665" s="331">
        <v>12375.87</v>
      </c>
      <c r="L665" s="491" t="s">
        <v>29</v>
      </c>
      <c r="M665" s="491" t="s">
        <v>29</v>
      </c>
      <c r="N665" s="491" t="s">
        <v>29</v>
      </c>
      <c r="O665" s="491" t="s">
        <v>29</v>
      </c>
      <c r="P665" s="491">
        <v>0</v>
      </c>
      <c r="Q665" s="491">
        <v>0</v>
      </c>
      <c r="R665" s="491">
        <v>0</v>
      </c>
      <c r="S665" s="491">
        <v>0</v>
      </c>
      <c r="T665" s="1025" t="b">
        <v>0</v>
      </c>
      <c r="U665" s="491">
        <v>0</v>
      </c>
      <c r="V665" s="491">
        <v>0</v>
      </c>
      <c r="W665" s="491">
        <v>0</v>
      </c>
      <c r="X665" s="491">
        <v>0</v>
      </c>
      <c r="Y665" s="1025" t="b">
        <v>0</v>
      </c>
      <c r="Z665" s="331">
        <v>0</v>
      </c>
      <c r="AA665" s="331">
        <v>0</v>
      </c>
      <c r="AB665" s="331">
        <v>0</v>
      </c>
      <c r="AC665" s="331">
        <v>0</v>
      </c>
      <c r="AD665" s="1025" t="b">
        <v>0</v>
      </c>
      <c r="AE665" s="331">
        <v>0.54</v>
      </c>
      <c r="AF665" s="331">
        <v>0</v>
      </c>
      <c r="AG665" s="331">
        <v>0</v>
      </c>
      <c r="AH665" s="331">
        <v>0.16</v>
      </c>
      <c r="AI665" s="1025" t="b">
        <v>0</v>
      </c>
      <c r="AJ665" s="331">
        <v>0</v>
      </c>
      <c r="AK665" s="331">
        <v>0</v>
      </c>
      <c r="AL665" s="331">
        <v>0</v>
      </c>
      <c r="AM665" s="331">
        <v>0</v>
      </c>
      <c r="AN665" s="1025" t="b">
        <v>0</v>
      </c>
      <c r="AO665" s="331">
        <v>6.73</v>
      </c>
      <c r="AP665" s="331">
        <v>3.87</v>
      </c>
      <c r="AQ665" s="331">
        <v>0.95</v>
      </c>
      <c r="AR665" s="331">
        <v>1.95</v>
      </c>
      <c r="AS665" s="1025" t="b">
        <v>0</v>
      </c>
      <c r="AT665" s="1025" t="b">
        <v>0</v>
      </c>
      <c r="AU665" s="331">
        <v>155047</v>
      </c>
      <c r="AV665" s="491" t="s">
        <v>29</v>
      </c>
    </row>
    <row r="666" spans="1:48">
      <c r="A666" s="72">
        <v>46</v>
      </c>
      <c r="B666" s="391" t="s">
        <v>73</v>
      </c>
      <c r="C666" s="72">
        <f t="shared" si="30"/>
        <v>0</v>
      </c>
      <c r="D666" s="72" t="str">
        <f t="shared" si="31"/>
        <v>46-0</v>
      </c>
      <c r="E666" s="72" t="s">
        <v>29</v>
      </c>
      <c r="F666" s="72" t="str">
        <f t="shared" si="32"/>
        <v>46-N/A</v>
      </c>
      <c r="G666" s="391" t="s">
        <v>29</v>
      </c>
      <c r="H666" s="491" t="s">
        <v>29</v>
      </c>
      <c r="I666" s="491" t="s">
        <v>29</v>
      </c>
      <c r="J666" s="491" t="s">
        <v>29</v>
      </c>
      <c r="K666" s="491" t="s">
        <v>29</v>
      </c>
      <c r="L666" s="491" t="s">
        <v>29</v>
      </c>
      <c r="M666" s="491" t="s">
        <v>29</v>
      </c>
      <c r="N666" s="491" t="s">
        <v>29</v>
      </c>
      <c r="O666" s="491" t="s">
        <v>29</v>
      </c>
      <c r="P666" s="491" t="s">
        <v>29</v>
      </c>
      <c r="Q666" s="491" t="s">
        <v>29</v>
      </c>
      <c r="R666" s="491" t="s">
        <v>29</v>
      </c>
      <c r="S666" s="491" t="s">
        <v>29</v>
      </c>
      <c r="T666" s="1025" t="s">
        <v>29</v>
      </c>
      <c r="U666" s="491" t="s">
        <v>29</v>
      </c>
      <c r="V666" s="491" t="s">
        <v>29</v>
      </c>
      <c r="W666" s="491" t="s">
        <v>29</v>
      </c>
      <c r="X666" s="491" t="s">
        <v>29</v>
      </c>
      <c r="Y666" s="1025" t="s">
        <v>29</v>
      </c>
      <c r="Z666" s="491" t="s">
        <v>29</v>
      </c>
      <c r="AA666" s="491" t="s">
        <v>29</v>
      </c>
      <c r="AB666" s="491" t="s">
        <v>29</v>
      </c>
      <c r="AC666" s="491" t="s">
        <v>29</v>
      </c>
      <c r="AD666" s="1025" t="s">
        <v>29</v>
      </c>
      <c r="AE666" s="491" t="s">
        <v>29</v>
      </c>
      <c r="AF666" s="491" t="s">
        <v>29</v>
      </c>
      <c r="AG666" s="491" t="s">
        <v>29</v>
      </c>
      <c r="AH666" s="491" t="s">
        <v>29</v>
      </c>
      <c r="AI666" s="1025" t="s">
        <v>29</v>
      </c>
      <c r="AJ666" s="491" t="s">
        <v>29</v>
      </c>
      <c r="AK666" s="491" t="s">
        <v>29</v>
      </c>
      <c r="AL666" s="491" t="s">
        <v>29</v>
      </c>
      <c r="AM666" s="491" t="s">
        <v>29</v>
      </c>
      <c r="AN666" s="1025" t="s">
        <v>29</v>
      </c>
      <c r="AO666" s="491" t="s">
        <v>29</v>
      </c>
      <c r="AP666" s="491" t="s">
        <v>29</v>
      </c>
      <c r="AQ666" s="491" t="s">
        <v>29</v>
      </c>
      <c r="AR666" s="491" t="s">
        <v>29</v>
      </c>
      <c r="AS666" s="1025" t="s">
        <v>29</v>
      </c>
      <c r="AT666" s="1025" t="s">
        <v>29</v>
      </c>
      <c r="AU666" s="491" t="s">
        <v>29</v>
      </c>
      <c r="AV666" s="491">
        <v>155047</v>
      </c>
    </row>
    <row r="667" spans="1:48">
      <c r="A667" s="72">
        <v>47</v>
      </c>
      <c r="B667" s="391" t="s">
        <v>42</v>
      </c>
      <c r="C667" s="72">
        <f t="shared" si="30"/>
        <v>1</v>
      </c>
      <c r="D667" s="72" t="str">
        <f t="shared" si="31"/>
        <v>47-1</v>
      </c>
      <c r="E667" s="72">
        <v>70201</v>
      </c>
      <c r="F667" s="72" t="str">
        <f t="shared" si="32"/>
        <v>47-70201</v>
      </c>
      <c r="G667" s="391" t="s">
        <v>1747</v>
      </c>
      <c r="H667" s="331">
        <v>10926.9</v>
      </c>
      <c r="I667" s="331">
        <v>10046.83</v>
      </c>
      <c r="J667" s="331">
        <v>10344.870000000001</v>
      </c>
      <c r="K667" s="331">
        <v>12300.46</v>
      </c>
      <c r="L667" s="491" t="s">
        <v>29</v>
      </c>
      <c r="M667" s="491" t="s">
        <v>29</v>
      </c>
      <c r="N667" s="491" t="s">
        <v>29</v>
      </c>
      <c r="O667" s="491" t="s">
        <v>29</v>
      </c>
      <c r="P667" s="491">
        <v>0</v>
      </c>
      <c r="Q667" s="491">
        <v>0</v>
      </c>
      <c r="R667" s="491">
        <v>0</v>
      </c>
      <c r="S667" s="491">
        <v>0</v>
      </c>
      <c r="T667" s="1025" t="b">
        <v>0</v>
      </c>
      <c r="U667" s="491">
        <v>0</v>
      </c>
      <c r="V667" s="491">
        <v>0.9</v>
      </c>
      <c r="W667" s="491">
        <v>0</v>
      </c>
      <c r="X667" s="491">
        <v>0</v>
      </c>
      <c r="Y667" s="1025" t="b">
        <v>0</v>
      </c>
      <c r="Z667" s="331">
        <v>0</v>
      </c>
      <c r="AA667" s="331">
        <v>0</v>
      </c>
      <c r="AB667" s="331">
        <v>0</v>
      </c>
      <c r="AC667" s="331">
        <v>0</v>
      </c>
      <c r="AD667" s="1025" t="b">
        <v>0</v>
      </c>
      <c r="AE667" s="331">
        <v>0</v>
      </c>
      <c r="AF667" s="331">
        <v>0</v>
      </c>
      <c r="AG667" s="331">
        <v>0</v>
      </c>
      <c r="AH667" s="331">
        <v>0</v>
      </c>
      <c r="AI667" s="1025" t="b">
        <v>0</v>
      </c>
      <c r="AJ667" s="331">
        <v>0</v>
      </c>
      <c r="AK667" s="331">
        <v>0</v>
      </c>
      <c r="AL667" s="331">
        <v>0</v>
      </c>
      <c r="AM667" s="331">
        <v>0</v>
      </c>
      <c r="AN667" s="1025" t="b">
        <v>0</v>
      </c>
      <c r="AO667" s="331">
        <v>0</v>
      </c>
      <c r="AP667" s="331">
        <v>0</v>
      </c>
      <c r="AQ667" s="331">
        <v>0</v>
      </c>
      <c r="AR667" s="331">
        <v>0</v>
      </c>
      <c r="AS667" s="1025" t="b">
        <v>0</v>
      </c>
      <c r="AT667" s="1025" t="b">
        <v>0</v>
      </c>
      <c r="AU667" s="331">
        <v>9042</v>
      </c>
      <c r="AV667" s="491" t="s">
        <v>29</v>
      </c>
    </row>
    <row r="668" spans="1:48">
      <c r="A668" s="72">
        <v>47</v>
      </c>
      <c r="B668" s="391" t="s">
        <v>42</v>
      </c>
      <c r="C668" s="72">
        <f t="shared" si="30"/>
        <v>2</v>
      </c>
      <c r="D668" s="72" t="str">
        <f t="shared" si="31"/>
        <v>47-2</v>
      </c>
      <c r="E668" s="72">
        <v>70243</v>
      </c>
      <c r="F668" s="72" t="str">
        <f t="shared" si="32"/>
        <v>47-70243</v>
      </c>
      <c r="G668" s="391" t="s">
        <v>1139</v>
      </c>
      <c r="H668" s="331">
        <v>14083.37</v>
      </c>
      <c r="I668" s="331">
        <v>12949.07</v>
      </c>
      <c r="J668" s="331">
        <v>13333.2</v>
      </c>
      <c r="K668" s="331">
        <v>15853.71</v>
      </c>
      <c r="L668" s="491" t="s">
        <v>29</v>
      </c>
      <c r="M668" s="491" t="s">
        <v>29</v>
      </c>
      <c r="N668" s="491" t="s">
        <v>29</v>
      </c>
      <c r="O668" s="491" t="s">
        <v>29</v>
      </c>
      <c r="P668" s="491">
        <v>0</v>
      </c>
      <c r="Q668" s="491">
        <v>0</v>
      </c>
      <c r="R668" s="491">
        <v>0</v>
      </c>
      <c r="S668" s="491">
        <v>0</v>
      </c>
      <c r="T668" s="1025" t="b">
        <v>0</v>
      </c>
      <c r="U668" s="491">
        <v>1.89</v>
      </c>
      <c r="V668" s="491">
        <v>1.76</v>
      </c>
      <c r="W668" s="491">
        <v>0</v>
      </c>
      <c r="X668" s="491">
        <v>0</v>
      </c>
      <c r="Y668" s="1025" t="b">
        <v>0</v>
      </c>
      <c r="Z668" s="331">
        <v>0</v>
      </c>
      <c r="AA668" s="331">
        <v>0</v>
      </c>
      <c r="AB668" s="331">
        <v>0</v>
      </c>
      <c r="AC668" s="331">
        <v>0</v>
      </c>
      <c r="AD668" s="1025" t="b">
        <v>0</v>
      </c>
      <c r="AE668" s="331">
        <v>0</v>
      </c>
      <c r="AF668" s="331">
        <v>0</v>
      </c>
      <c r="AG668" s="331">
        <v>0</v>
      </c>
      <c r="AH668" s="331">
        <v>0</v>
      </c>
      <c r="AI668" s="1025" t="b">
        <v>0</v>
      </c>
      <c r="AJ668" s="331">
        <v>0</v>
      </c>
      <c r="AK668" s="331">
        <v>0</v>
      </c>
      <c r="AL668" s="331">
        <v>0</v>
      </c>
      <c r="AM668" s="331">
        <v>0</v>
      </c>
      <c r="AN668" s="1025" t="b">
        <v>0</v>
      </c>
      <c r="AO668" s="331">
        <v>0</v>
      </c>
      <c r="AP668" s="331">
        <v>0</v>
      </c>
      <c r="AQ668" s="331">
        <v>0</v>
      </c>
      <c r="AR668" s="331">
        <v>0</v>
      </c>
      <c r="AS668" s="1025" t="b">
        <v>0</v>
      </c>
      <c r="AT668" s="1025" t="b">
        <v>0</v>
      </c>
      <c r="AU668" s="331">
        <v>49408</v>
      </c>
      <c r="AV668" s="491" t="s">
        <v>29</v>
      </c>
    </row>
    <row r="669" spans="1:48">
      <c r="A669" s="72">
        <v>47</v>
      </c>
      <c r="B669" s="391" t="s">
        <v>42</v>
      </c>
      <c r="C669" s="72">
        <f t="shared" si="30"/>
        <v>3</v>
      </c>
      <c r="D669" s="72" t="str">
        <f t="shared" si="31"/>
        <v>47-3</v>
      </c>
      <c r="E669" s="72">
        <v>70326</v>
      </c>
      <c r="F669" s="72" t="str">
        <f t="shared" si="32"/>
        <v>47-70326</v>
      </c>
      <c r="G669" s="391" t="s">
        <v>1793</v>
      </c>
      <c r="H669" s="331">
        <v>10982.96</v>
      </c>
      <c r="I669" s="331">
        <v>10098.379999999999</v>
      </c>
      <c r="J669" s="331">
        <v>10397.94</v>
      </c>
      <c r="K669" s="331">
        <v>12363.56</v>
      </c>
      <c r="L669" s="491" t="s">
        <v>29</v>
      </c>
      <c r="M669" s="491" t="s">
        <v>29</v>
      </c>
      <c r="N669" s="491" t="s">
        <v>29</v>
      </c>
      <c r="O669" s="491" t="s">
        <v>29</v>
      </c>
      <c r="P669" s="491">
        <v>0</v>
      </c>
      <c r="Q669" s="491">
        <v>0</v>
      </c>
      <c r="R669" s="491">
        <v>0</v>
      </c>
      <c r="S669" s="491">
        <v>0</v>
      </c>
      <c r="T669" s="1025" t="b">
        <v>0</v>
      </c>
      <c r="U669" s="491">
        <v>0</v>
      </c>
      <c r="V669" s="491">
        <v>1</v>
      </c>
      <c r="W669" s="491">
        <v>0</v>
      </c>
      <c r="X669" s="491">
        <v>0</v>
      </c>
      <c r="Y669" s="1025" t="b">
        <v>0</v>
      </c>
      <c r="Z669" s="331">
        <v>0</v>
      </c>
      <c r="AA669" s="331">
        <v>0</v>
      </c>
      <c r="AB669" s="331">
        <v>0</v>
      </c>
      <c r="AC669" s="331">
        <v>0</v>
      </c>
      <c r="AD669" s="1025" t="b">
        <v>0</v>
      </c>
      <c r="AE669" s="331">
        <v>0</v>
      </c>
      <c r="AF669" s="331">
        <v>0</v>
      </c>
      <c r="AG669" s="331">
        <v>0</v>
      </c>
      <c r="AH669" s="331">
        <v>0</v>
      </c>
      <c r="AI669" s="1025" t="b">
        <v>0</v>
      </c>
      <c r="AJ669" s="331">
        <v>0</v>
      </c>
      <c r="AK669" s="331">
        <v>0</v>
      </c>
      <c r="AL669" s="331">
        <v>0</v>
      </c>
      <c r="AM669" s="331">
        <v>0</v>
      </c>
      <c r="AN669" s="1025" t="b">
        <v>0</v>
      </c>
      <c r="AO669" s="331">
        <v>0</v>
      </c>
      <c r="AP669" s="331">
        <v>0</v>
      </c>
      <c r="AQ669" s="331">
        <v>0</v>
      </c>
      <c r="AR669" s="331">
        <v>0</v>
      </c>
      <c r="AS669" s="1025" t="b">
        <v>0</v>
      </c>
      <c r="AT669" s="1025" t="b">
        <v>0</v>
      </c>
      <c r="AU669" s="331">
        <v>10098</v>
      </c>
      <c r="AV669" s="491" t="s">
        <v>29</v>
      </c>
    </row>
    <row r="670" spans="1:48">
      <c r="A670" s="72">
        <v>47</v>
      </c>
      <c r="B670" s="391" t="s">
        <v>42</v>
      </c>
      <c r="C670" s="72">
        <f t="shared" si="30"/>
        <v>4</v>
      </c>
      <c r="D670" s="72" t="str">
        <f t="shared" si="31"/>
        <v>47-4</v>
      </c>
      <c r="E670" s="72">
        <v>70334</v>
      </c>
      <c r="F670" s="72" t="str">
        <f t="shared" si="32"/>
        <v>47-70334</v>
      </c>
      <c r="G670" s="391" t="s">
        <v>1140</v>
      </c>
      <c r="H670" s="331">
        <v>11141.63</v>
      </c>
      <c r="I670" s="331">
        <v>10244.26</v>
      </c>
      <c r="J670" s="331">
        <v>10548.15</v>
      </c>
      <c r="K670" s="331">
        <v>12542.17</v>
      </c>
      <c r="L670" s="491" t="s">
        <v>29</v>
      </c>
      <c r="M670" s="491" t="s">
        <v>29</v>
      </c>
      <c r="N670" s="491" t="s">
        <v>29</v>
      </c>
      <c r="O670" s="491" t="s">
        <v>29</v>
      </c>
      <c r="P670" s="491">
        <v>0</v>
      </c>
      <c r="Q670" s="491">
        <v>0</v>
      </c>
      <c r="R670" s="491">
        <v>0</v>
      </c>
      <c r="S670" s="491">
        <v>0</v>
      </c>
      <c r="T670" s="1025" t="b">
        <v>0</v>
      </c>
      <c r="U670" s="491">
        <v>0.85</v>
      </c>
      <c r="V670" s="491">
        <v>0</v>
      </c>
      <c r="W670" s="491">
        <v>0</v>
      </c>
      <c r="X670" s="491">
        <v>0</v>
      </c>
      <c r="Y670" s="1025" t="b">
        <v>0</v>
      </c>
      <c r="Z670" s="331">
        <v>0</v>
      </c>
      <c r="AA670" s="331">
        <v>0</v>
      </c>
      <c r="AB670" s="331">
        <v>0</v>
      </c>
      <c r="AC670" s="331">
        <v>0</v>
      </c>
      <c r="AD670" s="1025" t="b">
        <v>0</v>
      </c>
      <c r="AE670" s="331">
        <v>0</v>
      </c>
      <c r="AF670" s="331">
        <v>0</v>
      </c>
      <c r="AG670" s="331">
        <v>0</v>
      </c>
      <c r="AH670" s="331">
        <v>0</v>
      </c>
      <c r="AI670" s="1025" t="b">
        <v>0</v>
      </c>
      <c r="AJ670" s="331">
        <v>0</v>
      </c>
      <c r="AK670" s="331">
        <v>0</v>
      </c>
      <c r="AL670" s="331">
        <v>0</v>
      </c>
      <c r="AM670" s="331">
        <v>0</v>
      </c>
      <c r="AN670" s="1025" t="b">
        <v>0</v>
      </c>
      <c r="AO670" s="331">
        <v>0</v>
      </c>
      <c r="AP670" s="331">
        <v>0</v>
      </c>
      <c r="AQ670" s="331">
        <v>0</v>
      </c>
      <c r="AR670" s="331">
        <v>0</v>
      </c>
      <c r="AS670" s="1025" t="b">
        <v>0</v>
      </c>
      <c r="AT670" s="1025" t="b">
        <v>0</v>
      </c>
      <c r="AU670" s="331">
        <v>9470</v>
      </c>
      <c r="AV670" s="491" t="s">
        <v>29</v>
      </c>
    </row>
    <row r="671" spans="1:48">
      <c r="A671" s="72">
        <v>47</v>
      </c>
      <c r="B671" s="391" t="s">
        <v>42</v>
      </c>
      <c r="C671" s="72">
        <f t="shared" si="30"/>
        <v>5</v>
      </c>
      <c r="D671" s="72" t="str">
        <f t="shared" si="31"/>
        <v>47-5</v>
      </c>
      <c r="E671" s="72">
        <v>70375</v>
      </c>
      <c r="F671" s="72" t="str">
        <f t="shared" si="32"/>
        <v>47-70375</v>
      </c>
      <c r="G671" s="391" t="s">
        <v>1141</v>
      </c>
      <c r="H671" s="331">
        <v>13929.41</v>
      </c>
      <c r="I671" s="331">
        <v>12807.51</v>
      </c>
      <c r="J671" s="331">
        <v>13187.44</v>
      </c>
      <c r="K671" s="331">
        <v>15680.39</v>
      </c>
      <c r="L671" s="491" t="s">
        <v>29</v>
      </c>
      <c r="M671" s="491" t="s">
        <v>29</v>
      </c>
      <c r="N671" s="491" t="s">
        <v>29</v>
      </c>
      <c r="O671" s="491" t="s">
        <v>29</v>
      </c>
      <c r="P671" s="491">
        <v>0</v>
      </c>
      <c r="Q671" s="491">
        <v>0</v>
      </c>
      <c r="R671" s="491">
        <v>0</v>
      </c>
      <c r="S671" s="491">
        <v>0</v>
      </c>
      <c r="T671" s="1025" t="b">
        <v>0</v>
      </c>
      <c r="U671" s="491">
        <v>0</v>
      </c>
      <c r="V671" s="491">
        <v>0.81</v>
      </c>
      <c r="W671" s="491">
        <v>0</v>
      </c>
      <c r="X671" s="491">
        <v>0</v>
      </c>
      <c r="Y671" s="1025" t="b">
        <v>0</v>
      </c>
      <c r="Z671" s="331">
        <v>0</v>
      </c>
      <c r="AA671" s="331">
        <v>0</v>
      </c>
      <c r="AB671" s="331">
        <v>0</v>
      </c>
      <c r="AC671" s="331">
        <v>0</v>
      </c>
      <c r="AD671" s="1025" t="b">
        <v>0</v>
      </c>
      <c r="AE671" s="331">
        <v>0</v>
      </c>
      <c r="AF671" s="331">
        <v>0</v>
      </c>
      <c r="AG671" s="331">
        <v>0</v>
      </c>
      <c r="AH671" s="331">
        <v>0</v>
      </c>
      <c r="AI671" s="1025" t="b">
        <v>0</v>
      </c>
      <c r="AJ671" s="331">
        <v>0</v>
      </c>
      <c r="AK671" s="331">
        <v>0</v>
      </c>
      <c r="AL671" s="331">
        <v>0</v>
      </c>
      <c r="AM671" s="331">
        <v>0</v>
      </c>
      <c r="AN671" s="1025" t="b">
        <v>0</v>
      </c>
      <c r="AO671" s="331">
        <v>0</v>
      </c>
      <c r="AP671" s="331">
        <v>0</v>
      </c>
      <c r="AQ671" s="331">
        <v>0</v>
      </c>
      <c r="AR671" s="331">
        <v>0</v>
      </c>
      <c r="AS671" s="1025" t="b">
        <v>0</v>
      </c>
      <c r="AT671" s="1025" t="b">
        <v>0</v>
      </c>
      <c r="AU671" s="331">
        <v>10374</v>
      </c>
      <c r="AV671" s="491" t="s">
        <v>29</v>
      </c>
    </row>
    <row r="672" spans="1:48">
      <c r="A672" s="72">
        <v>47</v>
      </c>
      <c r="B672" s="391" t="s">
        <v>42</v>
      </c>
      <c r="C672" s="72">
        <f t="shared" si="30"/>
        <v>6</v>
      </c>
      <c r="D672" s="72" t="str">
        <f t="shared" si="31"/>
        <v>47-6</v>
      </c>
      <c r="E672" s="72">
        <v>70417</v>
      </c>
      <c r="F672" s="72" t="str">
        <f t="shared" si="32"/>
        <v>47-70417</v>
      </c>
      <c r="G672" s="391" t="s">
        <v>1142</v>
      </c>
      <c r="H672" s="331">
        <v>12313.25</v>
      </c>
      <c r="I672" s="331">
        <v>11321.53</v>
      </c>
      <c r="J672" s="331">
        <v>11657.38</v>
      </c>
      <c r="K672" s="331">
        <v>13861.08</v>
      </c>
      <c r="L672" s="491" t="s">
        <v>29</v>
      </c>
      <c r="M672" s="491" t="s">
        <v>29</v>
      </c>
      <c r="N672" s="491" t="s">
        <v>29</v>
      </c>
      <c r="O672" s="491" t="s">
        <v>29</v>
      </c>
      <c r="P672" s="491">
        <v>0</v>
      </c>
      <c r="Q672" s="491">
        <v>0</v>
      </c>
      <c r="R672" s="491">
        <v>0</v>
      </c>
      <c r="S672" s="491">
        <v>0</v>
      </c>
      <c r="T672" s="1025" t="b">
        <v>0</v>
      </c>
      <c r="U672" s="491">
        <v>0</v>
      </c>
      <c r="V672" s="491">
        <v>0</v>
      </c>
      <c r="W672" s="491">
        <v>0.75</v>
      </c>
      <c r="X672" s="491">
        <v>0</v>
      </c>
      <c r="Y672" s="1025" t="b">
        <v>0</v>
      </c>
      <c r="Z672" s="331">
        <v>0</v>
      </c>
      <c r="AA672" s="331">
        <v>0</v>
      </c>
      <c r="AB672" s="331">
        <v>0</v>
      </c>
      <c r="AC672" s="331">
        <v>0</v>
      </c>
      <c r="AD672" s="1025" t="b">
        <v>0</v>
      </c>
      <c r="AE672" s="331">
        <v>0</v>
      </c>
      <c r="AF672" s="331">
        <v>0</v>
      </c>
      <c r="AG672" s="331">
        <v>0</v>
      </c>
      <c r="AH672" s="331">
        <v>0</v>
      </c>
      <c r="AI672" s="1025" t="b">
        <v>0</v>
      </c>
      <c r="AJ672" s="331">
        <v>0</v>
      </c>
      <c r="AK672" s="331">
        <v>0</v>
      </c>
      <c r="AL672" s="331">
        <v>0</v>
      </c>
      <c r="AM672" s="331">
        <v>0</v>
      </c>
      <c r="AN672" s="1025" t="b">
        <v>0</v>
      </c>
      <c r="AO672" s="331">
        <v>0</v>
      </c>
      <c r="AP672" s="331">
        <v>0</v>
      </c>
      <c r="AQ672" s="331">
        <v>0</v>
      </c>
      <c r="AR672" s="331">
        <v>0</v>
      </c>
      <c r="AS672" s="1025" t="b">
        <v>0</v>
      </c>
      <c r="AT672" s="1025" t="b">
        <v>0</v>
      </c>
      <c r="AU672" s="331">
        <v>8743</v>
      </c>
      <c r="AV672" s="491" t="s">
        <v>29</v>
      </c>
    </row>
    <row r="673" spans="1:48">
      <c r="A673" s="72">
        <v>47</v>
      </c>
      <c r="B673" s="391" t="s">
        <v>42</v>
      </c>
      <c r="C673" s="72">
        <f t="shared" si="30"/>
        <v>7</v>
      </c>
      <c r="D673" s="72" t="str">
        <f t="shared" si="31"/>
        <v>47-7</v>
      </c>
      <c r="E673" s="72">
        <v>70425</v>
      </c>
      <c r="F673" s="72" t="str">
        <f t="shared" si="32"/>
        <v>47-70425</v>
      </c>
      <c r="G673" s="391" t="s">
        <v>1143</v>
      </c>
      <c r="H673" s="491">
        <v>10956.04</v>
      </c>
      <c r="I673" s="491">
        <v>10073.629999999999</v>
      </c>
      <c r="J673" s="491">
        <v>10372.459999999999</v>
      </c>
      <c r="K673" s="491">
        <v>12333.26</v>
      </c>
      <c r="L673" s="491" t="s">
        <v>29</v>
      </c>
      <c r="M673" s="491" t="s">
        <v>29</v>
      </c>
      <c r="N673" s="491" t="s">
        <v>29</v>
      </c>
      <c r="O673" s="491" t="s">
        <v>29</v>
      </c>
      <c r="P673" s="491">
        <v>0</v>
      </c>
      <c r="Q673" s="491">
        <v>0</v>
      </c>
      <c r="R673" s="491">
        <v>0</v>
      </c>
      <c r="S673" s="491">
        <v>0</v>
      </c>
      <c r="T673" s="1025" t="b">
        <v>0</v>
      </c>
      <c r="U673" s="491">
        <v>2.59</v>
      </c>
      <c r="V673" s="491">
        <v>0</v>
      </c>
      <c r="W673" s="491">
        <v>1.41</v>
      </c>
      <c r="X673" s="491">
        <v>0</v>
      </c>
      <c r="Y673" s="1025" t="b">
        <v>0</v>
      </c>
      <c r="Z673" s="491">
        <v>0</v>
      </c>
      <c r="AA673" s="491">
        <v>0</v>
      </c>
      <c r="AB673" s="491">
        <v>0</v>
      </c>
      <c r="AC673" s="491">
        <v>0</v>
      </c>
      <c r="AD673" s="1025" t="b">
        <v>0</v>
      </c>
      <c r="AE673" s="491">
        <v>0</v>
      </c>
      <c r="AF673" s="491">
        <v>0</v>
      </c>
      <c r="AG673" s="491">
        <v>0</v>
      </c>
      <c r="AH673" s="491">
        <v>0</v>
      </c>
      <c r="AI673" s="1025" t="b">
        <v>0</v>
      </c>
      <c r="AJ673" s="491">
        <v>0</v>
      </c>
      <c r="AK673" s="491">
        <v>0</v>
      </c>
      <c r="AL673" s="491">
        <v>0</v>
      </c>
      <c r="AM673" s="491">
        <v>0</v>
      </c>
      <c r="AN673" s="1025" t="b">
        <v>0</v>
      </c>
      <c r="AO673" s="491">
        <v>0</v>
      </c>
      <c r="AP673" s="491">
        <v>0</v>
      </c>
      <c r="AQ673" s="491">
        <v>0</v>
      </c>
      <c r="AR673" s="491">
        <v>0</v>
      </c>
      <c r="AS673" s="1025" t="b">
        <v>0</v>
      </c>
      <c r="AT673" s="1025" t="b">
        <v>0</v>
      </c>
      <c r="AU673" s="491">
        <v>43001</v>
      </c>
      <c r="AV673" s="491" t="s">
        <v>29</v>
      </c>
    </row>
    <row r="674" spans="1:48">
      <c r="A674" s="72">
        <v>47</v>
      </c>
      <c r="B674" s="391" t="s">
        <v>42</v>
      </c>
      <c r="C674" s="72">
        <f t="shared" si="30"/>
        <v>8</v>
      </c>
      <c r="D674" s="72" t="str">
        <f t="shared" si="31"/>
        <v>47-8</v>
      </c>
      <c r="E674" s="72">
        <v>70466</v>
      </c>
      <c r="F674" s="72" t="str">
        <f t="shared" si="32"/>
        <v>47-70466</v>
      </c>
      <c r="G674" s="391" t="s">
        <v>1144</v>
      </c>
      <c r="H674" s="331">
        <v>11207.8</v>
      </c>
      <c r="I674" s="331">
        <v>10305.11</v>
      </c>
      <c r="J674" s="331">
        <v>10610.81</v>
      </c>
      <c r="K674" s="331">
        <v>12616.67</v>
      </c>
      <c r="L674" s="491" t="s">
        <v>29</v>
      </c>
      <c r="M674" s="491" t="s">
        <v>29</v>
      </c>
      <c r="N674" s="491" t="s">
        <v>29</v>
      </c>
      <c r="O674" s="491" t="s">
        <v>29</v>
      </c>
      <c r="P674" s="491">
        <v>0</v>
      </c>
      <c r="Q674" s="491">
        <v>0</v>
      </c>
      <c r="R674" s="491">
        <v>0</v>
      </c>
      <c r="S674" s="491">
        <v>0</v>
      </c>
      <c r="T674" s="1025" t="b">
        <v>0</v>
      </c>
      <c r="U674" s="491">
        <v>0</v>
      </c>
      <c r="V674" s="491">
        <v>0</v>
      </c>
      <c r="W674" s="491">
        <v>0</v>
      </c>
      <c r="X674" s="491">
        <v>4.53</v>
      </c>
      <c r="Y674" s="1025" t="b">
        <v>0</v>
      </c>
      <c r="Z674" s="331">
        <v>0</v>
      </c>
      <c r="AA674" s="331">
        <v>0</v>
      </c>
      <c r="AB674" s="331">
        <v>0</v>
      </c>
      <c r="AC674" s="331">
        <v>0</v>
      </c>
      <c r="AD674" s="1025" t="b">
        <v>0</v>
      </c>
      <c r="AE674" s="331">
        <v>0</v>
      </c>
      <c r="AF674" s="331">
        <v>0</v>
      </c>
      <c r="AG674" s="331">
        <v>0</v>
      </c>
      <c r="AH674" s="331">
        <v>0</v>
      </c>
      <c r="AI674" s="1025" t="b">
        <v>0</v>
      </c>
      <c r="AJ674" s="331">
        <v>0</v>
      </c>
      <c r="AK674" s="331">
        <v>0</v>
      </c>
      <c r="AL674" s="331">
        <v>0</v>
      </c>
      <c r="AM674" s="331">
        <v>0</v>
      </c>
      <c r="AN674" s="1025" t="b">
        <v>0</v>
      </c>
      <c r="AO674" s="331">
        <v>0</v>
      </c>
      <c r="AP674" s="331">
        <v>0</v>
      </c>
      <c r="AQ674" s="331">
        <v>0</v>
      </c>
      <c r="AR674" s="331">
        <v>0</v>
      </c>
      <c r="AS674" s="1025" t="b">
        <v>0</v>
      </c>
      <c r="AT674" s="1025" t="b">
        <v>0</v>
      </c>
      <c r="AU674" s="331">
        <v>57154</v>
      </c>
      <c r="AV674" s="491" t="s">
        <v>29</v>
      </c>
    </row>
    <row r="675" spans="1:48">
      <c r="A675" s="72">
        <v>47</v>
      </c>
      <c r="B675" s="391" t="s">
        <v>42</v>
      </c>
      <c r="C675" s="72">
        <f t="shared" si="30"/>
        <v>9</v>
      </c>
      <c r="D675" s="72" t="str">
        <f t="shared" si="31"/>
        <v>47-9</v>
      </c>
      <c r="E675" s="72">
        <v>70482</v>
      </c>
      <c r="F675" s="72" t="str">
        <f t="shared" si="32"/>
        <v>47-70482</v>
      </c>
      <c r="G675" s="391" t="s">
        <v>1145</v>
      </c>
      <c r="H675" s="331">
        <v>13382.38</v>
      </c>
      <c r="I675" s="331">
        <v>12304.54</v>
      </c>
      <c r="J675" s="331">
        <v>12669.55</v>
      </c>
      <c r="K675" s="331">
        <v>15064.6</v>
      </c>
      <c r="L675" s="491" t="s">
        <v>29</v>
      </c>
      <c r="M675" s="491" t="s">
        <v>29</v>
      </c>
      <c r="N675" s="491" t="s">
        <v>29</v>
      </c>
      <c r="O675" s="491" t="s">
        <v>29</v>
      </c>
      <c r="P675" s="491">
        <v>0</v>
      </c>
      <c r="Q675" s="491">
        <v>0</v>
      </c>
      <c r="R675" s="491">
        <v>0</v>
      </c>
      <c r="S675" s="491">
        <v>0</v>
      </c>
      <c r="T675" s="1025" t="b">
        <v>0</v>
      </c>
      <c r="U675" s="491">
        <v>1.58</v>
      </c>
      <c r="V675" s="491">
        <v>2.67</v>
      </c>
      <c r="W675" s="491">
        <v>0.89</v>
      </c>
      <c r="X675" s="491">
        <v>0</v>
      </c>
      <c r="Y675" s="1025" t="b">
        <v>0</v>
      </c>
      <c r="Z675" s="331">
        <v>0</v>
      </c>
      <c r="AA675" s="331">
        <v>0</v>
      </c>
      <c r="AB675" s="331">
        <v>0</v>
      </c>
      <c r="AC675" s="331">
        <v>0</v>
      </c>
      <c r="AD675" s="1025" t="b">
        <v>0</v>
      </c>
      <c r="AE675" s="331">
        <v>0</v>
      </c>
      <c r="AF675" s="331">
        <v>0</v>
      </c>
      <c r="AG675" s="331">
        <v>0</v>
      </c>
      <c r="AH675" s="331">
        <v>0</v>
      </c>
      <c r="AI675" s="1025" t="b">
        <v>0</v>
      </c>
      <c r="AJ675" s="331">
        <v>0</v>
      </c>
      <c r="AK675" s="331">
        <v>0</v>
      </c>
      <c r="AL675" s="331">
        <v>0</v>
      </c>
      <c r="AM675" s="331">
        <v>0</v>
      </c>
      <c r="AN675" s="1025" t="b">
        <v>0</v>
      </c>
      <c r="AO675" s="331">
        <v>0</v>
      </c>
      <c r="AP675" s="331">
        <v>0</v>
      </c>
      <c r="AQ675" s="331">
        <v>0</v>
      </c>
      <c r="AR675" s="331">
        <v>0</v>
      </c>
      <c r="AS675" s="1025" t="b">
        <v>0</v>
      </c>
      <c r="AT675" s="1025" t="b">
        <v>0</v>
      </c>
      <c r="AU675" s="331">
        <v>65273</v>
      </c>
      <c r="AV675" s="491" t="s">
        <v>29</v>
      </c>
    </row>
    <row r="676" spans="1:48">
      <c r="A676" s="72">
        <v>47</v>
      </c>
      <c r="B676" s="391" t="s">
        <v>42</v>
      </c>
      <c r="C676" s="72">
        <f t="shared" si="30"/>
        <v>10</v>
      </c>
      <c r="D676" s="72" t="str">
        <f t="shared" si="31"/>
        <v>47-10</v>
      </c>
      <c r="E676" s="72">
        <v>70490</v>
      </c>
      <c r="F676" s="72" t="str">
        <f t="shared" si="32"/>
        <v>47-70490</v>
      </c>
      <c r="G676" s="391" t="s">
        <v>1748</v>
      </c>
      <c r="H676" s="331">
        <v>13323.03</v>
      </c>
      <c r="I676" s="331">
        <v>12249.97</v>
      </c>
      <c r="J676" s="331">
        <v>12613.36</v>
      </c>
      <c r="K676" s="331">
        <v>14997.79</v>
      </c>
      <c r="L676" s="491" t="s">
        <v>29</v>
      </c>
      <c r="M676" s="491" t="s">
        <v>29</v>
      </c>
      <c r="N676" s="491" t="s">
        <v>29</v>
      </c>
      <c r="O676" s="491" t="s">
        <v>29</v>
      </c>
      <c r="P676" s="491">
        <v>0</v>
      </c>
      <c r="Q676" s="491">
        <v>0</v>
      </c>
      <c r="R676" s="491">
        <v>0</v>
      </c>
      <c r="S676" s="491">
        <v>0</v>
      </c>
      <c r="T676" s="1025" t="b">
        <v>0</v>
      </c>
      <c r="U676" s="491">
        <v>1</v>
      </c>
      <c r="V676" s="491">
        <v>0</v>
      </c>
      <c r="W676" s="491">
        <v>0</v>
      </c>
      <c r="X676" s="491">
        <v>0</v>
      </c>
      <c r="Y676" s="1025" t="b">
        <v>0</v>
      </c>
      <c r="Z676" s="331">
        <v>0</v>
      </c>
      <c r="AA676" s="331">
        <v>0</v>
      </c>
      <c r="AB676" s="331">
        <v>0</v>
      </c>
      <c r="AC676" s="331">
        <v>0</v>
      </c>
      <c r="AD676" s="1025" t="b">
        <v>0</v>
      </c>
      <c r="AE676" s="331">
        <v>0</v>
      </c>
      <c r="AF676" s="331">
        <v>0</v>
      </c>
      <c r="AG676" s="331">
        <v>0</v>
      </c>
      <c r="AH676" s="331">
        <v>0</v>
      </c>
      <c r="AI676" s="1025" t="b">
        <v>0</v>
      </c>
      <c r="AJ676" s="331">
        <v>0</v>
      </c>
      <c r="AK676" s="331">
        <v>0</v>
      </c>
      <c r="AL676" s="331">
        <v>0</v>
      </c>
      <c r="AM676" s="331">
        <v>0</v>
      </c>
      <c r="AN676" s="1025" t="b">
        <v>0</v>
      </c>
      <c r="AO676" s="331">
        <v>0</v>
      </c>
      <c r="AP676" s="331">
        <v>0</v>
      </c>
      <c r="AQ676" s="331">
        <v>0</v>
      </c>
      <c r="AR676" s="331">
        <v>0</v>
      </c>
      <c r="AS676" s="1025" t="b">
        <v>0</v>
      </c>
      <c r="AT676" s="1025" t="b">
        <v>0</v>
      </c>
      <c r="AU676" s="331">
        <v>13323</v>
      </c>
      <c r="AV676" s="491" t="s">
        <v>29</v>
      </c>
    </row>
    <row r="677" spans="1:48">
      <c r="A677" s="72">
        <v>47</v>
      </c>
      <c r="B677" s="391" t="s">
        <v>42</v>
      </c>
      <c r="C677" s="72">
        <f t="shared" si="30"/>
        <v>11</v>
      </c>
      <c r="D677" s="72" t="str">
        <f t="shared" si="31"/>
        <v>47-11</v>
      </c>
      <c r="E677" s="72">
        <v>70508</v>
      </c>
      <c r="F677" s="72" t="str">
        <f t="shared" si="32"/>
        <v>47-70508</v>
      </c>
      <c r="G677" s="391" t="s">
        <v>1146</v>
      </c>
      <c r="H677" s="331">
        <v>12677.94</v>
      </c>
      <c r="I677" s="331">
        <v>11656.84</v>
      </c>
      <c r="J677" s="331">
        <v>12002.64</v>
      </c>
      <c r="K677" s="331">
        <v>14271.61</v>
      </c>
      <c r="L677" s="491" t="s">
        <v>29</v>
      </c>
      <c r="M677" s="491" t="s">
        <v>29</v>
      </c>
      <c r="N677" s="491" t="s">
        <v>29</v>
      </c>
      <c r="O677" s="491" t="s">
        <v>29</v>
      </c>
      <c r="P677" s="491">
        <v>0</v>
      </c>
      <c r="Q677" s="491">
        <v>0</v>
      </c>
      <c r="R677" s="491">
        <v>0</v>
      </c>
      <c r="S677" s="491">
        <v>0</v>
      </c>
      <c r="T677" s="1025" t="b">
        <v>0</v>
      </c>
      <c r="U677" s="491">
        <v>12.29</v>
      </c>
      <c r="V677" s="491">
        <v>5.75</v>
      </c>
      <c r="W677" s="491">
        <v>2.39</v>
      </c>
      <c r="X677" s="491">
        <v>0</v>
      </c>
      <c r="Y677" s="1025" t="b">
        <v>0</v>
      </c>
      <c r="Z677" s="331">
        <v>0</v>
      </c>
      <c r="AA677" s="331">
        <v>0</v>
      </c>
      <c r="AB677" s="331">
        <v>0</v>
      </c>
      <c r="AC677" s="331">
        <v>0</v>
      </c>
      <c r="AD677" s="1025" t="b">
        <v>0</v>
      </c>
      <c r="AE677" s="331">
        <v>0</v>
      </c>
      <c r="AF677" s="331">
        <v>0</v>
      </c>
      <c r="AG677" s="331">
        <v>0</v>
      </c>
      <c r="AH677" s="331">
        <v>0</v>
      </c>
      <c r="AI677" s="1025" t="b">
        <v>0</v>
      </c>
      <c r="AJ677" s="331">
        <v>0</v>
      </c>
      <c r="AK677" s="331">
        <v>0</v>
      </c>
      <c r="AL677" s="331">
        <v>0</v>
      </c>
      <c r="AM677" s="331">
        <v>0</v>
      </c>
      <c r="AN677" s="1025" t="b">
        <v>0</v>
      </c>
      <c r="AO677" s="331">
        <v>0</v>
      </c>
      <c r="AP677" s="331">
        <v>0</v>
      </c>
      <c r="AQ677" s="331">
        <v>0</v>
      </c>
      <c r="AR677" s="331">
        <v>0</v>
      </c>
      <c r="AS677" s="1025" t="b">
        <v>0</v>
      </c>
      <c r="AT677" s="1025" t="b">
        <v>0</v>
      </c>
      <c r="AU677" s="331">
        <v>251525</v>
      </c>
      <c r="AV677" s="491" t="s">
        <v>29</v>
      </c>
    </row>
    <row r="678" spans="1:48">
      <c r="A678" s="72">
        <v>47</v>
      </c>
      <c r="B678" s="391" t="s">
        <v>42</v>
      </c>
      <c r="C678" s="72">
        <f t="shared" si="30"/>
        <v>12</v>
      </c>
      <c r="D678" s="72" t="str">
        <f t="shared" si="31"/>
        <v>47-12</v>
      </c>
      <c r="E678" s="72">
        <v>70516</v>
      </c>
      <c r="F678" s="72" t="str">
        <f t="shared" si="32"/>
        <v>47-70516</v>
      </c>
      <c r="G678" s="391" t="s">
        <v>1147</v>
      </c>
      <c r="H678" s="331">
        <v>11220.35</v>
      </c>
      <c r="I678" s="331">
        <v>10316.65</v>
      </c>
      <c r="J678" s="331">
        <v>10622.69</v>
      </c>
      <c r="K678" s="331">
        <v>12630.8</v>
      </c>
      <c r="L678" s="491" t="s">
        <v>29</v>
      </c>
      <c r="M678" s="491" t="s">
        <v>29</v>
      </c>
      <c r="N678" s="491" t="s">
        <v>29</v>
      </c>
      <c r="O678" s="491" t="s">
        <v>29</v>
      </c>
      <c r="P678" s="491">
        <v>0</v>
      </c>
      <c r="Q678" s="491">
        <v>0</v>
      </c>
      <c r="R678" s="491">
        <v>0</v>
      </c>
      <c r="S678" s="491">
        <v>0</v>
      </c>
      <c r="T678" s="1025" t="b">
        <v>0</v>
      </c>
      <c r="U678" s="491">
        <v>0</v>
      </c>
      <c r="V678" s="491">
        <v>0</v>
      </c>
      <c r="W678" s="491">
        <v>0</v>
      </c>
      <c r="X678" s="491">
        <v>9.31</v>
      </c>
      <c r="Y678" s="1025" t="b">
        <v>0</v>
      </c>
      <c r="Z678" s="331">
        <v>0</v>
      </c>
      <c r="AA678" s="331">
        <v>0</v>
      </c>
      <c r="AB678" s="331">
        <v>0</v>
      </c>
      <c r="AC678" s="331">
        <v>0</v>
      </c>
      <c r="AD678" s="1025" t="b">
        <v>0</v>
      </c>
      <c r="AE678" s="331">
        <v>0</v>
      </c>
      <c r="AF678" s="331">
        <v>0</v>
      </c>
      <c r="AG678" s="331">
        <v>0</v>
      </c>
      <c r="AH678" s="331">
        <v>0</v>
      </c>
      <c r="AI678" s="1025" t="b">
        <v>0</v>
      </c>
      <c r="AJ678" s="331">
        <v>0</v>
      </c>
      <c r="AK678" s="331">
        <v>0</v>
      </c>
      <c r="AL678" s="331">
        <v>0</v>
      </c>
      <c r="AM678" s="331">
        <v>0</v>
      </c>
      <c r="AN678" s="1025" t="b">
        <v>0</v>
      </c>
      <c r="AO678" s="331">
        <v>0</v>
      </c>
      <c r="AP678" s="331">
        <v>0</v>
      </c>
      <c r="AQ678" s="331">
        <v>0</v>
      </c>
      <c r="AR678" s="331">
        <v>0</v>
      </c>
      <c r="AS678" s="1025" t="b">
        <v>0</v>
      </c>
      <c r="AT678" s="1025" t="b">
        <v>0</v>
      </c>
      <c r="AU678" s="331">
        <v>117593</v>
      </c>
      <c r="AV678" s="491" t="s">
        <v>29</v>
      </c>
    </row>
    <row r="679" spans="1:48">
      <c r="A679" s="72">
        <v>47</v>
      </c>
      <c r="B679" s="391" t="s">
        <v>42</v>
      </c>
      <c r="C679" s="72">
        <f t="shared" si="30"/>
        <v>13</v>
      </c>
      <c r="D679" s="72" t="str">
        <f t="shared" si="31"/>
        <v>47-13</v>
      </c>
      <c r="E679" s="72">
        <v>73684</v>
      </c>
      <c r="F679" s="72" t="str">
        <f t="shared" si="32"/>
        <v>47-73684</v>
      </c>
      <c r="G679" s="391" t="s">
        <v>1148</v>
      </c>
      <c r="H679" s="331">
        <v>13055.53</v>
      </c>
      <c r="I679" s="331">
        <v>12004.02</v>
      </c>
      <c r="J679" s="331">
        <v>12360.12</v>
      </c>
      <c r="K679" s="331">
        <v>14696.67</v>
      </c>
      <c r="L679" s="491" t="s">
        <v>29</v>
      </c>
      <c r="M679" s="491" t="s">
        <v>29</v>
      </c>
      <c r="N679" s="491" t="s">
        <v>29</v>
      </c>
      <c r="O679" s="491" t="s">
        <v>29</v>
      </c>
      <c r="P679" s="491">
        <v>0</v>
      </c>
      <c r="Q679" s="491">
        <v>0</v>
      </c>
      <c r="R679" s="491">
        <v>0</v>
      </c>
      <c r="S679" s="491">
        <v>0</v>
      </c>
      <c r="T679" s="1025" t="b">
        <v>0</v>
      </c>
      <c r="U679" s="491">
        <v>0</v>
      </c>
      <c r="V679" s="491">
        <v>0</v>
      </c>
      <c r="W679" s="491">
        <v>1.94</v>
      </c>
      <c r="X679" s="491">
        <v>1.93</v>
      </c>
      <c r="Y679" s="1025" t="b">
        <v>0</v>
      </c>
      <c r="Z679" s="331">
        <v>0</v>
      </c>
      <c r="AA679" s="331">
        <v>0</v>
      </c>
      <c r="AB679" s="331">
        <v>0</v>
      </c>
      <c r="AC679" s="331">
        <v>0</v>
      </c>
      <c r="AD679" s="1025" t="b">
        <v>0</v>
      </c>
      <c r="AE679" s="331">
        <v>0</v>
      </c>
      <c r="AF679" s="331">
        <v>0</v>
      </c>
      <c r="AG679" s="331">
        <v>0</v>
      </c>
      <c r="AH679" s="331">
        <v>0</v>
      </c>
      <c r="AI679" s="1025" t="b">
        <v>0</v>
      </c>
      <c r="AJ679" s="331">
        <v>0</v>
      </c>
      <c r="AK679" s="331">
        <v>0</v>
      </c>
      <c r="AL679" s="331">
        <v>0</v>
      </c>
      <c r="AM679" s="331">
        <v>0</v>
      </c>
      <c r="AN679" s="1025" t="b">
        <v>0</v>
      </c>
      <c r="AO679" s="331">
        <v>0</v>
      </c>
      <c r="AP679" s="331">
        <v>0</v>
      </c>
      <c r="AQ679" s="331">
        <v>0</v>
      </c>
      <c r="AR679" s="331">
        <v>0</v>
      </c>
      <c r="AS679" s="1025" t="b">
        <v>0</v>
      </c>
      <c r="AT679" s="1025" t="b">
        <v>0</v>
      </c>
      <c r="AU679" s="331">
        <v>52344</v>
      </c>
      <c r="AV679" s="491" t="s">
        <v>29</v>
      </c>
    </row>
    <row r="680" spans="1:48">
      <c r="A680" s="72">
        <v>47</v>
      </c>
      <c r="B680" s="391" t="s">
        <v>42</v>
      </c>
      <c r="C680" s="72">
        <f t="shared" si="30"/>
        <v>14</v>
      </c>
      <c r="D680" s="72" t="str">
        <f t="shared" si="31"/>
        <v>47-14</v>
      </c>
      <c r="E680" s="72">
        <v>76455</v>
      </c>
      <c r="F680" s="72" t="str">
        <f t="shared" si="32"/>
        <v>47-76455</v>
      </c>
      <c r="G680" s="391" t="s">
        <v>1149</v>
      </c>
      <c r="H680" s="331">
        <v>11583.88</v>
      </c>
      <c r="I680" s="331">
        <v>10650.89</v>
      </c>
      <c r="J680" s="331">
        <v>10966.85</v>
      </c>
      <c r="K680" s="331">
        <v>13040.02</v>
      </c>
      <c r="L680" s="491" t="s">
        <v>29</v>
      </c>
      <c r="M680" s="491" t="s">
        <v>29</v>
      </c>
      <c r="N680" s="491" t="s">
        <v>29</v>
      </c>
      <c r="O680" s="491" t="s">
        <v>29</v>
      </c>
      <c r="P680" s="491">
        <v>0</v>
      </c>
      <c r="Q680" s="491">
        <v>0</v>
      </c>
      <c r="R680" s="491">
        <v>0</v>
      </c>
      <c r="S680" s="491">
        <v>0</v>
      </c>
      <c r="T680" s="1025" t="b">
        <v>0</v>
      </c>
      <c r="U680" s="491">
        <v>1.64</v>
      </c>
      <c r="V680" s="491">
        <v>0.77</v>
      </c>
      <c r="W680" s="491">
        <v>0.96</v>
      </c>
      <c r="X680" s="491">
        <v>0.93</v>
      </c>
      <c r="Y680" s="1025" t="b">
        <v>0</v>
      </c>
      <c r="Z680" s="331">
        <v>0</v>
      </c>
      <c r="AA680" s="331">
        <v>0</v>
      </c>
      <c r="AB680" s="331">
        <v>0</v>
      </c>
      <c r="AC680" s="331">
        <v>0</v>
      </c>
      <c r="AD680" s="1025" t="b">
        <v>0</v>
      </c>
      <c r="AE680" s="331">
        <v>0</v>
      </c>
      <c r="AF680" s="331">
        <v>0</v>
      </c>
      <c r="AG680" s="331">
        <v>0</v>
      </c>
      <c r="AH680" s="331">
        <v>0</v>
      </c>
      <c r="AI680" s="1025" t="b">
        <v>0</v>
      </c>
      <c r="AJ680" s="331">
        <v>0</v>
      </c>
      <c r="AK680" s="331">
        <v>0</v>
      </c>
      <c r="AL680" s="331">
        <v>0</v>
      </c>
      <c r="AM680" s="331">
        <v>0</v>
      </c>
      <c r="AN680" s="1025" t="b">
        <v>0</v>
      </c>
      <c r="AO680" s="331">
        <v>0</v>
      </c>
      <c r="AP680" s="331">
        <v>0</v>
      </c>
      <c r="AQ680" s="331">
        <v>0</v>
      </c>
      <c r="AR680" s="331">
        <v>0</v>
      </c>
      <c r="AS680" s="1025" t="b">
        <v>0</v>
      </c>
      <c r="AT680" s="1025" t="b">
        <v>0</v>
      </c>
      <c r="AU680" s="331">
        <v>49854</v>
      </c>
      <c r="AV680" s="491" t="s">
        <v>29</v>
      </c>
    </row>
    <row r="681" spans="1:48">
      <c r="A681" s="72">
        <v>47</v>
      </c>
      <c r="B681" s="391" t="s">
        <v>42</v>
      </c>
      <c r="C681" s="72">
        <f t="shared" si="30"/>
        <v>0</v>
      </c>
      <c r="D681" s="72" t="str">
        <f t="shared" si="31"/>
        <v>47-0</v>
      </c>
      <c r="E681" s="72" t="s">
        <v>29</v>
      </c>
      <c r="F681" s="72" t="str">
        <f t="shared" si="32"/>
        <v>47-N/A</v>
      </c>
      <c r="G681" s="391" t="s">
        <v>29</v>
      </c>
      <c r="H681" s="491" t="s">
        <v>29</v>
      </c>
      <c r="I681" s="491" t="s">
        <v>29</v>
      </c>
      <c r="J681" s="491" t="s">
        <v>29</v>
      </c>
      <c r="K681" s="491" t="s">
        <v>29</v>
      </c>
      <c r="L681" s="491" t="s">
        <v>29</v>
      </c>
      <c r="M681" s="491" t="s">
        <v>29</v>
      </c>
      <c r="N681" s="491" t="s">
        <v>29</v>
      </c>
      <c r="O681" s="491" t="s">
        <v>29</v>
      </c>
      <c r="P681" s="491" t="s">
        <v>29</v>
      </c>
      <c r="Q681" s="491" t="s">
        <v>29</v>
      </c>
      <c r="R681" s="491" t="s">
        <v>29</v>
      </c>
      <c r="S681" s="491" t="s">
        <v>29</v>
      </c>
      <c r="T681" s="1025" t="s">
        <v>29</v>
      </c>
      <c r="U681" s="491" t="s">
        <v>29</v>
      </c>
      <c r="V681" s="491" t="s">
        <v>29</v>
      </c>
      <c r="W681" s="491" t="s">
        <v>29</v>
      </c>
      <c r="X681" s="491" t="s">
        <v>29</v>
      </c>
      <c r="Y681" s="1025" t="s">
        <v>29</v>
      </c>
      <c r="Z681" s="491" t="s">
        <v>29</v>
      </c>
      <c r="AA681" s="491" t="s">
        <v>29</v>
      </c>
      <c r="AB681" s="491" t="s">
        <v>29</v>
      </c>
      <c r="AC681" s="491" t="s">
        <v>29</v>
      </c>
      <c r="AD681" s="1025" t="s">
        <v>29</v>
      </c>
      <c r="AE681" s="491" t="s">
        <v>29</v>
      </c>
      <c r="AF681" s="491" t="s">
        <v>29</v>
      </c>
      <c r="AG681" s="491" t="s">
        <v>29</v>
      </c>
      <c r="AH681" s="491" t="s">
        <v>29</v>
      </c>
      <c r="AI681" s="1025" t="s">
        <v>29</v>
      </c>
      <c r="AJ681" s="491" t="s">
        <v>29</v>
      </c>
      <c r="AK681" s="491" t="s">
        <v>29</v>
      </c>
      <c r="AL681" s="491" t="s">
        <v>29</v>
      </c>
      <c r="AM681" s="491" t="s">
        <v>29</v>
      </c>
      <c r="AN681" s="1025" t="s">
        <v>29</v>
      </c>
      <c r="AO681" s="491" t="s">
        <v>29</v>
      </c>
      <c r="AP681" s="491" t="s">
        <v>29</v>
      </c>
      <c r="AQ681" s="491" t="s">
        <v>29</v>
      </c>
      <c r="AR681" s="491" t="s">
        <v>29</v>
      </c>
      <c r="AS681" s="1025" t="s">
        <v>29</v>
      </c>
      <c r="AT681" s="1025" t="s">
        <v>29</v>
      </c>
      <c r="AU681" s="491" t="s">
        <v>29</v>
      </c>
      <c r="AV681" s="491">
        <v>747202</v>
      </c>
    </row>
    <row r="682" spans="1:48">
      <c r="A682" s="72">
        <v>48</v>
      </c>
      <c r="B682" s="391" t="s">
        <v>74</v>
      </c>
      <c r="C682" s="72">
        <f t="shared" si="30"/>
        <v>1</v>
      </c>
      <c r="D682" s="72" t="str">
        <f t="shared" si="31"/>
        <v>48-1</v>
      </c>
      <c r="E682" s="72">
        <v>61648</v>
      </c>
      <c r="F682" s="72" t="str">
        <f t="shared" si="32"/>
        <v>48-61648</v>
      </c>
      <c r="G682" s="391" t="s">
        <v>660</v>
      </c>
      <c r="H682" s="491">
        <v>12933.4</v>
      </c>
      <c r="I682" s="491">
        <v>11891.72</v>
      </c>
      <c r="J682" s="491">
        <v>12244.49</v>
      </c>
      <c r="K682" s="491">
        <v>14559.18</v>
      </c>
      <c r="L682" s="1072">
        <v>0</v>
      </c>
      <c r="M682" s="1072">
        <v>0</v>
      </c>
      <c r="N682" s="1072">
        <v>0</v>
      </c>
      <c r="O682" s="1072">
        <v>0</v>
      </c>
      <c r="P682" s="491">
        <v>0</v>
      </c>
      <c r="Q682" s="491">
        <v>0</v>
      </c>
      <c r="R682" s="491">
        <v>0</v>
      </c>
      <c r="S682" s="491">
        <v>0</v>
      </c>
      <c r="T682" s="1025" t="b">
        <v>0</v>
      </c>
      <c r="U682" s="491">
        <v>0</v>
      </c>
      <c r="V682" s="491">
        <v>0</v>
      </c>
      <c r="W682" s="491">
        <v>0</v>
      </c>
      <c r="X682" s="491">
        <v>0.88</v>
      </c>
      <c r="Y682" s="1025" t="b">
        <v>1</v>
      </c>
      <c r="Z682" s="491">
        <v>0</v>
      </c>
      <c r="AA682" s="491">
        <v>0</v>
      </c>
      <c r="AB682" s="491">
        <v>0</v>
      </c>
      <c r="AC682" s="491">
        <v>0</v>
      </c>
      <c r="AD682" s="1025" t="b">
        <v>0</v>
      </c>
      <c r="AE682" s="491">
        <v>0</v>
      </c>
      <c r="AF682" s="491">
        <v>0</v>
      </c>
      <c r="AG682" s="491">
        <v>0</v>
      </c>
      <c r="AH682" s="491">
        <v>0.04</v>
      </c>
      <c r="AI682" s="1025" t="b">
        <v>1</v>
      </c>
      <c r="AJ682" s="491">
        <v>0</v>
      </c>
      <c r="AK682" s="491">
        <v>0</v>
      </c>
      <c r="AL682" s="491">
        <v>0</v>
      </c>
      <c r="AM682" s="491">
        <v>0</v>
      </c>
      <c r="AN682" s="1025" t="b">
        <v>0</v>
      </c>
      <c r="AO682" s="491">
        <v>0</v>
      </c>
      <c r="AP682" s="491">
        <v>0</v>
      </c>
      <c r="AQ682" s="491">
        <v>0</v>
      </c>
      <c r="AR682" s="491">
        <v>0</v>
      </c>
      <c r="AS682" s="1025" t="b">
        <v>0</v>
      </c>
      <c r="AT682" s="1025" t="b">
        <v>0</v>
      </c>
      <c r="AU682" s="491">
        <v>13394</v>
      </c>
      <c r="AV682" s="491" t="s">
        <v>29</v>
      </c>
    </row>
    <row r="683" spans="1:48">
      <c r="A683" s="72">
        <v>48</v>
      </c>
      <c r="B683" s="391" t="s">
        <v>74</v>
      </c>
      <c r="C683" s="72">
        <f t="shared" si="30"/>
        <v>2</v>
      </c>
      <c r="D683" s="72" t="str">
        <f t="shared" si="31"/>
        <v>48-2</v>
      </c>
      <c r="E683" s="72">
        <v>70524</v>
      </c>
      <c r="F683" s="72" t="str">
        <f t="shared" si="32"/>
        <v>48-70524</v>
      </c>
      <c r="G683" s="391" t="s">
        <v>1150</v>
      </c>
      <c r="H683" s="331">
        <v>10651.06</v>
      </c>
      <c r="I683" s="331">
        <v>9793.2000000000007</v>
      </c>
      <c r="J683" s="331">
        <v>10083.719999999999</v>
      </c>
      <c r="K683" s="331">
        <v>11989.94</v>
      </c>
      <c r="L683" s="1072">
        <v>0</v>
      </c>
      <c r="M683" s="1072">
        <v>0</v>
      </c>
      <c r="N683" s="1072">
        <v>0</v>
      </c>
      <c r="O683" s="1072">
        <v>0</v>
      </c>
      <c r="P683" s="491">
        <v>0</v>
      </c>
      <c r="Q683" s="491">
        <v>0</v>
      </c>
      <c r="R683" s="491">
        <v>0</v>
      </c>
      <c r="S683" s="491">
        <v>0</v>
      </c>
      <c r="T683" s="1025" t="b">
        <v>0</v>
      </c>
      <c r="U683" s="491">
        <v>2.9</v>
      </c>
      <c r="V683" s="491">
        <v>1.92</v>
      </c>
      <c r="W683" s="491">
        <v>2.59</v>
      </c>
      <c r="X683" s="491">
        <v>7.13</v>
      </c>
      <c r="Y683" s="1025" t="b">
        <v>1</v>
      </c>
      <c r="Z683" s="331">
        <v>0</v>
      </c>
      <c r="AA683" s="331">
        <v>0</v>
      </c>
      <c r="AB683" s="331">
        <v>0</v>
      </c>
      <c r="AC683" s="331">
        <v>0</v>
      </c>
      <c r="AD683" s="1025" t="b">
        <v>0</v>
      </c>
      <c r="AE683" s="331">
        <v>0.04</v>
      </c>
      <c r="AF683" s="331">
        <v>0.1</v>
      </c>
      <c r="AG683" s="331">
        <v>0.09</v>
      </c>
      <c r="AH683" s="331">
        <v>0.08</v>
      </c>
      <c r="AI683" s="1025" t="b">
        <v>1</v>
      </c>
      <c r="AJ683" s="331">
        <v>0</v>
      </c>
      <c r="AK683" s="331">
        <v>0</v>
      </c>
      <c r="AL683" s="331">
        <v>0</v>
      </c>
      <c r="AM683" s="331">
        <v>0</v>
      </c>
      <c r="AN683" s="1025" t="b">
        <v>0</v>
      </c>
      <c r="AO683" s="331">
        <v>0</v>
      </c>
      <c r="AP683" s="331">
        <v>0</v>
      </c>
      <c r="AQ683" s="331">
        <v>0</v>
      </c>
      <c r="AR683" s="331">
        <v>0</v>
      </c>
      <c r="AS683" s="1025" t="b">
        <v>0</v>
      </c>
      <c r="AT683" s="1025" t="b">
        <v>1</v>
      </c>
      <c r="AU683" s="331">
        <v>0</v>
      </c>
      <c r="AV683" s="491" t="s">
        <v>29</v>
      </c>
    </row>
    <row r="684" spans="1:48">
      <c r="A684" s="72">
        <v>48</v>
      </c>
      <c r="B684" s="391" t="s">
        <v>74</v>
      </c>
      <c r="C684" s="72">
        <f t="shared" si="30"/>
        <v>3</v>
      </c>
      <c r="D684" s="72" t="str">
        <f t="shared" si="31"/>
        <v>48-3</v>
      </c>
      <c r="E684" s="72">
        <v>70532</v>
      </c>
      <c r="F684" s="72" t="str">
        <f t="shared" si="32"/>
        <v>48-70532</v>
      </c>
      <c r="G684" s="391" t="s">
        <v>1151</v>
      </c>
      <c r="H684" s="331">
        <v>11329.28</v>
      </c>
      <c r="I684" s="331">
        <v>10416.799999999999</v>
      </c>
      <c r="J684" s="331">
        <v>10725.82</v>
      </c>
      <c r="K684" s="331">
        <v>12753.42</v>
      </c>
      <c r="L684" s="1072">
        <v>0</v>
      </c>
      <c r="M684" s="1072">
        <v>0</v>
      </c>
      <c r="N684" s="1072">
        <v>0</v>
      </c>
      <c r="O684" s="1072">
        <v>0</v>
      </c>
      <c r="P684" s="491">
        <v>0</v>
      </c>
      <c r="Q684" s="491">
        <v>0</v>
      </c>
      <c r="R684" s="491">
        <v>0</v>
      </c>
      <c r="S684" s="491">
        <v>0</v>
      </c>
      <c r="T684" s="1025" t="b">
        <v>0</v>
      </c>
      <c r="U684" s="491">
        <v>3.68</v>
      </c>
      <c r="V684" s="491">
        <v>4.5</v>
      </c>
      <c r="W684" s="491">
        <v>1.69</v>
      </c>
      <c r="X684" s="491">
        <v>17.37</v>
      </c>
      <c r="Y684" s="1025" t="b">
        <v>1</v>
      </c>
      <c r="Z684" s="331">
        <v>0</v>
      </c>
      <c r="AA684" s="331">
        <v>0</v>
      </c>
      <c r="AB684" s="331">
        <v>0</v>
      </c>
      <c r="AC684" s="331">
        <v>0</v>
      </c>
      <c r="AD684" s="1025" t="b">
        <v>0</v>
      </c>
      <c r="AE684" s="331">
        <v>0.02</v>
      </c>
      <c r="AF684" s="331">
        <v>0</v>
      </c>
      <c r="AG684" s="331">
        <v>0.01</v>
      </c>
      <c r="AH684" s="331">
        <v>0.06</v>
      </c>
      <c r="AI684" s="1025" t="b">
        <v>1</v>
      </c>
      <c r="AJ684" s="331">
        <v>0</v>
      </c>
      <c r="AK684" s="331">
        <v>0</v>
      </c>
      <c r="AL684" s="331">
        <v>0</v>
      </c>
      <c r="AM684" s="331">
        <v>0</v>
      </c>
      <c r="AN684" s="1025" t="b">
        <v>0</v>
      </c>
      <c r="AO684" s="331">
        <v>0</v>
      </c>
      <c r="AP684" s="331">
        <v>0</v>
      </c>
      <c r="AQ684" s="331">
        <v>0</v>
      </c>
      <c r="AR684" s="331">
        <v>0</v>
      </c>
      <c r="AS684" s="1025" t="b">
        <v>0</v>
      </c>
      <c r="AT684" s="1025" t="b">
        <v>1</v>
      </c>
      <c r="AU684" s="331">
        <v>0</v>
      </c>
      <c r="AV684" s="491" t="s">
        <v>29</v>
      </c>
    </row>
    <row r="685" spans="1:48">
      <c r="A685" s="72">
        <v>48</v>
      </c>
      <c r="B685" s="391" t="s">
        <v>74</v>
      </c>
      <c r="C685" s="72">
        <f t="shared" si="30"/>
        <v>4</v>
      </c>
      <c r="D685" s="72" t="str">
        <f t="shared" si="31"/>
        <v>48-4</v>
      </c>
      <c r="E685" s="72">
        <v>70540</v>
      </c>
      <c r="F685" s="72" t="str">
        <f t="shared" si="32"/>
        <v>48-70540</v>
      </c>
      <c r="G685" s="391" t="s">
        <v>1152</v>
      </c>
      <c r="H685" s="331">
        <v>11308.64</v>
      </c>
      <c r="I685" s="331">
        <v>10397.82</v>
      </c>
      <c r="J685" s="331">
        <v>10706.27</v>
      </c>
      <c r="K685" s="331">
        <v>12730.18</v>
      </c>
      <c r="L685" s="1072">
        <v>0</v>
      </c>
      <c r="M685" s="1072">
        <v>0</v>
      </c>
      <c r="N685" s="1072">
        <v>0</v>
      </c>
      <c r="O685" s="1072">
        <v>0</v>
      </c>
      <c r="P685" s="491">
        <v>0</v>
      </c>
      <c r="Q685" s="491">
        <v>0</v>
      </c>
      <c r="R685" s="491">
        <v>0</v>
      </c>
      <c r="S685" s="491">
        <v>0</v>
      </c>
      <c r="T685" s="1025" t="b">
        <v>0</v>
      </c>
      <c r="U685" s="491">
        <v>18.059999999999999</v>
      </c>
      <c r="V685" s="491">
        <v>7.43</v>
      </c>
      <c r="W685" s="491">
        <v>7.6</v>
      </c>
      <c r="X685" s="491">
        <v>66.19</v>
      </c>
      <c r="Y685" s="1025" t="b">
        <v>1</v>
      </c>
      <c r="Z685" s="331">
        <v>0</v>
      </c>
      <c r="AA685" s="331">
        <v>0</v>
      </c>
      <c r="AB685" s="331">
        <v>0</v>
      </c>
      <c r="AC685" s="331">
        <v>0</v>
      </c>
      <c r="AD685" s="1025" t="b">
        <v>0</v>
      </c>
      <c r="AE685" s="331">
        <v>0.53</v>
      </c>
      <c r="AF685" s="331">
        <v>0.11</v>
      </c>
      <c r="AG685" s="331">
        <v>0.22</v>
      </c>
      <c r="AH685" s="331">
        <v>1.51</v>
      </c>
      <c r="AI685" s="1025" t="b">
        <v>1</v>
      </c>
      <c r="AJ685" s="331">
        <v>0</v>
      </c>
      <c r="AK685" s="331">
        <v>0</v>
      </c>
      <c r="AL685" s="331">
        <v>0</v>
      </c>
      <c r="AM685" s="331">
        <v>0</v>
      </c>
      <c r="AN685" s="1025" t="b">
        <v>0</v>
      </c>
      <c r="AO685" s="331">
        <v>0</v>
      </c>
      <c r="AP685" s="331">
        <v>0</v>
      </c>
      <c r="AQ685" s="331">
        <v>0</v>
      </c>
      <c r="AR685" s="331">
        <v>0</v>
      </c>
      <c r="AS685" s="1025" t="b">
        <v>0</v>
      </c>
      <c r="AT685" s="1025" t="b">
        <v>1</v>
      </c>
      <c r="AU685" s="331">
        <v>0</v>
      </c>
      <c r="AV685" s="491" t="s">
        <v>29</v>
      </c>
    </row>
    <row r="686" spans="1:48">
      <c r="A686" s="72">
        <v>48</v>
      </c>
      <c r="B686" s="391" t="s">
        <v>74</v>
      </c>
      <c r="C686" s="72">
        <f t="shared" si="30"/>
        <v>5</v>
      </c>
      <c r="D686" s="72" t="str">
        <f t="shared" si="31"/>
        <v>48-5</v>
      </c>
      <c r="E686" s="72">
        <v>70565</v>
      </c>
      <c r="F686" s="72" t="str">
        <f t="shared" si="32"/>
        <v>48-70565</v>
      </c>
      <c r="G686" s="391" t="s">
        <v>1153</v>
      </c>
      <c r="H686" s="331">
        <v>10886.83</v>
      </c>
      <c r="I686" s="331">
        <v>10009.99</v>
      </c>
      <c r="J686" s="331">
        <v>10306.93</v>
      </c>
      <c r="K686" s="331">
        <v>12255.35</v>
      </c>
      <c r="L686" s="1072">
        <v>0</v>
      </c>
      <c r="M686" s="1072">
        <v>0</v>
      </c>
      <c r="N686" s="1072">
        <v>0</v>
      </c>
      <c r="O686" s="1072">
        <v>0</v>
      </c>
      <c r="P686" s="491">
        <v>0</v>
      </c>
      <c r="Q686" s="491">
        <v>0</v>
      </c>
      <c r="R686" s="491">
        <v>0</v>
      </c>
      <c r="S686" s="491">
        <v>0</v>
      </c>
      <c r="T686" s="1025" t="b">
        <v>0</v>
      </c>
      <c r="U686" s="491">
        <v>7</v>
      </c>
      <c r="V686" s="491">
        <v>5.52</v>
      </c>
      <c r="W686" s="491">
        <v>3.05</v>
      </c>
      <c r="X686" s="491">
        <v>15.29</v>
      </c>
      <c r="Y686" s="1025" t="b">
        <v>1</v>
      </c>
      <c r="Z686" s="331">
        <v>0</v>
      </c>
      <c r="AA686" s="331">
        <v>0</v>
      </c>
      <c r="AB686" s="331">
        <v>0</v>
      </c>
      <c r="AC686" s="331">
        <v>0</v>
      </c>
      <c r="AD686" s="1025" t="b">
        <v>0</v>
      </c>
      <c r="AE686" s="331">
        <v>0.05</v>
      </c>
      <c r="AF686" s="331">
        <v>0.01</v>
      </c>
      <c r="AG686" s="331">
        <v>0.11</v>
      </c>
      <c r="AH686" s="331">
        <v>0.1</v>
      </c>
      <c r="AI686" s="1025" t="b">
        <v>1</v>
      </c>
      <c r="AJ686" s="331">
        <v>0</v>
      </c>
      <c r="AK686" s="331">
        <v>0</v>
      </c>
      <c r="AL686" s="331">
        <v>0</v>
      </c>
      <c r="AM686" s="331">
        <v>0</v>
      </c>
      <c r="AN686" s="1025" t="b">
        <v>0</v>
      </c>
      <c r="AO686" s="331">
        <v>0</v>
      </c>
      <c r="AP686" s="331">
        <v>0</v>
      </c>
      <c r="AQ686" s="331">
        <v>0</v>
      </c>
      <c r="AR686" s="331">
        <v>0</v>
      </c>
      <c r="AS686" s="1025" t="b">
        <v>0</v>
      </c>
      <c r="AT686" s="1025" t="b">
        <v>1</v>
      </c>
      <c r="AU686" s="331">
        <v>0</v>
      </c>
      <c r="AV686" s="491" t="s">
        <v>29</v>
      </c>
    </row>
    <row r="687" spans="1:48">
      <c r="A687" s="72">
        <v>48</v>
      </c>
      <c r="B687" s="391" t="s">
        <v>74</v>
      </c>
      <c r="C687" s="72">
        <f t="shared" si="30"/>
        <v>6</v>
      </c>
      <c r="D687" s="72" t="str">
        <f t="shared" si="31"/>
        <v>48-6</v>
      </c>
      <c r="E687" s="72">
        <v>70573</v>
      </c>
      <c r="F687" s="72" t="str">
        <f t="shared" si="32"/>
        <v>48-70573</v>
      </c>
      <c r="G687" s="391" t="s">
        <v>1154</v>
      </c>
      <c r="H687" s="331">
        <v>11012.51</v>
      </c>
      <c r="I687" s="331">
        <v>10125.540000000001</v>
      </c>
      <c r="J687" s="331">
        <v>10425.91</v>
      </c>
      <c r="K687" s="331">
        <v>12396.83</v>
      </c>
      <c r="L687" s="1072">
        <v>0</v>
      </c>
      <c r="M687" s="1072">
        <v>0</v>
      </c>
      <c r="N687" s="1072">
        <v>0</v>
      </c>
      <c r="O687" s="1072">
        <v>0</v>
      </c>
      <c r="P687" s="491">
        <v>0</v>
      </c>
      <c r="Q687" s="491">
        <v>0</v>
      </c>
      <c r="R687" s="491">
        <v>0</v>
      </c>
      <c r="S687" s="491">
        <v>0</v>
      </c>
      <c r="T687" s="1025" t="b">
        <v>0</v>
      </c>
      <c r="U687" s="491">
        <v>16.7</v>
      </c>
      <c r="V687" s="491">
        <v>10.87</v>
      </c>
      <c r="W687" s="491">
        <v>9.14</v>
      </c>
      <c r="X687" s="491">
        <v>34.18</v>
      </c>
      <c r="Y687" s="1025" t="b">
        <v>1</v>
      </c>
      <c r="Z687" s="331">
        <v>0</v>
      </c>
      <c r="AA687" s="331">
        <v>0</v>
      </c>
      <c r="AB687" s="331">
        <v>0</v>
      </c>
      <c r="AC687" s="331">
        <v>0</v>
      </c>
      <c r="AD687" s="1025" t="b">
        <v>0</v>
      </c>
      <c r="AE687" s="331">
        <v>0.05</v>
      </c>
      <c r="AF687" s="331">
        <v>0.04</v>
      </c>
      <c r="AG687" s="331">
        <v>0.02</v>
      </c>
      <c r="AH687" s="331">
        <v>0.06</v>
      </c>
      <c r="AI687" s="1025" t="b">
        <v>1</v>
      </c>
      <c r="AJ687" s="331">
        <v>0</v>
      </c>
      <c r="AK687" s="331">
        <v>0</v>
      </c>
      <c r="AL687" s="331">
        <v>0</v>
      </c>
      <c r="AM687" s="331">
        <v>0</v>
      </c>
      <c r="AN687" s="1025" t="b">
        <v>0</v>
      </c>
      <c r="AO687" s="331">
        <v>0</v>
      </c>
      <c r="AP687" s="331">
        <v>0</v>
      </c>
      <c r="AQ687" s="331">
        <v>0</v>
      </c>
      <c r="AR687" s="331">
        <v>0</v>
      </c>
      <c r="AS687" s="1025" t="b">
        <v>0</v>
      </c>
      <c r="AT687" s="1025" t="b">
        <v>1</v>
      </c>
      <c r="AU687" s="331">
        <v>0</v>
      </c>
      <c r="AV687" s="491" t="s">
        <v>29</v>
      </c>
    </row>
    <row r="688" spans="1:48">
      <c r="A688" s="72">
        <v>48</v>
      </c>
      <c r="B688" s="391" t="s">
        <v>74</v>
      </c>
      <c r="C688" s="72">
        <f t="shared" si="30"/>
        <v>7</v>
      </c>
      <c r="D688" s="72" t="str">
        <f t="shared" si="31"/>
        <v>48-7</v>
      </c>
      <c r="E688" s="72">
        <v>70581</v>
      </c>
      <c r="F688" s="72" t="str">
        <f t="shared" si="32"/>
        <v>48-70581</v>
      </c>
      <c r="G688" s="391" t="s">
        <v>1155</v>
      </c>
      <c r="H688" s="331">
        <v>13437.42</v>
      </c>
      <c r="I688" s="331">
        <v>12355.15</v>
      </c>
      <c r="J688" s="331">
        <v>12721.67</v>
      </c>
      <c r="K688" s="331">
        <v>15126.56</v>
      </c>
      <c r="L688" s="1072">
        <v>0</v>
      </c>
      <c r="M688" s="1072">
        <v>0</v>
      </c>
      <c r="N688" s="1072">
        <v>0</v>
      </c>
      <c r="O688" s="1072">
        <v>0</v>
      </c>
      <c r="P688" s="491">
        <v>0</v>
      </c>
      <c r="Q688" s="491">
        <v>0</v>
      </c>
      <c r="R688" s="491">
        <v>0</v>
      </c>
      <c r="S688" s="491">
        <v>0</v>
      </c>
      <c r="T688" s="1025" t="b">
        <v>0</v>
      </c>
      <c r="U688" s="491">
        <v>0</v>
      </c>
      <c r="V688" s="491">
        <v>0</v>
      </c>
      <c r="W688" s="491">
        <v>0</v>
      </c>
      <c r="X688" s="491">
        <v>1.49</v>
      </c>
      <c r="Y688" s="1025" t="b">
        <v>1</v>
      </c>
      <c r="Z688" s="331">
        <v>0</v>
      </c>
      <c r="AA688" s="331">
        <v>0</v>
      </c>
      <c r="AB688" s="331">
        <v>0</v>
      </c>
      <c r="AC688" s="331">
        <v>0</v>
      </c>
      <c r="AD688" s="1025" t="b">
        <v>0</v>
      </c>
      <c r="AE688" s="331">
        <v>0</v>
      </c>
      <c r="AF688" s="331">
        <v>0</v>
      </c>
      <c r="AG688" s="331">
        <v>0</v>
      </c>
      <c r="AH688" s="331">
        <v>0.03</v>
      </c>
      <c r="AI688" s="1025" t="b">
        <v>1</v>
      </c>
      <c r="AJ688" s="331">
        <v>0</v>
      </c>
      <c r="AK688" s="331">
        <v>0</v>
      </c>
      <c r="AL688" s="331">
        <v>0</v>
      </c>
      <c r="AM688" s="331">
        <v>0</v>
      </c>
      <c r="AN688" s="1025" t="b">
        <v>0</v>
      </c>
      <c r="AO688" s="331">
        <v>0</v>
      </c>
      <c r="AP688" s="331">
        <v>0</v>
      </c>
      <c r="AQ688" s="331">
        <v>0</v>
      </c>
      <c r="AR688" s="331">
        <v>0</v>
      </c>
      <c r="AS688" s="1025" t="b">
        <v>0</v>
      </c>
      <c r="AT688" s="1025" t="b">
        <v>1</v>
      </c>
      <c r="AU688" s="331">
        <v>0</v>
      </c>
      <c r="AV688" s="491" t="s">
        <v>29</v>
      </c>
    </row>
    <row r="689" spans="1:48">
      <c r="A689" s="72">
        <v>48</v>
      </c>
      <c r="B689" s="391" t="s">
        <v>74</v>
      </c>
      <c r="C689" s="72">
        <f t="shared" si="30"/>
        <v>0</v>
      </c>
      <c r="D689" s="72" t="str">
        <f t="shared" si="31"/>
        <v>48-0</v>
      </c>
      <c r="E689" s="72" t="s">
        <v>29</v>
      </c>
      <c r="F689" s="72" t="str">
        <f t="shared" si="32"/>
        <v>48-N/A</v>
      </c>
      <c r="G689" s="391" t="s">
        <v>29</v>
      </c>
      <c r="H689" s="491" t="s">
        <v>29</v>
      </c>
      <c r="I689" s="491" t="s">
        <v>29</v>
      </c>
      <c r="J689" s="491" t="s">
        <v>29</v>
      </c>
      <c r="K689" s="491" t="s">
        <v>29</v>
      </c>
      <c r="L689" s="491" t="s">
        <v>29</v>
      </c>
      <c r="M689" s="491" t="s">
        <v>29</v>
      </c>
      <c r="N689" s="491" t="s">
        <v>29</v>
      </c>
      <c r="O689" s="491" t="s">
        <v>29</v>
      </c>
      <c r="P689" s="491" t="s">
        <v>29</v>
      </c>
      <c r="Q689" s="491" t="s">
        <v>29</v>
      </c>
      <c r="R689" s="491" t="s">
        <v>29</v>
      </c>
      <c r="S689" s="491" t="s">
        <v>29</v>
      </c>
      <c r="T689" s="1025" t="s">
        <v>29</v>
      </c>
      <c r="U689" s="491" t="s">
        <v>29</v>
      </c>
      <c r="V689" s="491" t="s">
        <v>29</v>
      </c>
      <c r="W689" s="491" t="s">
        <v>29</v>
      </c>
      <c r="X689" s="491" t="s">
        <v>29</v>
      </c>
      <c r="Y689" s="1025" t="s">
        <v>29</v>
      </c>
      <c r="Z689" s="491" t="s">
        <v>29</v>
      </c>
      <c r="AA689" s="491" t="s">
        <v>29</v>
      </c>
      <c r="AB689" s="491" t="s">
        <v>29</v>
      </c>
      <c r="AC689" s="491" t="s">
        <v>29</v>
      </c>
      <c r="AD689" s="1025" t="s">
        <v>29</v>
      </c>
      <c r="AE689" s="491" t="s">
        <v>29</v>
      </c>
      <c r="AF689" s="491" t="s">
        <v>29</v>
      </c>
      <c r="AG689" s="491" t="s">
        <v>29</v>
      </c>
      <c r="AH689" s="491" t="s">
        <v>29</v>
      </c>
      <c r="AI689" s="1025" t="s">
        <v>29</v>
      </c>
      <c r="AJ689" s="491" t="s">
        <v>29</v>
      </c>
      <c r="AK689" s="491" t="s">
        <v>29</v>
      </c>
      <c r="AL689" s="491" t="s">
        <v>29</v>
      </c>
      <c r="AM689" s="491" t="s">
        <v>29</v>
      </c>
      <c r="AN689" s="1025" t="s">
        <v>29</v>
      </c>
      <c r="AO689" s="491" t="s">
        <v>29</v>
      </c>
      <c r="AP689" s="491" t="s">
        <v>29</v>
      </c>
      <c r="AQ689" s="491" t="s">
        <v>29</v>
      </c>
      <c r="AR689" s="491" t="s">
        <v>29</v>
      </c>
      <c r="AS689" s="1025" t="s">
        <v>29</v>
      </c>
      <c r="AT689" s="1025" t="s">
        <v>29</v>
      </c>
      <c r="AU689" s="491" t="s">
        <v>29</v>
      </c>
      <c r="AV689" s="491">
        <v>13394</v>
      </c>
    </row>
    <row r="690" spans="1:48">
      <c r="A690" s="72">
        <v>49</v>
      </c>
      <c r="B690" s="391" t="s">
        <v>75</v>
      </c>
      <c r="C690" s="72">
        <f t="shared" si="30"/>
        <v>1</v>
      </c>
      <c r="D690" s="72" t="str">
        <f t="shared" si="31"/>
        <v>49-1</v>
      </c>
      <c r="E690" s="72">
        <v>64733</v>
      </c>
      <c r="F690" s="72" t="str">
        <f t="shared" si="32"/>
        <v>49-64733</v>
      </c>
      <c r="G690" s="391" t="s">
        <v>820</v>
      </c>
      <c r="H690" s="331">
        <v>13898.45</v>
      </c>
      <c r="I690" s="331">
        <v>12779.04</v>
      </c>
      <c r="J690" s="331">
        <v>13158.13</v>
      </c>
      <c r="K690" s="331">
        <v>15645.54</v>
      </c>
      <c r="L690" s="1072">
        <v>0</v>
      </c>
      <c r="M690" s="1072">
        <v>0</v>
      </c>
      <c r="N690" s="1072">
        <v>0</v>
      </c>
      <c r="O690" s="1072">
        <v>0</v>
      </c>
      <c r="P690" s="491">
        <v>0</v>
      </c>
      <c r="Q690" s="491">
        <v>0</v>
      </c>
      <c r="R690" s="491">
        <v>0</v>
      </c>
      <c r="S690" s="491">
        <v>0.26</v>
      </c>
      <c r="T690" s="1025" t="b">
        <v>1</v>
      </c>
      <c r="U690" s="491">
        <v>0</v>
      </c>
      <c r="V690" s="491">
        <v>0</v>
      </c>
      <c r="W690" s="491">
        <v>0</v>
      </c>
      <c r="X690" s="491">
        <v>0</v>
      </c>
      <c r="Y690" s="1025" t="b">
        <v>0</v>
      </c>
      <c r="Z690" s="331">
        <v>0</v>
      </c>
      <c r="AA690" s="331">
        <v>0</v>
      </c>
      <c r="AB690" s="331">
        <v>0</v>
      </c>
      <c r="AC690" s="331">
        <v>0</v>
      </c>
      <c r="AD690" s="1025" t="b">
        <v>0</v>
      </c>
      <c r="AE690" s="331">
        <v>0</v>
      </c>
      <c r="AF690" s="331">
        <v>0</v>
      </c>
      <c r="AG690" s="331">
        <v>0</v>
      </c>
      <c r="AH690" s="331">
        <v>0</v>
      </c>
      <c r="AI690" s="1025" t="b">
        <v>0</v>
      </c>
      <c r="AJ690" s="331">
        <v>0</v>
      </c>
      <c r="AK690" s="331">
        <v>0</v>
      </c>
      <c r="AL690" s="331">
        <v>0</v>
      </c>
      <c r="AM690" s="331">
        <v>0</v>
      </c>
      <c r="AN690" s="1025" t="b">
        <v>0</v>
      </c>
      <c r="AO690" s="331">
        <v>0</v>
      </c>
      <c r="AP690" s="331">
        <v>0</v>
      </c>
      <c r="AQ690" s="331">
        <v>0</v>
      </c>
      <c r="AR690" s="331">
        <v>0</v>
      </c>
      <c r="AS690" s="1025" t="b">
        <v>0</v>
      </c>
      <c r="AT690" s="1025" t="b">
        <v>0</v>
      </c>
      <c r="AU690" s="331">
        <v>4068</v>
      </c>
      <c r="AV690" s="491" t="s">
        <v>29</v>
      </c>
    </row>
    <row r="691" spans="1:48">
      <c r="A691" s="72">
        <v>49</v>
      </c>
      <c r="B691" s="391" t="s">
        <v>75</v>
      </c>
      <c r="C691" s="72">
        <f t="shared" si="30"/>
        <v>2</v>
      </c>
      <c r="D691" s="72" t="str">
        <f t="shared" si="31"/>
        <v>49-2</v>
      </c>
      <c r="E691" s="72">
        <v>70607</v>
      </c>
      <c r="F691" s="72" t="str">
        <f t="shared" si="32"/>
        <v>49-70607</v>
      </c>
      <c r="G691" s="391" t="s">
        <v>1156</v>
      </c>
      <c r="H691" s="491">
        <v>10953.82</v>
      </c>
      <c r="I691" s="491">
        <v>10071.58</v>
      </c>
      <c r="J691" s="491">
        <v>10370.35</v>
      </c>
      <c r="K691" s="491">
        <v>12330.76</v>
      </c>
      <c r="L691" s="1072">
        <v>0</v>
      </c>
      <c r="M691" s="1072">
        <v>0</v>
      </c>
      <c r="N691" s="1072">
        <v>0</v>
      </c>
      <c r="O691" s="1072">
        <v>0</v>
      </c>
      <c r="P691" s="491">
        <v>0</v>
      </c>
      <c r="Q691" s="491">
        <v>0</v>
      </c>
      <c r="R691" s="491">
        <v>0</v>
      </c>
      <c r="S691" s="491">
        <v>0</v>
      </c>
      <c r="T691" s="1025" t="b">
        <v>0</v>
      </c>
      <c r="U691" s="491">
        <v>0</v>
      </c>
      <c r="V691" s="491">
        <v>0</v>
      </c>
      <c r="W691" s="491">
        <v>0</v>
      </c>
      <c r="X691" s="491">
        <v>2.93</v>
      </c>
      <c r="Y691" s="1025" t="b">
        <v>1</v>
      </c>
      <c r="Z691" s="491">
        <v>0</v>
      </c>
      <c r="AA691" s="491">
        <v>0</v>
      </c>
      <c r="AB691" s="491">
        <v>0</v>
      </c>
      <c r="AC691" s="491">
        <v>5.68</v>
      </c>
      <c r="AD691" s="1025" t="b">
        <v>1</v>
      </c>
      <c r="AE691" s="491">
        <v>0</v>
      </c>
      <c r="AF691" s="491">
        <v>0</v>
      </c>
      <c r="AG691" s="491">
        <v>0</v>
      </c>
      <c r="AH691" s="491">
        <v>1.79</v>
      </c>
      <c r="AI691" s="1025" t="b">
        <v>1</v>
      </c>
      <c r="AJ691" s="491">
        <v>0</v>
      </c>
      <c r="AK691" s="491">
        <v>0</v>
      </c>
      <c r="AL691" s="491">
        <v>0</v>
      </c>
      <c r="AM691" s="491">
        <v>0</v>
      </c>
      <c r="AN691" s="1025" t="b">
        <v>0</v>
      </c>
      <c r="AO691" s="491">
        <v>0</v>
      </c>
      <c r="AP691" s="491">
        <v>0</v>
      </c>
      <c r="AQ691" s="491">
        <v>0</v>
      </c>
      <c r="AR691" s="491">
        <v>0</v>
      </c>
      <c r="AS691" s="1025" t="b">
        <v>0</v>
      </c>
      <c r="AT691" s="1025" t="b">
        <v>1</v>
      </c>
      <c r="AU691" s="491">
        <v>0</v>
      </c>
      <c r="AV691" s="491" t="s">
        <v>29</v>
      </c>
    </row>
    <row r="692" spans="1:48">
      <c r="A692" s="72">
        <v>49</v>
      </c>
      <c r="B692" s="391" t="s">
        <v>75</v>
      </c>
      <c r="C692" s="72">
        <f t="shared" si="30"/>
        <v>3</v>
      </c>
      <c r="D692" s="72" t="str">
        <f t="shared" si="31"/>
        <v>49-3</v>
      </c>
      <c r="E692" s="72">
        <v>70615</v>
      </c>
      <c r="F692" s="72" t="str">
        <f t="shared" si="32"/>
        <v>49-70615</v>
      </c>
      <c r="G692" s="391" t="s">
        <v>1157</v>
      </c>
      <c r="H692" s="331">
        <v>14189.17</v>
      </c>
      <c r="I692" s="331">
        <v>13046.35</v>
      </c>
      <c r="J692" s="331">
        <v>13433.36</v>
      </c>
      <c r="K692" s="331">
        <v>15972.8</v>
      </c>
      <c r="L692" s="1072">
        <v>0</v>
      </c>
      <c r="M692" s="1072">
        <v>0</v>
      </c>
      <c r="N692" s="1072">
        <v>0</v>
      </c>
      <c r="O692" s="1072">
        <v>0</v>
      </c>
      <c r="P692" s="491">
        <v>0</v>
      </c>
      <c r="Q692" s="491">
        <v>0</v>
      </c>
      <c r="R692" s="491">
        <v>0</v>
      </c>
      <c r="S692" s="491">
        <v>0</v>
      </c>
      <c r="T692" s="1025" t="b">
        <v>0</v>
      </c>
      <c r="U692" s="491">
        <v>8.81</v>
      </c>
      <c r="V692" s="491">
        <v>4.1500000000000004</v>
      </c>
      <c r="W692" s="491">
        <v>0</v>
      </c>
      <c r="X692" s="491">
        <v>0</v>
      </c>
      <c r="Y692" s="1025" t="b">
        <v>1</v>
      </c>
      <c r="Z692" s="331">
        <v>0</v>
      </c>
      <c r="AA692" s="331">
        <v>0</v>
      </c>
      <c r="AB692" s="331">
        <v>0</v>
      </c>
      <c r="AC692" s="331">
        <v>0</v>
      </c>
      <c r="AD692" s="1025" t="b">
        <v>0</v>
      </c>
      <c r="AE692" s="331">
        <v>0.56000000000000005</v>
      </c>
      <c r="AF692" s="331">
        <v>0.27</v>
      </c>
      <c r="AG692" s="331">
        <v>0</v>
      </c>
      <c r="AH692" s="331">
        <v>0</v>
      </c>
      <c r="AI692" s="1025" t="b">
        <v>1</v>
      </c>
      <c r="AJ692" s="331">
        <v>0</v>
      </c>
      <c r="AK692" s="331">
        <v>0</v>
      </c>
      <c r="AL692" s="331">
        <v>0</v>
      </c>
      <c r="AM692" s="331">
        <v>0</v>
      </c>
      <c r="AN692" s="1025" t="b">
        <v>0</v>
      </c>
      <c r="AO692" s="331">
        <v>0</v>
      </c>
      <c r="AP692" s="331">
        <v>0</v>
      </c>
      <c r="AQ692" s="331">
        <v>0</v>
      </c>
      <c r="AR692" s="331">
        <v>0</v>
      </c>
      <c r="AS692" s="1025" t="b">
        <v>0</v>
      </c>
      <c r="AT692" s="1025" t="b">
        <v>1</v>
      </c>
      <c r="AU692" s="331">
        <v>0</v>
      </c>
      <c r="AV692" s="491" t="s">
        <v>29</v>
      </c>
    </row>
    <row r="693" spans="1:48">
      <c r="A693" s="72">
        <v>49</v>
      </c>
      <c r="B693" s="391" t="s">
        <v>75</v>
      </c>
      <c r="C693" s="72">
        <f t="shared" si="30"/>
        <v>4</v>
      </c>
      <c r="D693" s="72" t="str">
        <f t="shared" si="31"/>
        <v>49-4</v>
      </c>
      <c r="E693" s="72">
        <v>70623</v>
      </c>
      <c r="F693" s="72" t="str">
        <f t="shared" si="32"/>
        <v>49-70623</v>
      </c>
      <c r="G693" s="391" t="s">
        <v>1158</v>
      </c>
      <c r="H693" s="331">
        <v>10680.6</v>
      </c>
      <c r="I693" s="331">
        <v>9820.3700000000008</v>
      </c>
      <c r="J693" s="331">
        <v>10111.69</v>
      </c>
      <c r="K693" s="331">
        <v>12023.2</v>
      </c>
      <c r="L693" s="1072">
        <v>0</v>
      </c>
      <c r="M693" s="1072">
        <v>0</v>
      </c>
      <c r="N693" s="1072">
        <v>0</v>
      </c>
      <c r="O693" s="1072">
        <v>0</v>
      </c>
      <c r="P693" s="491">
        <v>0</v>
      </c>
      <c r="Q693" s="491">
        <v>0</v>
      </c>
      <c r="R693" s="491">
        <v>0</v>
      </c>
      <c r="S693" s="491">
        <v>0</v>
      </c>
      <c r="T693" s="1025" t="b">
        <v>0</v>
      </c>
      <c r="U693" s="491">
        <v>0.3</v>
      </c>
      <c r="V693" s="491">
        <v>0.89</v>
      </c>
      <c r="W693" s="491">
        <v>0</v>
      </c>
      <c r="X693" s="491">
        <v>0</v>
      </c>
      <c r="Y693" s="1025" t="b">
        <v>1</v>
      </c>
      <c r="Z693" s="331">
        <v>0</v>
      </c>
      <c r="AA693" s="331">
        <v>0</v>
      </c>
      <c r="AB693" s="331">
        <v>0</v>
      </c>
      <c r="AC693" s="331">
        <v>0</v>
      </c>
      <c r="AD693" s="1025" t="b">
        <v>0</v>
      </c>
      <c r="AE693" s="331">
        <v>0.19</v>
      </c>
      <c r="AF693" s="331">
        <v>0.06</v>
      </c>
      <c r="AG693" s="331">
        <v>0</v>
      </c>
      <c r="AH693" s="331">
        <v>0</v>
      </c>
      <c r="AI693" s="1025" t="b">
        <v>1</v>
      </c>
      <c r="AJ693" s="331">
        <v>0</v>
      </c>
      <c r="AK693" s="331">
        <v>0</v>
      </c>
      <c r="AL693" s="331">
        <v>0</v>
      </c>
      <c r="AM693" s="331">
        <v>0</v>
      </c>
      <c r="AN693" s="1025" t="b">
        <v>0</v>
      </c>
      <c r="AO693" s="331">
        <v>0</v>
      </c>
      <c r="AP693" s="331">
        <v>0</v>
      </c>
      <c r="AQ693" s="331">
        <v>0</v>
      </c>
      <c r="AR693" s="331">
        <v>0</v>
      </c>
      <c r="AS693" s="1025" t="b">
        <v>0</v>
      </c>
      <c r="AT693" s="1025" t="b">
        <v>1</v>
      </c>
      <c r="AU693" s="331">
        <v>0</v>
      </c>
      <c r="AV693" s="491" t="s">
        <v>29</v>
      </c>
    </row>
    <row r="694" spans="1:48">
      <c r="A694" s="72">
        <v>49</v>
      </c>
      <c r="B694" s="391" t="s">
        <v>75</v>
      </c>
      <c r="C694" s="72">
        <f t="shared" si="30"/>
        <v>5</v>
      </c>
      <c r="D694" s="72" t="str">
        <f t="shared" si="31"/>
        <v>49-5</v>
      </c>
      <c r="E694" s="72">
        <v>70656</v>
      </c>
      <c r="F694" s="72" t="str">
        <f t="shared" si="32"/>
        <v>49-70656</v>
      </c>
      <c r="G694" s="391" t="s">
        <v>1159</v>
      </c>
      <c r="H694" s="331">
        <v>11947.71</v>
      </c>
      <c r="I694" s="331">
        <v>10985.42</v>
      </c>
      <c r="J694" s="331">
        <v>11311.3</v>
      </c>
      <c r="K694" s="331">
        <v>13449.58</v>
      </c>
      <c r="L694" s="1072">
        <v>0</v>
      </c>
      <c r="M694" s="1072">
        <v>0</v>
      </c>
      <c r="N694" s="1072">
        <v>0</v>
      </c>
      <c r="O694" s="1072">
        <v>0</v>
      </c>
      <c r="P694" s="491">
        <v>0</v>
      </c>
      <c r="Q694" s="491">
        <v>0</v>
      </c>
      <c r="R694" s="491">
        <v>0</v>
      </c>
      <c r="S694" s="491">
        <v>0</v>
      </c>
      <c r="T694" s="1025" t="b">
        <v>0</v>
      </c>
      <c r="U694" s="491">
        <v>0.99</v>
      </c>
      <c r="V694" s="491">
        <v>0</v>
      </c>
      <c r="W694" s="491">
        <v>1.7</v>
      </c>
      <c r="X694" s="491">
        <v>1.68</v>
      </c>
      <c r="Y694" s="1025" t="b">
        <v>1</v>
      </c>
      <c r="Z694" s="331">
        <v>0</v>
      </c>
      <c r="AA694" s="331">
        <v>0</v>
      </c>
      <c r="AB694" s="331">
        <v>0</v>
      </c>
      <c r="AC694" s="331">
        <v>0</v>
      </c>
      <c r="AD694" s="1025" t="b">
        <v>0</v>
      </c>
      <c r="AE694" s="331">
        <v>0.11</v>
      </c>
      <c r="AF694" s="331">
        <v>0.27</v>
      </c>
      <c r="AG694" s="331">
        <v>0</v>
      </c>
      <c r="AH694" s="331">
        <v>0.09</v>
      </c>
      <c r="AI694" s="1025" t="b">
        <v>1</v>
      </c>
      <c r="AJ694" s="331">
        <v>0</v>
      </c>
      <c r="AK694" s="331">
        <v>0</v>
      </c>
      <c r="AL694" s="331">
        <v>0</v>
      </c>
      <c r="AM694" s="331">
        <v>0</v>
      </c>
      <c r="AN694" s="1025" t="b">
        <v>0</v>
      </c>
      <c r="AO694" s="331">
        <v>0</v>
      </c>
      <c r="AP694" s="331">
        <v>0</v>
      </c>
      <c r="AQ694" s="331">
        <v>0</v>
      </c>
      <c r="AR694" s="331">
        <v>0</v>
      </c>
      <c r="AS694" s="1025" t="b">
        <v>0</v>
      </c>
      <c r="AT694" s="1025" t="b">
        <v>1</v>
      </c>
      <c r="AU694" s="331">
        <v>0</v>
      </c>
      <c r="AV694" s="491" t="s">
        <v>29</v>
      </c>
    </row>
    <row r="695" spans="1:48">
      <c r="A695" s="72">
        <v>49</v>
      </c>
      <c r="B695" s="391" t="s">
        <v>75</v>
      </c>
      <c r="C695" s="72">
        <f t="shared" si="30"/>
        <v>6</v>
      </c>
      <c r="D695" s="72" t="str">
        <f t="shared" si="31"/>
        <v>49-6</v>
      </c>
      <c r="E695" s="72">
        <v>70680</v>
      </c>
      <c r="F695" s="72" t="str">
        <f t="shared" si="32"/>
        <v>49-70680</v>
      </c>
      <c r="G695" s="391" t="s">
        <v>1160</v>
      </c>
      <c r="H695" s="331">
        <v>10912.13</v>
      </c>
      <c r="I695" s="331">
        <v>10033.25</v>
      </c>
      <c r="J695" s="331">
        <v>10330.879999999999</v>
      </c>
      <c r="K695" s="331">
        <v>12283.83</v>
      </c>
      <c r="L695" s="1072">
        <v>0</v>
      </c>
      <c r="M695" s="1072">
        <v>0</v>
      </c>
      <c r="N695" s="1072">
        <v>0</v>
      </c>
      <c r="O695" s="1072">
        <v>0</v>
      </c>
      <c r="P695" s="491">
        <v>0</v>
      </c>
      <c r="Q695" s="491">
        <v>0</v>
      </c>
      <c r="R695" s="491">
        <v>0</v>
      </c>
      <c r="S695" s="491">
        <v>0</v>
      </c>
      <c r="T695" s="1025" t="b">
        <v>0</v>
      </c>
      <c r="U695" s="491">
        <v>1.92</v>
      </c>
      <c r="V695" s="491">
        <v>0</v>
      </c>
      <c r="W695" s="491">
        <v>0</v>
      </c>
      <c r="X695" s="491">
        <v>0</v>
      </c>
      <c r="Y695" s="1025" t="b">
        <v>1</v>
      </c>
      <c r="Z695" s="331">
        <v>0</v>
      </c>
      <c r="AA695" s="331">
        <v>0</v>
      </c>
      <c r="AB695" s="331">
        <v>0</v>
      </c>
      <c r="AC695" s="331">
        <v>0</v>
      </c>
      <c r="AD695" s="1025" t="b">
        <v>0</v>
      </c>
      <c r="AE695" s="331">
        <v>0.11</v>
      </c>
      <c r="AF695" s="331">
        <v>0</v>
      </c>
      <c r="AG695" s="331">
        <v>0</v>
      </c>
      <c r="AH695" s="331">
        <v>0</v>
      </c>
      <c r="AI695" s="1025" t="b">
        <v>1</v>
      </c>
      <c r="AJ695" s="331">
        <v>0</v>
      </c>
      <c r="AK695" s="331">
        <v>0</v>
      </c>
      <c r="AL695" s="331">
        <v>0</v>
      </c>
      <c r="AM695" s="331">
        <v>0</v>
      </c>
      <c r="AN695" s="1025" t="b">
        <v>0</v>
      </c>
      <c r="AO695" s="331">
        <v>0</v>
      </c>
      <c r="AP695" s="331">
        <v>0</v>
      </c>
      <c r="AQ695" s="331">
        <v>0</v>
      </c>
      <c r="AR695" s="331">
        <v>0</v>
      </c>
      <c r="AS695" s="1025" t="b">
        <v>0</v>
      </c>
      <c r="AT695" s="1025" t="b">
        <v>1</v>
      </c>
      <c r="AU695" s="331">
        <v>0</v>
      </c>
      <c r="AV695" s="491" t="s">
        <v>29</v>
      </c>
    </row>
    <row r="696" spans="1:48">
      <c r="A696" s="72">
        <v>49</v>
      </c>
      <c r="B696" s="391" t="s">
        <v>75</v>
      </c>
      <c r="C696" s="72">
        <f t="shared" si="30"/>
        <v>7</v>
      </c>
      <c r="D696" s="72" t="str">
        <f t="shared" si="31"/>
        <v>49-7</v>
      </c>
      <c r="E696" s="72">
        <v>70714</v>
      </c>
      <c r="F696" s="72" t="str">
        <f t="shared" si="32"/>
        <v>49-70714</v>
      </c>
      <c r="G696" s="391" t="s">
        <v>1161</v>
      </c>
      <c r="H696" s="331">
        <v>10734.84</v>
      </c>
      <c r="I696" s="331">
        <v>9870.24</v>
      </c>
      <c r="J696" s="331">
        <v>10163.040000000001</v>
      </c>
      <c r="K696" s="331">
        <v>12084.26</v>
      </c>
      <c r="L696" s="1072">
        <v>0</v>
      </c>
      <c r="M696" s="1072">
        <v>0</v>
      </c>
      <c r="N696" s="1072">
        <v>0</v>
      </c>
      <c r="O696" s="1072">
        <v>0</v>
      </c>
      <c r="P696" s="491">
        <v>0</v>
      </c>
      <c r="Q696" s="491">
        <v>0</v>
      </c>
      <c r="R696" s="491">
        <v>0</v>
      </c>
      <c r="S696" s="491">
        <v>0</v>
      </c>
      <c r="T696" s="1025" t="b">
        <v>0</v>
      </c>
      <c r="U696" s="491">
        <v>0.85</v>
      </c>
      <c r="V696" s="491">
        <v>0</v>
      </c>
      <c r="W696" s="491">
        <v>0.81</v>
      </c>
      <c r="X696" s="491">
        <v>0</v>
      </c>
      <c r="Y696" s="1025" t="b">
        <v>1</v>
      </c>
      <c r="Z696" s="331">
        <v>0</v>
      </c>
      <c r="AA696" s="331">
        <v>0</v>
      </c>
      <c r="AB696" s="331">
        <v>0</v>
      </c>
      <c r="AC696" s="331">
        <v>0</v>
      </c>
      <c r="AD696" s="1025" t="b">
        <v>0</v>
      </c>
      <c r="AE696" s="331">
        <v>0</v>
      </c>
      <c r="AF696" s="331">
        <v>0.11</v>
      </c>
      <c r="AG696" s="331">
        <v>0</v>
      </c>
      <c r="AH696" s="331">
        <v>0</v>
      </c>
      <c r="AI696" s="1025" t="b">
        <v>1</v>
      </c>
      <c r="AJ696" s="331">
        <v>0</v>
      </c>
      <c r="AK696" s="331">
        <v>0</v>
      </c>
      <c r="AL696" s="331">
        <v>0</v>
      </c>
      <c r="AM696" s="331">
        <v>0</v>
      </c>
      <c r="AN696" s="1025" t="b">
        <v>0</v>
      </c>
      <c r="AO696" s="331">
        <v>0</v>
      </c>
      <c r="AP696" s="331">
        <v>0</v>
      </c>
      <c r="AQ696" s="331">
        <v>0</v>
      </c>
      <c r="AR696" s="331">
        <v>0</v>
      </c>
      <c r="AS696" s="1025" t="b">
        <v>0</v>
      </c>
      <c r="AT696" s="1025" t="b">
        <v>1</v>
      </c>
      <c r="AU696" s="331">
        <v>0</v>
      </c>
      <c r="AV696" s="491" t="s">
        <v>29</v>
      </c>
    </row>
    <row r="697" spans="1:48">
      <c r="A697" s="72">
        <v>49</v>
      </c>
      <c r="B697" s="391" t="s">
        <v>75</v>
      </c>
      <c r="C697" s="72">
        <f t="shared" si="30"/>
        <v>8</v>
      </c>
      <c r="D697" s="72" t="str">
        <f t="shared" si="31"/>
        <v>49-8</v>
      </c>
      <c r="E697" s="72">
        <v>70722</v>
      </c>
      <c r="F697" s="72" t="str">
        <f t="shared" si="32"/>
        <v>49-70722</v>
      </c>
      <c r="G697" s="391" t="s">
        <v>1162</v>
      </c>
      <c r="H697" s="331">
        <v>11200.72</v>
      </c>
      <c r="I697" s="331">
        <v>10298.6</v>
      </c>
      <c r="J697" s="331">
        <v>10604.1</v>
      </c>
      <c r="K697" s="331">
        <v>12608.7</v>
      </c>
      <c r="L697" s="1072">
        <v>0</v>
      </c>
      <c r="M697" s="1072">
        <v>0</v>
      </c>
      <c r="N697" s="1072">
        <v>0</v>
      </c>
      <c r="O697" s="1072">
        <v>0</v>
      </c>
      <c r="P697" s="491">
        <v>0</v>
      </c>
      <c r="Q697" s="491">
        <v>0</v>
      </c>
      <c r="R697" s="491">
        <v>0</v>
      </c>
      <c r="S697" s="491">
        <v>0</v>
      </c>
      <c r="T697" s="1025" t="b">
        <v>0</v>
      </c>
      <c r="U697" s="491">
        <v>0.93</v>
      </c>
      <c r="V697" s="491">
        <v>0</v>
      </c>
      <c r="W697" s="491">
        <v>0</v>
      </c>
      <c r="X697" s="491">
        <v>0</v>
      </c>
      <c r="Y697" s="1025" t="b">
        <v>1</v>
      </c>
      <c r="Z697" s="331">
        <v>0</v>
      </c>
      <c r="AA697" s="331">
        <v>0</v>
      </c>
      <c r="AB697" s="331">
        <v>0</v>
      </c>
      <c r="AC697" s="331">
        <v>0</v>
      </c>
      <c r="AD697" s="1025" t="b">
        <v>0</v>
      </c>
      <c r="AE697" s="331">
        <v>0.1</v>
      </c>
      <c r="AF697" s="331">
        <v>0</v>
      </c>
      <c r="AG697" s="331">
        <v>0</v>
      </c>
      <c r="AH697" s="331">
        <v>0</v>
      </c>
      <c r="AI697" s="1025" t="b">
        <v>1</v>
      </c>
      <c r="AJ697" s="331">
        <v>0</v>
      </c>
      <c r="AK697" s="331">
        <v>0</v>
      </c>
      <c r="AL697" s="331">
        <v>0</v>
      </c>
      <c r="AM697" s="331">
        <v>0</v>
      </c>
      <c r="AN697" s="1025" t="b">
        <v>0</v>
      </c>
      <c r="AO697" s="331">
        <v>0</v>
      </c>
      <c r="AP697" s="331">
        <v>0</v>
      </c>
      <c r="AQ697" s="331">
        <v>0</v>
      </c>
      <c r="AR697" s="331">
        <v>0</v>
      </c>
      <c r="AS697" s="1025" t="b">
        <v>0</v>
      </c>
      <c r="AT697" s="1025" t="b">
        <v>1</v>
      </c>
      <c r="AU697" s="331">
        <v>0</v>
      </c>
      <c r="AV697" s="491" t="s">
        <v>29</v>
      </c>
    </row>
    <row r="698" spans="1:48">
      <c r="A698" s="72">
        <v>49</v>
      </c>
      <c r="B698" s="391" t="s">
        <v>75</v>
      </c>
      <c r="C698" s="72">
        <f t="shared" si="30"/>
        <v>9</v>
      </c>
      <c r="D698" s="72" t="str">
        <f t="shared" si="31"/>
        <v>49-9</v>
      </c>
      <c r="E698" s="72">
        <v>70730</v>
      </c>
      <c r="F698" s="72" t="str">
        <f t="shared" si="32"/>
        <v>49-70730</v>
      </c>
      <c r="G698" s="391" t="s">
        <v>1163</v>
      </c>
      <c r="H698" s="331">
        <v>10477.01</v>
      </c>
      <c r="I698" s="331">
        <v>9633.18</v>
      </c>
      <c r="J698" s="331">
        <v>9918.94</v>
      </c>
      <c r="K698" s="331">
        <v>11794.01</v>
      </c>
      <c r="L698" s="1072">
        <v>0</v>
      </c>
      <c r="M698" s="1072">
        <v>0</v>
      </c>
      <c r="N698" s="1072">
        <v>0</v>
      </c>
      <c r="O698" s="1072">
        <v>0</v>
      </c>
      <c r="P698" s="491">
        <v>0</v>
      </c>
      <c r="Q698" s="491">
        <v>0</v>
      </c>
      <c r="R698" s="491">
        <v>0</v>
      </c>
      <c r="S698" s="491">
        <v>0</v>
      </c>
      <c r="T698" s="1025" t="b">
        <v>0</v>
      </c>
      <c r="U698" s="491">
        <v>0</v>
      </c>
      <c r="V698" s="491">
        <v>0</v>
      </c>
      <c r="W698" s="491">
        <v>0.82</v>
      </c>
      <c r="X698" s="491">
        <v>0</v>
      </c>
      <c r="Y698" s="1025" t="b">
        <v>1</v>
      </c>
      <c r="Z698" s="331">
        <v>0</v>
      </c>
      <c r="AA698" s="331">
        <v>0</v>
      </c>
      <c r="AB698" s="331">
        <v>0</v>
      </c>
      <c r="AC698" s="331">
        <v>0</v>
      </c>
      <c r="AD698" s="1025" t="b">
        <v>0</v>
      </c>
      <c r="AE698" s="331">
        <v>0</v>
      </c>
      <c r="AF698" s="331">
        <v>0.1</v>
      </c>
      <c r="AG698" s="331">
        <v>0</v>
      </c>
      <c r="AH698" s="331">
        <v>0</v>
      </c>
      <c r="AI698" s="1025" t="b">
        <v>1</v>
      </c>
      <c r="AJ698" s="331">
        <v>0</v>
      </c>
      <c r="AK698" s="331">
        <v>0</v>
      </c>
      <c r="AL698" s="331">
        <v>0</v>
      </c>
      <c r="AM698" s="331">
        <v>0</v>
      </c>
      <c r="AN698" s="1025" t="b">
        <v>0</v>
      </c>
      <c r="AO698" s="331">
        <v>0</v>
      </c>
      <c r="AP698" s="331">
        <v>0</v>
      </c>
      <c r="AQ698" s="331">
        <v>0</v>
      </c>
      <c r="AR698" s="331">
        <v>0</v>
      </c>
      <c r="AS698" s="1025" t="b">
        <v>0</v>
      </c>
      <c r="AT698" s="1025" t="b">
        <v>1</v>
      </c>
      <c r="AU698" s="331">
        <v>0</v>
      </c>
      <c r="AV698" s="491" t="s">
        <v>29</v>
      </c>
    </row>
    <row r="699" spans="1:48">
      <c r="A699" s="72">
        <v>49</v>
      </c>
      <c r="B699" s="391" t="s">
        <v>75</v>
      </c>
      <c r="C699" s="72">
        <f t="shared" si="30"/>
        <v>10</v>
      </c>
      <c r="D699" s="72" t="str">
        <f t="shared" si="31"/>
        <v>49-10</v>
      </c>
      <c r="E699" s="72">
        <v>70805</v>
      </c>
      <c r="F699" s="72" t="str">
        <f t="shared" si="32"/>
        <v>49-70805</v>
      </c>
      <c r="G699" s="391" t="s">
        <v>1164</v>
      </c>
      <c r="H699" s="491">
        <v>11137.58</v>
      </c>
      <c r="I699" s="491">
        <v>10240.540000000001</v>
      </c>
      <c r="J699" s="491">
        <v>10544.32</v>
      </c>
      <c r="K699" s="491">
        <v>12537.62</v>
      </c>
      <c r="L699" s="1072">
        <v>0</v>
      </c>
      <c r="M699" s="1072">
        <v>0</v>
      </c>
      <c r="N699" s="1072">
        <v>0</v>
      </c>
      <c r="O699" s="1072">
        <v>0</v>
      </c>
      <c r="P699" s="491">
        <v>0</v>
      </c>
      <c r="Q699" s="491">
        <v>0</v>
      </c>
      <c r="R699" s="491">
        <v>0</v>
      </c>
      <c r="S699" s="491">
        <v>0</v>
      </c>
      <c r="T699" s="1025" t="b">
        <v>0</v>
      </c>
      <c r="U699" s="491">
        <v>3.09</v>
      </c>
      <c r="V699" s="491">
        <v>1.45</v>
      </c>
      <c r="W699" s="491">
        <v>0</v>
      </c>
      <c r="X699" s="491">
        <v>0</v>
      </c>
      <c r="Y699" s="1025" t="b">
        <v>1</v>
      </c>
      <c r="Z699" s="491">
        <v>0</v>
      </c>
      <c r="AA699" s="491">
        <v>0</v>
      </c>
      <c r="AB699" s="491">
        <v>0</v>
      </c>
      <c r="AC699" s="491">
        <v>0</v>
      </c>
      <c r="AD699" s="1025" t="b">
        <v>0</v>
      </c>
      <c r="AE699" s="491">
        <v>0.3</v>
      </c>
      <c r="AF699" s="491">
        <v>0</v>
      </c>
      <c r="AG699" s="491">
        <v>0</v>
      </c>
      <c r="AH699" s="491">
        <v>0</v>
      </c>
      <c r="AI699" s="1025" t="b">
        <v>1</v>
      </c>
      <c r="AJ699" s="491">
        <v>0</v>
      </c>
      <c r="AK699" s="491">
        <v>0</v>
      </c>
      <c r="AL699" s="491">
        <v>0</v>
      </c>
      <c r="AM699" s="491">
        <v>0</v>
      </c>
      <c r="AN699" s="1025" t="b">
        <v>0</v>
      </c>
      <c r="AO699" s="491">
        <v>0</v>
      </c>
      <c r="AP699" s="491">
        <v>0</v>
      </c>
      <c r="AQ699" s="491">
        <v>0</v>
      </c>
      <c r="AR699" s="491">
        <v>0</v>
      </c>
      <c r="AS699" s="1025" t="b">
        <v>0</v>
      </c>
      <c r="AT699" s="1025" t="b">
        <v>1</v>
      </c>
      <c r="AU699" s="491">
        <v>0</v>
      </c>
      <c r="AV699" s="491" t="s">
        <v>29</v>
      </c>
    </row>
    <row r="700" spans="1:48">
      <c r="A700" s="72">
        <v>49</v>
      </c>
      <c r="B700" s="391" t="s">
        <v>75</v>
      </c>
      <c r="C700" s="72">
        <f t="shared" si="30"/>
        <v>11</v>
      </c>
      <c r="D700" s="72" t="str">
        <f t="shared" si="31"/>
        <v>49-11</v>
      </c>
      <c r="E700" s="72">
        <v>70839</v>
      </c>
      <c r="F700" s="72" t="str">
        <f t="shared" si="32"/>
        <v>49-70839</v>
      </c>
      <c r="G700" s="391" t="s">
        <v>1165</v>
      </c>
      <c r="H700" s="331">
        <v>10746.99</v>
      </c>
      <c r="I700" s="331">
        <v>9881.41</v>
      </c>
      <c r="J700" s="331">
        <v>10174.530000000001</v>
      </c>
      <c r="K700" s="331">
        <v>12097.93</v>
      </c>
      <c r="L700" s="1072">
        <v>0</v>
      </c>
      <c r="M700" s="1072">
        <v>0</v>
      </c>
      <c r="N700" s="1072">
        <v>0</v>
      </c>
      <c r="O700" s="1072">
        <v>0</v>
      </c>
      <c r="P700" s="491">
        <v>0</v>
      </c>
      <c r="Q700" s="491">
        <v>0</v>
      </c>
      <c r="R700" s="491">
        <v>0</v>
      </c>
      <c r="S700" s="491">
        <v>0</v>
      </c>
      <c r="T700" s="1025" t="b">
        <v>0</v>
      </c>
      <c r="U700" s="491">
        <v>0.68</v>
      </c>
      <c r="V700" s="491">
        <v>0.81</v>
      </c>
      <c r="W700" s="491">
        <v>1.5</v>
      </c>
      <c r="X700" s="491">
        <v>0</v>
      </c>
      <c r="Y700" s="1025" t="b">
        <v>1</v>
      </c>
      <c r="Z700" s="331">
        <v>0</v>
      </c>
      <c r="AA700" s="331">
        <v>0</v>
      </c>
      <c r="AB700" s="331">
        <v>1.42</v>
      </c>
      <c r="AC700" s="331">
        <v>0</v>
      </c>
      <c r="AD700" s="1025" t="b">
        <v>1</v>
      </c>
      <c r="AE700" s="331">
        <v>0.1</v>
      </c>
      <c r="AF700" s="331">
        <v>0</v>
      </c>
      <c r="AG700" s="331">
        <v>0.05</v>
      </c>
      <c r="AH700" s="331">
        <v>0</v>
      </c>
      <c r="AI700" s="1025" t="b">
        <v>1</v>
      </c>
      <c r="AJ700" s="331">
        <v>0</v>
      </c>
      <c r="AK700" s="331">
        <v>0</v>
      </c>
      <c r="AL700" s="331">
        <v>0</v>
      </c>
      <c r="AM700" s="331">
        <v>0</v>
      </c>
      <c r="AN700" s="1025" t="b">
        <v>0</v>
      </c>
      <c r="AO700" s="331">
        <v>0</v>
      </c>
      <c r="AP700" s="331">
        <v>0</v>
      </c>
      <c r="AQ700" s="331">
        <v>0</v>
      </c>
      <c r="AR700" s="331">
        <v>0</v>
      </c>
      <c r="AS700" s="1025" t="b">
        <v>0</v>
      </c>
      <c r="AT700" s="1025" t="b">
        <v>1</v>
      </c>
      <c r="AU700" s="331">
        <v>0</v>
      </c>
      <c r="AV700" s="491" t="s">
        <v>29</v>
      </c>
    </row>
    <row r="701" spans="1:48">
      <c r="A701" s="72">
        <v>49</v>
      </c>
      <c r="B701" s="391" t="s">
        <v>75</v>
      </c>
      <c r="C701" s="72">
        <f t="shared" si="30"/>
        <v>12</v>
      </c>
      <c r="D701" s="72" t="str">
        <f t="shared" si="31"/>
        <v>49-12</v>
      </c>
      <c r="E701" s="72">
        <v>70847</v>
      </c>
      <c r="F701" s="72" t="str">
        <f t="shared" si="32"/>
        <v>49-70847</v>
      </c>
      <c r="G701" s="391" t="s">
        <v>1166</v>
      </c>
      <c r="H701" s="491">
        <v>11024.45</v>
      </c>
      <c r="I701" s="491">
        <v>10136.52</v>
      </c>
      <c r="J701" s="491">
        <v>10437.219999999999</v>
      </c>
      <c r="K701" s="491">
        <v>12410.27</v>
      </c>
      <c r="L701" s="1072">
        <v>0</v>
      </c>
      <c r="M701" s="1072">
        <v>0</v>
      </c>
      <c r="N701" s="1072">
        <v>0</v>
      </c>
      <c r="O701" s="1072">
        <v>0</v>
      </c>
      <c r="P701" s="491">
        <v>0</v>
      </c>
      <c r="Q701" s="491">
        <v>0</v>
      </c>
      <c r="R701" s="491">
        <v>0</v>
      </c>
      <c r="S701" s="491">
        <v>0</v>
      </c>
      <c r="T701" s="1025" t="b">
        <v>0</v>
      </c>
      <c r="U701" s="491">
        <v>1.9</v>
      </c>
      <c r="V701" s="491">
        <v>0</v>
      </c>
      <c r="W701" s="491">
        <v>0</v>
      </c>
      <c r="X701" s="491">
        <v>0</v>
      </c>
      <c r="Y701" s="1025" t="b">
        <v>1</v>
      </c>
      <c r="Z701" s="491">
        <v>0</v>
      </c>
      <c r="AA701" s="491">
        <v>0</v>
      </c>
      <c r="AB701" s="491">
        <v>0</v>
      </c>
      <c r="AC701" s="491">
        <v>0</v>
      </c>
      <c r="AD701" s="1025" t="b">
        <v>0</v>
      </c>
      <c r="AE701" s="491">
        <v>0.21</v>
      </c>
      <c r="AF701" s="491">
        <v>0</v>
      </c>
      <c r="AG701" s="491">
        <v>0</v>
      </c>
      <c r="AH701" s="491">
        <v>0</v>
      </c>
      <c r="AI701" s="1025" t="b">
        <v>1</v>
      </c>
      <c r="AJ701" s="491">
        <v>0</v>
      </c>
      <c r="AK701" s="491">
        <v>0</v>
      </c>
      <c r="AL701" s="491">
        <v>0</v>
      </c>
      <c r="AM701" s="491">
        <v>0</v>
      </c>
      <c r="AN701" s="1025" t="b">
        <v>0</v>
      </c>
      <c r="AO701" s="491">
        <v>0</v>
      </c>
      <c r="AP701" s="491">
        <v>0</v>
      </c>
      <c r="AQ701" s="491">
        <v>0</v>
      </c>
      <c r="AR701" s="491">
        <v>0</v>
      </c>
      <c r="AS701" s="1025" t="b">
        <v>0</v>
      </c>
      <c r="AT701" s="1025" t="b">
        <v>1</v>
      </c>
      <c r="AU701" s="491">
        <v>0</v>
      </c>
      <c r="AV701" s="491" t="s">
        <v>29</v>
      </c>
    </row>
    <row r="702" spans="1:48">
      <c r="A702" s="72">
        <v>49</v>
      </c>
      <c r="B702" s="391" t="s">
        <v>75</v>
      </c>
      <c r="C702" s="72">
        <f t="shared" si="30"/>
        <v>13</v>
      </c>
      <c r="D702" s="72" t="str">
        <f t="shared" si="31"/>
        <v>49-13</v>
      </c>
      <c r="E702" s="72">
        <v>70854</v>
      </c>
      <c r="F702" s="72" t="str">
        <f t="shared" si="32"/>
        <v>49-70854</v>
      </c>
      <c r="G702" s="391" t="s">
        <v>1167</v>
      </c>
      <c r="H702" s="331">
        <v>11007.04</v>
      </c>
      <c r="I702" s="331">
        <v>10120.52</v>
      </c>
      <c r="J702" s="331">
        <v>10420.74</v>
      </c>
      <c r="K702" s="331">
        <v>12390.67</v>
      </c>
      <c r="L702" s="1072">
        <v>0</v>
      </c>
      <c r="M702" s="1072">
        <v>0</v>
      </c>
      <c r="N702" s="1072">
        <v>0</v>
      </c>
      <c r="O702" s="1072">
        <v>0</v>
      </c>
      <c r="P702" s="491">
        <v>0</v>
      </c>
      <c r="Q702" s="491">
        <v>0</v>
      </c>
      <c r="R702" s="491">
        <v>0</v>
      </c>
      <c r="S702" s="491">
        <v>0</v>
      </c>
      <c r="T702" s="1025" t="b">
        <v>0</v>
      </c>
      <c r="U702" s="491">
        <v>0.44</v>
      </c>
      <c r="V702" s="491">
        <v>0.93</v>
      </c>
      <c r="W702" s="491">
        <v>0</v>
      </c>
      <c r="X702" s="491">
        <v>0</v>
      </c>
      <c r="Y702" s="1025" t="b">
        <v>1</v>
      </c>
      <c r="Z702" s="331">
        <v>0</v>
      </c>
      <c r="AA702" s="331">
        <v>0</v>
      </c>
      <c r="AB702" s="331">
        <v>0</v>
      </c>
      <c r="AC702" s="331">
        <v>0</v>
      </c>
      <c r="AD702" s="1025" t="b">
        <v>0</v>
      </c>
      <c r="AE702" s="331">
        <v>0</v>
      </c>
      <c r="AF702" s="331">
        <v>0.11</v>
      </c>
      <c r="AG702" s="331">
        <v>0</v>
      </c>
      <c r="AH702" s="331">
        <v>0</v>
      </c>
      <c r="AI702" s="1025" t="b">
        <v>1</v>
      </c>
      <c r="AJ702" s="331">
        <v>0</v>
      </c>
      <c r="AK702" s="331">
        <v>0</v>
      </c>
      <c r="AL702" s="331">
        <v>0</v>
      </c>
      <c r="AM702" s="331">
        <v>0</v>
      </c>
      <c r="AN702" s="1025" t="b">
        <v>0</v>
      </c>
      <c r="AO702" s="331">
        <v>0</v>
      </c>
      <c r="AP702" s="331">
        <v>0</v>
      </c>
      <c r="AQ702" s="331">
        <v>0</v>
      </c>
      <c r="AR702" s="331">
        <v>0</v>
      </c>
      <c r="AS702" s="1025" t="b">
        <v>0</v>
      </c>
      <c r="AT702" s="1025" t="b">
        <v>1</v>
      </c>
      <c r="AU702" s="331">
        <v>0</v>
      </c>
      <c r="AV702" s="491" t="s">
        <v>29</v>
      </c>
    </row>
    <row r="703" spans="1:48">
      <c r="A703" s="72">
        <v>49</v>
      </c>
      <c r="B703" s="391" t="s">
        <v>75</v>
      </c>
      <c r="C703" s="72">
        <f t="shared" si="30"/>
        <v>14</v>
      </c>
      <c r="D703" s="72" t="str">
        <f t="shared" si="31"/>
        <v>49-14</v>
      </c>
      <c r="E703" s="72">
        <v>70862</v>
      </c>
      <c r="F703" s="72" t="str">
        <f t="shared" si="32"/>
        <v>49-70862</v>
      </c>
      <c r="G703" s="391" t="s">
        <v>1168</v>
      </c>
      <c r="H703" s="331">
        <v>11004.82</v>
      </c>
      <c r="I703" s="331">
        <v>10118.469999999999</v>
      </c>
      <c r="J703" s="331">
        <v>10418.629999999999</v>
      </c>
      <c r="K703" s="331">
        <v>12388.17</v>
      </c>
      <c r="L703" s="1072">
        <v>0</v>
      </c>
      <c r="M703" s="1072">
        <v>0</v>
      </c>
      <c r="N703" s="1072">
        <v>0</v>
      </c>
      <c r="O703" s="1072">
        <v>0</v>
      </c>
      <c r="P703" s="491">
        <v>0</v>
      </c>
      <c r="Q703" s="491">
        <v>0</v>
      </c>
      <c r="R703" s="491">
        <v>0.89</v>
      </c>
      <c r="S703" s="491">
        <v>0</v>
      </c>
      <c r="T703" s="1025" t="b">
        <v>1</v>
      </c>
      <c r="U703" s="491">
        <v>0</v>
      </c>
      <c r="V703" s="491">
        <v>0</v>
      </c>
      <c r="W703" s="491">
        <v>0.93</v>
      </c>
      <c r="X703" s="491">
        <v>1.51</v>
      </c>
      <c r="Y703" s="1025" t="b">
        <v>1</v>
      </c>
      <c r="Z703" s="331">
        <v>0</v>
      </c>
      <c r="AA703" s="331">
        <v>0</v>
      </c>
      <c r="AB703" s="331">
        <v>0</v>
      </c>
      <c r="AC703" s="331">
        <v>0</v>
      </c>
      <c r="AD703" s="1025" t="b">
        <v>0</v>
      </c>
      <c r="AE703" s="331">
        <v>0</v>
      </c>
      <c r="AF703" s="331">
        <v>0</v>
      </c>
      <c r="AG703" s="331">
        <v>0</v>
      </c>
      <c r="AH703" s="331">
        <v>0.06</v>
      </c>
      <c r="AI703" s="1025" t="b">
        <v>1</v>
      </c>
      <c r="AJ703" s="331">
        <v>0</v>
      </c>
      <c r="AK703" s="331">
        <v>0</v>
      </c>
      <c r="AL703" s="331">
        <v>0</v>
      </c>
      <c r="AM703" s="331">
        <v>0</v>
      </c>
      <c r="AN703" s="1025" t="b">
        <v>0</v>
      </c>
      <c r="AO703" s="331">
        <v>0</v>
      </c>
      <c r="AP703" s="331">
        <v>0</v>
      </c>
      <c r="AQ703" s="331">
        <v>0</v>
      </c>
      <c r="AR703" s="331">
        <v>0</v>
      </c>
      <c r="AS703" s="1025" t="b">
        <v>0</v>
      </c>
      <c r="AT703" s="1025" t="b">
        <v>1</v>
      </c>
      <c r="AU703" s="331">
        <v>0</v>
      </c>
      <c r="AV703" s="491" t="s">
        <v>29</v>
      </c>
    </row>
    <row r="704" spans="1:48">
      <c r="A704" s="72">
        <v>49</v>
      </c>
      <c r="B704" s="391" t="s">
        <v>75</v>
      </c>
      <c r="C704" s="72">
        <f t="shared" si="30"/>
        <v>15</v>
      </c>
      <c r="D704" s="72" t="str">
        <f t="shared" si="31"/>
        <v>49-15</v>
      </c>
      <c r="E704" s="72">
        <v>70870</v>
      </c>
      <c r="F704" s="72" t="str">
        <f t="shared" si="32"/>
        <v>49-70870</v>
      </c>
      <c r="G704" s="391" t="s">
        <v>1169</v>
      </c>
      <c r="H704" s="331">
        <v>11216.3</v>
      </c>
      <c r="I704" s="331">
        <v>10312.93</v>
      </c>
      <c r="J704" s="331">
        <v>10618.86</v>
      </c>
      <c r="K704" s="331">
        <v>12626.24</v>
      </c>
      <c r="L704" s="1072">
        <v>0</v>
      </c>
      <c r="M704" s="1072">
        <v>0</v>
      </c>
      <c r="N704" s="1072">
        <v>0</v>
      </c>
      <c r="O704" s="1072">
        <v>0</v>
      </c>
      <c r="P704" s="491">
        <v>0</v>
      </c>
      <c r="Q704" s="491">
        <v>0</v>
      </c>
      <c r="R704" s="491">
        <v>0</v>
      </c>
      <c r="S704" s="491">
        <v>0</v>
      </c>
      <c r="T704" s="1025" t="b">
        <v>0</v>
      </c>
      <c r="U704" s="491">
        <v>3.72</v>
      </c>
      <c r="V704" s="491">
        <v>2.5499999999999998</v>
      </c>
      <c r="W704" s="491">
        <v>0</v>
      </c>
      <c r="X704" s="491">
        <v>0</v>
      </c>
      <c r="Y704" s="1025" t="b">
        <v>1</v>
      </c>
      <c r="Z704" s="331">
        <v>0</v>
      </c>
      <c r="AA704" s="331">
        <v>0</v>
      </c>
      <c r="AB704" s="331">
        <v>0</v>
      </c>
      <c r="AC704" s="331">
        <v>0</v>
      </c>
      <c r="AD704" s="1025" t="b">
        <v>0</v>
      </c>
      <c r="AE704" s="331">
        <v>0.22</v>
      </c>
      <c r="AF704" s="331">
        <v>0.36</v>
      </c>
      <c r="AG704" s="331">
        <v>0</v>
      </c>
      <c r="AH704" s="331">
        <v>0</v>
      </c>
      <c r="AI704" s="1025" t="b">
        <v>1</v>
      </c>
      <c r="AJ704" s="331">
        <v>0</v>
      </c>
      <c r="AK704" s="331">
        <v>0</v>
      </c>
      <c r="AL704" s="331">
        <v>0</v>
      </c>
      <c r="AM704" s="331">
        <v>0</v>
      </c>
      <c r="AN704" s="1025" t="b">
        <v>0</v>
      </c>
      <c r="AO704" s="331">
        <v>0</v>
      </c>
      <c r="AP704" s="331">
        <v>0</v>
      </c>
      <c r="AQ704" s="331">
        <v>0</v>
      </c>
      <c r="AR704" s="331">
        <v>0</v>
      </c>
      <c r="AS704" s="1025" t="b">
        <v>0</v>
      </c>
      <c r="AT704" s="1025" t="b">
        <v>1</v>
      </c>
      <c r="AU704" s="331">
        <v>0</v>
      </c>
      <c r="AV704" s="491" t="s">
        <v>29</v>
      </c>
    </row>
    <row r="705" spans="1:48">
      <c r="A705" s="72">
        <v>49</v>
      </c>
      <c r="B705" s="391" t="s">
        <v>75</v>
      </c>
      <c r="C705" s="72">
        <f t="shared" si="30"/>
        <v>16</v>
      </c>
      <c r="D705" s="72" t="str">
        <f t="shared" si="31"/>
        <v>49-16</v>
      </c>
      <c r="E705" s="72">
        <v>70896</v>
      </c>
      <c r="F705" s="72" t="str">
        <f t="shared" si="32"/>
        <v>49-70896</v>
      </c>
      <c r="G705" s="391" t="s">
        <v>1170</v>
      </c>
      <c r="H705" s="331">
        <v>10728.97</v>
      </c>
      <c r="I705" s="331">
        <v>9864.85</v>
      </c>
      <c r="J705" s="331">
        <v>10157.48</v>
      </c>
      <c r="K705" s="331">
        <v>12077.65</v>
      </c>
      <c r="L705" s="1072">
        <v>0</v>
      </c>
      <c r="M705" s="1072">
        <v>0</v>
      </c>
      <c r="N705" s="1072">
        <v>0</v>
      </c>
      <c r="O705" s="1072">
        <v>0</v>
      </c>
      <c r="P705" s="491">
        <v>0</v>
      </c>
      <c r="Q705" s="491">
        <v>0</v>
      </c>
      <c r="R705" s="491">
        <v>0</v>
      </c>
      <c r="S705" s="491">
        <v>0</v>
      </c>
      <c r="T705" s="1025" t="b">
        <v>0</v>
      </c>
      <c r="U705" s="491">
        <v>1.66</v>
      </c>
      <c r="V705" s="491">
        <v>0.86</v>
      </c>
      <c r="W705" s="491">
        <v>0</v>
      </c>
      <c r="X705" s="491">
        <v>0</v>
      </c>
      <c r="Y705" s="1025" t="b">
        <v>1</v>
      </c>
      <c r="Z705" s="331">
        <v>0</v>
      </c>
      <c r="AA705" s="331">
        <v>0</v>
      </c>
      <c r="AB705" s="331">
        <v>0</v>
      </c>
      <c r="AC705" s="331">
        <v>0</v>
      </c>
      <c r="AD705" s="1025" t="b">
        <v>0</v>
      </c>
      <c r="AE705" s="331">
        <v>0.18</v>
      </c>
      <c r="AF705" s="331">
        <v>0.19</v>
      </c>
      <c r="AG705" s="331">
        <v>0</v>
      </c>
      <c r="AH705" s="331">
        <v>0</v>
      </c>
      <c r="AI705" s="1025" t="b">
        <v>1</v>
      </c>
      <c r="AJ705" s="331">
        <v>0</v>
      </c>
      <c r="AK705" s="331">
        <v>0</v>
      </c>
      <c r="AL705" s="331">
        <v>0</v>
      </c>
      <c r="AM705" s="331">
        <v>0</v>
      </c>
      <c r="AN705" s="1025" t="b">
        <v>0</v>
      </c>
      <c r="AO705" s="331">
        <v>0</v>
      </c>
      <c r="AP705" s="331">
        <v>0</v>
      </c>
      <c r="AQ705" s="331">
        <v>0</v>
      </c>
      <c r="AR705" s="331">
        <v>0</v>
      </c>
      <c r="AS705" s="1025" t="b">
        <v>0</v>
      </c>
      <c r="AT705" s="1025" t="b">
        <v>1</v>
      </c>
      <c r="AU705" s="331">
        <v>0</v>
      </c>
      <c r="AV705" s="491" t="s">
        <v>29</v>
      </c>
    </row>
    <row r="706" spans="1:48">
      <c r="A706" s="72">
        <v>49</v>
      </c>
      <c r="B706" s="391" t="s">
        <v>75</v>
      </c>
      <c r="C706" s="72">
        <f t="shared" si="30"/>
        <v>17</v>
      </c>
      <c r="D706" s="72" t="str">
        <f t="shared" si="31"/>
        <v>49-17</v>
      </c>
      <c r="E706" s="72">
        <v>70904</v>
      </c>
      <c r="F706" s="72" t="str">
        <f t="shared" si="32"/>
        <v>49-70904</v>
      </c>
      <c r="G706" s="391" t="s">
        <v>1171</v>
      </c>
      <c r="H706" s="331">
        <v>14545.25</v>
      </c>
      <c r="I706" s="331">
        <v>13373.76</v>
      </c>
      <c r="J706" s="331">
        <v>13770.48</v>
      </c>
      <c r="K706" s="331">
        <v>16373.65</v>
      </c>
      <c r="L706" s="1072">
        <v>0</v>
      </c>
      <c r="M706" s="1072">
        <v>0</v>
      </c>
      <c r="N706" s="1072">
        <v>0</v>
      </c>
      <c r="O706" s="1072">
        <v>0</v>
      </c>
      <c r="P706" s="491">
        <v>0</v>
      </c>
      <c r="Q706" s="491">
        <v>0</v>
      </c>
      <c r="R706" s="491">
        <v>0</v>
      </c>
      <c r="S706" s="491">
        <v>0</v>
      </c>
      <c r="T706" s="1025" t="b">
        <v>0</v>
      </c>
      <c r="U706" s="491">
        <v>1.76</v>
      </c>
      <c r="V706" s="491">
        <v>2.67</v>
      </c>
      <c r="W706" s="491">
        <v>0</v>
      </c>
      <c r="X706" s="491">
        <v>0</v>
      </c>
      <c r="Y706" s="1025" t="b">
        <v>1</v>
      </c>
      <c r="Z706" s="331">
        <v>0</v>
      </c>
      <c r="AA706" s="331">
        <v>0</v>
      </c>
      <c r="AB706" s="331">
        <v>0</v>
      </c>
      <c r="AC706" s="331">
        <v>0</v>
      </c>
      <c r="AD706" s="1025" t="b">
        <v>0</v>
      </c>
      <c r="AE706" s="331">
        <v>0.2</v>
      </c>
      <c r="AF706" s="331">
        <v>7.0000000000000007E-2</v>
      </c>
      <c r="AG706" s="331">
        <v>0</v>
      </c>
      <c r="AH706" s="331">
        <v>0</v>
      </c>
      <c r="AI706" s="1025" t="b">
        <v>1</v>
      </c>
      <c r="AJ706" s="331">
        <v>0</v>
      </c>
      <c r="AK706" s="331">
        <v>0</v>
      </c>
      <c r="AL706" s="331">
        <v>0</v>
      </c>
      <c r="AM706" s="331">
        <v>0</v>
      </c>
      <c r="AN706" s="1025" t="b">
        <v>0</v>
      </c>
      <c r="AO706" s="331">
        <v>0</v>
      </c>
      <c r="AP706" s="331">
        <v>0</v>
      </c>
      <c r="AQ706" s="331">
        <v>0</v>
      </c>
      <c r="AR706" s="331">
        <v>0</v>
      </c>
      <c r="AS706" s="1025" t="b">
        <v>0</v>
      </c>
      <c r="AT706" s="1025" t="b">
        <v>1</v>
      </c>
      <c r="AU706" s="331">
        <v>0</v>
      </c>
      <c r="AV706" s="491" t="s">
        <v>29</v>
      </c>
    </row>
    <row r="707" spans="1:48">
      <c r="A707" s="72">
        <v>49</v>
      </c>
      <c r="B707" s="391" t="s">
        <v>75</v>
      </c>
      <c r="C707" s="72">
        <f t="shared" si="30"/>
        <v>18</v>
      </c>
      <c r="D707" s="72" t="str">
        <f t="shared" si="31"/>
        <v>49-18</v>
      </c>
      <c r="E707" s="72">
        <v>70912</v>
      </c>
      <c r="F707" s="72" t="str">
        <f t="shared" si="32"/>
        <v>49-70912</v>
      </c>
      <c r="G707" s="391" t="s">
        <v>1172</v>
      </c>
      <c r="H707" s="491">
        <v>12514.52</v>
      </c>
      <c r="I707" s="491">
        <v>11506.58</v>
      </c>
      <c r="J707" s="491">
        <v>11847.92</v>
      </c>
      <c r="K707" s="491">
        <v>14087.65</v>
      </c>
      <c r="L707" s="1072">
        <v>0</v>
      </c>
      <c r="M707" s="1072">
        <v>0</v>
      </c>
      <c r="N707" s="1072">
        <v>0</v>
      </c>
      <c r="O707" s="1072">
        <v>0</v>
      </c>
      <c r="P707" s="491">
        <v>0</v>
      </c>
      <c r="Q707" s="491">
        <v>0</v>
      </c>
      <c r="R707" s="491">
        <v>0</v>
      </c>
      <c r="S707" s="491">
        <v>0</v>
      </c>
      <c r="T707" s="1025" t="b">
        <v>0</v>
      </c>
      <c r="U707" s="491">
        <v>5.98</v>
      </c>
      <c r="V707" s="491">
        <v>12.66</v>
      </c>
      <c r="W707" s="491">
        <v>0</v>
      </c>
      <c r="X707" s="491">
        <v>0</v>
      </c>
      <c r="Y707" s="1025" t="b">
        <v>1</v>
      </c>
      <c r="Z707" s="491">
        <v>0</v>
      </c>
      <c r="AA707" s="491">
        <v>0</v>
      </c>
      <c r="AB707" s="491">
        <v>0</v>
      </c>
      <c r="AC707" s="491">
        <v>0</v>
      </c>
      <c r="AD707" s="1025" t="b">
        <v>0</v>
      </c>
      <c r="AE707" s="491">
        <v>0.91</v>
      </c>
      <c r="AF707" s="491">
        <v>0.9</v>
      </c>
      <c r="AG707" s="491">
        <v>0</v>
      </c>
      <c r="AH707" s="491">
        <v>0</v>
      </c>
      <c r="AI707" s="1025" t="b">
        <v>1</v>
      </c>
      <c r="AJ707" s="491">
        <v>0</v>
      </c>
      <c r="AK707" s="491">
        <v>0</v>
      </c>
      <c r="AL707" s="491">
        <v>0</v>
      </c>
      <c r="AM707" s="491">
        <v>0</v>
      </c>
      <c r="AN707" s="1025" t="b">
        <v>0</v>
      </c>
      <c r="AO707" s="491">
        <v>0</v>
      </c>
      <c r="AP707" s="491">
        <v>0</v>
      </c>
      <c r="AQ707" s="491">
        <v>0</v>
      </c>
      <c r="AR707" s="491">
        <v>0</v>
      </c>
      <c r="AS707" s="1025" t="b">
        <v>0</v>
      </c>
      <c r="AT707" s="1025" t="b">
        <v>1</v>
      </c>
      <c r="AU707" s="491">
        <v>0</v>
      </c>
      <c r="AV707" s="491" t="s">
        <v>29</v>
      </c>
    </row>
    <row r="708" spans="1:48">
      <c r="A708" s="72">
        <v>49</v>
      </c>
      <c r="B708" s="391" t="s">
        <v>75</v>
      </c>
      <c r="C708" s="72">
        <f t="shared" si="30"/>
        <v>19</v>
      </c>
      <c r="D708" s="72" t="str">
        <f t="shared" si="31"/>
        <v>49-19</v>
      </c>
      <c r="E708" s="72">
        <v>70920</v>
      </c>
      <c r="F708" s="72" t="str">
        <f t="shared" si="32"/>
        <v>49-70920</v>
      </c>
      <c r="G708" s="391" t="s">
        <v>1173</v>
      </c>
      <c r="H708" s="331">
        <v>11050.15</v>
      </c>
      <c r="I708" s="331">
        <v>10160.15</v>
      </c>
      <c r="J708" s="331">
        <v>10461.549999999999</v>
      </c>
      <c r="K708" s="331">
        <v>12439.2</v>
      </c>
      <c r="L708" s="1072">
        <v>0</v>
      </c>
      <c r="M708" s="1072">
        <v>0</v>
      </c>
      <c r="N708" s="1072">
        <v>0</v>
      </c>
      <c r="O708" s="1072">
        <v>0</v>
      </c>
      <c r="P708" s="491">
        <v>0</v>
      </c>
      <c r="Q708" s="491">
        <v>0</v>
      </c>
      <c r="R708" s="491">
        <v>0</v>
      </c>
      <c r="S708" s="491">
        <v>4.7300000000000004</v>
      </c>
      <c r="T708" s="1025" t="b">
        <v>1</v>
      </c>
      <c r="U708" s="491">
        <v>0</v>
      </c>
      <c r="V708" s="491">
        <v>0</v>
      </c>
      <c r="W708" s="491">
        <v>12.27</v>
      </c>
      <c r="X708" s="491">
        <v>32.520000000000003</v>
      </c>
      <c r="Y708" s="1025" t="b">
        <v>1</v>
      </c>
      <c r="Z708" s="331">
        <v>0</v>
      </c>
      <c r="AA708" s="331">
        <v>0</v>
      </c>
      <c r="AB708" s="331">
        <v>0.79</v>
      </c>
      <c r="AC708" s="331">
        <v>7.32</v>
      </c>
      <c r="AD708" s="1025" t="b">
        <v>1</v>
      </c>
      <c r="AE708" s="331">
        <v>0</v>
      </c>
      <c r="AF708" s="331">
        <v>0</v>
      </c>
      <c r="AG708" s="331">
        <v>0.56000000000000005</v>
      </c>
      <c r="AH708" s="331">
        <v>3.83</v>
      </c>
      <c r="AI708" s="1025" t="b">
        <v>1</v>
      </c>
      <c r="AJ708" s="331">
        <v>0</v>
      </c>
      <c r="AK708" s="331">
        <v>0</v>
      </c>
      <c r="AL708" s="331">
        <v>0</v>
      </c>
      <c r="AM708" s="331">
        <v>0</v>
      </c>
      <c r="AN708" s="1025" t="b">
        <v>0</v>
      </c>
      <c r="AO708" s="331">
        <v>0</v>
      </c>
      <c r="AP708" s="331">
        <v>0</v>
      </c>
      <c r="AQ708" s="331">
        <v>0</v>
      </c>
      <c r="AR708" s="331">
        <v>0</v>
      </c>
      <c r="AS708" s="1025" t="b">
        <v>0</v>
      </c>
      <c r="AT708" s="1025" t="b">
        <v>1</v>
      </c>
      <c r="AU708" s="331">
        <v>0</v>
      </c>
      <c r="AV708" s="491" t="s">
        <v>29</v>
      </c>
    </row>
    <row r="709" spans="1:48">
      <c r="A709" s="72">
        <v>49</v>
      </c>
      <c r="B709" s="391" t="s">
        <v>75</v>
      </c>
      <c r="C709" s="72">
        <f t="shared" si="30"/>
        <v>20</v>
      </c>
      <c r="D709" s="72" t="str">
        <f t="shared" si="31"/>
        <v>49-20</v>
      </c>
      <c r="E709" s="72">
        <v>70938</v>
      </c>
      <c r="F709" s="72" t="str">
        <f t="shared" si="32"/>
        <v>49-70938</v>
      </c>
      <c r="G709" s="391" t="s">
        <v>1174</v>
      </c>
      <c r="H709" s="491">
        <v>11220.55</v>
      </c>
      <c r="I709" s="491">
        <v>10316.83</v>
      </c>
      <c r="J709" s="491">
        <v>10622.88</v>
      </c>
      <c r="K709" s="491">
        <v>12631.02</v>
      </c>
      <c r="L709" s="1072">
        <v>0</v>
      </c>
      <c r="M709" s="1072">
        <v>0</v>
      </c>
      <c r="N709" s="1072">
        <v>0</v>
      </c>
      <c r="O709" s="1072">
        <v>0</v>
      </c>
      <c r="P709" s="491">
        <v>0</v>
      </c>
      <c r="Q709" s="491">
        <v>0</v>
      </c>
      <c r="R709" s="491">
        <v>0</v>
      </c>
      <c r="S709" s="491">
        <v>0</v>
      </c>
      <c r="T709" s="1025" t="b">
        <v>0</v>
      </c>
      <c r="U709" s="491">
        <v>0.92</v>
      </c>
      <c r="V709" s="491">
        <v>0.75</v>
      </c>
      <c r="W709" s="491">
        <v>0.84</v>
      </c>
      <c r="X709" s="491">
        <v>0</v>
      </c>
      <c r="Y709" s="1025" t="b">
        <v>1</v>
      </c>
      <c r="Z709" s="491">
        <v>0</v>
      </c>
      <c r="AA709" s="491">
        <v>1</v>
      </c>
      <c r="AB709" s="491">
        <v>0</v>
      </c>
      <c r="AC709" s="491">
        <v>0</v>
      </c>
      <c r="AD709" s="1025" t="b">
        <v>1</v>
      </c>
      <c r="AE709" s="491">
        <v>0.1</v>
      </c>
      <c r="AF709" s="491">
        <v>0</v>
      </c>
      <c r="AG709" s="491">
        <v>0</v>
      </c>
      <c r="AH709" s="491">
        <v>0</v>
      </c>
      <c r="AI709" s="1025" t="b">
        <v>1</v>
      </c>
      <c r="AJ709" s="491">
        <v>0</v>
      </c>
      <c r="AK709" s="491">
        <v>0</v>
      </c>
      <c r="AL709" s="491">
        <v>0</v>
      </c>
      <c r="AM709" s="491">
        <v>0</v>
      </c>
      <c r="AN709" s="1025" t="b">
        <v>0</v>
      </c>
      <c r="AO709" s="491">
        <v>0</v>
      </c>
      <c r="AP709" s="491">
        <v>0</v>
      </c>
      <c r="AQ709" s="491">
        <v>0</v>
      </c>
      <c r="AR709" s="491">
        <v>0</v>
      </c>
      <c r="AS709" s="1025" t="b">
        <v>0</v>
      </c>
      <c r="AT709" s="1025" t="b">
        <v>1</v>
      </c>
      <c r="AU709" s="491">
        <v>0</v>
      </c>
      <c r="AV709" s="491" t="s">
        <v>29</v>
      </c>
    </row>
    <row r="710" spans="1:48">
      <c r="A710" s="72">
        <v>49</v>
      </c>
      <c r="B710" s="391" t="s">
        <v>75</v>
      </c>
      <c r="C710" s="72">
        <f t="shared" ref="C710:C773" si="33">IF(E710="N/A",0,IF(A709&lt;&gt;A710,1,C709+1))</f>
        <v>21</v>
      </c>
      <c r="D710" s="72" t="str">
        <f t="shared" ref="D710:D773" si="34">A710&amp;"-"&amp;C710</f>
        <v>49-21</v>
      </c>
      <c r="E710" s="72">
        <v>70953</v>
      </c>
      <c r="F710" s="72" t="str">
        <f t="shared" si="32"/>
        <v>49-70953</v>
      </c>
      <c r="G710" s="391" t="s">
        <v>1175</v>
      </c>
      <c r="H710" s="331">
        <v>11380.03</v>
      </c>
      <c r="I710" s="331">
        <v>10463.459999999999</v>
      </c>
      <c r="J710" s="331">
        <v>10773.86</v>
      </c>
      <c r="K710" s="331">
        <v>12810.55</v>
      </c>
      <c r="L710" s="1072">
        <v>0</v>
      </c>
      <c r="M710" s="1072">
        <v>0</v>
      </c>
      <c r="N710" s="1072">
        <v>0</v>
      </c>
      <c r="O710" s="1072">
        <v>0</v>
      </c>
      <c r="P710" s="491">
        <v>0</v>
      </c>
      <c r="Q710" s="491">
        <v>0</v>
      </c>
      <c r="R710" s="491">
        <v>0</v>
      </c>
      <c r="S710" s="491">
        <v>0</v>
      </c>
      <c r="T710" s="1025" t="b">
        <v>0</v>
      </c>
      <c r="U710" s="491">
        <v>0</v>
      </c>
      <c r="V710" s="491">
        <v>1.75</v>
      </c>
      <c r="W710" s="491">
        <v>1.4</v>
      </c>
      <c r="X710" s="491">
        <v>10.83</v>
      </c>
      <c r="Y710" s="1025" t="b">
        <v>1</v>
      </c>
      <c r="Z710" s="331">
        <v>0</v>
      </c>
      <c r="AA710" s="331">
        <v>0</v>
      </c>
      <c r="AB710" s="331">
        <v>0</v>
      </c>
      <c r="AC710" s="331">
        <v>0</v>
      </c>
      <c r="AD710" s="1025" t="b">
        <v>0</v>
      </c>
      <c r="AE710" s="331">
        <v>0.09</v>
      </c>
      <c r="AF710" s="331">
        <v>0.1</v>
      </c>
      <c r="AG710" s="331">
        <v>0</v>
      </c>
      <c r="AH710" s="331">
        <v>0.79</v>
      </c>
      <c r="AI710" s="1025" t="b">
        <v>1</v>
      </c>
      <c r="AJ710" s="331">
        <v>0</v>
      </c>
      <c r="AK710" s="331">
        <v>0</v>
      </c>
      <c r="AL710" s="331">
        <v>0</v>
      </c>
      <c r="AM710" s="331">
        <v>0</v>
      </c>
      <c r="AN710" s="1025" t="b">
        <v>0</v>
      </c>
      <c r="AO710" s="331">
        <v>0</v>
      </c>
      <c r="AP710" s="331">
        <v>0</v>
      </c>
      <c r="AQ710" s="331">
        <v>0</v>
      </c>
      <c r="AR710" s="331">
        <v>0</v>
      </c>
      <c r="AS710" s="1025" t="b">
        <v>0</v>
      </c>
      <c r="AT710" s="1025" t="b">
        <v>1</v>
      </c>
      <c r="AU710" s="331">
        <v>0</v>
      </c>
      <c r="AV710" s="491" t="s">
        <v>29</v>
      </c>
    </row>
    <row r="711" spans="1:48">
      <c r="A711" s="72">
        <v>49</v>
      </c>
      <c r="B711" s="391" t="s">
        <v>75</v>
      </c>
      <c r="C711" s="72">
        <f t="shared" si="33"/>
        <v>22</v>
      </c>
      <c r="D711" s="72" t="str">
        <f t="shared" si="34"/>
        <v>49-22</v>
      </c>
      <c r="E711" s="72">
        <v>70961</v>
      </c>
      <c r="F711" s="72" t="str">
        <f t="shared" ref="F711:F774" si="35">A711&amp;"-"&amp;E711</f>
        <v>49-70961</v>
      </c>
      <c r="G711" s="391" t="s">
        <v>1794</v>
      </c>
      <c r="H711" s="331">
        <v>10613.41</v>
      </c>
      <c r="I711" s="331">
        <v>9758.59</v>
      </c>
      <c r="J711" s="331">
        <v>10048.08</v>
      </c>
      <c r="K711" s="331">
        <v>11947.56</v>
      </c>
      <c r="L711" s="1072">
        <v>0</v>
      </c>
      <c r="M711" s="1072">
        <v>0</v>
      </c>
      <c r="N711" s="1072">
        <v>0</v>
      </c>
      <c r="O711" s="1072">
        <v>0</v>
      </c>
      <c r="P711" s="491">
        <v>0</v>
      </c>
      <c r="Q711" s="491">
        <v>0</v>
      </c>
      <c r="R711" s="491">
        <v>0</v>
      </c>
      <c r="S711" s="491">
        <v>0</v>
      </c>
      <c r="T711" s="1025" t="b">
        <v>0</v>
      </c>
      <c r="U711" s="491">
        <v>0.97</v>
      </c>
      <c r="V711" s="491">
        <v>0</v>
      </c>
      <c r="W711" s="491">
        <v>0</v>
      </c>
      <c r="X711" s="491">
        <v>0</v>
      </c>
      <c r="Y711" s="1025" t="b">
        <v>1</v>
      </c>
      <c r="Z711" s="331">
        <v>0</v>
      </c>
      <c r="AA711" s="331">
        <v>0</v>
      </c>
      <c r="AB711" s="331">
        <v>0</v>
      </c>
      <c r="AC711" s="331">
        <v>0</v>
      </c>
      <c r="AD711" s="1025" t="b">
        <v>0</v>
      </c>
      <c r="AE711" s="331">
        <v>0</v>
      </c>
      <c r="AF711" s="331">
        <v>0</v>
      </c>
      <c r="AG711" s="331">
        <v>0</v>
      </c>
      <c r="AH711" s="331">
        <v>0</v>
      </c>
      <c r="AI711" s="1025" t="b">
        <v>0</v>
      </c>
      <c r="AJ711" s="331">
        <v>0</v>
      </c>
      <c r="AK711" s="331">
        <v>0</v>
      </c>
      <c r="AL711" s="331">
        <v>0</v>
      </c>
      <c r="AM711" s="331">
        <v>0</v>
      </c>
      <c r="AN711" s="1025" t="b">
        <v>0</v>
      </c>
      <c r="AO711" s="331">
        <v>0</v>
      </c>
      <c r="AP711" s="331">
        <v>0</v>
      </c>
      <c r="AQ711" s="331">
        <v>0</v>
      </c>
      <c r="AR711" s="331">
        <v>0</v>
      </c>
      <c r="AS711" s="1025" t="b">
        <v>0</v>
      </c>
      <c r="AT711" s="1025" t="b">
        <v>1</v>
      </c>
      <c r="AU711" s="331">
        <v>0</v>
      </c>
      <c r="AV711" s="491" t="s">
        <v>29</v>
      </c>
    </row>
    <row r="712" spans="1:48">
      <c r="A712" s="72">
        <v>49</v>
      </c>
      <c r="B712" s="391" t="s">
        <v>75</v>
      </c>
      <c r="C712" s="72">
        <f t="shared" si="33"/>
        <v>23</v>
      </c>
      <c r="D712" s="72" t="str">
        <f t="shared" si="34"/>
        <v>49-23</v>
      </c>
      <c r="E712" s="72">
        <v>70995</v>
      </c>
      <c r="F712" s="72" t="str">
        <f t="shared" si="35"/>
        <v>49-70995</v>
      </c>
      <c r="G712" s="391" t="s">
        <v>1795</v>
      </c>
      <c r="H712" s="331">
        <v>10493.81</v>
      </c>
      <c r="I712" s="331">
        <v>9648.6200000000008</v>
      </c>
      <c r="J712" s="331">
        <v>9934.84</v>
      </c>
      <c r="K712" s="331">
        <v>11812.92</v>
      </c>
      <c r="L712" s="1072">
        <v>0</v>
      </c>
      <c r="M712" s="1072">
        <v>0</v>
      </c>
      <c r="N712" s="1072">
        <v>0</v>
      </c>
      <c r="O712" s="1072">
        <v>0</v>
      </c>
      <c r="P712" s="491">
        <v>0</v>
      </c>
      <c r="Q712" s="491">
        <v>0</v>
      </c>
      <c r="R712" s="491">
        <v>0</v>
      </c>
      <c r="S712" s="491">
        <v>0</v>
      </c>
      <c r="T712" s="1025" t="b">
        <v>0</v>
      </c>
      <c r="U712" s="491">
        <v>0.79</v>
      </c>
      <c r="V712" s="491">
        <v>0</v>
      </c>
      <c r="W712" s="491">
        <v>0</v>
      </c>
      <c r="X712" s="491">
        <v>0</v>
      </c>
      <c r="Y712" s="1025" t="b">
        <v>1</v>
      </c>
      <c r="Z712" s="331">
        <v>0</v>
      </c>
      <c r="AA712" s="331">
        <v>0</v>
      </c>
      <c r="AB712" s="331">
        <v>0</v>
      </c>
      <c r="AC712" s="331">
        <v>0</v>
      </c>
      <c r="AD712" s="1025" t="b">
        <v>0</v>
      </c>
      <c r="AE712" s="331">
        <v>0</v>
      </c>
      <c r="AF712" s="331">
        <v>0</v>
      </c>
      <c r="AG712" s="331">
        <v>0</v>
      </c>
      <c r="AH712" s="331">
        <v>0</v>
      </c>
      <c r="AI712" s="1025" t="b">
        <v>0</v>
      </c>
      <c r="AJ712" s="331">
        <v>0</v>
      </c>
      <c r="AK712" s="331">
        <v>0</v>
      </c>
      <c r="AL712" s="331">
        <v>0</v>
      </c>
      <c r="AM712" s="331">
        <v>0</v>
      </c>
      <c r="AN712" s="1025" t="b">
        <v>0</v>
      </c>
      <c r="AO712" s="331">
        <v>0</v>
      </c>
      <c r="AP712" s="331">
        <v>0</v>
      </c>
      <c r="AQ712" s="331">
        <v>0</v>
      </c>
      <c r="AR712" s="331">
        <v>0</v>
      </c>
      <c r="AS712" s="1025" t="b">
        <v>0</v>
      </c>
      <c r="AT712" s="1025" t="b">
        <v>1</v>
      </c>
      <c r="AU712" s="331">
        <v>0</v>
      </c>
      <c r="AV712" s="491" t="s">
        <v>29</v>
      </c>
    </row>
    <row r="713" spans="1:48">
      <c r="A713" s="72">
        <v>49</v>
      </c>
      <c r="B713" s="391" t="s">
        <v>75</v>
      </c>
      <c r="C713" s="72">
        <f t="shared" si="33"/>
        <v>24</v>
      </c>
      <c r="D713" s="72" t="str">
        <f t="shared" si="34"/>
        <v>49-24</v>
      </c>
      <c r="E713" s="72">
        <v>71035</v>
      </c>
      <c r="F713" s="72" t="str">
        <f t="shared" si="35"/>
        <v>49-71035</v>
      </c>
      <c r="G713" s="391" t="s">
        <v>1176</v>
      </c>
      <c r="H713" s="331">
        <v>13318.73</v>
      </c>
      <c r="I713" s="331">
        <v>12246.02</v>
      </c>
      <c r="J713" s="331">
        <v>12609.29</v>
      </c>
      <c r="K713" s="331">
        <v>14992.95</v>
      </c>
      <c r="L713" s="1072">
        <v>0</v>
      </c>
      <c r="M713" s="1072">
        <v>0</v>
      </c>
      <c r="N713" s="1072">
        <v>0</v>
      </c>
      <c r="O713" s="1072">
        <v>0</v>
      </c>
      <c r="P713" s="491">
        <v>0</v>
      </c>
      <c r="Q713" s="491">
        <v>0</v>
      </c>
      <c r="R713" s="491">
        <v>0</v>
      </c>
      <c r="S713" s="491">
        <v>0</v>
      </c>
      <c r="T713" s="1025" t="b">
        <v>0</v>
      </c>
      <c r="U713" s="491">
        <v>5.55</v>
      </c>
      <c r="V713" s="491">
        <v>4.34</v>
      </c>
      <c r="W713" s="491">
        <v>0</v>
      </c>
      <c r="X713" s="491">
        <v>0</v>
      </c>
      <c r="Y713" s="1025" t="b">
        <v>1</v>
      </c>
      <c r="Z713" s="331">
        <v>0</v>
      </c>
      <c r="AA713" s="331">
        <v>0.49</v>
      </c>
      <c r="AB713" s="331">
        <v>0</v>
      </c>
      <c r="AC713" s="331">
        <v>0</v>
      </c>
      <c r="AD713" s="1025" t="b">
        <v>1</v>
      </c>
      <c r="AE713" s="331">
        <v>0.48</v>
      </c>
      <c r="AF713" s="331">
        <v>0.16</v>
      </c>
      <c r="AG713" s="331">
        <v>0</v>
      </c>
      <c r="AH713" s="331">
        <v>0</v>
      </c>
      <c r="AI713" s="1025" t="b">
        <v>1</v>
      </c>
      <c r="AJ713" s="331">
        <v>0</v>
      </c>
      <c r="AK713" s="331">
        <v>0</v>
      </c>
      <c r="AL713" s="331">
        <v>0</v>
      </c>
      <c r="AM713" s="331">
        <v>0</v>
      </c>
      <c r="AN713" s="1025" t="b">
        <v>0</v>
      </c>
      <c r="AO713" s="331">
        <v>0</v>
      </c>
      <c r="AP713" s="331">
        <v>0</v>
      </c>
      <c r="AQ713" s="331">
        <v>0</v>
      </c>
      <c r="AR713" s="331">
        <v>0</v>
      </c>
      <c r="AS713" s="1025" t="b">
        <v>0</v>
      </c>
      <c r="AT713" s="1025" t="b">
        <v>1</v>
      </c>
      <c r="AU713" s="331">
        <v>0</v>
      </c>
      <c r="AV713" s="491" t="s">
        <v>29</v>
      </c>
    </row>
    <row r="714" spans="1:48">
      <c r="A714" s="72">
        <v>49</v>
      </c>
      <c r="B714" s="391" t="s">
        <v>75</v>
      </c>
      <c r="C714" s="72">
        <f t="shared" si="33"/>
        <v>25</v>
      </c>
      <c r="D714" s="72" t="str">
        <f t="shared" si="34"/>
        <v>49-25</v>
      </c>
      <c r="E714" s="72">
        <v>73882</v>
      </c>
      <c r="F714" s="72" t="str">
        <f t="shared" si="35"/>
        <v>49-73882</v>
      </c>
      <c r="G714" s="391" t="s">
        <v>1177</v>
      </c>
      <c r="H714" s="331">
        <v>11078.89</v>
      </c>
      <c r="I714" s="331">
        <v>10186.58</v>
      </c>
      <c r="J714" s="331">
        <v>10488.76</v>
      </c>
      <c r="K714" s="331">
        <v>12471.55</v>
      </c>
      <c r="L714" s="1072">
        <v>0</v>
      </c>
      <c r="M714" s="1072">
        <v>0</v>
      </c>
      <c r="N714" s="1072">
        <v>0</v>
      </c>
      <c r="O714" s="1072">
        <v>0</v>
      </c>
      <c r="P714" s="491">
        <v>0</v>
      </c>
      <c r="Q714" s="491">
        <v>0</v>
      </c>
      <c r="R714" s="491">
        <v>0</v>
      </c>
      <c r="S714" s="491">
        <v>2.78</v>
      </c>
      <c r="T714" s="1025" t="b">
        <v>1</v>
      </c>
      <c r="U714" s="491">
        <v>1.08</v>
      </c>
      <c r="V714" s="491">
        <v>2.79</v>
      </c>
      <c r="W714" s="491">
        <v>0.08</v>
      </c>
      <c r="X714" s="491">
        <v>23.23</v>
      </c>
      <c r="Y714" s="1025" t="b">
        <v>1</v>
      </c>
      <c r="Z714" s="331">
        <v>0</v>
      </c>
      <c r="AA714" s="331">
        <v>0</v>
      </c>
      <c r="AB714" s="331">
        <v>0</v>
      </c>
      <c r="AC714" s="331">
        <v>0</v>
      </c>
      <c r="AD714" s="1025" t="b">
        <v>0</v>
      </c>
      <c r="AE714" s="331">
        <v>0.05</v>
      </c>
      <c r="AF714" s="331">
        <v>0</v>
      </c>
      <c r="AG714" s="331">
        <v>0.1</v>
      </c>
      <c r="AH714" s="331">
        <v>1.82</v>
      </c>
      <c r="AI714" s="1025" t="b">
        <v>1</v>
      </c>
      <c r="AJ714" s="331">
        <v>0</v>
      </c>
      <c r="AK714" s="331">
        <v>0</v>
      </c>
      <c r="AL714" s="331">
        <v>0</v>
      </c>
      <c r="AM714" s="331">
        <v>0</v>
      </c>
      <c r="AN714" s="1025" t="b">
        <v>0</v>
      </c>
      <c r="AO714" s="331">
        <v>0</v>
      </c>
      <c r="AP714" s="331">
        <v>0</v>
      </c>
      <c r="AQ714" s="331">
        <v>0</v>
      </c>
      <c r="AR714" s="331">
        <v>0</v>
      </c>
      <c r="AS714" s="1025" t="b">
        <v>0</v>
      </c>
      <c r="AT714" s="1025" t="b">
        <v>1</v>
      </c>
      <c r="AU714" s="331">
        <v>0</v>
      </c>
      <c r="AV714" s="491" t="s">
        <v>29</v>
      </c>
    </row>
    <row r="715" spans="1:48">
      <c r="A715" s="72">
        <v>49</v>
      </c>
      <c r="B715" s="391" t="s">
        <v>75</v>
      </c>
      <c r="C715" s="72">
        <f t="shared" si="33"/>
        <v>26</v>
      </c>
      <c r="D715" s="72" t="str">
        <f t="shared" si="34"/>
        <v>49-26</v>
      </c>
      <c r="E715" s="72">
        <v>75358</v>
      </c>
      <c r="F715" s="72" t="str">
        <f t="shared" si="35"/>
        <v>49-75358</v>
      </c>
      <c r="G715" s="391" t="s">
        <v>1178</v>
      </c>
      <c r="H715" s="331">
        <v>11149.72</v>
      </c>
      <c r="I715" s="331">
        <v>10251.709999999999</v>
      </c>
      <c r="J715" s="331">
        <v>10555.82</v>
      </c>
      <c r="K715" s="331">
        <v>12551.29</v>
      </c>
      <c r="L715" s="1072">
        <v>0</v>
      </c>
      <c r="M715" s="1072">
        <v>0</v>
      </c>
      <c r="N715" s="1072">
        <v>0</v>
      </c>
      <c r="O715" s="1072">
        <v>0</v>
      </c>
      <c r="P715" s="491">
        <v>0</v>
      </c>
      <c r="Q715" s="491">
        <v>0</v>
      </c>
      <c r="R715" s="491">
        <v>0</v>
      </c>
      <c r="S715" s="491">
        <v>1.04</v>
      </c>
      <c r="T715" s="1025" t="b">
        <v>1</v>
      </c>
      <c r="U715" s="491">
        <v>1.71</v>
      </c>
      <c r="V715" s="491">
        <v>0</v>
      </c>
      <c r="W715" s="491">
        <v>0</v>
      </c>
      <c r="X715" s="491">
        <v>0.51</v>
      </c>
      <c r="Y715" s="1025" t="b">
        <v>1</v>
      </c>
      <c r="Z715" s="331">
        <v>0</v>
      </c>
      <c r="AA715" s="331">
        <v>0</v>
      </c>
      <c r="AB715" s="331">
        <v>0</v>
      </c>
      <c r="AC715" s="331">
        <v>0</v>
      </c>
      <c r="AD715" s="1025" t="b">
        <v>0</v>
      </c>
      <c r="AE715" s="331">
        <v>0.15</v>
      </c>
      <c r="AF715" s="331">
        <v>0</v>
      </c>
      <c r="AG715" s="331">
        <v>0</v>
      </c>
      <c r="AH715" s="331">
        <v>0</v>
      </c>
      <c r="AI715" s="1025" t="b">
        <v>1</v>
      </c>
      <c r="AJ715" s="331">
        <v>0</v>
      </c>
      <c r="AK715" s="331">
        <v>0</v>
      </c>
      <c r="AL715" s="331">
        <v>0</v>
      </c>
      <c r="AM715" s="331">
        <v>0</v>
      </c>
      <c r="AN715" s="1025" t="b">
        <v>0</v>
      </c>
      <c r="AO715" s="331">
        <v>0</v>
      </c>
      <c r="AP715" s="331">
        <v>0</v>
      </c>
      <c r="AQ715" s="331">
        <v>0</v>
      </c>
      <c r="AR715" s="331">
        <v>0</v>
      </c>
      <c r="AS715" s="1025" t="b">
        <v>0</v>
      </c>
      <c r="AT715" s="1025" t="b">
        <v>1</v>
      </c>
      <c r="AU715" s="331">
        <v>0</v>
      </c>
      <c r="AV715" s="491" t="s">
        <v>29</v>
      </c>
    </row>
    <row r="716" spans="1:48">
      <c r="A716" s="72">
        <v>49</v>
      </c>
      <c r="B716" s="391" t="s">
        <v>75</v>
      </c>
      <c r="C716" s="72">
        <f t="shared" si="33"/>
        <v>27</v>
      </c>
      <c r="D716" s="72" t="str">
        <f t="shared" si="34"/>
        <v>49-27</v>
      </c>
      <c r="E716" s="72">
        <v>75390</v>
      </c>
      <c r="F716" s="72" t="str">
        <f t="shared" si="35"/>
        <v>49-75390</v>
      </c>
      <c r="G716" s="391" t="s">
        <v>1179</v>
      </c>
      <c r="H716" s="331">
        <v>11756.76</v>
      </c>
      <c r="I716" s="331">
        <v>10809.85</v>
      </c>
      <c r="J716" s="331">
        <v>11130.52</v>
      </c>
      <c r="K716" s="331">
        <v>13234.63</v>
      </c>
      <c r="L716" s="1072">
        <v>0</v>
      </c>
      <c r="M716" s="1072">
        <v>0</v>
      </c>
      <c r="N716" s="1072">
        <v>0</v>
      </c>
      <c r="O716" s="1072">
        <v>0</v>
      </c>
      <c r="P716" s="491">
        <v>0</v>
      </c>
      <c r="Q716" s="491">
        <v>0</v>
      </c>
      <c r="R716" s="491">
        <v>0</v>
      </c>
      <c r="S716" s="491">
        <v>0</v>
      </c>
      <c r="T716" s="1025" t="b">
        <v>0</v>
      </c>
      <c r="U716" s="491">
        <v>0.01</v>
      </c>
      <c r="V716" s="491">
        <v>1.76</v>
      </c>
      <c r="W716" s="491">
        <v>0</v>
      </c>
      <c r="X716" s="491">
        <v>0.84</v>
      </c>
      <c r="Y716" s="1025" t="b">
        <v>1</v>
      </c>
      <c r="Z716" s="331">
        <v>0</v>
      </c>
      <c r="AA716" s="331">
        <v>0.9</v>
      </c>
      <c r="AB716" s="331">
        <v>0</v>
      </c>
      <c r="AC716" s="331">
        <v>0</v>
      </c>
      <c r="AD716" s="1025" t="b">
        <v>1</v>
      </c>
      <c r="AE716" s="331">
        <v>0</v>
      </c>
      <c r="AF716" s="331">
        <v>0.16</v>
      </c>
      <c r="AG716" s="331">
        <v>0</v>
      </c>
      <c r="AH716" s="331">
        <v>0.1</v>
      </c>
      <c r="AI716" s="1025" t="b">
        <v>1</v>
      </c>
      <c r="AJ716" s="331">
        <v>0</v>
      </c>
      <c r="AK716" s="331">
        <v>0</v>
      </c>
      <c r="AL716" s="331">
        <v>0</v>
      </c>
      <c r="AM716" s="331">
        <v>0</v>
      </c>
      <c r="AN716" s="1025" t="b">
        <v>0</v>
      </c>
      <c r="AO716" s="331">
        <v>0</v>
      </c>
      <c r="AP716" s="331">
        <v>0</v>
      </c>
      <c r="AQ716" s="331">
        <v>0</v>
      </c>
      <c r="AR716" s="331">
        <v>0</v>
      </c>
      <c r="AS716" s="1025" t="b">
        <v>0</v>
      </c>
      <c r="AT716" s="1025" t="b">
        <v>1</v>
      </c>
      <c r="AU716" s="331">
        <v>0</v>
      </c>
      <c r="AV716" s="491" t="s">
        <v>29</v>
      </c>
    </row>
    <row r="717" spans="1:48">
      <c r="A717" s="72">
        <v>49</v>
      </c>
      <c r="B717" s="391" t="s">
        <v>75</v>
      </c>
      <c r="C717" s="72">
        <f t="shared" si="33"/>
        <v>0</v>
      </c>
      <c r="D717" s="72" t="str">
        <f t="shared" si="34"/>
        <v>49-0</v>
      </c>
      <c r="E717" s="72" t="s">
        <v>29</v>
      </c>
      <c r="F717" s="72" t="str">
        <f t="shared" si="35"/>
        <v>49-N/A</v>
      </c>
      <c r="G717" s="391" t="s">
        <v>29</v>
      </c>
      <c r="H717" s="491" t="s">
        <v>29</v>
      </c>
      <c r="I717" s="491" t="s">
        <v>29</v>
      </c>
      <c r="J717" s="491" t="s">
        <v>29</v>
      </c>
      <c r="K717" s="491" t="s">
        <v>29</v>
      </c>
      <c r="L717" s="491" t="s">
        <v>29</v>
      </c>
      <c r="M717" s="491" t="s">
        <v>29</v>
      </c>
      <c r="N717" s="491" t="s">
        <v>29</v>
      </c>
      <c r="O717" s="491" t="s">
        <v>29</v>
      </c>
      <c r="P717" s="491" t="s">
        <v>29</v>
      </c>
      <c r="Q717" s="491" t="s">
        <v>29</v>
      </c>
      <c r="R717" s="491" t="s">
        <v>29</v>
      </c>
      <c r="S717" s="491" t="s">
        <v>29</v>
      </c>
      <c r="T717" s="1025" t="s">
        <v>29</v>
      </c>
      <c r="U717" s="491" t="s">
        <v>29</v>
      </c>
      <c r="V717" s="491" t="s">
        <v>29</v>
      </c>
      <c r="W717" s="491" t="s">
        <v>29</v>
      </c>
      <c r="X717" s="491" t="s">
        <v>29</v>
      </c>
      <c r="Y717" s="1025" t="s">
        <v>29</v>
      </c>
      <c r="Z717" s="491" t="s">
        <v>29</v>
      </c>
      <c r="AA717" s="491" t="s">
        <v>29</v>
      </c>
      <c r="AB717" s="491" t="s">
        <v>29</v>
      </c>
      <c r="AC717" s="491" t="s">
        <v>29</v>
      </c>
      <c r="AD717" s="1025" t="s">
        <v>29</v>
      </c>
      <c r="AE717" s="491" t="s">
        <v>29</v>
      </c>
      <c r="AF717" s="491" t="s">
        <v>29</v>
      </c>
      <c r="AG717" s="491" t="s">
        <v>29</v>
      </c>
      <c r="AH717" s="491" t="s">
        <v>29</v>
      </c>
      <c r="AI717" s="1025" t="s">
        <v>29</v>
      </c>
      <c r="AJ717" s="491" t="s">
        <v>29</v>
      </c>
      <c r="AK717" s="491" t="s">
        <v>29</v>
      </c>
      <c r="AL717" s="491" t="s">
        <v>29</v>
      </c>
      <c r="AM717" s="491" t="s">
        <v>29</v>
      </c>
      <c r="AN717" s="1025" t="s">
        <v>29</v>
      </c>
      <c r="AO717" s="491" t="s">
        <v>29</v>
      </c>
      <c r="AP717" s="491" t="s">
        <v>29</v>
      </c>
      <c r="AQ717" s="491" t="s">
        <v>29</v>
      </c>
      <c r="AR717" s="491" t="s">
        <v>29</v>
      </c>
      <c r="AS717" s="1025" t="s">
        <v>29</v>
      </c>
      <c r="AT717" s="1025" t="s">
        <v>29</v>
      </c>
      <c r="AU717" s="491" t="s">
        <v>29</v>
      </c>
      <c r="AV717" s="491">
        <v>4068</v>
      </c>
    </row>
    <row r="718" spans="1:48">
      <c r="A718" s="72">
        <v>50</v>
      </c>
      <c r="B718" s="391" t="s">
        <v>41</v>
      </c>
      <c r="C718" s="72">
        <f t="shared" si="33"/>
        <v>1</v>
      </c>
      <c r="D718" s="72" t="str">
        <f t="shared" si="34"/>
        <v>50-1</v>
      </c>
      <c r="E718" s="72">
        <v>75366</v>
      </c>
      <c r="F718" s="72" t="str">
        <f t="shared" si="35"/>
        <v>50-75366</v>
      </c>
      <c r="G718" s="391" t="s">
        <v>905</v>
      </c>
      <c r="H718" s="331">
        <v>14034.34</v>
      </c>
      <c r="I718" s="331">
        <v>12904</v>
      </c>
      <c r="J718" s="331">
        <v>13286.79</v>
      </c>
      <c r="K718" s="331">
        <v>15798.52</v>
      </c>
      <c r="L718" s="491" t="s">
        <v>29</v>
      </c>
      <c r="M718" s="491" t="s">
        <v>29</v>
      </c>
      <c r="N718" s="491" t="s">
        <v>29</v>
      </c>
      <c r="O718" s="491" t="s">
        <v>29</v>
      </c>
      <c r="P718" s="491">
        <v>0</v>
      </c>
      <c r="Q718" s="491">
        <v>0</v>
      </c>
      <c r="R718" s="491">
        <v>0</v>
      </c>
      <c r="S718" s="491">
        <v>1.1599999999999999</v>
      </c>
      <c r="T718" s="1025" t="b">
        <v>0</v>
      </c>
      <c r="U718" s="491">
        <v>0</v>
      </c>
      <c r="V718" s="491">
        <v>0</v>
      </c>
      <c r="W718" s="491">
        <v>0</v>
      </c>
      <c r="X718" s="491">
        <v>0</v>
      </c>
      <c r="Y718" s="1025" t="b">
        <v>0</v>
      </c>
      <c r="Z718" s="331">
        <v>0</v>
      </c>
      <c r="AA718" s="331">
        <v>0</v>
      </c>
      <c r="AB718" s="331">
        <v>0</v>
      </c>
      <c r="AC718" s="331">
        <v>0</v>
      </c>
      <c r="AD718" s="1025" t="b">
        <v>0</v>
      </c>
      <c r="AE718" s="331">
        <v>0</v>
      </c>
      <c r="AF718" s="331">
        <v>0</v>
      </c>
      <c r="AG718" s="331">
        <v>0</v>
      </c>
      <c r="AH718" s="331">
        <v>0</v>
      </c>
      <c r="AI718" s="1025" t="b">
        <v>0</v>
      </c>
      <c r="AJ718" s="331">
        <v>0</v>
      </c>
      <c r="AK718" s="331">
        <v>0</v>
      </c>
      <c r="AL718" s="331">
        <v>0</v>
      </c>
      <c r="AM718" s="331">
        <v>0</v>
      </c>
      <c r="AN718" s="1025" t="b">
        <v>0</v>
      </c>
      <c r="AO718" s="331">
        <v>0</v>
      </c>
      <c r="AP718" s="331">
        <v>0</v>
      </c>
      <c r="AQ718" s="331">
        <v>0</v>
      </c>
      <c r="AR718" s="331">
        <v>0</v>
      </c>
      <c r="AS718" s="1025" t="b">
        <v>0</v>
      </c>
      <c r="AT718" s="1025" t="b">
        <v>0</v>
      </c>
      <c r="AU718" s="331">
        <v>18326</v>
      </c>
      <c r="AV718" s="491" t="s">
        <v>29</v>
      </c>
    </row>
    <row r="719" spans="1:48">
      <c r="A719" s="72">
        <v>50</v>
      </c>
      <c r="B719" s="391" t="s">
        <v>41</v>
      </c>
      <c r="C719" s="72">
        <f t="shared" si="33"/>
        <v>2</v>
      </c>
      <c r="D719" s="72" t="str">
        <f t="shared" si="34"/>
        <v>50-2</v>
      </c>
      <c r="E719" s="72">
        <v>68502</v>
      </c>
      <c r="F719" s="72" t="str">
        <f t="shared" si="35"/>
        <v>50-68502</v>
      </c>
      <c r="G719" s="391" t="s">
        <v>1056</v>
      </c>
      <c r="H719" s="331">
        <v>11133.13</v>
      </c>
      <c r="I719" s="331">
        <v>10236.450000000001</v>
      </c>
      <c r="J719" s="331">
        <v>10540.11</v>
      </c>
      <c r="K719" s="331">
        <v>12532.61</v>
      </c>
      <c r="L719" s="491" t="s">
        <v>29</v>
      </c>
      <c r="M719" s="491" t="s">
        <v>29</v>
      </c>
      <c r="N719" s="491" t="s">
        <v>29</v>
      </c>
      <c r="O719" s="491" t="s">
        <v>29</v>
      </c>
      <c r="P719" s="491">
        <v>0</v>
      </c>
      <c r="Q719" s="491">
        <v>0</v>
      </c>
      <c r="R719" s="491">
        <v>0.28999999999999998</v>
      </c>
      <c r="S719" s="491">
        <v>1.39</v>
      </c>
      <c r="T719" s="1025" t="b">
        <v>0</v>
      </c>
      <c r="U719" s="491">
        <v>0</v>
      </c>
      <c r="V719" s="491">
        <v>0</v>
      </c>
      <c r="W719" s="491">
        <v>0</v>
      </c>
      <c r="X719" s="491">
        <v>0</v>
      </c>
      <c r="Y719" s="1025" t="b">
        <v>0</v>
      </c>
      <c r="Z719" s="331">
        <v>0</v>
      </c>
      <c r="AA719" s="331">
        <v>0</v>
      </c>
      <c r="AB719" s="331">
        <v>0</v>
      </c>
      <c r="AC719" s="331">
        <v>0</v>
      </c>
      <c r="AD719" s="1025" t="b">
        <v>0</v>
      </c>
      <c r="AE719" s="331">
        <v>0</v>
      </c>
      <c r="AF719" s="331">
        <v>0</v>
      </c>
      <c r="AG719" s="331">
        <v>0</v>
      </c>
      <c r="AH719" s="331">
        <v>0</v>
      </c>
      <c r="AI719" s="1025" t="b">
        <v>0</v>
      </c>
      <c r="AJ719" s="331">
        <v>0</v>
      </c>
      <c r="AK719" s="331">
        <v>0</v>
      </c>
      <c r="AL719" s="331">
        <v>0</v>
      </c>
      <c r="AM719" s="331">
        <v>0</v>
      </c>
      <c r="AN719" s="1025" t="b">
        <v>0</v>
      </c>
      <c r="AO719" s="331">
        <v>0</v>
      </c>
      <c r="AP719" s="331">
        <v>0</v>
      </c>
      <c r="AQ719" s="331">
        <v>0</v>
      </c>
      <c r="AR719" s="331">
        <v>0</v>
      </c>
      <c r="AS719" s="1025" t="b">
        <v>0</v>
      </c>
      <c r="AT719" s="1025" t="b">
        <v>0</v>
      </c>
      <c r="AU719" s="331">
        <v>20477</v>
      </c>
      <c r="AV719" s="491" t="s">
        <v>29</v>
      </c>
    </row>
    <row r="720" spans="1:48">
      <c r="A720" s="72">
        <v>50</v>
      </c>
      <c r="B720" s="391" t="s">
        <v>41</v>
      </c>
      <c r="C720" s="72">
        <f t="shared" si="33"/>
        <v>3</v>
      </c>
      <c r="D720" s="72" t="str">
        <f t="shared" si="34"/>
        <v>50-3</v>
      </c>
      <c r="E720" s="72">
        <v>68676</v>
      </c>
      <c r="F720" s="72" t="str">
        <f t="shared" si="35"/>
        <v>50-68676</v>
      </c>
      <c r="G720" s="391" t="s">
        <v>1064</v>
      </c>
      <c r="H720" s="331">
        <v>13637.83</v>
      </c>
      <c r="I720" s="331">
        <v>12539.42</v>
      </c>
      <c r="J720" s="331">
        <v>12911.4</v>
      </c>
      <c r="K720" s="331">
        <v>15352.16</v>
      </c>
      <c r="L720" s="491" t="s">
        <v>29</v>
      </c>
      <c r="M720" s="491" t="s">
        <v>29</v>
      </c>
      <c r="N720" s="491" t="s">
        <v>29</v>
      </c>
      <c r="O720" s="491" t="s">
        <v>29</v>
      </c>
      <c r="P720" s="491">
        <v>0</v>
      </c>
      <c r="Q720" s="491">
        <v>0</v>
      </c>
      <c r="R720" s="491">
        <v>0</v>
      </c>
      <c r="S720" s="491">
        <v>0.1</v>
      </c>
      <c r="T720" s="1025" t="b">
        <v>0</v>
      </c>
      <c r="U720" s="491">
        <v>0</v>
      </c>
      <c r="V720" s="491">
        <v>0</v>
      </c>
      <c r="W720" s="491">
        <v>0</v>
      </c>
      <c r="X720" s="491">
        <v>0</v>
      </c>
      <c r="Y720" s="1025" t="b">
        <v>0</v>
      </c>
      <c r="Z720" s="331">
        <v>0</v>
      </c>
      <c r="AA720" s="331">
        <v>0</v>
      </c>
      <c r="AB720" s="331">
        <v>0</v>
      </c>
      <c r="AC720" s="331">
        <v>0</v>
      </c>
      <c r="AD720" s="1025" t="b">
        <v>0</v>
      </c>
      <c r="AE720" s="331">
        <v>0</v>
      </c>
      <c r="AF720" s="331">
        <v>0</v>
      </c>
      <c r="AG720" s="331">
        <v>0</v>
      </c>
      <c r="AH720" s="331">
        <v>0</v>
      </c>
      <c r="AI720" s="1025" t="b">
        <v>0</v>
      </c>
      <c r="AJ720" s="331">
        <v>0</v>
      </c>
      <c r="AK720" s="331">
        <v>0</v>
      </c>
      <c r="AL720" s="331">
        <v>0</v>
      </c>
      <c r="AM720" s="331">
        <v>0</v>
      </c>
      <c r="AN720" s="1025" t="b">
        <v>0</v>
      </c>
      <c r="AO720" s="331">
        <v>0</v>
      </c>
      <c r="AP720" s="331">
        <v>0</v>
      </c>
      <c r="AQ720" s="331">
        <v>0</v>
      </c>
      <c r="AR720" s="331">
        <v>0</v>
      </c>
      <c r="AS720" s="1025" t="b">
        <v>0</v>
      </c>
      <c r="AT720" s="1025" t="b">
        <v>0</v>
      </c>
      <c r="AU720" s="331">
        <v>1535</v>
      </c>
      <c r="AV720" s="491" t="s">
        <v>29</v>
      </c>
    </row>
    <row r="721" spans="1:48">
      <c r="A721" s="72">
        <v>50</v>
      </c>
      <c r="B721" s="391" t="s">
        <v>41</v>
      </c>
      <c r="C721" s="72">
        <f t="shared" si="33"/>
        <v>4</v>
      </c>
      <c r="D721" s="72" t="str">
        <f t="shared" si="34"/>
        <v>50-4</v>
      </c>
      <c r="E721" s="72">
        <v>71043</v>
      </c>
      <c r="F721" s="72" t="str">
        <f t="shared" si="35"/>
        <v>50-71043</v>
      </c>
      <c r="G721" s="391" t="s">
        <v>1180</v>
      </c>
      <c r="H721" s="331">
        <v>13922.53</v>
      </c>
      <c r="I721" s="331">
        <v>12801.19</v>
      </c>
      <c r="J721" s="331">
        <v>13180.93</v>
      </c>
      <c r="K721" s="331">
        <v>15672.65</v>
      </c>
      <c r="L721" s="1072">
        <v>0</v>
      </c>
      <c r="M721" s="1072">
        <v>0</v>
      </c>
      <c r="N721" s="1072">
        <v>0</v>
      </c>
      <c r="O721" s="1072">
        <v>0</v>
      </c>
      <c r="P721" s="491">
        <v>0</v>
      </c>
      <c r="Q721" s="491">
        <v>0.77</v>
      </c>
      <c r="R721" s="491">
        <v>9.4600000000000009</v>
      </c>
      <c r="S721" s="491">
        <v>32.76</v>
      </c>
      <c r="T721" s="1025" t="b">
        <v>0</v>
      </c>
      <c r="U721" s="491">
        <v>3.25</v>
      </c>
      <c r="V721" s="491">
        <v>1.32</v>
      </c>
      <c r="W721" s="491">
        <v>2.89</v>
      </c>
      <c r="X721" s="491">
        <v>5.4</v>
      </c>
      <c r="Y721" s="1025" t="b">
        <v>1</v>
      </c>
      <c r="Z721" s="331">
        <v>1.23</v>
      </c>
      <c r="AA721" s="331">
        <v>4.72</v>
      </c>
      <c r="AB721" s="331">
        <v>5.18</v>
      </c>
      <c r="AC721" s="331">
        <v>4.25</v>
      </c>
      <c r="AD721" s="1025" t="b">
        <v>1</v>
      </c>
      <c r="AE721" s="331">
        <v>0.11</v>
      </c>
      <c r="AF721" s="331">
        <v>0.44</v>
      </c>
      <c r="AG721" s="331">
        <v>0.56000000000000005</v>
      </c>
      <c r="AH721" s="331">
        <v>0.7</v>
      </c>
      <c r="AI721" s="1025" t="b">
        <v>1</v>
      </c>
      <c r="AJ721" s="331">
        <v>0</v>
      </c>
      <c r="AK721" s="331">
        <v>0</v>
      </c>
      <c r="AL721" s="331">
        <v>0</v>
      </c>
      <c r="AM721" s="331">
        <v>0</v>
      </c>
      <c r="AN721" s="1025" t="b">
        <v>0</v>
      </c>
      <c r="AO721" s="331">
        <v>0</v>
      </c>
      <c r="AP721" s="331">
        <v>0</v>
      </c>
      <c r="AQ721" s="331">
        <v>0</v>
      </c>
      <c r="AR721" s="331">
        <v>0</v>
      </c>
      <c r="AS721" s="1025" t="b">
        <v>0</v>
      </c>
      <c r="AT721" s="1025" t="b">
        <v>1</v>
      </c>
      <c r="AU721" s="331">
        <v>647985</v>
      </c>
      <c r="AV721" s="491" t="s">
        <v>29</v>
      </c>
    </row>
    <row r="722" spans="1:48">
      <c r="A722" s="72">
        <v>50</v>
      </c>
      <c r="B722" s="391" t="s">
        <v>41</v>
      </c>
      <c r="C722" s="72">
        <f t="shared" si="33"/>
        <v>5</v>
      </c>
      <c r="D722" s="72" t="str">
        <f t="shared" si="34"/>
        <v>50-5</v>
      </c>
      <c r="E722" s="72">
        <v>71050</v>
      </c>
      <c r="F722" s="72" t="str">
        <f t="shared" si="35"/>
        <v>50-71050</v>
      </c>
      <c r="G722" s="391" t="s">
        <v>1181</v>
      </c>
      <c r="H722" s="331">
        <v>13034.89</v>
      </c>
      <c r="I722" s="331">
        <v>11985.04</v>
      </c>
      <c r="J722" s="331">
        <v>12340.57</v>
      </c>
      <c r="K722" s="331">
        <v>14673.43</v>
      </c>
      <c r="L722" s="1072">
        <v>0</v>
      </c>
      <c r="M722" s="1072">
        <v>0</v>
      </c>
      <c r="N722" s="1072">
        <v>0</v>
      </c>
      <c r="O722" s="491" t="s">
        <v>29</v>
      </c>
      <c r="P722" s="491">
        <v>0</v>
      </c>
      <c r="Q722" s="491">
        <v>0</v>
      </c>
      <c r="R722" s="491">
        <v>0.76</v>
      </c>
      <c r="S722" s="491">
        <v>0</v>
      </c>
      <c r="T722" s="1025" t="b">
        <v>0</v>
      </c>
      <c r="U722" s="491">
        <v>1.43</v>
      </c>
      <c r="V722" s="491">
        <v>0.69</v>
      </c>
      <c r="W722" s="491">
        <v>0</v>
      </c>
      <c r="X722" s="491">
        <v>0</v>
      </c>
      <c r="Y722" s="1025" t="b">
        <v>1</v>
      </c>
      <c r="Z722" s="331">
        <v>0</v>
      </c>
      <c r="AA722" s="331">
        <v>0.16</v>
      </c>
      <c r="AB722" s="331">
        <v>0</v>
      </c>
      <c r="AC722" s="331">
        <v>0</v>
      </c>
      <c r="AD722" s="1025" t="b">
        <v>1</v>
      </c>
      <c r="AE722" s="331">
        <v>0</v>
      </c>
      <c r="AF722" s="331">
        <v>0</v>
      </c>
      <c r="AG722" s="331">
        <v>0</v>
      </c>
      <c r="AH722" s="331">
        <v>0</v>
      </c>
      <c r="AI722" s="1025" t="b">
        <v>0</v>
      </c>
      <c r="AJ722" s="331">
        <v>0</v>
      </c>
      <c r="AK722" s="331">
        <v>0</v>
      </c>
      <c r="AL722" s="331">
        <v>0</v>
      </c>
      <c r="AM722" s="331">
        <v>0</v>
      </c>
      <c r="AN722" s="1025" t="b">
        <v>0</v>
      </c>
      <c r="AO722" s="331">
        <v>0</v>
      </c>
      <c r="AP722" s="331">
        <v>0</v>
      </c>
      <c r="AQ722" s="331">
        <v>0</v>
      </c>
      <c r="AR722" s="331">
        <v>0</v>
      </c>
      <c r="AS722" s="1025" t="b">
        <v>0</v>
      </c>
      <c r="AT722" s="1025" t="b">
        <v>1</v>
      </c>
      <c r="AU722" s="331">
        <v>9379</v>
      </c>
      <c r="AV722" s="491" t="s">
        <v>29</v>
      </c>
    </row>
    <row r="723" spans="1:48">
      <c r="A723" s="72">
        <v>50</v>
      </c>
      <c r="B723" s="391" t="s">
        <v>41</v>
      </c>
      <c r="C723" s="72">
        <f t="shared" si="33"/>
        <v>6</v>
      </c>
      <c r="D723" s="72" t="str">
        <f t="shared" si="34"/>
        <v>50-6</v>
      </c>
      <c r="E723" s="72">
        <v>71068</v>
      </c>
      <c r="F723" s="72" t="str">
        <f t="shared" si="35"/>
        <v>50-71068</v>
      </c>
      <c r="G723" s="391" t="s">
        <v>1182</v>
      </c>
      <c r="H723" s="331">
        <v>11814.39</v>
      </c>
      <c r="I723" s="331">
        <v>10862.84</v>
      </c>
      <c r="J723" s="331">
        <v>11185.08</v>
      </c>
      <c r="K723" s="331">
        <v>13299.51</v>
      </c>
      <c r="L723" s="491" t="s">
        <v>29</v>
      </c>
      <c r="M723" s="491" t="s">
        <v>29</v>
      </c>
      <c r="N723" s="491" t="s">
        <v>29</v>
      </c>
      <c r="O723" s="1072">
        <v>0</v>
      </c>
      <c r="P723" s="491">
        <v>0</v>
      </c>
      <c r="Q723" s="491">
        <v>0</v>
      </c>
      <c r="R723" s="491">
        <v>0</v>
      </c>
      <c r="S723" s="491">
        <v>0</v>
      </c>
      <c r="T723" s="1025" t="b">
        <v>0</v>
      </c>
      <c r="U723" s="491">
        <v>0</v>
      </c>
      <c r="V723" s="491">
        <v>0</v>
      </c>
      <c r="W723" s="491">
        <v>0</v>
      </c>
      <c r="X723" s="491">
        <v>0.76</v>
      </c>
      <c r="Y723" s="1025" t="b">
        <v>1</v>
      </c>
      <c r="Z723" s="331">
        <v>0</v>
      </c>
      <c r="AA723" s="331">
        <v>0</v>
      </c>
      <c r="AB723" s="331">
        <v>0</v>
      </c>
      <c r="AC723" s="331">
        <v>0</v>
      </c>
      <c r="AD723" s="1025" t="b">
        <v>0</v>
      </c>
      <c r="AE723" s="331">
        <v>0</v>
      </c>
      <c r="AF723" s="331">
        <v>0</v>
      </c>
      <c r="AG723" s="331">
        <v>0</v>
      </c>
      <c r="AH723" s="331">
        <v>0</v>
      </c>
      <c r="AI723" s="1025" t="b">
        <v>0</v>
      </c>
      <c r="AJ723" s="331">
        <v>0</v>
      </c>
      <c r="AK723" s="331">
        <v>0</v>
      </c>
      <c r="AL723" s="331">
        <v>0</v>
      </c>
      <c r="AM723" s="331">
        <v>0</v>
      </c>
      <c r="AN723" s="1025" t="b">
        <v>0</v>
      </c>
      <c r="AO723" s="331">
        <v>0</v>
      </c>
      <c r="AP723" s="331">
        <v>0</v>
      </c>
      <c r="AQ723" s="331">
        <v>0</v>
      </c>
      <c r="AR723" s="331">
        <v>0</v>
      </c>
      <c r="AS723" s="1025" t="b">
        <v>0</v>
      </c>
      <c r="AT723" s="1025" t="b">
        <v>1</v>
      </c>
      <c r="AU723" s="331">
        <v>0</v>
      </c>
      <c r="AV723" s="491" t="s">
        <v>29</v>
      </c>
    </row>
    <row r="724" spans="1:48">
      <c r="A724" s="72">
        <v>50</v>
      </c>
      <c r="B724" s="391" t="s">
        <v>41</v>
      </c>
      <c r="C724" s="72">
        <f t="shared" si="33"/>
        <v>7</v>
      </c>
      <c r="D724" s="72" t="str">
        <f t="shared" si="34"/>
        <v>50-7</v>
      </c>
      <c r="E724" s="72">
        <v>71076</v>
      </c>
      <c r="F724" s="72" t="str">
        <f t="shared" si="35"/>
        <v>50-71076</v>
      </c>
      <c r="G724" s="391" t="s">
        <v>1183</v>
      </c>
      <c r="H724" s="491">
        <v>13546.66</v>
      </c>
      <c r="I724" s="491">
        <v>12455.59</v>
      </c>
      <c r="J724" s="491">
        <v>12825.08</v>
      </c>
      <c r="K724" s="491">
        <v>15249.53</v>
      </c>
      <c r="L724" s="1072">
        <v>0</v>
      </c>
      <c r="M724" s="1072">
        <v>0</v>
      </c>
      <c r="N724" s="1072">
        <v>0</v>
      </c>
      <c r="O724" s="491" t="s">
        <v>29</v>
      </c>
      <c r="P724" s="491">
        <v>0</v>
      </c>
      <c r="Q724" s="491">
        <v>1.1599999999999999</v>
      </c>
      <c r="R724" s="491">
        <v>1.71</v>
      </c>
      <c r="S724" s="491">
        <v>0</v>
      </c>
      <c r="T724" s="1025" t="b">
        <v>0</v>
      </c>
      <c r="U724" s="491">
        <v>22.85</v>
      </c>
      <c r="V724" s="491">
        <v>9.7200000000000006</v>
      </c>
      <c r="W724" s="491">
        <v>4.03</v>
      </c>
      <c r="X724" s="491">
        <v>0</v>
      </c>
      <c r="Y724" s="1025" t="b">
        <v>1</v>
      </c>
      <c r="Z724" s="491">
        <v>0.59</v>
      </c>
      <c r="AA724" s="491">
        <v>2.2200000000000002</v>
      </c>
      <c r="AB724" s="491">
        <v>0.63</v>
      </c>
      <c r="AC724" s="491">
        <v>0</v>
      </c>
      <c r="AD724" s="1025" t="b">
        <v>1</v>
      </c>
      <c r="AE724" s="491">
        <v>0</v>
      </c>
      <c r="AF724" s="491">
        <v>0.22</v>
      </c>
      <c r="AG724" s="491">
        <v>0.17</v>
      </c>
      <c r="AH724" s="491">
        <v>0</v>
      </c>
      <c r="AI724" s="1025" t="b">
        <v>1</v>
      </c>
      <c r="AJ724" s="491">
        <v>0</v>
      </c>
      <c r="AK724" s="491">
        <v>0</v>
      </c>
      <c r="AL724" s="491">
        <v>0</v>
      </c>
      <c r="AM724" s="491">
        <v>0</v>
      </c>
      <c r="AN724" s="1025" t="b">
        <v>0</v>
      </c>
      <c r="AO724" s="491">
        <v>0</v>
      </c>
      <c r="AP724" s="491">
        <v>0</v>
      </c>
      <c r="AQ724" s="491">
        <v>0</v>
      </c>
      <c r="AR724" s="491">
        <v>0</v>
      </c>
      <c r="AS724" s="1025" t="b">
        <v>0</v>
      </c>
      <c r="AT724" s="1025" t="b">
        <v>1</v>
      </c>
      <c r="AU724" s="491">
        <v>36379</v>
      </c>
      <c r="AV724" s="491" t="s">
        <v>29</v>
      </c>
    </row>
    <row r="725" spans="1:48">
      <c r="A725" s="72">
        <v>50</v>
      </c>
      <c r="B725" s="391" t="s">
        <v>41</v>
      </c>
      <c r="C725" s="72">
        <f t="shared" si="33"/>
        <v>8</v>
      </c>
      <c r="D725" s="72" t="str">
        <f t="shared" si="34"/>
        <v>50-8</v>
      </c>
      <c r="E725" s="72">
        <v>71092</v>
      </c>
      <c r="F725" s="72" t="str">
        <f t="shared" si="35"/>
        <v>50-71092</v>
      </c>
      <c r="G725" s="391" t="s">
        <v>1184</v>
      </c>
      <c r="H725" s="331">
        <v>11129.48</v>
      </c>
      <c r="I725" s="331">
        <v>10233.1</v>
      </c>
      <c r="J725" s="331">
        <v>10536.66</v>
      </c>
      <c r="K725" s="331">
        <v>12528.51</v>
      </c>
      <c r="L725" s="1072">
        <v>0</v>
      </c>
      <c r="M725" s="1072">
        <v>0</v>
      </c>
      <c r="N725" s="1072">
        <v>0</v>
      </c>
      <c r="O725" s="491" t="s">
        <v>29</v>
      </c>
      <c r="P725" s="491">
        <v>0</v>
      </c>
      <c r="Q725" s="491">
        <v>0</v>
      </c>
      <c r="R725" s="491">
        <v>0</v>
      </c>
      <c r="S725" s="491">
        <v>0</v>
      </c>
      <c r="T725" s="1025" t="b">
        <v>0</v>
      </c>
      <c r="U725" s="491">
        <v>3.37</v>
      </c>
      <c r="V725" s="491">
        <v>1.83</v>
      </c>
      <c r="W725" s="491">
        <v>0</v>
      </c>
      <c r="X725" s="491">
        <v>0</v>
      </c>
      <c r="Y725" s="1025" t="b">
        <v>1</v>
      </c>
      <c r="Z725" s="331">
        <v>0</v>
      </c>
      <c r="AA725" s="331">
        <v>1.42</v>
      </c>
      <c r="AB725" s="331">
        <v>0.66</v>
      </c>
      <c r="AC725" s="331">
        <v>0</v>
      </c>
      <c r="AD725" s="1025" t="b">
        <v>1</v>
      </c>
      <c r="AE725" s="331">
        <v>0.11</v>
      </c>
      <c r="AF725" s="331">
        <v>0</v>
      </c>
      <c r="AG725" s="331">
        <v>0</v>
      </c>
      <c r="AH725" s="331">
        <v>0</v>
      </c>
      <c r="AI725" s="1025" t="b">
        <v>1</v>
      </c>
      <c r="AJ725" s="331">
        <v>0</v>
      </c>
      <c r="AK725" s="331">
        <v>0</v>
      </c>
      <c r="AL725" s="331">
        <v>0</v>
      </c>
      <c r="AM725" s="331">
        <v>0</v>
      </c>
      <c r="AN725" s="1025" t="b">
        <v>0</v>
      </c>
      <c r="AO725" s="331">
        <v>0</v>
      </c>
      <c r="AP725" s="331">
        <v>0</v>
      </c>
      <c r="AQ725" s="331">
        <v>0</v>
      </c>
      <c r="AR725" s="331">
        <v>0</v>
      </c>
      <c r="AS725" s="1025" t="b">
        <v>0</v>
      </c>
      <c r="AT725" s="1025" t="b">
        <v>1</v>
      </c>
      <c r="AU725" s="331">
        <v>0</v>
      </c>
      <c r="AV725" s="491" t="s">
        <v>29</v>
      </c>
    </row>
    <row r="726" spans="1:48">
      <c r="A726" s="72">
        <v>50</v>
      </c>
      <c r="B726" s="391" t="s">
        <v>41</v>
      </c>
      <c r="C726" s="72">
        <f t="shared" si="33"/>
        <v>9</v>
      </c>
      <c r="D726" s="72" t="str">
        <f t="shared" si="34"/>
        <v>50-9</v>
      </c>
      <c r="E726" s="72">
        <v>71100</v>
      </c>
      <c r="F726" s="72" t="str">
        <f t="shared" si="35"/>
        <v>50-71100</v>
      </c>
      <c r="G726" s="391" t="s">
        <v>1796</v>
      </c>
      <c r="H726" s="491">
        <v>10872.66</v>
      </c>
      <c r="I726" s="491">
        <v>9996.9599999999991</v>
      </c>
      <c r="J726" s="491">
        <v>10293.52</v>
      </c>
      <c r="K726" s="491">
        <v>12239.4</v>
      </c>
      <c r="L726" s="491" t="s">
        <v>29</v>
      </c>
      <c r="M726" s="491" t="s">
        <v>29</v>
      </c>
      <c r="N726" s="1072">
        <v>0</v>
      </c>
      <c r="O726" s="491" t="s">
        <v>29</v>
      </c>
      <c r="P726" s="491">
        <v>0</v>
      </c>
      <c r="Q726" s="491">
        <v>0</v>
      </c>
      <c r="R726" s="491">
        <v>0</v>
      </c>
      <c r="S726" s="491">
        <v>0</v>
      </c>
      <c r="T726" s="1025" t="b">
        <v>0</v>
      </c>
      <c r="U726" s="491">
        <v>0</v>
      </c>
      <c r="V726" s="491">
        <v>0</v>
      </c>
      <c r="W726" s="491">
        <v>0</v>
      </c>
      <c r="X726" s="491">
        <v>0</v>
      </c>
      <c r="Y726" s="1025" t="b">
        <v>0</v>
      </c>
      <c r="Z726" s="491">
        <v>0</v>
      </c>
      <c r="AA726" s="491">
        <v>0</v>
      </c>
      <c r="AB726" s="491">
        <v>0</v>
      </c>
      <c r="AC726" s="491">
        <v>0</v>
      </c>
      <c r="AD726" s="1025" t="b">
        <v>0</v>
      </c>
      <c r="AE726" s="491">
        <v>0</v>
      </c>
      <c r="AF726" s="491">
        <v>0</v>
      </c>
      <c r="AG726" s="491">
        <v>0.11</v>
      </c>
      <c r="AH726" s="491">
        <v>0</v>
      </c>
      <c r="AI726" s="1025" t="b">
        <v>1</v>
      </c>
      <c r="AJ726" s="491">
        <v>0</v>
      </c>
      <c r="AK726" s="491">
        <v>0</v>
      </c>
      <c r="AL726" s="491">
        <v>0</v>
      </c>
      <c r="AM726" s="491">
        <v>0</v>
      </c>
      <c r="AN726" s="1025" t="b">
        <v>0</v>
      </c>
      <c r="AO726" s="491">
        <v>0</v>
      </c>
      <c r="AP726" s="491">
        <v>0</v>
      </c>
      <c r="AQ726" s="491">
        <v>0</v>
      </c>
      <c r="AR726" s="491">
        <v>0</v>
      </c>
      <c r="AS726" s="1025" t="b">
        <v>0</v>
      </c>
      <c r="AT726" s="1025" t="b">
        <v>1</v>
      </c>
      <c r="AU726" s="491">
        <v>0</v>
      </c>
      <c r="AV726" s="491" t="s">
        <v>29</v>
      </c>
    </row>
    <row r="727" spans="1:48">
      <c r="A727" s="72">
        <v>50</v>
      </c>
      <c r="B727" s="391" t="s">
        <v>41</v>
      </c>
      <c r="C727" s="72">
        <f t="shared" si="33"/>
        <v>10</v>
      </c>
      <c r="D727" s="72" t="str">
        <f t="shared" si="34"/>
        <v>50-10</v>
      </c>
      <c r="E727" s="72">
        <v>71134</v>
      </c>
      <c r="F727" s="72" t="str">
        <f t="shared" si="35"/>
        <v>50-71134</v>
      </c>
      <c r="G727" s="391" t="s">
        <v>1185</v>
      </c>
      <c r="H727" s="331">
        <v>14265.72</v>
      </c>
      <c r="I727" s="331">
        <v>13116.73</v>
      </c>
      <c r="J727" s="331">
        <v>13505.84</v>
      </c>
      <c r="K727" s="331">
        <v>16058.97</v>
      </c>
      <c r="L727" s="491" t="s">
        <v>29</v>
      </c>
      <c r="M727" s="1072">
        <v>0</v>
      </c>
      <c r="N727" s="1072">
        <v>0</v>
      </c>
      <c r="O727" s="491" t="s">
        <v>29</v>
      </c>
      <c r="P727" s="491">
        <v>0</v>
      </c>
      <c r="Q727" s="491">
        <v>0.53</v>
      </c>
      <c r="R727" s="491">
        <v>1.1299999999999999</v>
      </c>
      <c r="S727" s="491">
        <v>0</v>
      </c>
      <c r="T727" s="1025" t="b">
        <v>0</v>
      </c>
      <c r="U727" s="491">
        <v>0</v>
      </c>
      <c r="V727" s="491">
        <v>0</v>
      </c>
      <c r="W727" s="491">
        <v>0</v>
      </c>
      <c r="X727" s="491">
        <v>0</v>
      </c>
      <c r="Y727" s="1025" t="b">
        <v>0</v>
      </c>
      <c r="Z727" s="331">
        <v>0</v>
      </c>
      <c r="AA727" s="331">
        <v>0.56000000000000005</v>
      </c>
      <c r="AB727" s="331">
        <v>0</v>
      </c>
      <c r="AC727" s="331">
        <v>0</v>
      </c>
      <c r="AD727" s="1025" t="b">
        <v>1</v>
      </c>
      <c r="AE727" s="331">
        <v>0</v>
      </c>
      <c r="AF727" s="331">
        <v>0</v>
      </c>
      <c r="AG727" s="331">
        <v>0</v>
      </c>
      <c r="AH727" s="331">
        <v>0</v>
      </c>
      <c r="AI727" s="1025" t="b">
        <v>0</v>
      </c>
      <c r="AJ727" s="331">
        <v>0</v>
      </c>
      <c r="AK727" s="331">
        <v>0</v>
      </c>
      <c r="AL727" s="331">
        <v>0</v>
      </c>
      <c r="AM727" s="331">
        <v>0</v>
      </c>
      <c r="AN727" s="1025" t="b">
        <v>0</v>
      </c>
      <c r="AO727" s="331">
        <v>0</v>
      </c>
      <c r="AP727" s="331">
        <v>0</v>
      </c>
      <c r="AQ727" s="331">
        <v>0</v>
      </c>
      <c r="AR727" s="331">
        <v>0</v>
      </c>
      <c r="AS727" s="1025" t="b">
        <v>0</v>
      </c>
      <c r="AT727" s="1025" t="b">
        <v>1</v>
      </c>
      <c r="AU727" s="331">
        <v>22214</v>
      </c>
      <c r="AV727" s="491" t="s">
        <v>29</v>
      </c>
    </row>
    <row r="728" spans="1:48">
      <c r="A728" s="72">
        <v>50</v>
      </c>
      <c r="B728" s="391" t="s">
        <v>41</v>
      </c>
      <c r="C728" s="72">
        <f t="shared" si="33"/>
        <v>11</v>
      </c>
      <c r="D728" s="72" t="str">
        <f t="shared" si="34"/>
        <v>50-11</v>
      </c>
      <c r="E728" s="72">
        <v>71167</v>
      </c>
      <c r="F728" s="72" t="str">
        <f t="shared" si="35"/>
        <v>50-71167</v>
      </c>
      <c r="G728" s="391" t="s">
        <v>1186</v>
      </c>
      <c r="H728" s="331">
        <v>14005.96</v>
      </c>
      <c r="I728" s="331">
        <v>12877.9</v>
      </c>
      <c r="J728" s="331">
        <v>13259.92</v>
      </c>
      <c r="K728" s="331">
        <v>15766.57</v>
      </c>
      <c r="L728" s="1072">
        <v>0</v>
      </c>
      <c r="M728" s="1072">
        <v>0</v>
      </c>
      <c r="N728" s="1072">
        <v>0</v>
      </c>
      <c r="O728" s="491" t="s">
        <v>29</v>
      </c>
      <c r="P728" s="491">
        <v>0</v>
      </c>
      <c r="Q728" s="491">
        <v>0.97</v>
      </c>
      <c r="R728" s="491">
        <v>8.02</v>
      </c>
      <c r="S728" s="491">
        <v>0</v>
      </c>
      <c r="T728" s="1025" t="b">
        <v>0</v>
      </c>
      <c r="U728" s="491">
        <v>6.37</v>
      </c>
      <c r="V728" s="491">
        <v>3.6</v>
      </c>
      <c r="W728" s="491">
        <v>3.06</v>
      </c>
      <c r="X728" s="491">
        <v>0</v>
      </c>
      <c r="Y728" s="1025" t="b">
        <v>1</v>
      </c>
      <c r="Z728" s="331">
        <v>0</v>
      </c>
      <c r="AA728" s="331">
        <v>0</v>
      </c>
      <c r="AB728" s="331">
        <v>0</v>
      </c>
      <c r="AC728" s="331">
        <v>0</v>
      </c>
      <c r="AD728" s="1025" t="b">
        <v>0</v>
      </c>
      <c r="AE728" s="331">
        <v>0</v>
      </c>
      <c r="AF728" s="331">
        <v>0</v>
      </c>
      <c r="AG728" s="331">
        <v>0</v>
      </c>
      <c r="AH728" s="331">
        <v>0</v>
      </c>
      <c r="AI728" s="1025" t="b">
        <v>0</v>
      </c>
      <c r="AJ728" s="331">
        <v>0</v>
      </c>
      <c r="AK728" s="331">
        <v>0</v>
      </c>
      <c r="AL728" s="331">
        <v>0</v>
      </c>
      <c r="AM728" s="331">
        <v>0</v>
      </c>
      <c r="AN728" s="1025" t="b">
        <v>0</v>
      </c>
      <c r="AO728" s="331">
        <v>0</v>
      </c>
      <c r="AP728" s="331">
        <v>0</v>
      </c>
      <c r="AQ728" s="331">
        <v>0</v>
      </c>
      <c r="AR728" s="331">
        <v>0</v>
      </c>
      <c r="AS728" s="1025" t="b">
        <v>0</v>
      </c>
      <c r="AT728" s="1025" t="b">
        <v>1</v>
      </c>
      <c r="AU728" s="331">
        <v>118837</v>
      </c>
      <c r="AV728" s="491" t="s">
        <v>29</v>
      </c>
    </row>
    <row r="729" spans="1:48">
      <c r="A729" s="72">
        <v>50</v>
      </c>
      <c r="B729" s="391" t="s">
        <v>41</v>
      </c>
      <c r="C729" s="72">
        <f t="shared" si="33"/>
        <v>12</v>
      </c>
      <c r="D729" s="72" t="str">
        <f t="shared" si="34"/>
        <v>50-12</v>
      </c>
      <c r="E729" s="72">
        <v>71175</v>
      </c>
      <c r="F729" s="72" t="str">
        <f t="shared" si="35"/>
        <v>50-71175</v>
      </c>
      <c r="G729" s="391" t="s">
        <v>1187</v>
      </c>
      <c r="H729" s="331">
        <v>12334.76</v>
      </c>
      <c r="I729" s="331">
        <v>11341.3</v>
      </c>
      <c r="J729" s="331">
        <v>11677.73</v>
      </c>
      <c r="K729" s="331">
        <v>13885.29</v>
      </c>
      <c r="L729" s="491" t="s">
        <v>29</v>
      </c>
      <c r="M729" s="491" t="s">
        <v>29</v>
      </c>
      <c r="N729" s="491" t="s">
        <v>29</v>
      </c>
      <c r="O729" s="1072">
        <v>0</v>
      </c>
      <c r="P729" s="491">
        <v>0</v>
      </c>
      <c r="Q729" s="491">
        <v>0</v>
      </c>
      <c r="R729" s="491">
        <v>0</v>
      </c>
      <c r="S729" s="491">
        <v>123.79</v>
      </c>
      <c r="T729" s="1025" t="b">
        <v>0</v>
      </c>
      <c r="U729" s="491">
        <v>0</v>
      </c>
      <c r="V729" s="491">
        <v>0</v>
      </c>
      <c r="W729" s="491">
        <v>0</v>
      </c>
      <c r="X729" s="491">
        <v>19.18</v>
      </c>
      <c r="Y729" s="1025" t="b">
        <v>1</v>
      </c>
      <c r="Z729" s="331">
        <v>0</v>
      </c>
      <c r="AA729" s="331">
        <v>0</v>
      </c>
      <c r="AB729" s="331">
        <v>0</v>
      </c>
      <c r="AC729" s="331">
        <v>0</v>
      </c>
      <c r="AD729" s="1025" t="b">
        <v>0</v>
      </c>
      <c r="AE729" s="331">
        <v>0</v>
      </c>
      <c r="AF729" s="331">
        <v>0</v>
      </c>
      <c r="AG729" s="331">
        <v>0</v>
      </c>
      <c r="AH729" s="331">
        <v>0</v>
      </c>
      <c r="AI729" s="1025" t="b">
        <v>0</v>
      </c>
      <c r="AJ729" s="331">
        <v>0</v>
      </c>
      <c r="AK729" s="331">
        <v>0</v>
      </c>
      <c r="AL729" s="331">
        <v>0</v>
      </c>
      <c r="AM729" s="331">
        <v>0</v>
      </c>
      <c r="AN729" s="1025" t="b">
        <v>0</v>
      </c>
      <c r="AO729" s="331">
        <v>0</v>
      </c>
      <c r="AP729" s="331">
        <v>0</v>
      </c>
      <c r="AQ729" s="331">
        <v>0</v>
      </c>
      <c r="AR729" s="331">
        <v>0</v>
      </c>
      <c r="AS729" s="1025" t="b">
        <v>0</v>
      </c>
      <c r="AT729" s="1025" t="b">
        <v>1</v>
      </c>
      <c r="AU729" s="331">
        <v>1718860</v>
      </c>
      <c r="AV729" s="491" t="s">
        <v>29</v>
      </c>
    </row>
    <row r="730" spans="1:48">
      <c r="A730" s="72">
        <v>50</v>
      </c>
      <c r="B730" s="391" t="s">
        <v>41</v>
      </c>
      <c r="C730" s="72">
        <f t="shared" si="33"/>
        <v>13</v>
      </c>
      <c r="D730" s="72" t="str">
        <f t="shared" si="34"/>
        <v>50-13</v>
      </c>
      <c r="E730" s="72">
        <v>71209</v>
      </c>
      <c r="F730" s="72" t="str">
        <f t="shared" si="35"/>
        <v>50-71209</v>
      </c>
      <c r="G730" s="391" t="s">
        <v>1188</v>
      </c>
      <c r="H730" s="331">
        <v>12624.62</v>
      </c>
      <c r="I730" s="331">
        <v>11607.81</v>
      </c>
      <c r="J730" s="331">
        <v>11952.15</v>
      </c>
      <c r="K730" s="331">
        <v>14211.58</v>
      </c>
      <c r="L730" s="1072">
        <v>0</v>
      </c>
      <c r="M730" s="491" t="s">
        <v>29</v>
      </c>
      <c r="N730" s="491" t="s">
        <v>29</v>
      </c>
      <c r="O730" s="1072">
        <v>0</v>
      </c>
      <c r="P730" s="491">
        <v>0</v>
      </c>
      <c r="Q730" s="491">
        <v>0</v>
      </c>
      <c r="R730" s="491">
        <v>0</v>
      </c>
      <c r="S730" s="491">
        <v>0</v>
      </c>
      <c r="T730" s="1025" t="b">
        <v>0</v>
      </c>
      <c r="U730" s="491">
        <v>0.89</v>
      </c>
      <c r="V730" s="491">
        <v>0</v>
      </c>
      <c r="W730" s="491">
        <v>0</v>
      </c>
      <c r="X730" s="491">
        <v>0</v>
      </c>
      <c r="Y730" s="1025" t="b">
        <v>1</v>
      </c>
      <c r="Z730" s="331">
        <v>0</v>
      </c>
      <c r="AA730" s="331">
        <v>0</v>
      </c>
      <c r="AB730" s="331">
        <v>0</v>
      </c>
      <c r="AC730" s="331">
        <v>0</v>
      </c>
      <c r="AD730" s="1025" t="b">
        <v>0</v>
      </c>
      <c r="AE730" s="331">
        <v>0</v>
      </c>
      <c r="AF730" s="331">
        <v>0</v>
      </c>
      <c r="AG730" s="331">
        <v>0</v>
      </c>
      <c r="AH730" s="331">
        <v>0.44</v>
      </c>
      <c r="AI730" s="1025" t="b">
        <v>1</v>
      </c>
      <c r="AJ730" s="331">
        <v>0</v>
      </c>
      <c r="AK730" s="331">
        <v>0</v>
      </c>
      <c r="AL730" s="331">
        <v>0</v>
      </c>
      <c r="AM730" s="331">
        <v>0</v>
      </c>
      <c r="AN730" s="1025" t="b">
        <v>0</v>
      </c>
      <c r="AO730" s="331">
        <v>0</v>
      </c>
      <c r="AP730" s="331">
        <v>0</v>
      </c>
      <c r="AQ730" s="331">
        <v>0</v>
      </c>
      <c r="AR730" s="331">
        <v>0</v>
      </c>
      <c r="AS730" s="1025" t="b">
        <v>0</v>
      </c>
      <c r="AT730" s="1025" t="b">
        <v>1</v>
      </c>
      <c r="AU730" s="331">
        <v>0</v>
      </c>
      <c r="AV730" s="491" t="s">
        <v>29</v>
      </c>
    </row>
    <row r="731" spans="1:48">
      <c r="A731" s="72">
        <v>50</v>
      </c>
      <c r="B731" s="391" t="s">
        <v>41</v>
      </c>
      <c r="C731" s="72">
        <f t="shared" si="33"/>
        <v>14</v>
      </c>
      <c r="D731" s="72" t="str">
        <f t="shared" si="34"/>
        <v>50-14</v>
      </c>
      <c r="E731" s="72">
        <v>71217</v>
      </c>
      <c r="F731" s="72" t="str">
        <f t="shared" si="35"/>
        <v>50-71217</v>
      </c>
      <c r="G731" s="391" t="s">
        <v>1189</v>
      </c>
      <c r="H731" s="331">
        <v>13254.22</v>
      </c>
      <c r="I731" s="331">
        <v>12186.7</v>
      </c>
      <c r="J731" s="331">
        <v>12548.22</v>
      </c>
      <c r="K731" s="331">
        <v>14920.33</v>
      </c>
      <c r="L731" s="1072">
        <v>0</v>
      </c>
      <c r="M731" s="1072">
        <v>0</v>
      </c>
      <c r="N731" s="1072">
        <v>0</v>
      </c>
      <c r="O731" s="1072">
        <v>0</v>
      </c>
      <c r="P731" s="491">
        <v>0</v>
      </c>
      <c r="Q731" s="491">
        <v>0</v>
      </c>
      <c r="R731" s="491">
        <v>0.28999999999999998</v>
      </c>
      <c r="S731" s="491">
        <v>10.31</v>
      </c>
      <c r="T731" s="1025" t="b">
        <v>0</v>
      </c>
      <c r="U731" s="491">
        <v>1.38</v>
      </c>
      <c r="V731" s="491">
        <v>0.87</v>
      </c>
      <c r="W731" s="491">
        <v>5.24</v>
      </c>
      <c r="X731" s="491">
        <v>1.28</v>
      </c>
      <c r="Y731" s="1025" t="b">
        <v>1</v>
      </c>
      <c r="Z731" s="331">
        <v>0</v>
      </c>
      <c r="AA731" s="331">
        <v>1.28</v>
      </c>
      <c r="AB731" s="331">
        <v>0.59</v>
      </c>
      <c r="AC731" s="331">
        <v>0.49</v>
      </c>
      <c r="AD731" s="1025" t="b">
        <v>1</v>
      </c>
      <c r="AE731" s="331">
        <v>0</v>
      </c>
      <c r="AF731" s="331">
        <v>0.11</v>
      </c>
      <c r="AG731" s="331">
        <v>0</v>
      </c>
      <c r="AH731" s="331">
        <v>0</v>
      </c>
      <c r="AI731" s="1025" t="b">
        <v>1</v>
      </c>
      <c r="AJ731" s="331">
        <v>0</v>
      </c>
      <c r="AK731" s="331">
        <v>0</v>
      </c>
      <c r="AL731" s="331">
        <v>0</v>
      </c>
      <c r="AM731" s="331">
        <v>0</v>
      </c>
      <c r="AN731" s="1025" t="b">
        <v>0</v>
      </c>
      <c r="AO731" s="331">
        <v>0</v>
      </c>
      <c r="AP731" s="331">
        <v>0</v>
      </c>
      <c r="AQ731" s="331">
        <v>0</v>
      </c>
      <c r="AR731" s="331">
        <v>0</v>
      </c>
      <c r="AS731" s="1025" t="b">
        <v>0</v>
      </c>
      <c r="AT731" s="1025" t="b">
        <v>1</v>
      </c>
      <c r="AU731" s="331">
        <v>157468</v>
      </c>
      <c r="AV731" s="491" t="s">
        <v>29</v>
      </c>
    </row>
    <row r="732" spans="1:48">
      <c r="A732" s="72">
        <v>50</v>
      </c>
      <c r="B732" s="391" t="s">
        <v>41</v>
      </c>
      <c r="C732" s="72">
        <f t="shared" si="33"/>
        <v>15</v>
      </c>
      <c r="D732" s="72" t="str">
        <f t="shared" si="34"/>
        <v>50-15</v>
      </c>
      <c r="E732" s="72">
        <v>71266</v>
      </c>
      <c r="F732" s="72" t="str">
        <f t="shared" si="35"/>
        <v>50-71266</v>
      </c>
      <c r="G732" s="391" t="s">
        <v>1190</v>
      </c>
      <c r="H732" s="331">
        <v>13118.32</v>
      </c>
      <c r="I732" s="331">
        <v>12061.75</v>
      </c>
      <c r="J732" s="331">
        <v>12419.56</v>
      </c>
      <c r="K732" s="331">
        <v>14767.35</v>
      </c>
      <c r="L732" s="1072">
        <v>0</v>
      </c>
      <c r="M732" s="1072">
        <v>0</v>
      </c>
      <c r="N732" s="1072">
        <v>0</v>
      </c>
      <c r="O732" s="491" t="s">
        <v>29</v>
      </c>
      <c r="P732" s="491">
        <v>0</v>
      </c>
      <c r="Q732" s="491">
        <v>0.61</v>
      </c>
      <c r="R732" s="491">
        <v>0.47</v>
      </c>
      <c r="S732" s="491">
        <v>0</v>
      </c>
      <c r="T732" s="1025" t="b">
        <v>0</v>
      </c>
      <c r="U732" s="491">
        <v>18.48</v>
      </c>
      <c r="V732" s="491">
        <v>8.08</v>
      </c>
      <c r="W732" s="491">
        <v>4.6399999999999997</v>
      </c>
      <c r="X732" s="491">
        <v>0</v>
      </c>
      <c r="Y732" s="1025" t="b">
        <v>1</v>
      </c>
      <c r="Z732" s="331">
        <v>0</v>
      </c>
      <c r="AA732" s="331">
        <v>0</v>
      </c>
      <c r="AB732" s="331">
        <v>1.1200000000000001</v>
      </c>
      <c r="AC732" s="331">
        <v>0</v>
      </c>
      <c r="AD732" s="1025" t="b">
        <v>1</v>
      </c>
      <c r="AE732" s="331">
        <v>0</v>
      </c>
      <c r="AF732" s="331">
        <v>0</v>
      </c>
      <c r="AG732" s="331">
        <v>7.0000000000000007E-2</v>
      </c>
      <c r="AH732" s="331">
        <v>0</v>
      </c>
      <c r="AI732" s="1025" t="b">
        <v>1</v>
      </c>
      <c r="AJ732" s="331">
        <v>0</v>
      </c>
      <c r="AK732" s="331">
        <v>0</v>
      </c>
      <c r="AL732" s="331">
        <v>0</v>
      </c>
      <c r="AM732" s="331">
        <v>0</v>
      </c>
      <c r="AN732" s="1025" t="b">
        <v>0</v>
      </c>
      <c r="AO732" s="331">
        <v>0</v>
      </c>
      <c r="AP732" s="331">
        <v>0</v>
      </c>
      <c r="AQ732" s="331">
        <v>0</v>
      </c>
      <c r="AR732" s="331">
        <v>0</v>
      </c>
      <c r="AS732" s="1025" t="b">
        <v>0</v>
      </c>
      <c r="AT732" s="1025" t="b">
        <v>1</v>
      </c>
      <c r="AU732" s="331">
        <v>13195</v>
      </c>
      <c r="AV732" s="491" t="s">
        <v>29</v>
      </c>
    </row>
    <row r="733" spans="1:48">
      <c r="A733" s="72">
        <v>50</v>
      </c>
      <c r="B733" s="391" t="s">
        <v>41</v>
      </c>
      <c r="C733" s="72">
        <f t="shared" si="33"/>
        <v>16</v>
      </c>
      <c r="D733" s="72" t="str">
        <f t="shared" si="34"/>
        <v>50-16</v>
      </c>
      <c r="E733" s="72">
        <v>71274</v>
      </c>
      <c r="F733" s="72" t="str">
        <f t="shared" si="35"/>
        <v>50-71274</v>
      </c>
      <c r="G733" s="391" t="s">
        <v>1656</v>
      </c>
      <c r="H733" s="331">
        <v>12268.53</v>
      </c>
      <c r="I733" s="331">
        <v>11280.4</v>
      </c>
      <c r="J733" s="331">
        <v>11615.03</v>
      </c>
      <c r="K733" s="331">
        <v>13810.73</v>
      </c>
      <c r="L733" s="1072">
        <v>0</v>
      </c>
      <c r="M733" s="491" t="s">
        <v>29</v>
      </c>
      <c r="N733" s="1072" t="s">
        <v>29</v>
      </c>
      <c r="O733" s="491" t="s">
        <v>29</v>
      </c>
      <c r="P733" s="491">
        <v>0</v>
      </c>
      <c r="Q733" s="491">
        <v>0</v>
      </c>
      <c r="R733" s="491">
        <v>0</v>
      </c>
      <c r="S733" s="491">
        <v>0</v>
      </c>
      <c r="T733" s="1025" t="b">
        <v>0</v>
      </c>
      <c r="U733" s="491">
        <v>0.82</v>
      </c>
      <c r="V733" s="491">
        <v>0</v>
      </c>
      <c r="W733" s="491">
        <v>0</v>
      </c>
      <c r="X733" s="491">
        <v>0</v>
      </c>
      <c r="Y733" s="1025" t="b">
        <v>1</v>
      </c>
      <c r="Z733" s="331">
        <v>0</v>
      </c>
      <c r="AA733" s="331">
        <v>0</v>
      </c>
      <c r="AB733" s="331">
        <v>0</v>
      </c>
      <c r="AC733" s="331">
        <v>0</v>
      </c>
      <c r="AD733" s="1025" t="b">
        <v>0</v>
      </c>
      <c r="AE733" s="331">
        <v>0</v>
      </c>
      <c r="AF733" s="331">
        <v>0</v>
      </c>
      <c r="AG733" s="331">
        <v>0</v>
      </c>
      <c r="AH733" s="331">
        <v>0</v>
      </c>
      <c r="AI733" s="1025" t="b">
        <v>0</v>
      </c>
      <c r="AJ733" s="331">
        <v>0</v>
      </c>
      <c r="AK733" s="331">
        <v>0</v>
      </c>
      <c r="AL733" s="331">
        <v>0</v>
      </c>
      <c r="AM733" s="331">
        <v>0</v>
      </c>
      <c r="AN733" s="1025" t="b">
        <v>0</v>
      </c>
      <c r="AO733" s="331">
        <v>0</v>
      </c>
      <c r="AP733" s="331">
        <v>0</v>
      </c>
      <c r="AQ733" s="331">
        <v>0</v>
      </c>
      <c r="AR733" s="331">
        <v>0</v>
      </c>
      <c r="AS733" s="1025" t="b">
        <v>0</v>
      </c>
      <c r="AT733" s="1025" t="b">
        <v>1</v>
      </c>
      <c r="AU733" s="331">
        <v>0</v>
      </c>
      <c r="AV733" s="491" t="s">
        <v>29</v>
      </c>
    </row>
    <row r="734" spans="1:48">
      <c r="A734" s="72">
        <v>50</v>
      </c>
      <c r="B734" s="391" t="s">
        <v>41</v>
      </c>
      <c r="C734" s="72">
        <f t="shared" si="33"/>
        <v>17</v>
      </c>
      <c r="D734" s="72" t="str">
        <f t="shared" si="34"/>
        <v>50-17</v>
      </c>
      <c r="E734" s="72">
        <v>71282</v>
      </c>
      <c r="F734" s="72" t="str">
        <f t="shared" si="35"/>
        <v>50-71282</v>
      </c>
      <c r="G734" s="391" t="s">
        <v>1191</v>
      </c>
      <c r="H734" s="491">
        <v>13127.78</v>
      </c>
      <c r="I734" s="491">
        <v>12070.45</v>
      </c>
      <c r="J734" s="491">
        <v>12428.52</v>
      </c>
      <c r="K734" s="491">
        <v>14778</v>
      </c>
      <c r="L734" s="1072">
        <v>0</v>
      </c>
      <c r="M734" s="1072">
        <v>0</v>
      </c>
      <c r="N734" s="1072">
        <v>0</v>
      </c>
      <c r="O734" s="491" t="s">
        <v>29</v>
      </c>
      <c r="P734" s="491">
        <v>0</v>
      </c>
      <c r="Q734" s="491">
        <v>0</v>
      </c>
      <c r="R734" s="491">
        <v>0.66</v>
      </c>
      <c r="S734" s="491">
        <v>0</v>
      </c>
      <c r="T734" s="1025" t="b">
        <v>0</v>
      </c>
      <c r="U734" s="491">
        <v>26.06</v>
      </c>
      <c r="V734" s="491">
        <v>14.18</v>
      </c>
      <c r="W734" s="491">
        <v>5.56</v>
      </c>
      <c r="X734" s="491">
        <v>0</v>
      </c>
      <c r="Y734" s="1025" t="b">
        <v>1</v>
      </c>
      <c r="Z734" s="491">
        <v>0</v>
      </c>
      <c r="AA734" s="491">
        <v>0</v>
      </c>
      <c r="AB734" s="491">
        <v>2.44</v>
      </c>
      <c r="AC734" s="491">
        <v>0</v>
      </c>
      <c r="AD734" s="1025" t="b">
        <v>1</v>
      </c>
      <c r="AE734" s="491">
        <v>0</v>
      </c>
      <c r="AF734" s="491">
        <v>0.21</v>
      </c>
      <c r="AG734" s="491">
        <v>0.01</v>
      </c>
      <c r="AH734" s="491">
        <v>0</v>
      </c>
      <c r="AI734" s="1025" t="b">
        <v>1</v>
      </c>
      <c r="AJ734" s="491">
        <v>0</v>
      </c>
      <c r="AK734" s="491">
        <v>0</v>
      </c>
      <c r="AL734" s="491">
        <v>0</v>
      </c>
      <c r="AM734" s="491">
        <v>0</v>
      </c>
      <c r="AN734" s="1025" t="b">
        <v>0</v>
      </c>
      <c r="AO734" s="491">
        <v>0</v>
      </c>
      <c r="AP734" s="491">
        <v>0</v>
      </c>
      <c r="AQ734" s="491">
        <v>0</v>
      </c>
      <c r="AR734" s="491">
        <v>0</v>
      </c>
      <c r="AS734" s="1025" t="b">
        <v>0</v>
      </c>
      <c r="AT734" s="1025" t="b">
        <v>1</v>
      </c>
      <c r="AU734" s="491">
        <v>8203</v>
      </c>
      <c r="AV734" s="491" t="s">
        <v>29</v>
      </c>
    </row>
    <row r="735" spans="1:48">
      <c r="A735" s="72">
        <v>50</v>
      </c>
      <c r="B735" s="391" t="s">
        <v>41</v>
      </c>
      <c r="C735" s="72">
        <f t="shared" si="33"/>
        <v>18</v>
      </c>
      <c r="D735" s="72" t="str">
        <f t="shared" si="34"/>
        <v>50-18</v>
      </c>
      <c r="E735" s="72">
        <v>71290</v>
      </c>
      <c r="F735" s="72" t="str">
        <f t="shared" si="35"/>
        <v>50-71290</v>
      </c>
      <c r="G735" s="391" t="s">
        <v>1192</v>
      </c>
      <c r="H735" s="331">
        <v>11498.73</v>
      </c>
      <c r="I735" s="331">
        <v>10572.6</v>
      </c>
      <c r="J735" s="331">
        <v>10886.23</v>
      </c>
      <c r="K735" s="331">
        <v>12944.16</v>
      </c>
      <c r="L735" s="1072">
        <v>0</v>
      </c>
      <c r="M735" s="1072">
        <v>0</v>
      </c>
      <c r="N735" s="1072">
        <v>0</v>
      </c>
      <c r="O735" s="491" t="s">
        <v>29</v>
      </c>
      <c r="P735" s="491">
        <v>0</v>
      </c>
      <c r="Q735" s="491">
        <v>0</v>
      </c>
      <c r="R735" s="491">
        <v>5.21</v>
      </c>
      <c r="S735" s="491">
        <v>0</v>
      </c>
      <c r="T735" s="1025" t="b">
        <v>0</v>
      </c>
      <c r="U735" s="491">
        <v>13.01</v>
      </c>
      <c r="V735" s="491">
        <v>14.69</v>
      </c>
      <c r="W735" s="491">
        <v>13.48</v>
      </c>
      <c r="X735" s="491">
        <v>0</v>
      </c>
      <c r="Y735" s="1025" t="b">
        <v>1</v>
      </c>
      <c r="Z735" s="331">
        <v>0.61</v>
      </c>
      <c r="AA735" s="331">
        <v>3.58</v>
      </c>
      <c r="AB735" s="331">
        <v>1.1499999999999999</v>
      </c>
      <c r="AC735" s="331">
        <v>0</v>
      </c>
      <c r="AD735" s="1025" t="b">
        <v>1</v>
      </c>
      <c r="AE735" s="331">
        <v>0.08</v>
      </c>
      <c r="AF735" s="331">
        <v>0.09</v>
      </c>
      <c r="AG735" s="331">
        <v>0.11</v>
      </c>
      <c r="AH735" s="331">
        <v>0</v>
      </c>
      <c r="AI735" s="1025" t="b">
        <v>1</v>
      </c>
      <c r="AJ735" s="331">
        <v>0</v>
      </c>
      <c r="AK735" s="331">
        <v>0</v>
      </c>
      <c r="AL735" s="331">
        <v>0</v>
      </c>
      <c r="AM735" s="331">
        <v>0</v>
      </c>
      <c r="AN735" s="1025" t="b">
        <v>0</v>
      </c>
      <c r="AO735" s="331">
        <v>0</v>
      </c>
      <c r="AP735" s="331">
        <v>0</v>
      </c>
      <c r="AQ735" s="331">
        <v>0</v>
      </c>
      <c r="AR735" s="331">
        <v>0</v>
      </c>
      <c r="AS735" s="1025" t="b">
        <v>0</v>
      </c>
      <c r="AT735" s="1025" t="b">
        <v>1</v>
      </c>
      <c r="AU735" s="331">
        <v>56717</v>
      </c>
      <c r="AV735" s="491" t="s">
        <v>29</v>
      </c>
    </row>
    <row r="736" spans="1:48">
      <c r="A736" s="72">
        <v>50</v>
      </c>
      <c r="B736" s="391" t="s">
        <v>41</v>
      </c>
      <c r="C736" s="72">
        <f t="shared" si="33"/>
        <v>19</v>
      </c>
      <c r="D736" s="72" t="str">
        <f t="shared" si="34"/>
        <v>50-19</v>
      </c>
      <c r="E736" s="72">
        <v>71324</v>
      </c>
      <c r="F736" s="72" t="str">
        <f t="shared" si="35"/>
        <v>50-71324</v>
      </c>
      <c r="G736" s="391" t="s">
        <v>1193</v>
      </c>
      <c r="H736" s="331">
        <v>10968.59</v>
      </c>
      <c r="I736" s="331">
        <v>10085.16</v>
      </c>
      <c r="J736" s="331">
        <v>10384.34</v>
      </c>
      <c r="K736" s="331">
        <v>12347.39</v>
      </c>
      <c r="L736" s="1072">
        <v>0</v>
      </c>
      <c r="M736" s="1072">
        <v>0</v>
      </c>
      <c r="N736" s="1072" t="s">
        <v>29</v>
      </c>
      <c r="O736" s="491" t="s">
        <v>29</v>
      </c>
      <c r="P736" s="491">
        <v>0</v>
      </c>
      <c r="Q736" s="491">
        <v>0</v>
      </c>
      <c r="R736" s="491">
        <v>0</v>
      </c>
      <c r="S736" s="491">
        <v>0</v>
      </c>
      <c r="T736" s="1025" t="b">
        <v>0</v>
      </c>
      <c r="U736" s="491">
        <v>1.29</v>
      </c>
      <c r="V736" s="491">
        <v>0.99</v>
      </c>
      <c r="W736" s="491">
        <v>0</v>
      </c>
      <c r="X736" s="491">
        <v>0</v>
      </c>
      <c r="Y736" s="1025" t="b">
        <v>1</v>
      </c>
      <c r="Z736" s="331">
        <v>0</v>
      </c>
      <c r="AA736" s="331">
        <v>0</v>
      </c>
      <c r="AB736" s="331">
        <v>0</v>
      </c>
      <c r="AC736" s="331">
        <v>0</v>
      </c>
      <c r="AD736" s="1025" t="b">
        <v>0</v>
      </c>
      <c r="AE736" s="331">
        <v>0</v>
      </c>
      <c r="AF736" s="331">
        <v>0</v>
      </c>
      <c r="AG736" s="331">
        <v>0</v>
      </c>
      <c r="AH736" s="331">
        <v>0</v>
      </c>
      <c r="AI736" s="1025" t="b">
        <v>0</v>
      </c>
      <c r="AJ736" s="331">
        <v>0</v>
      </c>
      <c r="AK736" s="331">
        <v>0</v>
      </c>
      <c r="AL736" s="331">
        <v>0</v>
      </c>
      <c r="AM736" s="331">
        <v>0</v>
      </c>
      <c r="AN736" s="1025" t="b">
        <v>0</v>
      </c>
      <c r="AO736" s="331">
        <v>0</v>
      </c>
      <c r="AP736" s="331">
        <v>0</v>
      </c>
      <c r="AQ736" s="331">
        <v>0</v>
      </c>
      <c r="AR736" s="331">
        <v>0</v>
      </c>
      <c r="AS736" s="1025" t="b">
        <v>0</v>
      </c>
      <c r="AT736" s="1025" t="b">
        <v>1</v>
      </c>
      <c r="AU736" s="331">
        <v>0</v>
      </c>
      <c r="AV736" s="491" t="s">
        <v>29</v>
      </c>
    </row>
    <row r="737" spans="1:48">
      <c r="A737" s="72">
        <v>50</v>
      </c>
      <c r="B737" s="391" t="s">
        <v>41</v>
      </c>
      <c r="C737" s="72">
        <f t="shared" si="33"/>
        <v>20</v>
      </c>
      <c r="D737" s="72" t="str">
        <f t="shared" si="34"/>
        <v>50-20</v>
      </c>
      <c r="E737" s="72">
        <v>73601</v>
      </c>
      <c r="F737" s="72" t="str">
        <f t="shared" si="35"/>
        <v>50-73601</v>
      </c>
      <c r="G737" s="391" t="s">
        <v>1194</v>
      </c>
      <c r="H737" s="331">
        <v>12919.64</v>
      </c>
      <c r="I737" s="331">
        <v>11879.07</v>
      </c>
      <c r="J737" s="331">
        <v>12231.46</v>
      </c>
      <c r="K737" s="331">
        <v>14543.69</v>
      </c>
      <c r="L737" s="1072">
        <v>0</v>
      </c>
      <c r="M737" s="1072">
        <v>0</v>
      </c>
      <c r="N737" s="1072">
        <v>0</v>
      </c>
      <c r="O737" s="1072">
        <v>0</v>
      </c>
      <c r="P737" s="491">
        <v>0</v>
      </c>
      <c r="Q737" s="491">
        <v>0</v>
      </c>
      <c r="R737" s="491">
        <v>0</v>
      </c>
      <c r="S737" s="491">
        <v>5.66</v>
      </c>
      <c r="T737" s="1025" t="b">
        <v>0</v>
      </c>
      <c r="U737" s="491">
        <v>2.5099999999999998</v>
      </c>
      <c r="V737" s="491">
        <v>0.38</v>
      </c>
      <c r="W737" s="491">
        <v>0</v>
      </c>
      <c r="X737" s="491">
        <v>1.18</v>
      </c>
      <c r="Y737" s="1025" t="b">
        <v>1</v>
      </c>
      <c r="Z737" s="331">
        <v>0</v>
      </c>
      <c r="AA737" s="331">
        <v>0.49</v>
      </c>
      <c r="AB737" s="331">
        <v>1.29</v>
      </c>
      <c r="AC737" s="331">
        <v>0.22</v>
      </c>
      <c r="AD737" s="1025" t="b">
        <v>1</v>
      </c>
      <c r="AE737" s="331">
        <v>0.01</v>
      </c>
      <c r="AF737" s="331">
        <v>0</v>
      </c>
      <c r="AG737" s="331">
        <v>0.08</v>
      </c>
      <c r="AH737" s="331">
        <v>0</v>
      </c>
      <c r="AI737" s="1025" t="b">
        <v>1</v>
      </c>
      <c r="AJ737" s="331">
        <v>0</v>
      </c>
      <c r="AK737" s="331">
        <v>0</v>
      </c>
      <c r="AL737" s="331">
        <v>0</v>
      </c>
      <c r="AM737" s="331">
        <v>0</v>
      </c>
      <c r="AN737" s="1025" t="b">
        <v>0</v>
      </c>
      <c r="AO737" s="331">
        <v>0</v>
      </c>
      <c r="AP737" s="331">
        <v>0</v>
      </c>
      <c r="AQ737" s="331">
        <v>0</v>
      </c>
      <c r="AR737" s="331">
        <v>0</v>
      </c>
      <c r="AS737" s="1025" t="b">
        <v>0</v>
      </c>
      <c r="AT737" s="1025" t="b">
        <v>1</v>
      </c>
      <c r="AU737" s="331">
        <v>82317</v>
      </c>
      <c r="AV737" s="491" t="s">
        <v>29</v>
      </c>
    </row>
    <row r="738" spans="1:48">
      <c r="A738" s="72">
        <v>50</v>
      </c>
      <c r="B738" s="391" t="s">
        <v>41</v>
      </c>
      <c r="C738" s="72">
        <f t="shared" si="33"/>
        <v>21</v>
      </c>
      <c r="D738" s="72" t="str">
        <f t="shared" si="34"/>
        <v>50-21</v>
      </c>
      <c r="E738" s="72">
        <v>75549</v>
      </c>
      <c r="F738" s="72" t="str">
        <f t="shared" si="35"/>
        <v>50-75549</v>
      </c>
      <c r="G738" s="391" t="s">
        <v>1195</v>
      </c>
      <c r="H738" s="331">
        <v>11523.67</v>
      </c>
      <c r="I738" s="331">
        <v>10595.53</v>
      </c>
      <c r="J738" s="331">
        <v>10909.85</v>
      </c>
      <c r="K738" s="331">
        <v>12972.24</v>
      </c>
      <c r="L738" s="1072">
        <v>0</v>
      </c>
      <c r="M738" s="1072">
        <v>0</v>
      </c>
      <c r="N738" s="1072">
        <v>0</v>
      </c>
      <c r="O738" s="1072">
        <v>0</v>
      </c>
      <c r="P738" s="491">
        <v>0</v>
      </c>
      <c r="Q738" s="491">
        <v>0</v>
      </c>
      <c r="R738" s="491">
        <v>1.01</v>
      </c>
      <c r="S738" s="491">
        <v>3.06</v>
      </c>
      <c r="T738" s="1025" t="b">
        <v>0</v>
      </c>
      <c r="U738" s="491">
        <v>1.77</v>
      </c>
      <c r="V738" s="491">
        <v>0</v>
      </c>
      <c r="W738" s="491">
        <v>0</v>
      </c>
      <c r="X738" s="491">
        <v>1.25</v>
      </c>
      <c r="Y738" s="1025" t="b">
        <v>1</v>
      </c>
      <c r="Z738" s="331">
        <v>0</v>
      </c>
      <c r="AA738" s="331">
        <v>1.3</v>
      </c>
      <c r="AB738" s="331">
        <v>0</v>
      </c>
      <c r="AC738" s="331">
        <v>0.8</v>
      </c>
      <c r="AD738" s="1025" t="b">
        <v>1</v>
      </c>
      <c r="AE738" s="331">
        <v>0</v>
      </c>
      <c r="AF738" s="331">
        <v>0.11</v>
      </c>
      <c r="AG738" s="331">
        <v>0</v>
      </c>
      <c r="AH738" s="331">
        <v>0</v>
      </c>
      <c r="AI738" s="1025" t="b">
        <v>1</v>
      </c>
      <c r="AJ738" s="331">
        <v>0</v>
      </c>
      <c r="AK738" s="331">
        <v>0</v>
      </c>
      <c r="AL738" s="331">
        <v>0</v>
      </c>
      <c r="AM738" s="331">
        <v>0</v>
      </c>
      <c r="AN738" s="1025" t="b">
        <v>0</v>
      </c>
      <c r="AO738" s="331">
        <v>0</v>
      </c>
      <c r="AP738" s="331">
        <v>0</v>
      </c>
      <c r="AQ738" s="331">
        <v>0</v>
      </c>
      <c r="AR738" s="331">
        <v>0</v>
      </c>
      <c r="AS738" s="1025" t="b">
        <v>0</v>
      </c>
      <c r="AT738" s="1025" t="b">
        <v>1</v>
      </c>
      <c r="AU738" s="331">
        <v>50714</v>
      </c>
      <c r="AV738" s="491" t="s">
        <v>29</v>
      </c>
    </row>
    <row r="739" spans="1:48">
      <c r="A739" s="72">
        <v>50</v>
      </c>
      <c r="B739" s="391" t="s">
        <v>41</v>
      </c>
      <c r="C739" s="72">
        <f t="shared" si="33"/>
        <v>22</v>
      </c>
      <c r="D739" s="72" t="str">
        <f t="shared" si="34"/>
        <v>50-22</v>
      </c>
      <c r="E739" s="72">
        <v>75556</v>
      </c>
      <c r="F739" s="72" t="str">
        <f t="shared" si="35"/>
        <v>50-75556</v>
      </c>
      <c r="G739" s="391" t="s">
        <v>1196</v>
      </c>
      <c r="H739" s="331">
        <v>13074.46</v>
      </c>
      <c r="I739" s="331">
        <v>12021.42</v>
      </c>
      <c r="J739" s="331">
        <v>12378.03</v>
      </c>
      <c r="K739" s="331">
        <v>14717.97</v>
      </c>
      <c r="L739" s="1072">
        <v>0</v>
      </c>
      <c r="M739" s="1072">
        <v>0</v>
      </c>
      <c r="N739" s="1072">
        <v>0</v>
      </c>
      <c r="O739" s="1072">
        <v>0</v>
      </c>
      <c r="P739" s="491">
        <v>0</v>
      </c>
      <c r="Q739" s="491">
        <v>0</v>
      </c>
      <c r="R739" s="491">
        <v>1.33</v>
      </c>
      <c r="S739" s="491">
        <v>12.38</v>
      </c>
      <c r="T739" s="1025" t="b">
        <v>0</v>
      </c>
      <c r="U739" s="491">
        <v>13.67</v>
      </c>
      <c r="V739" s="491">
        <v>7.22</v>
      </c>
      <c r="W739" s="491">
        <v>0.87</v>
      </c>
      <c r="X739" s="491">
        <v>2.78</v>
      </c>
      <c r="Y739" s="1025" t="b">
        <v>1</v>
      </c>
      <c r="Z739" s="331">
        <v>0</v>
      </c>
      <c r="AA739" s="331">
        <v>0.7</v>
      </c>
      <c r="AB739" s="331">
        <v>0</v>
      </c>
      <c r="AC739" s="331">
        <v>0.99</v>
      </c>
      <c r="AD739" s="1025" t="b">
        <v>1</v>
      </c>
      <c r="AE739" s="331">
        <v>0.11</v>
      </c>
      <c r="AF739" s="331">
        <v>0</v>
      </c>
      <c r="AG739" s="331">
        <v>0.11</v>
      </c>
      <c r="AH739" s="331">
        <v>0.22</v>
      </c>
      <c r="AI739" s="1025" t="b">
        <v>1</v>
      </c>
      <c r="AJ739" s="331">
        <v>0</v>
      </c>
      <c r="AK739" s="331">
        <v>0</v>
      </c>
      <c r="AL739" s="331">
        <v>0</v>
      </c>
      <c r="AM739" s="331">
        <v>0</v>
      </c>
      <c r="AN739" s="1025" t="b">
        <v>0</v>
      </c>
      <c r="AO739" s="331">
        <v>0</v>
      </c>
      <c r="AP739" s="331">
        <v>0</v>
      </c>
      <c r="AQ739" s="331">
        <v>0</v>
      </c>
      <c r="AR739" s="331">
        <v>0</v>
      </c>
      <c r="AS739" s="1025" t="b">
        <v>0</v>
      </c>
      <c r="AT739" s="1025" t="b">
        <v>1</v>
      </c>
      <c r="AU739" s="331">
        <v>198671</v>
      </c>
      <c r="AV739" s="491" t="s">
        <v>29</v>
      </c>
    </row>
    <row r="740" spans="1:48">
      <c r="A740" s="72">
        <v>50</v>
      </c>
      <c r="B740" s="391" t="s">
        <v>41</v>
      </c>
      <c r="C740" s="72">
        <f t="shared" si="33"/>
        <v>23</v>
      </c>
      <c r="D740" s="72" t="str">
        <f t="shared" si="34"/>
        <v>50-23</v>
      </c>
      <c r="E740" s="72">
        <v>75564</v>
      </c>
      <c r="F740" s="72" t="str">
        <f t="shared" si="35"/>
        <v>50-75564</v>
      </c>
      <c r="G740" s="391" t="s">
        <v>1197</v>
      </c>
      <c r="H740" s="331">
        <v>10992.67</v>
      </c>
      <c r="I740" s="331">
        <v>10107.31</v>
      </c>
      <c r="J740" s="331">
        <v>10407.14</v>
      </c>
      <c r="K740" s="331">
        <v>12374.5</v>
      </c>
      <c r="L740" s="1072">
        <v>0</v>
      </c>
      <c r="M740" s="1072">
        <v>0</v>
      </c>
      <c r="N740" s="1072">
        <v>0</v>
      </c>
      <c r="O740" s="1072">
        <v>0</v>
      </c>
      <c r="P740" s="491">
        <v>0</v>
      </c>
      <c r="Q740" s="491">
        <v>0.64</v>
      </c>
      <c r="R740" s="491">
        <v>0.97</v>
      </c>
      <c r="S740" s="491">
        <v>19.690000000000001</v>
      </c>
      <c r="T740" s="1025" t="b">
        <v>0</v>
      </c>
      <c r="U740" s="491">
        <v>16.149999999999999</v>
      </c>
      <c r="V740" s="491">
        <v>6.28</v>
      </c>
      <c r="W740" s="491">
        <v>5.42</v>
      </c>
      <c r="X740" s="491">
        <v>2.86</v>
      </c>
      <c r="Y740" s="1025" t="b">
        <v>1</v>
      </c>
      <c r="Z740" s="331">
        <v>0</v>
      </c>
      <c r="AA740" s="331">
        <v>0</v>
      </c>
      <c r="AB740" s="331">
        <v>0.62</v>
      </c>
      <c r="AC740" s="331">
        <v>2.52</v>
      </c>
      <c r="AD740" s="1025" t="b">
        <v>1</v>
      </c>
      <c r="AE740" s="331">
        <v>0</v>
      </c>
      <c r="AF740" s="331">
        <v>0</v>
      </c>
      <c r="AG740" s="331">
        <v>0.33</v>
      </c>
      <c r="AH740" s="331">
        <v>0.45</v>
      </c>
      <c r="AI740" s="1025" t="b">
        <v>1</v>
      </c>
      <c r="AJ740" s="331">
        <v>0</v>
      </c>
      <c r="AK740" s="331">
        <v>0</v>
      </c>
      <c r="AL740" s="331">
        <v>0</v>
      </c>
      <c r="AM740" s="331">
        <v>0</v>
      </c>
      <c r="AN740" s="1025" t="b">
        <v>0</v>
      </c>
      <c r="AO740" s="331">
        <v>0</v>
      </c>
      <c r="AP740" s="331">
        <v>0</v>
      </c>
      <c r="AQ740" s="331">
        <v>0</v>
      </c>
      <c r="AR740" s="331">
        <v>0</v>
      </c>
      <c r="AS740" s="1025" t="b">
        <v>0</v>
      </c>
      <c r="AT740" s="1025" t="b">
        <v>1</v>
      </c>
      <c r="AU740" s="331">
        <v>260218</v>
      </c>
      <c r="AV740" s="491" t="s">
        <v>29</v>
      </c>
    </row>
    <row r="741" spans="1:48">
      <c r="A741" s="72">
        <v>50</v>
      </c>
      <c r="B741" s="391" t="s">
        <v>41</v>
      </c>
      <c r="C741" s="72">
        <f t="shared" si="33"/>
        <v>24</v>
      </c>
      <c r="D741" s="72" t="str">
        <f t="shared" si="34"/>
        <v>50-24</v>
      </c>
      <c r="E741" s="72">
        <v>75572</v>
      </c>
      <c r="F741" s="72" t="str">
        <f t="shared" si="35"/>
        <v>50-75572</v>
      </c>
      <c r="G741" s="391" t="s">
        <v>1198</v>
      </c>
      <c r="H741" s="331">
        <v>13968.98</v>
      </c>
      <c r="I741" s="331">
        <v>12843.89</v>
      </c>
      <c r="J741" s="331">
        <v>13224.9</v>
      </c>
      <c r="K741" s="331">
        <v>15724.93</v>
      </c>
      <c r="L741" s="1072">
        <v>0</v>
      </c>
      <c r="M741" s="1072">
        <v>0</v>
      </c>
      <c r="N741" s="1072">
        <v>0</v>
      </c>
      <c r="O741" s="1072">
        <v>0</v>
      </c>
      <c r="P741" s="491">
        <v>0</v>
      </c>
      <c r="Q741" s="491">
        <v>0</v>
      </c>
      <c r="R741" s="491">
        <v>0</v>
      </c>
      <c r="S741" s="491">
        <v>7.99</v>
      </c>
      <c r="T741" s="1025" t="b">
        <v>0</v>
      </c>
      <c r="U741" s="491">
        <v>4.26</v>
      </c>
      <c r="V741" s="491">
        <v>3.27</v>
      </c>
      <c r="W741" s="491">
        <v>0.81</v>
      </c>
      <c r="X741" s="491">
        <v>0</v>
      </c>
      <c r="Y741" s="1025" t="b">
        <v>1</v>
      </c>
      <c r="Z741" s="331">
        <v>0.11</v>
      </c>
      <c r="AA741" s="331">
        <v>0.66</v>
      </c>
      <c r="AB741" s="331">
        <v>0</v>
      </c>
      <c r="AC741" s="331">
        <v>0.65</v>
      </c>
      <c r="AD741" s="1025" t="b">
        <v>1</v>
      </c>
      <c r="AE741" s="331">
        <v>0</v>
      </c>
      <c r="AF741" s="331">
        <v>0.01</v>
      </c>
      <c r="AG741" s="331">
        <v>0</v>
      </c>
      <c r="AH741" s="331">
        <v>0.11</v>
      </c>
      <c r="AI741" s="1025" t="b">
        <v>1</v>
      </c>
      <c r="AJ741" s="331">
        <v>0</v>
      </c>
      <c r="AK741" s="331">
        <v>0</v>
      </c>
      <c r="AL741" s="331">
        <v>0</v>
      </c>
      <c r="AM741" s="331">
        <v>0</v>
      </c>
      <c r="AN741" s="1025" t="b">
        <v>0</v>
      </c>
      <c r="AO741" s="331">
        <v>0</v>
      </c>
      <c r="AP741" s="331">
        <v>0</v>
      </c>
      <c r="AQ741" s="331">
        <v>0</v>
      </c>
      <c r="AR741" s="331">
        <v>0</v>
      </c>
      <c r="AS741" s="1025" t="b">
        <v>0</v>
      </c>
      <c r="AT741" s="1025" t="b">
        <v>1</v>
      </c>
      <c r="AU741" s="331">
        <v>125642</v>
      </c>
      <c r="AV741" s="491" t="s">
        <v>29</v>
      </c>
    </row>
    <row r="742" spans="1:48">
      <c r="A742" s="72">
        <v>50</v>
      </c>
      <c r="B742" s="391" t="s">
        <v>41</v>
      </c>
      <c r="C742" s="72">
        <f t="shared" si="33"/>
        <v>25</v>
      </c>
      <c r="D742" s="72" t="str">
        <f t="shared" si="34"/>
        <v>50-25</v>
      </c>
      <c r="E742" s="72">
        <v>75739</v>
      </c>
      <c r="F742" s="72" t="str">
        <f t="shared" si="35"/>
        <v>50-75739</v>
      </c>
      <c r="G742" s="391" t="s">
        <v>906</v>
      </c>
      <c r="H742" s="331">
        <v>12102.53</v>
      </c>
      <c r="I742" s="331">
        <v>11127.77</v>
      </c>
      <c r="J742" s="331">
        <v>11457.87</v>
      </c>
      <c r="K742" s="331">
        <v>13623.86</v>
      </c>
      <c r="L742" s="1072">
        <v>0</v>
      </c>
      <c r="M742" s="1072">
        <v>0</v>
      </c>
      <c r="N742" s="1072">
        <v>0</v>
      </c>
      <c r="O742" s="1072">
        <v>0</v>
      </c>
      <c r="P742" s="491">
        <v>0</v>
      </c>
      <c r="Q742" s="491">
        <v>0</v>
      </c>
      <c r="R742" s="491">
        <v>9.11</v>
      </c>
      <c r="S742" s="491">
        <v>29.36</v>
      </c>
      <c r="T742" s="1025" t="b">
        <v>0</v>
      </c>
      <c r="U742" s="491">
        <v>4.51</v>
      </c>
      <c r="V742" s="491">
        <v>5.26</v>
      </c>
      <c r="W742" s="491">
        <v>2.84</v>
      </c>
      <c r="X742" s="491">
        <v>5.62</v>
      </c>
      <c r="Y742" s="1025" t="b">
        <v>1</v>
      </c>
      <c r="Z742" s="331">
        <v>0.72</v>
      </c>
      <c r="AA742" s="331">
        <v>1.0900000000000001</v>
      </c>
      <c r="AB742" s="331">
        <v>1.79</v>
      </c>
      <c r="AC742" s="331">
        <v>5.0199999999999996</v>
      </c>
      <c r="AD742" s="1025" t="b">
        <v>1</v>
      </c>
      <c r="AE742" s="331">
        <v>0.22</v>
      </c>
      <c r="AF742" s="331">
        <v>0.11</v>
      </c>
      <c r="AG742" s="331">
        <v>0.11</v>
      </c>
      <c r="AH742" s="331">
        <v>0.42</v>
      </c>
      <c r="AI742" s="1025" t="b">
        <v>1</v>
      </c>
      <c r="AJ742" s="331">
        <v>0</v>
      </c>
      <c r="AK742" s="331">
        <v>0</v>
      </c>
      <c r="AL742" s="331">
        <v>0</v>
      </c>
      <c r="AM742" s="331">
        <v>0</v>
      </c>
      <c r="AN742" s="1025" t="b">
        <v>0</v>
      </c>
      <c r="AO742" s="331">
        <v>0</v>
      </c>
      <c r="AP742" s="331">
        <v>0</v>
      </c>
      <c r="AQ742" s="331">
        <v>0</v>
      </c>
      <c r="AR742" s="331">
        <v>0</v>
      </c>
      <c r="AS742" s="1025" t="b">
        <v>0</v>
      </c>
      <c r="AT742" s="1025" t="b">
        <v>1</v>
      </c>
      <c r="AU742" s="331">
        <v>504378</v>
      </c>
      <c r="AV742" s="491" t="s">
        <v>29</v>
      </c>
    </row>
    <row r="743" spans="1:48">
      <c r="A743" s="72">
        <v>50</v>
      </c>
      <c r="B743" s="391" t="s">
        <v>41</v>
      </c>
      <c r="C743" s="72">
        <f t="shared" si="33"/>
        <v>0</v>
      </c>
      <c r="D743" s="72" t="str">
        <f t="shared" si="34"/>
        <v>50-0</v>
      </c>
      <c r="E743" s="72" t="s">
        <v>29</v>
      </c>
      <c r="F743" s="72" t="str">
        <f t="shared" si="35"/>
        <v>50-N/A</v>
      </c>
      <c r="G743" s="391" t="s">
        <v>29</v>
      </c>
      <c r="H743" s="491" t="s">
        <v>29</v>
      </c>
      <c r="I743" s="491" t="s">
        <v>29</v>
      </c>
      <c r="J743" s="491" t="s">
        <v>29</v>
      </c>
      <c r="K743" s="491" t="s">
        <v>29</v>
      </c>
      <c r="L743" s="491" t="s">
        <v>29</v>
      </c>
      <c r="M743" s="491" t="s">
        <v>29</v>
      </c>
      <c r="N743" s="491" t="s">
        <v>29</v>
      </c>
      <c r="O743" s="491" t="s">
        <v>29</v>
      </c>
      <c r="P743" s="491" t="s">
        <v>29</v>
      </c>
      <c r="Q743" s="491" t="s">
        <v>29</v>
      </c>
      <c r="R743" s="491" t="s">
        <v>29</v>
      </c>
      <c r="S743" s="491" t="s">
        <v>29</v>
      </c>
      <c r="T743" s="1025" t="s">
        <v>29</v>
      </c>
      <c r="U743" s="491" t="s">
        <v>29</v>
      </c>
      <c r="V743" s="491" t="s">
        <v>29</v>
      </c>
      <c r="W743" s="491" t="s">
        <v>29</v>
      </c>
      <c r="X743" s="491" t="s">
        <v>29</v>
      </c>
      <c r="Y743" s="1025" t="s">
        <v>29</v>
      </c>
      <c r="Z743" s="491" t="s">
        <v>29</v>
      </c>
      <c r="AA743" s="491" t="s">
        <v>29</v>
      </c>
      <c r="AB743" s="491" t="s">
        <v>29</v>
      </c>
      <c r="AC743" s="491" t="s">
        <v>29</v>
      </c>
      <c r="AD743" s="1025" t="s">
        <v>29</v>
      </c>
      <c r="AE743" s="491" t="s">
        <v>29</v>
      </c>
      <c r="AF743" s="491" t="s">
        <v>29</v>
      </c>
      <c r="AG743" s="491" t="s">
        <v>29</v>
      </c>
      <c r="AH743" s="491" t="s">
        <v>29</v>
      </c>
      <c r="AI743" s="1025" t="s">
        <v>29</v>
      </c>
      <c r="AJ743" s="491" t="s">
        <v>29</v>
      </c>
      <c r="AK743" s="491" t="s">
        <v>29</v>
      </c>
      <c r="AL743" s="491" t="s">
        <v>29</v>
      </c>
      <c r="AM743" s="491" t="s">
        <v>29</v>
      </c>
      <c r="AN743" s="1025" t="s">
        <v>29</v>
      </c>
      <c r="AO743" s="491" t="s">
        <v>29</v>
      </c>
      <c r="AP743" s="491" t="s">
        <v>29</v>
      </c>
      <c r="AQ743" s="491" t="s">
        <v>29</v>
      </c>
      <c r="AR743" s="491" t="s">
        <v>29</v>
      </c>
      <c r="AS743" s="1025" t="s">
        <v>29</v>
      </c>
      <c r="AT743" s="1025" t="s">
        <v>29</v>
      </c>
      <c r="AU743" s="491" t="s">
        <v>29</v>
      </c>
      <c r="AV743" s="491">
        <v>4051515</v>
      </c>
    </row>
    <row r="744" spans="1:48">
      <c r="A744" s="72">
        <v>51</v>
      </c>
      <c r="B744" s="391" t="s">
        <v>76</v>
      </c>
      <c r="C744" s="72">
        <f t="shared" si="33"/>
        <v>1</v>
      </c>
      <c r="D744" s="72" t="str">
        <f t="shared" si="34"/>
        <v>51-1</v>
      </c>
      <c r="E744" s="72">
        <v>71357</v>
      </c>
      <c r="F744" s="72" t="str">
        <f t="shared" si="35"/>
        <v>51-71357</v>
      </c>
      <c r="G744" s="391" t="s">
        <v>1199</v>
      </c>
      <c r="H744" s="331">
        <v>11052.78</v>
      </c>
      <c r="I744" s="331">
        <v>10162.57</v>
      </c>
      <c r="J744" s="331">
        <v>10464.040000000001</v>
      </c>
      <c r="K744" s="331">
        <v>12442.16</v>
      </c>
      <c r="L744" s="1072">
        <v>0</v>
      </c>
      <c r="M744" s="1072">
        <v>0</v>
      </c>
      <c r="N744" s="1072">
        <v>0</v>
      </c>
      <c r="O744" s="1072">
        <v>0</v>
      </c>
      <c r="P744" s="491">
        <v>0</v>
      </c>
      <c r="Q744" s="491">
        <v>0</v>
      </c>
      <c r="R744" s="491">
        <v>0</v>
      </c>
      <c r="S744" s="491">
        <v>0</v>
      </c>
      <c r="T744" s="1025" t="b">
        <v>0</v>
      </c>
      <c r="U744" s="491">
        <v>4.4800000000000004</v>
      </c>
      <c r="V744" s="491">
        <v>0.82</v>
      </c>
      <c r="W744" s="491">
        <v>1.37</v>
      </c>
      <c r="X744" s="491">
        <v>0</v>
      </c>
      <c r="Y744" s="1025" t="b">
        <v>1</v>
      </c>
      <c r="Z744" s="331">
        <v>0</v>
      </c>
      <c r="AA744" s="331">
        <v>0</v>
      </c>
      <c r="AB744" s="331">
        <v>0</v>
      </c>
      <c r="AC744" s="331">
        <v>0</v>
      </c>
      <c r="AD744" s="1025" t="b">
        <v>0</v>
      </c>
      <c r="AE744" s="331">
        <v>0</v>
      </c>
      <c r="AF744" s="331">
        <v>0</v>
      </c>
      <c r="AG744" s="331">
        <v>0</v>
      </c>
      <c r="AH744" s="331">
        <v>0</v>
      </c>
      <c r="AI744" s="1025" t="b">
        <v>0</v>
      </c>
      <c r="AJ744" s="331">
        <v>0</v>
      </c>
      <c r="AK744" s="331">
        <v>0</v>
      </c>
      <c r="AL744" s="331">
        <v>0</v>
      </c>
      <c r="AM744" s="331">
        <v>0</v>
      </c>
      <c r="AN744" s="1025" t="b">
        <v>0</v>
      </c>
      <c r="AO744" s="331">
        <v>0</v>
      </c>
      <c r="AP744" s="331">
        <v>0</v>
      </c>
      <c r="AQ744" s="331">
        <v>0</v>
      </c>
      <c r="AR744" s="331">
        <v>0</v>
      </c>
      <c r="AS744" s="1025" t="b">
        <v>0</v>
      </c>
      <c r="AT744" s="1025" t="b">
        <v>1</v>
      </c>
      <c r="AU744" s="331">
        <v>0</v>
      </c>
      <c r="AV744" s="491" t="s">
        <v>29</v>
      </c>
    </row>
    <row r="745" spans="1:48">
      <c r="A745" s="72">
        <v>51</v>
      </c>
      <c r="B745" s="391" t="s">
        <v>76</v>
      </c>
      <c r="C745" s="72">
        <f t="shared" si="33"/>
        <v>2</v>
      </c>
      <c r="D745" s="72" t="str">
        <f t="shared" si="34"/>
        <v>51-2</v>
      </c>
      <c r="E745" s="72">
        <v>71373</v>
      </c>
      <c r="F745" s="72" t="str">
        <f t="shared" si="35"/>
        <v>51-71373</v>
      </c>
      <c r="G745" s="391" t="s">
        <v>1200</v>
      </c>
      <c r="H745" s="331">
        <v>10654.3</v>
      </c>
      <c r="I745" s="331">
        <v>9796.18</v>
      </c>
      <c r="J745" s="331">
        <v>10086.780000000001</v>
      </c>
      <c r="K745" s="331">
        <v>11993.58</v>
      </c>
      <c r="L745" s="1072">
        <v>0</v>
      </c>
      <c r="M745" s="1072">
        <v>0</v>
      </c>
      <c r="N745" s="1072">
        <v>0</v>
      </c>
      <c r="O745" s="1072">
        <v>0</v>
      </c>
      <c r="P745" s="491">
        <v>0</v>
      </c>
      <c r="Q745" s="491">
        <v>0</v>
      </c>
      <c r="R745" s="491">
        <v>0</v>
      </c>
      <c r="S745" s="491">
        <v>0</v>
      </c>
      <c r="T745" s="1025" t="b">
        <v>0</v>
      </c>
      <c r="U745" s="491">
        <v>0</v>
      </c>
      <c r="V745" s="491">
        <v>0</v>
      </c>
      <c r="W745" s="491">
        <v>0</v>
      </c>
      <c r="X745" s="491">
        <v>2.71</v>
      </c>
      <c r="Y745" s="1025" t="b">
        <v>1</v>
      </c>
      <c r="Z745" s="331">
        <v>0</v>
      </c>
      <c r="AA745" s="331">
        <v>0</v>
      </c>
      <c r="AB745" s="331">
        <v>0</v>
      </c>
      <c r="AC745" s="331">
        <v>0</v>
      </c>
      <c r="AD745" s="1025" t="b">
        <v>0</v>
      </c>
      <c r="AE745" s="331">
        <v>0</v>
      </c>
      <c r="AF745" s="331">
        <v>0</v>
      </c>
      <c r="AG745" s="331">
        <v>0</v>
      </c>
      <c r="AH745" s="331">
        <v>0</v>
      </c>
      <c r="AI745" s="1025" t="b">
        <v>0</v>
      </c>
      <c r="AJ745" s="331">
        <v>0</v>
      </c>
      <c r="AK745" s="331">
        <v>0</v>
      </c>
      <c r="AL745" s="331">
        <v>0</v>
      </c>
      <c r="AM745" s="331">
        <v>0</v>
      </c>
      <c r="AN745" s="1025" t="b">
        <v>0</v>
      </c>
      <c r="AO745" s="331">
        <v>0</v>
      </c>
      <c r="AP745" s="331">
        <v>0</v>
      </c>
      <c r="AQ745" s="331">
        <v>0</v>
      </c>
      <c r="AR745" s="331">
        <v>0</v>
      </c>
      <c r="AS745" s="1025" t="b">
        <v>0</v>
      </c>
      <c r="AT745" s="1025" t="b">
        <v>1</v>
      </c>
      <c r="AU745" s="331">
        <v>0</v>
      </c>
      <c r="AV745" s="491" t="s">
        <v>29</v>
      </c>
    </row>
    <row r="746" spans="1:48">
      <c r="A746" s="72">
        <v>51</v>
      </c>
      <c r="B746" s="391" t="s">
        <v>76</v>
      </c>
      <c r="C746" s="72">
        <f t="shared" si="33"/>
        <v>3</v>
      </c>
      <c r="D746" s="72" t="str">
        <f t="shared" si="34"/>
        <v>51-3</v>
      </c>
      <c r="E746" s="72">
        <v>71381</v>
      </c>
      <c r="F746" s="72" t="str">
        <f t="shared" si="35"/>
        <v>51-71381</v>
      </c>
      <c r="G746" s="391" t="s">
        <v>1201</v>
      </c>
      <c r="H746" s="331">
        <v>10715.82</v>
      </c>
      <c r="I746" s="331">
        <v>9852.75</v>
      </c>
      <c r="J746" s="331">
        <v>10145.030000000001</v>
      </c>
      <c r="K746" s="331">
        <v>12062.84</v>
      </c>
      <c r="L746" s="1072">
        <v>0</v>
      </c>
      <c r="M746" s="1072">
        <v>0</v>
      </c>
      <c r="N746" s="1072">
        <v>0</v>
      </c>
      <c r="O746" s="1072">
        <v>0</v>
      </c>
      <c r="P746" s="491">
        <v>0</v>
      </c>
      <c r="Q746" s="491">
        <v>0</v>
      </c>
      <c r="R746" s="491">
        <v>0</v>
      </c>
      <c r="S746" s="491">
        <v>0</v>
      </c>
      <c r="T746" s="1025" t="b">
        <v>0</v>
      </c>
      <c r="U746" s="491">
        <v>2.69</v>
      </c>
      <c r="V746" s="491">
        <v>3.56</v>
      </c>
      <c r="W746" s="491">
        <v>1.0900000000000001</v>
      </c>
      <c r="X746" s="491">
        <v>0</v>
      </c>
      <c r="Y746" s="1025" t="b">
        <v>1</v>
      </c>
      <c r="Z746" s="331">
        <v>0</v>
      </c>
      <c r="AA746" s="331">
        <v>0</v>
      </c>
      <c r="AB746" s="331">
        <v>0</v>
      </c>
      <c r="AC746" s="331">
        <v>0</v>
      </c>
      <c r="AD746" s="1025" t="b">
        <v>0</v>
      </c>
      <c r="AE746" s="331">
        <v>0</v>
      </c>
      <c r="AF746" s="331">
        <v>0</v>
      </c>
      <c r="AG746" s="331">
        <v>0</v>
      </c>
      <c r="AH746" s="331">
        <v>0</v>
      </c>
      <c r="AI746" s="1025" t="b">
        <v>0</v>
      </c>
      <c r="AJ746" s="331">
        <v>0</v>
      </c>
      <c r="AK746" s="331">
        <v>0</v>
      </c>
      <c r="AL746" s="331">
        <v>0</v>
      </c>
      <c r="AM746" s="331">
        <v>0</v>
      </c>
      <c r="AN746" s="1025" t="b">
        <v>0</v>
      </c>
      <c r="AO746" s="331">
        <v>0</v>
      </c>
      <c r="AP746" s="331">
        <v>0</v>
      </c>
      <c r="AQ746" s="331">
        <v>0</v>
      </c>
      <c r="AR746" s="331">
        <v>0</v>
      </c>
      <c r="AS746" s="1025" t="b">
        <v>0</v>
      </c>
      <c r="AT746" s="1025" t="b">
        <v>1</v>
      </c>
      <c r="AU746" s="331">
        <v>0</v>
      </c>
      <c r="AV746" s="491" t="s">
        <v>29</v>
      </c>
    </row>
    <row r="747" spans="1:48">
      <c r="A747" s="72">
        <v>51</v>
      </c>
      <c r="B747" s="391" t="s">
        <v>76</v>
      </c>
      <c r="C747" s="72">
        <f t="shared" si="33"/>
        <v>4</v>
      </c>
      <c r="D747" s="72" t="str">
        <f t="shared" si="34"/>
        <v>51-4</v>
      </c>
      <c r="E747" s="72">
        <v>71399</v>
      </c>
      <c r="F747" s="72" t="str">
        <f t="shared" si="35"/>
        <v>51-71399</v>
      </c>
      <c r="G747" s="391" t="s">
        <v>1202</v>
      </c>
      <c r="H747" s="331">
        <v>12853.41</v>
      </c>
      <c r="I747" s="331">
        <v>11818.17</v>
      </c>
      <c r="J747" s="331">
        <v>12168.76</v>
      </c>
      <c r="K747" s="331">
        <v>14469.13</v>
      </c>
      <c r="L747" s="1072">
        <v>0</v>
      </c>
      <c r="M747" s="1072">
        <v>0</v>
      </c>
      <c r="N747" s="1072">
        <v>0</v>
      </c>
      <c r="O747" s="1072">
        <v>0</v>
      </c>
      <c r="P747" s="491">
        <v>0</v>
      </c>
      <c r="Q747" s="491">
        <v>0</v>
      </c>
      <c r="R747" s="491">
        <v>0</v>
      </c>
      <c r="S747" s="491">
        <v>0</v>
      </c>
      <c r="T747" s="1025" t="b">
        <v>0</v>
      </c>
      <c r="U747" s="491">
        <v>10.09</v>
      </c>
      <c r="V747" s="491">
        <v>5.77</v>
      </c>
      <c r="W747" s="491">
        <v>2.79</v>
      </c>
      <c r="X747" s="491">
        <v>9.19</v>
      </c>
      <c r="Y747" s="1025" t="b">
        <v>1</v>
      </c>
      <c r="Z747" s="331">
        <v>0</v>
      </c>
      <c r="AA747" s="331">
        <v>0</v>
      </c>
      <c r="AB747" s="331">
        <v>0</v>
      </c>
      <c r="AC747" s="331">
        <v>0</v>
      </c>
      <c r="AD747" s="1025" t="b">
        <v>0</v>
      </c>
      <c r="AE747" s="331">
        <v>0</v>
      </c>
      <c r="AF747" s="331">
        <v>0</v>
      </c>
      <c r="AG747" s="331">
        <v>0</v>
      </c>
      <c r="AH747" s="331">
        <v>0</v>
      </c>
      <c r="AI747" s="1025" t="b">
        <v>0</v>
      </c>
      <c r="AJ747" s="331">
        <v>0</v>
      </c>
      <c r="AK747" s="331">
        <v>0</v>
      </c>
      <c r="AL747" s="331">
        <v>0</v>
      </c>
      <c r="AM747" s="331">
        <v>0</v>
      </c>
      <c r="AN747" s="1025" t="b">
        <v>0</v>
      </c>
      <c r="AO747" s="331">
        <v>0</v>
      </c>
      <c r="AP747" s="331">
        <v>0</v>
      </c>
      <c r="AQ747" s="331">
        <v>0</v>
      </c>
      <c r="AR747" s="331">
        <v>0</v>
      </c>
      <c r="AS747" s="1025" t="b">
        <v>0</v>
      </c>
      <c r="AT747" s="1025" t="b">
        <v>1</v>
      </c>
      <c r="AU747" s="331">
        <v>0</v>
      </c>
      <c r="AV747" s="491" t="s">
        <v>29</v>
      </c>
    </row>
    <row r="748" spans="1:48">
      <c r="A748" s="72">
        <v>51</v>
      </c>
      <c r="B748" s="391" t="s">
        <v>76</v>
      </c>
      <c r="C748" s="72">
        <f t="shared" si="33"/>
        <v>5</v>
      </c>
      <c r="D748" s="72" t="str">
        <f t="shared" si="34"/>
        <v>51-5</v>
      </c>
      <c r="E748" s="72">
        <v>71407</v>
      </c>
      <c r="F748" s="72" t="str">
        <f t="shared" si="35"/>
        <v>51-71407</v>
      </c>
      <c r="G748" s="391" t="s">
        <v>1203</v>
      </c>
      <c r="H748" s="331">
        <v>10970.41</v>
      </c>
      <c r="I748" s="331">
        <v>10086.84</v>
      </c>
      <c r="J748" s="331">
        <v>10386.06</v>
      </c>
      <c r="K748" s="331">
        <v>12349.44</v>
      </c>
      <c r="L748" s="1072">
        <v>0</v>
      </c>
      <c r="M748" s="1072">
        <v>0</v>
      </c>
      <c r="N748" s="1072">
        <v>0</v>
      </c>
      <c r="O748" s="1072">
        <v>0</v>
      </c>
      <c r="P748" s="491">
        <v>0</v>
      </c>
      <c r="Q748" s="491">
        <v>0</v>
      </c>
      <c r="R748" s="491">
        <v>0</v>
      </c>
      <c r="S748" s="491">
        <v>0</v>
      </c>
      <c r="T748" s="1025" t="b">
        <v>0</v>
      </c>
      <c r="U748" s="491">
        <v>0.79</v>
      </c>
      <c r="V748" s="491">
        <v>1.24</v>
      </c>
      <c r="W748" s="491">
        <v>0</v>
      </c>
      <c r="X748" s="491">
        <v>0</v>
      </c>
      <c r="Y748" s="1025" t="b">
        <v>1</v>
      </c>
      <c r="Z748" s="331">
        <v>0</v>
      </c>
      <c r="AA748" s="331">
        <v>0</v>
      </c>
      <c r="AB748" s="331">
        <v>0</v>
      </c>
      <c r="AC748" s="331">
        <v>0</v>
      </c>
      <c r="AD748" s="1025" t="b">
        <v>0</v>
      </c>
      <c r="AE748" s="331">
        <v>0</v>
      </c>
      <c r="AF748" s="331">
        <v>0</v>
      </c>
      <c r="AG748" s="331">
        <v>0</v>
      </c>
      <c r="AH748" s="331">
        <v>0</v>
      </c>
      <c r="AI748" s="1025" t="b">
        <v>0</v>
      </c>
      <c r="AJ748" s="331">
        <v>0</v>
      </c>
      <c r="AK748" s="331">
        <v>0</v>
      </c>
      <c r="AL748" s="331">
        <v>0</v>
      </c>
      <c r="AM748" s="331">
        <v>0</v>
      </c>
      <c r="AN748" s="1025" t="b">
        <v>0</v>
      </c>
      <c r="AO748" s="331">
        <v>0</v>
      </c>
      <c r="AP748" s="331">
        <v>0</v>
      </c>
      <c r="AQ748" s="331">
        <v>0</v>
      </c>
      <c r="AR748" s="331">
        <v>0</v>
      </c>
      <c r="AS748" s="1025" t="b">
        <v>0</v>
      </c>
      <c r="AT748" s="1025" t="b">
        <v>1</v>
      </c>
      <c r="AU748" s="331">
        <v>0</v>
      </c>
      <c r="AV748" s="491" t="s">
        <v>29</v>
      </c>
    </row>
    <row r="749" spans="1:48">
      <c r="A749" s="72">
        <v>51</v>
      </c>
      <c r="B749" s="391" t="s">
        <v>76</v>
      </c>
      <c r="C749" s="72">
        <f t="shared" si="33"/>
        <v>6</v>
      </c>
      <c r="D749" s="72" t="str">
        <f t="shared" si="34"/>
        <v>51-6</v>
      </c>
      <c r="E749" s="72">
        <v>71423</v>
      </c>
      <c r="F749" s="72" t="str">
        <f t="shared" si="35"/>
        <v>51-71423</v>
      </c>
      <c r="G749" s="391" t="s">
        <v>1204</v>
      </c>
      <c r="H749" s="331">
        <v>10999.76</v>
      </c>
      <c r="I749" s="331">
        <v>10113.82</v>
      </c>
      <c r="J749" s="331">
        <v>10413.84</v>
      </c>
      <c r="K749" s="331">
        <v>12382.47</v>
      </c>
      <c r="L749" s="1072">
        <v>0</v>
      </c>
      <c r="M749" s="1072">
        <v>0</v>
      </c>
      <c r="N749" s="1072">
        <v>0</v>
      </c>
      <c r="O749" s="1072">
        <v>0</v>
      </c>
      <c r="P749" s="491">
        <v>0</v>
      </c>
      <c r="Q749" s="491">
        <v>0</v>
      </c>
      <c r="R749" s="491">
        <v>0</v>
      </c>
      <c r="S749" s="491">
        <v>0</v>
      </c>
      <c r="T749" s="1025" t="b">
        <v>0</v>
      </c>
      <c r="U749" s="491">
        <v>1.96</v>
      </c>
      <c r="V749" s="491">
        <v>0.84</v>
      </c>
      <c r="W749" s="491">
        <v>0.71</v>
      </c>
      <c r="X749" s="491">
        <v>0</v>
      </c>
      <c r="Y749" s="1025" t="b">
        <v>1</v>
      </c>
      <c r="Z749" s="331">
        <v>0</v>
      </c>
      <c r="AA749" s="331">
        <v>0</v>
      </c>
      <c r="AB749" s="331">
        <v>0</v>
      </c>
      <c r="AC749" s="331">
        <v>0</v>
      </c>
      <c r="AD749" s="1025" t="b">
        <v>0</v>
      </c>
      <c r="AE749" s="331">
        <v>0</v>
      </c>
      <c r="AF749" s="331">
        <v>0</v>
      </c>
      <c r="AG749" s="331">
        <v>0</v>
      </c>
      <c r="AH749" s="331">
        <v>0</v>
      </c>
      <c r="AI749" s="1025" t="b">
        <v>0</v>
      </c>
      <c r="AJ749" s="331">
        <v>0</v>
      </c>
      <c r="AK749" s="331">
        <v>0</v>
      </c>
      <c r="AL749" s="331">
        <v>0</v>
      </c>
      <c r="AM749" s="331">
        <v>0</v>
      </c>
      <c r="AN749" s="1025" t="b">
        <v>0</v>
      </c>
      <c r="AO749" s="331">
        <v>0</v>
      </c>
      <c r="AP749" s="331">
        <v>0</v>
      </c>
      <c r="AQ749" s="331">
        <v>0</v>
      </c>
      <c r="AR749" s="331">
        <v>0</v>
      </c>
      <c r="AS749" s="1025" t="b">
        <v>0</v>
      </c>
      <c r="AT749" s="1025" t="b">
        <v>1</v>
      </c>
      <c r="AU749" s="331">
        <v>0</v>
      </c>
      <c r="AV749" s="491" t="s">
        <v>29</v>
      </c>
    </row>
    <row r="750" spans="1:48">
      <c r="A750" s="72">
        <v>51</v>
      </c>
      <c r="B750" s="391" t="s">
        <v>76</v>
      </c>
      <c r="C750" s="72">
        <f t="shared" si="33"/>
        <v>7</v>
      </c>
      <c r="D750" s="72" t="str">
        <f t="shared" si="34"/>
        <v>51-7</v>
      </c>
      <c r="E750" s="72">
        <v>71431</v>
      </c>
      <c r="F750" s="72" t="str">
        <f t="shared" si="35"/>
        <v>51-71431</v>
      </c>
      <c r="G750" s="391" t="s">
        <v>1205</v>
      </c>
      <c r="H750" s="331">
        <v>10739.7</v>
      </c>
      <c r="I750" s="331">
        <v>9874.7099999999991</v>
      </c>
      <c r="J750" s="331">
        <v>10167.64</v>
      </c>
      <c r="K750" s="331">
        <v>12089.72</v>
      </c>
      <c r="L750" s="1072">
        <v>0</v>
      </c>
      <c r="M750" s="1072">
        <v>0</v>
      </c>
      <c r="N750" s="1072">
        <v>0</v>
      </c>
      <c r="O750" s="1072">
        <v>0</v>
      </c>
      <c r="P750" s="491">
        <v>0</v>
      </c>
      <c r="Q750" s="491">
        <v>0</v>
      </c>
      <c r="R750" s="491">
        <v>0</v>
      </c>
      <c r="S750" s="491">
        <v>0</v>
      </c>
      <c r="T750" s="1025" t="b">
        <v>0</v>
      </c>
      <c r="U750" s="491">
        <v>0</v>
      </c>
      <c r="V750" s="491">
        <v>0</v>
      </c>
      <c r="W750" s="491">
        <v>0.78</v>
      </c>
      <c r="X750" s="491">
        <v>7.0000000000000007E-2</v>
      </c>
      <c r="Y750" s="1025" t="b">
        <v>1</v>
      </c>
      <c r="Z750" s="331">
        <v>0</v>
      </c>
      <c r="AA750" s="331">
        <v>0</v>
      </c>
      <c r="AB750" s="331">
        <v>0</v>
      </c>
      <c r="AC750" s="331">
        <v>0</v>
      </c>
      <c r="AD750" s="1025" t="b">
        <v>0</v>
      </c>
      <c r="AE750" s="331">
        <v>0</v>
      </c>
      <c r="AF750" s="331">
        <v>0</v>
      </c>
      <c r="AG750" s="331">
        <v>0</v>
      </c>
      <c r="AH750" s="331">
        <v>0</v>
      </c>
      <c r="AI750" s="1025" t="b">
        <v>0</v>
      </c>
      <c r="AJ750" s="331">
        <v>0</v>
      </c>
      <c r="AK750" s="331">
        <v>0</v>
      </c>
      <c r="AL750" s="331">
        <v>0</v>
      </c>
      <c r="AM750" s="331">
        <v>0</v>
      </c>
      <c r="AN750" s="1025" t="b">
        <v>0</v>
      </c>
      <c r="AO750" s="331">
        <v>0</v>
      </c>
      <c r="AP750" s="331">
        <v>0</v>
      </c>
      <c r="AQ750" s="331">
        <v>0</v>
      </c>
      <c r="AR750" s="331">
        <v>0</v>
      </c>
      <c r="AS750" s="1025" t="b">
        <v>0</v>
      </c>
      <c r="AT750" s="1025" t="b">
        <v>1</v>
      </c>
      <c r="AU750" s="331">
        <v>0</v>
      </c>
      <c r="AV750" s="491" t="s">
        <v>29</v>
      </c>
    </row>
    <row r="751" spans="1:48">
      <c r="A751" s="72">
        <v>51</v>
      </c>
      <c r="B751" s="391" t="s">
        <v>76</v>
      </c>
      <c r="C751" s="72">
        <f t="shared" si="33"/>
        <v>8</v>
      </c>
      <c r="D751" s="72" t="str">
        <f t="shared" si="34"/>
        <v>51-8</v>
      </c>
      <c r="E751" s="72">
        <v>71449</v>
      </c>
      <c r="F751" s="72" t="str">
        <f t="shared" si="35"/>
        <v>51-71449</v>
      </c>
      <c r="G751" s="391" t="s">
        <v>1206</v>
      </c>
      <c r="H751" s="331">
        <v>10652.68</v>
      </c>
      <c r="I751" s="331">
        <v>9794.69</v>
      </c>
      <c r="J751" s="331">
        <v>10085.25</v>
      </c>
      <c r="K751" s="331">
        <v>11991.76</v>
      </c>
      <c r="L751" s="1072">
        <v>0</v>
      </c>
      <c r="M751" s="1072">
        <v>0</v>
      </c>
      <c r="N751" s="1072">
        <v>0</v>
      </c>
      <c r="O751" s="1072">
        <v>0</v>
      </c>
      <c r="P751" s="491">
        <v>0</v>
      </c>
      <c r="Q751" s="491">
        <v>0</v>
      </c>
      <c r="R751" s="491">
        <v>0</v>
      </c>
      <c r="S751" s="491">
        <v>0</v>
      </c>
      <c r="T751" s="1025" t="b">
        <v>0</v>
      </c>
      <c r="U751" s="491">
        <v>0</v>
      </c>
      <c r="V751" s="491">
        <v>0</v>
      </c>
      <c r="W751" s="491">
        <v>0</v>
      </c>
      <c r="X751" s="491">
        <v>7.07</v>
      </c>
      <c r="Y751" s="1025" t="b">
        <v>1</v>
      </c>
      <c r="Z751" s="331">
        <v>0</v>
      </c>
      <c r="AA751" s="331">
        <v>0</v>
      </c>
      <c r="AB751" s="331">
        <v>0</v>
      </c>
      <c r="AC751" s="331">
        <v>0</v>
      </c>
      <c r="AD751" s="1025" t="b">
        <v>0</v>
      </c>
      <c r="AE751" s="331">
        <v>0</v>
      </c>
      <c r="AF751" s="331">
        <v>0</v>
      </c>
      <c r="AG751" s="331">
        <v>0</v>
      </c>
      <c r="AH751" s="331">
        <v>0</v>
      </c>
      <c r="AI751" s="1025" t="b">
        <v>0</v>
      </c>
      <c r="AJ751" s="331">
        <v>0</v>
      </c>
      <c r="AK751" s="331">
        <v>0</v>
      </c>
      <c r="AL751" s="331">
        <v>0</v>
      </c>
      <c r="AM751" s="331">
        <v>0</v>
      </c>
      <c r="AN751" s="1025" t="b">
        <v>0</v>
      </c>
      <c r="AO751" s="331">
        <v>0</v>
      </c>
      <c r="AP751" s="331">
        <v>0</v>
      </c>
      <c r="AQ751" s="331">
        <v>0</v>
      </c>
      <c r="AR751" s="331">
        <v>0</v>
      </c>
      <c r="AS751" s="1025" t="b">
        <v>0</v>
      </c>
      <c r="AT751" s="1025" t="b">
        <v>1</v>
      </c>
      <c r="AU751" s="331">
        <v>0</v>
      </c>
      <c r="AV751" s="491" t="s">
        <v>29</v>
      </c>
    </row>
    <row r="752" spans="1:48">
      <c r="A752" s="72">
        <v>51</v>
      </c>
      <c r="B752" s="391" t="s">
        <v>76</v>
      </c>
      <c r="C752" s="72">
        <f t="shared" si="33"/>
        <v>9</v>
      </c>
      <c r="D752" s="72" t="str">
        <f t="shared" si="34"/>
        <v>51-9</v>
      </c>
      <c r="E752" s="72">
        <v>71464</v>
      </c>
      <c r="F752" s="72" t="str">
        <f t="shared" si="35"/>
        <v>51-71464</v>
      </c>
      <c r="G752" s="391" t="s">
        <v>1207</v>
      </c>
      <c r="H752" s="331">
        <v>13352.27</v>
      </c>
      <c r="I752" s="331">
        <v>12276.86</v>
      </c>
      <c r="J752" s="331">
        <v>12641.05</v>
      </c>
      <c r="K752" s="331">
        <v>15030.71</v>
      </c>
      <c r="L752" s="1072">
        <v>0</v>
      </c>
      <c r="M752" s="1072">
        <v>0</v>
      </c>
      <c r="N752" s="1072">
        <v>0</v>
      </c>
      <c r="O752" s="1072">
        <v>0</v>
      </c>
      <c r="P752" s="491">
        <v>0</v>
      </c>
      <c r="Q752" s="491">
        <v>0</v>
      </c>
      <c r="R752" s="491">
        <v>0</v>
      </c>
      <c r="S752" s="491">
        <v>0</v>
      </c>
      <c r="T752" s="1025" t="b">
        <v>0</v>
      </c>
      <c r="U752" s="491">
        <v>80.8</v>
      </c>
      <c r="V752" s="491">
        <v>42.01</v>
      </c>
      <c r="W752" s="491">
        <v>27.03</v>
      </c>
      <c r="X752" s="491">
        <v>63.98</v>
      </c>
      <c r="Y752" s="1025" t="b">
        <v>1</v>
      </c>
      <c r="Z752" s="331">
        <v>0</v>
      </c>
      <c r="AA752" s="331">
        <v>0</v>
      </c>
      <c r="AB752" s="331">
        <v>0</v>
      </c>
      <c r="AC752" s="331">
        <v>0</v>
      </c>
      <c r="AD752" s="1025" t="b">
        <v>0</v>
      </c>
      <c r="AE752" s="331">
        <v>0</v>
      </c>
      <c r="AF752" s="331">
        <v>0</v>
      </c>
      <c r="AG752" s="331">
        <v>0</v>
      </c>
      <c r="AH752" s="331">
        <v>0</v>
      </c>
      <c r="AI752" s="1025" t="b">
        <v>0</v>
      </c>
      <c r="AJ752" s="331">
        <v>0</v>
      </c>
      <c r="AK752" s="331">
        <v>0</v>
      </c>
      <c r="AL752" s="331">
        <v>0</v>
      </c>
      <c r="AM752" s="331">
        <v>0</v>
      </c>
      <c r="AN752" s="1025" t="b">
        <v>0</v>
      </c>
      <c r="AO752" s="331">
        <v>0</v>
      </c>
      <c r="AP752" s="331">
        <v>0</v>
      </c>
      <c r="AQ752" s="331">
        <v>0</v>
      </c>
      <c r="AR752" s="331">
        <v>0</v>
      </c>
      <c r="AS752" s="1025" t="b">
        <v>0</v>
      </c>
      <c r="AT752" s="1025" t="b">
        <v>1</v>
      </c>
      <c r="AU752" s="331">
        <v>0</v>
      </c>
      <c r="AV752" s="491" t="s">
        <v>29</v>
      </c>
    </row>
    <row r="753" spans="1:48">
      <c r="A753" s="72">
        <v>51</v>
      </c>
      <c r="B753" s="391" t="s">
        <v>76</v>
      </c>
      <c r="C753" s="72">
        <f t="shared" si="33"/>
        <v>10</v>
      </c>
      <c r="D753" s="72" t="str">
        <f t="shared" si="34"/>
        <v>51-10</v>
      </c>
      <c r="E753" s="72">
        <v>72736</v>
      </c>
      <c r="F753" s="72" t="str">
        <f t="shared" si="35"/>
        <v>51-72736</v>
      </c>
      <c r="G753" s="391" t="s">
        <v>1208</v>
      </c>
      <c r="H753" s="331">
        <v>12972.1</v>
      </c>
      <c r="I753" s="331">
        <v>11927.31</v>
      </c>
      <c r="J753" s="331">
        <v>12281.13</v>
      </c>
      <c r="K753" s="331">
        <v>14602.75</v>
      </c>
      <c r="L753" s="1072">
        <v>0</v>
      </c>
      <c r="M753" s="1072">
        <v>0</v>
      </c>
      <c r="N753" s="1072">
        <v>0</v>
      </c>
      <c r="O753" s="1072">
        <v>0</v>
      </c>
      <c r="P753" s="491">
        <v>0</v>
      </c>
      <c r="Q753" s="491">
        <v>0</v>
      </c>
      <c r="R753" s="491">
        <v>0</v>
      </c>
      <c r="S753" s="491">
        <v>0</v>
      </c>
      <c r="T753" s="1025" t="b">
        <v>0</v>
      </c>
      <c r="U753" s="491">
        <v>3.88</v>
      </c>
      <c r="V753" s="491">
        <v>0.1</v>
      </c>
      <c r="W753" s="491">
        <v>0.92</v>
      </c>
      <c r="X753" s="491">
        <v>0.1</v>
      </c>
      <c r="Y753" s="1025" t="b">
        <v>1</v>
      </c>
      <c r="Z753" s="331">
        <v>0</v>
      </c>
      <c r="AA753" s="331">
        <v>0</v>
      </c>
      <c r="AB753" s="331">
        <v>0</v>
      </c>
      <c r="AC753" s="331">
        <v>0</v>
      </c>
      <c r="AD753" s="1025" t="b">
        <v>0</v>
      </c>
      <c r="AE753" s="331">
        <v>0</v>
      </c>
      <c r="AF753" s="331">
        <v>0</v>
      </c>
      <c r="AG753" s="331">
        <v>0</v>
      </c>
      <c r="AH753" s="331">
        <v>0</v>
      </c>
      <c r="AI753" s="1025" t="b">
        <v>0</v>
      </c>
      <c r="AJ753" s="331">
        <v>0</v>
      </c>
      <c r="AK753" s="331">
        <v>0</v>
      </c>
      <c r="AL753" s="331">
        <v>0</v>
      </c>
      <c r="AM753" s="331">
        <v>0</v>
      </c>
      <c r="AN753" s="1025" t="b">
        <v>0</v>
      </c>
      <c r="AO753" s="331">
        <v>0</v>
      </c>
      <c r="AP753" s="331">
        <v>0</v>
      </c>
      <c r="AQ753" s="331">
        <v>0</v>
      </c>
      <c r="AR753" s="331">
        <v>0</v>
      </c>
      <c r="AS753" s="1025" t="b">
        <v>0</v>
      </c>
      <c r="AT753" s="1025" t="b">
        <v>0</v>
      </c>
      <c r="AU753" s="331">
        <v>64284</v>
      </c>
      <c r="AV753" s="491" t="s">
        <v>29</v>
      </c>
    </row>
    <row r="754" spans="1:48">
      <c r="A754" s="72">
        <v>51</v>
      </c>
      <c r="B754" s="391" t="s">
        <v>76</v>
      </c>
      <c r="C754" s="72">
        <f t="shared" si="33"/>
        <v>0</v>
      </c>
      <c r="D754" s="72" t="str">
        <f t="shared" si="34"/>
        <v>51-0</v>
      </c>
      <c r="E754" s="72" t="s">
        <v>29</v>
      </c>
      <c r="F754" s="72" t="str">
        <f t="shared" si="35"/>
        <v>51-N/A</v>
      </c>
      <c r="G754" s="391" t="s">
        <v>29</v>
      </c>
      <c r="H754" s="491" t="s">
        <v>29</v>
      </c>
      <c r="I754" s="491" t="s">
        <v>29</v>
      </c>
      <c r="J754" s="491" t="s">
        <v>29</v>
      </c>
      <c r="K754" s="491" t="s">
        <v>29</v>
      </c>
      <c r="L754" s="491" t="s">
        <v>29</v>
      </c>
      <c r="M754" s="491" t="s">
        <v>29</v>
      </c>
      <c r="N754" s="491" t="s">
        <v>29</v>
      </c>
      <c r="O754" s="491" t="s">
        <v>29</v>
      </c>
      <c r="P754" s="491" t="s">
        <v>29</v>
      </c>
      <c r="Q754" s="491" t="s">
        <v>29</v>
      </c>
      <c r="R754" s="491" t="s">
        <v>29</v>
      </c>
      <c r="S754" s="491" t="s">
        <v>29</v>
      </c>
      <c r="T754" s="1025" t="s">
        <v>29</v>
      </c>
      <c r="U754" s="491" t="s">
        <v>29</v>
      </c>
      <c r="V754" s="491" t="s">
        <v>29</v>
      </c>
      <c r="W754" s="491" t="s">
        <v>29</v>
      </c>
      <c r="X754" s="491" t="s">
        <v>29</v>
      </c>
      <c r="Y754" s="1025" t="s">
        <v>29</v>
      </c>
      <c r="Z754" s="491" t="s">
        <v>29</v>
      </c>
      <c r="AA754" s="491" t="s">
        <v>29</v>
      </c>
      <c r="AB754" s="491" t="s">
        <v>29</v>
      </c>
      <c r="AC754" s="491" t="s">
        <v>29</v>
      </c>
      <c r="AD754" s="1025" t="s">
        <v>29</v>
      </c>
      <c r="AE754" s="491" t="s">
        <v>29</v>
      </c>
      <c r="AF754" s="491" t="s">
        <v>29</v>
      </c>
      <c r="AG754" s="491" t="s">
        <v>29</v>
      </c>
      <c r="AH754" s="491" t="s">
        <v>29</v>
      </c>
      <c r="AI754" s="1025" t="s">
        <v>29</v>
      </c>
      <c r="AJ754" s="491" t="s">
        <v>29</v>
      </c>
      <c r="AK754" s="491" t="s">
        <v>29</v>
      </c>
      <c r="AL754" s="491" t="s">
        <v>29</v>
      </c>
      <c r="AM754" s="491" t="s">
        <v>29</v>
      </c>
      <c r="AN754" s="1025" t="s">
        <v>29</v>
      </c>
      <c r="AO754" s="491" t="s">
        <v>29</v>
      </c>
      <c r="AP754" s="491" t="s">
        <v>29</v>
      </c>
      <c r="AQ754" s="491" t="s">
        <v>29</v>
      </c>
      <c r="AR754" s="491" t="s">
        <v>29</v>
      </c>
      <c r="AS754" s="1025" t="s">
        <v>29</v>
      </c>
      <c r="AT754" s="1025" t="s">
        <v>29</v>
      </c>
      <c r="AU754" s="491" t="s">
        <v>29</v>
      </c>
      <c r="AV754" s="491">
        <v>64284</v>
      </c>
    </row>
    <row r="755" spans="1:48">
      <c r="A755" s="72">
        <v>52</v>
      </c>
      <c r="B755" s="391" t="s">
        <v>77</v>
      </c>
      <c r="C755" s="72">
        <f t="shared" si="33"/>
        <v>1</v>
      </c>
      <c r="D755" s="72" t="str">
        <f t="shared" si="34"/>
        <v>52-1</v>
      </c>
      <c r="E755" s="72">
        <v>71472</v>
      </c>
      <c r="F755" s="72" t="str">
        <f t="shared" si="35"/>
        <v>52-71472</v>
      </c>
      <c r="G755" s="391" t="s">
        <v>1210</v>
      </c>
      <c r="H755" s="331">
        <v>11811.81</v>
      </c>
      <c r="I755" s="331">
        <v>10860.47</v>
      </c>
      <c r="J755" s="331">
        <v>11182.64</v>
      </c>
      <c r="K755" s="331">
        <v>13296.6</v>
      </c>
      <c r="L755" s="1072">
        <v>0</v>
      </c>
      <c r="M755" s="1072">
        <v>0</v>
      </c>
      <c r="N755" s="1072">
        <v>0</v>
      </c>
      <c r="O755" s="1072">
        <v>0</v>
      </c>
      <c r="P755" s="491">
        <v>0</v>
      </c>
      <c r="Q755" s="491">
        <v>0</v>
      </c>
      <c r="R755" s="491">
        <v>0</v>
      </c>
      <c r="S755" s="491">
        <v>0</v>
      </c>
      <c r="T755" s="1025" t="b">
        <v>0</v>
      </c>
      <c r="U755" s="491">
        <v>1.0900000000000001</v>
      </c>
      <c r="V755" s="491">
        <v>0.99</v>
      </c>
      <c r="W755" s="491">
        <v>0.84</v>
      </c>
      <c r="X755" s="491">
        <v>0</v>
      </c>
      <c r="Y755" s="1025" t="b">
        <v>1</v>
      </c>
      <c r="Z755" s="331">
        <v>0</v>
      </c>
      <c r="AA755" s="331">
        <v>0.16</v>
      </c>
      <c r="AB755" s="331">
        <v>1.77</v>
      </c>
      <c r="AC755" s="331">
        <v>0</v>
      </c>
      <c r="AD755" s="1025" t="b">
        <v>1</v>
      </c>
      <c r="AE755" s="331">
        <v>0.06</v>
      </c>
      <c r="AF755" s="331">
        <v>0.09</v>
      </c>
      <c r="AG755" s="331">
        <v>0.13</v>
      </c>
      <c r="AH755" s="331">
        <v>0</v>
      </c>
      <c r="AI755" s="1025" t="b">
        <v>1</v>
      </c>
      <c r="AJ755" s="331">
        <v>0</v>
      </c>
      <c r="AK755" s="331">
        <v>0</v>
      </c>
      <c r="AL755" s="331">
        <v>0</v>
      </c>
      <c r="AM755" s="331">
        <v>0</v>
      </c>
      <c r="AN755" s="1025" t="b">
        <v>0</v>
      </c>
      <c r="AO755" s="331">
        <v>0</v>
      </c>
      <c r="AP755" s="331">
        <v>0</v>
      </c>
      <c r="AQ755" s="331">
        <v>0</v>
      </c>
      <c r="AR755" s="331">
        <v>0</v>
      </c>
      <c r="AS755" s="1025" t="b">
        <v>0</v>
      </c>
      <c r="AT755" s="1025" t="b">
        <v>1</v>
      </c>
      <c r="AU755" s="331">
        <v>0</v>
      </c>
      <c r="AV755" s="491" t="s">
        <v>29</v>
      </c>
    </row>
    <row r="756" spans="1:48">
      <c r="A756" s="72">
        <v>52</v>
      </c>
      <c r="B756" s="391" t="s">
        <v>77</v>
      </c>
      <c r="C756" s="72">
        <f t="shared" si="33"/>
        <v>2</v>
      </c>
      <c r="D756" s="72" t="str">
        <f t="shared" si="34"/>
        <v>52-2</v>
      </c>
      <c r="E756" s="72">
        <v>71498</v>
      </c>
      <c r="F756" s="72" t="str">
        <f t="shared" si="35"/>
        <v>52-71498</v>
      </c>
      <c r="G756" s="391" t="s">
        <v>1211</v>
      </c>
      <c r="H756" s="331">
        <v>13848.56</v>
      </c>
      <c r="I756" s="331">
        <v>12733.18</v>
      </c>
      <c r="J756" s="331">
        <v>13110.9</v>
      </c>
      <c r="K756" s="331">
        <v>15589.38</v>
      </c>
      <c r="L756" s="1072">
        <v>0</v>
      </c>
      <c r="M756" s="1072">
        <v>0</v>
      </c>
      <c r="N756" s="1072">
        <v>0</v>
      </c>
      <c r="O756" s="491" t="s">
        <v>29</v>
      </c>
      <c r="P756" s="491">
        <v>0</v>
      </c>
      <c r="Q756" s="491">
        <v>0</v>
      </c>
      <c r="R756" s="491">
        <v>0</v>
      </c>
      <c r="S756" s="491">
        <v>0</v>
      </c>
      <c r="T756" s="1025" t="b">
        <v>0</v>
      </c>
      <c r="U756" s="491">
        <v>0.94</v>
      </c>
      <c r="V756" s="491">
        <v>1.62</v>
      </c>
      <c r="W756" s="491">
        <v>1.66</v>
      </c>
      <c r="X756" s="491">
        <v>0</v>
      </c>
      <c r="Y756" s="1025" t="b">
        <v>1</v>
      </c>
      <c r="Z756" s="331">
        <v>0</v>
      </c>
      <c r="AA756" s="331">
        <v>0</v>
      </c>
      <c r="AB756" s="331">
        <v>0</v>
      </c>
      <c r="AC756" s="331">
        <v>0</v>
      </c>
      <c r="AD756" s="1025" t="b">
        <v>0</v>
      </c>
      <c r="AE756" s="331">
        <v>0.06</v>
      </c>
      <c r="AF756" s="331">
        <v>0.22</v>
      </c>
      <c r="AG756" s="331">
        <v>0.1</v>
      </c>
      <c r="AH756" s="331">
        <v>0</v>
      </c>
      <c r="AI756" s="1025" t="b">
        <v>1</v>
      </c>
      <c r="AJ756" s="331">
        <v>0</v>
      </c>
      <c r="AK756" s="331">
        <v>0</v>
      </c>
      <c r="AL756" s="331">
        <v>0</v>
      </c>
      <c r="AM756" s="331">
        <v>0</v>
      </c>
      <c r="AN756" s="1025" t="b">
        <v>0</v>
      </c>
      <c r="AO756" s="331">
        <v>0</v>
      </c>
      <c r="AP756" s="331">
        <v>0</v>
      </c>
      <c r="AQ756" s="331">
        <v>0</v>
      </c>
      <c r="AR756" s="331">
        <v>0</v>
      </c>
      <c r="AS756" s="1025" t="b">
        <v>0</v>
      </c>
      <c r="AT756" s="1025" t="b">
        <v>1</v>
      </c>
      <c r="AU756" s="331">
        <v>0</v>
      </c>
      <c r="AV756" s="491" t="s">
        <v>29</v>
      </c>
    </row>
    <row r="757" spans="1:48">
      <c r="A757" s="72">
        <v>52</v>
      </c>
      <c r="B757" s="391" t="s">
        <v>77</v>
      </c>
      <c r="C757" s="72">
        <f t="shared" si="33"/>
        <v>3</v>
      </c>
      <c r="D757" s="72" t="str">
        <f t="shared" si="34"/>
        <v>52-3</v>
      </c>
      <c r="E757" s="72">
        <v>71506</v>
      </c>
      <c r="F757" s="72" t="str">
        <f t="shared" si="35"/>
        <v>52-71506</v>
      </c>
      <c r="G757" s="391" t="s">
        <v>1212</v>
      </c>
      <c r="H757" s="491">
        <v>13043.49</v>
      </c>
      <c r="I757" s="491">
        <v>11992.95</v>
      </c>
      <c r="J757" s="491">
        <v>12348.72</v>
      </c>
      <c r="K757" s="491">
        <v>14683.11</v>
      </c>
      <c r="L757" s="491" t="s">
        <v>29</v>
      </c>
      <c r="M757" s="491" t="s">
        <v>29</v>
      </c>
      <c r="N757" s="491" t="s">
        <v>29</v>
      </c>
      <c r="O757" s="1072">
        <v>0</v>
      </c>
      <c r="P757" s="491">
        <v>0</v>
      </c>
      <c r="Q757" s="491">
        <v>0</v>
      </c>
      <c r="R757" s="491">
        <v>0</v>
      </c>
      <c r="S757" s="491">
        <v>0</v>
      </c>
      <c r="T757" s="1025" t="b">
        <v>0</v>
      </c>
      <c r="U757" s="491">
        <v>0</v>
      </c>
      <c r="V757" s="491">
        <v>0</v>
      </c>
      <c r="W757" s="491">
        <v>0</v>
      </c>
      <c r="X757" s="491">
        <v>1.81</v>
      </c>
      <c r="Y757" s="1025" t="b">
        <v>1</v>
      </c>
      <c r="Z757" s="491">
        <v>0</v>
      </c>
      <c r="AA757" s="491">
        <v>0</v>
      </c>
      <c r="AB757" s="491">
        <v>0</v>
      </c>
      <c r="AC757" s="491">
        <v>0</v>
      </c>
      <c r="AD757" s="1025" t="b">
        <v>0</v>
      </c>
      <c r="AE757" s="491">
        <v>0</v>
      </c>
      <c r="AF757" s="491">
        <v>0</v>
      </c>
      <c r="AG757" s="491">
        <v>0</v>
      </c>
      <c r="AH757" s="491">
        <v>0</v>
      </c>
      <c r="AI757" s="1025" t="b">
        <v>0</v>
      </c>
      <c r="AJ757" s="491">
        <v>0</v>
      </c>
      <c r="AK757" s="491">
        <v>0</v>
      </c>
      <c r="AL757" s="491">
        <v>0</v>
      </c>
      <c r="AM757" s="491">
        <v>0</v>
      </c>
      <c r="AN757" s="1025" t="b">
        <v>0</v>
      </c>
      <c r="AO757" s="491">
        <v>0</v>
      </c>
      <c r="AP757" s="491">
        <v>0</v>
      </c>
      <c r="AQ757" s="491">
        <v>0</v>
      </c>
      <c r="AR757" s="491">
        <v>0</v>
      </c>
      <c r="AS757" s="1025" t="b">
        <v>0</v>
      </c>
      <c r="AT757" s="1025" t="b">
        <v>1</v>
      </c>
      <c r="AU757" s="491">
        <v>0</v>
      </c>
      <c r="AV757" s="491" t="s">
        <v>29</v>
      </c>
    </row>
    <row r="758" spans="1:48">
      <c r="A758" s="72">
        <v>52</v>
      </c>
      <c r="B758" s="391" t="s">
        <v>77</v>
      </c>
      <c r="C758" s="72">
        <f t="shared" si="33"/>
        <v>4</v>
      </c>
      <c r="D758" s="72" t="str">
        <f t="shared" si="34"/>
        <v>52-4</v>
      </c>
      <c r="E758" s="72">
        <v>71522</v>
      </c>
      <c r="F758" s="72" t="str">
        <f t="shared" si="35"/>
        <v>52-71522</v>
      </c>
      <c r="G758" s="391" t="s">
        <v>1213</v>
      </c>
      <c r="H758" s="331">
        <v>11487.54</v>
      </c>
      <c r="I758" s="331">
        <v>10562.32</v>
      </c>
      <c r="J758" s="331">
        <v>10875.65</v>
      </c>
      <c r="K758" s="331">
        <v>12931.58</v>
      </c>
      <c r="L758" s="1072">
        <v>0</v>
      </c>
      <c r="M758" s="1072">
        <v>0</v>
      </c>
      <c r="N758" s="1072">
        <v>0</v>
      </c>
      <c r="O758" s="491" t="s">
        <v>29</v>
      </c>
      <c r="P758" s="491">
        <v>0</v>
      </c>
      <c r="Q758" s="491">
        <v>0</v>
      </c>
      <c r="R758" s="491">
        <v>0</v>
      </c>
      <c r="S758" s="491">
        <v>0</v>
      </c>
      <c r="T758" s="1025" t="b">
        <v>0</v>
      </c>
      <c r="U758" s="491">
        <v>0.78</v>
      </c>
      <c r="V758" s="491">
        <v>1.86</v>
      </c>
      <c r="W758" s="491">
        <v>0</v>
      </c>
      <c r="X758" s="491">
        <v>0</v>
      </c>
      <c r="Y758" s="1025" t="b">
        <v>1</v>
      </c>
      <c r="Z758" s="331">
        <v>0</v>
      </c>
      <c r="AA758" s="331">
        <v>0</v>
      </c>
      <c r="AB758" s="331">
        <v>0</v>
      </c>
      <c r="AC758" s="331">
        <v>0</v>
      </c>
      <c r="AD758" s="1025" t="b">
        <v>0</v>
      </c>
      <c r="AE758" s="331">
        <v>0.06</v>
      </c>
      <c r="AF758" s="331">
        <v>0</v>
      </c>
      <c r="AG758" s="331">
        <v>0</v>
      </c>
      <c r="AH758" s="331">
        <v>0</v>
      </c>
      <c r="AI758" s="1025" t="b">
        <v>1</v>
      </c>
      <c r="AJ758" s="331">
        <v>0</v>
      </c>
      <c r="AK758" s="331">
        <v>0</v>
      </c>
      <c r="AL758" s="331">
        <v>0</v>
      </c>
      <c r="AM758" s="331">
        <v>0</v>
      </c>
      <c r="AN758" s="1025" t="b">
        <v>0</v>
      </c>
      <c r="AO758" s="331">
        <v>0</v>
      </c>
      <c r="AP758" s="331">
        <v>0</v>
      </c>
      <c r="AQ758" s="331">
        <v>0</v>
      </c>
      <c r="AR758" s="331">
        <v>0</v>
      </c>
      <c r="AS758" s="1025" t="b">
        <v>0</v>
      </c>
      <c r="AT758" s="1025" t="b">
        <v>1</v>
      </c>
      <c r="AU758" s="331">
        <v>0</v>
      </c>
      <c r="AV758" s="491" t="s">
        <v>29</v>
      </c>
    </row>
    <row r="759" spans="1:48">
      <c r="A759" s="72">
        <v>52</v>
      </c>
      <c r="B759" s="391" t="s">
        <v>77</v>
      </c>
      <c r="C759" s="72">
        <f t="shared" si="33"/>
        <v>5</v>
      </c>
      <c r="D759" s="72" t="str">
        <f t="shared" si="34"/>
        <v>52-5</v>
      </c>
      <c r="E759" s="72">
        <v>71548</v>
      </c>
      <c r="F759" s="72" t="str">
        <f t="shared" si="35"/>
        <v>52-71548</v>
      </c>
      <c r="G759" s="391" t="s">
        <v>1797</v>
      </c>
      <c r="H759" s="331">
        <v>14005.96</v>
      </c>
      <c r="I759" s="331">
        <v>12877.9</v>
      </c>
      <c r="J759" s="331">
        <v>13259.92</v>
      </c>
      <c r="K759" s="331">
        <v>15766.57</v>
      </c>
      <c r="L759" s="1072">
        <v>0</v>
      </c>
      <c r="M759" s="1072">
        <v>0</v>
      </c>
      <c r="N759" s="1072">
        <v>0</v>
      </c>
      <c r="O759" s="491" t="s">
        <v>29</v>
      </c>
      <c r="P759" s="491">
        <v>0</v>
      </c>
      <c r="Q759" s="491">
        <v>0</v>
      </c>
      <c r="R759" s="491">
        <v>0</v>
      </c>
      <c r="S759" s="491">
        <v>0</v>
      </c>
      <c r="T759" s="1025" t="b">
        <v>0</v>
      </c>
      <c r="U759" s="491">
        <v>0.92</v>
      </c>
      <c r="V759" s="491">
        <v>0</v>
      </c>
      <c r="W759" s="491">
        <v>0</v>
      </c>
      <c r="X759" s="491">
        <v>0</v>
      </c>
      <c r="Y759" s="1025" t="b">
        <v>1</v>
      </c>
      <c r="Z759" s="331">
        <v>0</v>
      </c>
      <c r="AA759" s="331">
        <v>0</v>
      </c>
      <c r="AB759" s="331">
        <v>0</v>
      </c>
      <c r="AC759" s="331">
        <v>0</v>
      </c>
      <c r="AD759" s="1025" t="b">
        <v>0</v>
      </c>
      <c r="AE759" s="331">
        <v>0</v>
      </c>
      <c r="AF759" s="331">
        <v>0</v>
      </c>
      <c r="AG759" s="331">
        <v>0</v>
      </c>
      <c r="AH759" s="331">
        <v>0</v>
      </c>
      <c r="AI759" s="1025" t="b">
        <v>0</v>
      </c>
      <c r="AJ759" s="331">
        <v>0</v>
      </c>
      <c r="AK759" s="331">
        <v>0</v>
      </c>
      <c r="AL759" s="331">
        <v>0</v>
      </c>
      <c r="AM759" s="331">
        <v>0</v>
      </c>
      <c r="AN759" s="1025" t="b">
        <v>0</v>
      </c>
      <c r="AO759" s="331">
        <v>0</v>
      </c>
      <c r="AP759" s="331">
        <v>0</v>
      </c>
      <c r="AQ759" s="331">
        <v>0</v>
      </c>
      <c r="AR759" s="331">
        <v>0</v>
      </c>
      <c r="AS759" s="1025" t="b">
        <v>0</v>
      </c>
      <c r="AT759" s="1025" t="b">
        <v>1</v>
      </c>
      <c r="AU759" s="331">
        <v>0</v>
      </c>
      <c r="AV759" s="491" t="s">
        <v>29</v>
      </c>
    </row>
    <row r="760" spans="1:48">
      <c r="A760" s="72">
        <v>52</v>
      </c>
      <c r="B760" s="391" t="s">
        <v>77</v>
      </c>
      <c r="C760" s="72">
        <f t="shared" si="33"/>
        <v>6</v>
      </c>
      <c r="D760" s="72" t="str">
        <f t="shared" si="34"/>
        <v>52-6</v>
      </c>
      <c r="E760" s="72">
        <v>71563</v>
      </c>
      <c r="F760" s="72" t="str">
        <f t="shared" si="35"/>
        <v>52-71563</v>
      </c>
      <c r="G760" s="391" t="s">
        <v>1798</v>
      </c>
      <c r="H760" s="331">
        <v>11065.73</v>
      </c>
      <c r="I760" s="331">
        <v>10174.48</v>
      </c>
      <c r="J760" s="331">
        <v>10476.299999999999</v>
      </c>
      <c r="K760" s="331">
        <v>12456.74</v>
      </c>
      <c r="L760" s="1072">
        <v>0</v>
      </c>
      <c r="M760" s="1072">
        <v>0</v>
      </c>
      <c r="N760" s="1072">
        <v>0</v>
      </c>
      <c r="O760" s="491" t="s">
        <v>29</v>
      </c>
      <c r="P760" s="491">
        <v>0</v>
      </c>
      <c r="Q760" s="491">
        <v>0</v>
      </c>
      <c r="R760" s="491">
        <v>0</v>
      </c>
      <c r="S760" s="491">
        <v>0</v>
      </c>
      <c r="T760" s="1025" t="b">
        <v>0</v>
      </c>
      <c r="U760" s="491">
        <v>0.91</v>
      </c>
      <c r="V760" s="491">
        <v>0</v>
      </c>
      <c r="W760" s="491">
        <v>0</v>
      </c>
      <c r="X760" s="491">
        <v>0</v>
      </c>
      <c r="Y760" s="1025" t="b">
        <v>1</v>
      </c>
      <c r="Z760" s="331">
        <v>0</v>
      </c>
      <c r="AA760" s="331">
        <v>0</v>
      </c>
      <c r="AB760" s="331">
        <v>0</v>
      </c>
      <c r="AC760" s="331">
        <v>0</v>
      </c>
      <c r="AD760" s="1025" t="b">
        <v>0</v>
      </c>
      <c r="AE760" s="331">
        <v>0</v>
      </c>
      <c r="AF760" s="331">
        <v>0</v>
      </c>
      <c r="AG760" s="331">
        <v>0</v>
      </c>
      <c r="AH760" s="331">
        <v>0</v>
      </c>
      <c r="AI760" s="1025" t="b">
        <v>0</v>
      </c>
      <c r="AJ760" s="331">
        <v>0</v>
      </c>
      <c r="AK760" s="331">
        <v>0</v>
      </c>
      <c r="AL760" s="331">
        <v>0</v>
      </c>
      <c r="AM760" s="331">
        <v>0</v>
      </c>
      <c r="AN760" s="1025" t="b">
        <v>0</v>
      </c>
      <c r="AO760" s="331">
        <v>0</v>
      </c>
      <c r="AP760" s="331">
        <v>0</v>
      </c>
      <c r="AQ760" s="331">
        <v>0</v>
      </c>
      <c r="AR760" s="331">
        <v>0</v>
      </c>
      <c r="AS760" s="1025" t="b">
        <v>0</v>
      </c>
      <c r="AT760" s="1025" t="b">
        <v>1</v>
      </c>
      <c r="AU760" s="331">
        <v>0</v>
      </c>
      <c r="AV760" s="491" t="s">
        <v>29</v>
      </c>
    </row>
    <row r="761" spans="1:48">
      <c r="A761" s="72">
        <v>52</v>
      </c>
      <c r="B761" s="391" t="s">
        <v>77</v>
      </c>
      <c r="C761" s="72">
        <f t="shared" si="33"/>
        <v>7</v>
      </c>
      <c r="D761" s="72" t="str">
        <f t="shared" si="34"/>
        <v>52-7</v>
      </c>
      <c r="E761" s="72">
        <v>71571</v>
      </c>
      <c r="F761" s="72" t="str">
        <f t="shared" si="35"/>
        <v>52-71571</v>
      </c>
      <c r="G761" s="391" t="s">
        <v>1214</v>
      </c>
      <c r="H761" s="331">
        <v>13045.21</v>
      </c>
      <c r="I761" s="331">
        <v>11994.53</v>
      </c>
      <c r="J761" s="331">
        <v>12350.34</v>
      </c>
      <c r="K761" s="331">
        <v>14685.05</v>
      </c>
      <c r="L761" s="1072">
        <v>0</v>
      </c>
      <c r="M761" s="1072">
        <v>0</v>
      </c>
      <c r="N761" s="1072">
        <v>0</v>
      </c>
      <c r="O761" s="1072">
        <v>0</v>
      </c>
      <c r="P761" s="491">
        <v>0</v>
      </c>
      <c r="Q761" s="491">
        <v>0</v>
      </c>
      <c r="R761" s="491">
        <v>0</v>
      </c>
      <c r="S761" s="491">
        <v>0</v>
      </c>
      <c r="T761" s="1025" t="b">
        <v>0</v>
      </c>
      <c r="U761" s="491">
        <v>0</v>
      </c>
      <c r="V761" s="491">
        <v>0.89</v>
      </c>
      <c r="W761" s="491">
        <v>0</v>
      </c>
      <c r="X761" s="491">
        <v>0</v>
      </c>
      <c r="Y761" s="1025" t="b">
        <v>1</v>
      </c>
      <c r="Z761" s="331">
        <v>0</v>
      </c>
      <c r="AA761" s="331">
        <v>0</v>
      </c>
      <c r="AB761" s="331">
        <v>0</v>
      </c>
      <c r="AC761" s="331">
        <v>0</v>
      </c>
      <c r="AD761" s="1025" t="b">
        <v>0</v>
      </c>
      <c r="AE761" s="331">
        <v>0.06</v>
      </c>
      <c r="AF761" s="331">
        <v>0.23</v>
      </c>
      <c r="AG761" s="331">
        <v>0.17</v>
      </c>
      <c r="AH761" s="331">
        <v>0</v>
      </c>
      <c r="AI761" s="1025" t="b">
        <v>1</v>
      </c>
      <c r="AJ761" s="331">
        <v>0</v>
      </c>
      <c r="AK761" s="331">
        <v>0</v>
      </c>
      <c r="AL761" s="331">
        <v>0</v>
      </c>
      <c r="AM761" s="331">
        <v>0</v>
      </c>
      <c r="AN761" s="1025" t="b">
        <v>0</v>
      </c>
      <c r="AO761" s="331">
        <v>0</v>
      </c>
      <c r="AP761" s="331">
        <v>0</v>
      </c>
      <c r="AQ761" s="331">
        <v>0</v>
      </c>
      <c r="AR761" s="331">
        <v>0</v>
      </c>
      <c r="AS761" s="1025" t="b">
        <v>0</v>
      </c>
      <c r="AT761" s="1025" t="b">
        <v>1</v>
      </c>
      <c r="AU761" s="331">
        <v>0</v>
      </c>
      <c r="AV761" s="491" t="s">
        <v>29</v>
      </c>
    </row>
    <row r="762" spans="1:48">
      <c r="A762" s="72">
        <v>52</v>
      </c>
      <c r="B762" s="391" t="s">
        <v>77</v>
      </c>
      <c r="C762" s="72">
        <f t="shared" si="33"/>
        <v>8</v>
      </c>
      <c r="D762" s="72" t="str">
        <f t="shared" si="34"/>
        <v>52-8</v>
      </c>
      <c r="E762" s="72">
        <v>71621</v>
      </c>
      <c r="F762" s="72" t="str">
        <f t="shared" si="35"/>
        <v>52-71621</v>
      </c>
      <c r="G762" s="391" t="s">
        <v>1215</v>
      </c>
      <c r="H762" s="491">
        <v>13507.95</v>
      </c>
      <c r="I762" s="491">
        <v>12420</v>
      </c>
      <c r="J762" s="491">
        <v>12788.44</v>
      </c>
      <c r="K762" s="491">
        <v>15205.96</v>
      </c>
      <c r="L762" s="1072">
        <v>0</v>
      </c>
      <c r="M762" s="1072">
        <v>0</v>
      </c>
      <c r="N762" s="1072">
        <v>0</v>
      </c>
      <c r="O762" s="491" t="s">
        <v>29</v>
      </c>
      <c r="P762" s="491">
        <v>0</v>
      </c>
      <c r="Q762" s="491">
        <v>0</v>
      </c>
      <c r="R762" s="491">
        <v>0</v>
      </c>
      <c r="S762" s="491">
        <v>0</v>
      </c>
      <c r="T762" s="1025" t="b">
        <v>0</v>
      </c>
      <c r="U762" s="491">
        <v>0.75</v>
      </c>
      <c r="V762" s="491">
        <v>3.28</v>
      </c>
      <c r="W762" s="491">
        <v>2.3199999999999998</v>
      </c>
      <c r="X762" s="491">
        <v>0</v>
      </c>
      <c r="Y762" s="1025" t="b">
        <v>1</v>
      </c>
      <c r="Z762" s="491">
        <v>0</v>
      </c>
      <c r="AA762" s="491">
        <v>1.6</v>
      </c>
      <c r="AB762" s="491">
        <v>0.94</v>
      </c>
      <c r="AC762" s="491">
        <v>0</v>
      </c>
      <c r="AD762" s="1025" t="b">
        <v>1</v>
      </c>
      <c r="AE762" s="491">
        <v>0</v>
      </c>
      <c r="AF762" s="491">
        <v>0.51</v>
      </c>
      <c r="AG762" s="491">
        <v>0.23</v>
      </c>
      <c r="AH762" s="491">
        <v>0</v>
      </c>
      <c r="AI762" s="1025" t="b">
        <v>1</v>
      </c>
      <c r="AJ762" s="491">
        <v>0</v>
      </c>
      <c r="AK762" s="491">
        <v>0</v>
      </c>
      <c r="AL762" s="491">
        <v>0</v>
      </c>
      <c r="AM762" s="491">
        <v>0</v>
      </c>
      <c r="AN762" s="1025" t="b">
        <v>0</v>
      </c>
      <c r="AO762" s="491">
        <v>0</v>
      </c>
      <c r="AP762" s="491">
        <v>0</v>
      </c>
      <c r="AQ762" s="491">
        <v>0</v>
      </c>
      <c r="AR762" s="491">
        <v>0</v>
      </c>
      <c r="AS762" s="1025" t="b">
        <v>0</v>
      </c>
      <c r="AT762" s="1025" t="b">
        <v>1</v>
      </c>
      <c r="AU762" s="491">
        <v>0</v>
      </c>
      <c r="AV762" s="491" t="s">
        <v>29</v>
      </c>
    </row>
    <row r="763" spans="1:48">
      <c r="A763" s="72">
        <v>52</v>
      </c>
      <c r="B763" s="391" t="s">
        <v>77</v>
      </c>
      <c r="C763" s="72">
        <f t="shared" si="33"/>
        <v>9</v>
      </c>
      <c r="D763" s="72" t="str">
        <f t="shared" si="34"/>
        <v>52-9</v>
      </c>
      <c r="E763" s="72">
        <v>71639</v>
      </c>
      <c r="F763" s="72" t="str">
        <f t="shared" si="35"/>
        <v>52-71639</v>
      </c>
      <c r="G763" s="391" t="s">
        <v>1216</v>
      </c>
      <c r="H763" s="331">
        <v>12240.14</v>
      </c>
      <c r="I763" s="331">
        <v>11254.3</v>
      </c>
      <c r="J763" s="331">
        <v>11588.16</v>
      </c>
      <c r="K763" s="331">
        <v>13778.78</v>
      </c>
      <c r="L763" s="491" t="s">
        <v>29</v>
      </c>
      <c r="M763" s="491" t="s">
        <v>29</v>
      </c>
      <c r="N763" s="491" t="s">
        <v>29</v>
      </c>
      <c r="O763" s="1072">
        <v>0</v>
      </c>
      <c r="P763" s="491">
        <v>0</v>
      </c>
      <c r="Q763" s="491">
        <v>0</v>
      </c>
      <c r="R763" s="491">
        <v>0</v>
      </c>
      <c r="S763" s="491">
        <v>0</v>
      </c>
      <c r="T763" s="1025" t="b">
        <v>0</v>
      </c>
      <c r="U763" s="491">
        <v>0</v>
      </c>
      <c r="V763" s="491">
        <v>0</v>
      </c>
      <c r="W763" s="491">
        <v>0</v>
      </c>
      <c r="X763" s="491">
        <v>5.66</v>
      </c>
      <c r="Y763" s="1025" t="b">
        <v>1</v>
      </c>
      <c r="Z763" s="331">
        <v>0</v>
      </c>
      <c r="AA763" s="331">
        <v>0</v>
      </c>
      <c r="AB763" s="331">
        <v>0</v>
      </c>
      <c r="AC763" s="331">
        <v>0</v>
      </c>
      <c r="AD763" s="1025" t="b">
        <v>0</v>
      </c>
      <c r="AE763" s="331">
        <v>0</v>
      </c>
      <c r="AF763" s="331">
        <v>0</v>
      </c>
      <c r="AG763" s="331">
        <v>0</v>
      </c>
      <c r="AH763" s="331">
        <v>0</v>
      </c>
      <c r="AI763" s="1025" t="b">
        <v>0</v>
      </c>
      <c r="AJ763" s="331">
        <v>0</v>
      </c>
      <c r="AK763" s="331">
        <v>0</v>
      </c>
      <c r="AL763" s="331">
        <v>0</v>
      </c>
      <c r="AM763" s="331">
        <v>0</v>
      </c>
      <c r="AN763" s="1025" t="b">
        <v>0</v>
      </c>
      <c r="AO763" s="331">
        <v>0</v>
      </c>
      <c r="AP763" s="331">
        <v>0</v>
      </c>
      <c r="AQ763" s="331">
        <v>0</v>
      </c>
      <c r="AR763" s="331">
        <v>0</v>
      </c>
      <c r="AS763" s="1025" t="b">
        <v>0</v>
      </c>
      <c r="AT763" s="1025" t="b">
        <v>1</v>
      </c>
      <c r="AU763" s="331">
        <v>0</v>
      </c>
      <c r="AV763" s="491" t="s">
        <v>29</v>
      </c>
    </row>
    <row r="764" spans="1:48">
      <c r="A764" s="72">
        <v>52</v>
      </c>
      <c r="B764" s="391" t="s">
        <v>77</v>
      </c>
      <c r="C764" s="72">
        <f t="shared" si="33"/>
        <v>0</v>
      </c>
      <c r="D764" s="72" t="str">
        <f t="shared" si="34"/>
        <v>52-0</v>
      </c>
      <c r="E764" s="72" t="s">
        <v>29</v>
      </c>
      <c r="F764" s="72" t="str">
        <f t="shared" si="35"/>
        <v>52-N/A</v>
      </c>
      <c r="G764" s="391" t="s">
        <v>29</v>
      </c>
      <c r="H764" s="491" t="s">
        <v>29</v>
      </c>
      <c r="I764" s="491" t="s">
        <v>29</v>
      </c>
      <c r="J764" s="491" t="s">
        <v>29</v>
      </c>
      <c r="K764" s="491" t="s">
        <v>29</v>
      </c>
      <c r="L764" s="491" t="s">
        <v>29</v>
      </c>
      <c r="M764" s="491" t="s">
        <v>29</v>
      </c>
      <c r="N764" s="491" t="s">
        <v>29</v>
      </c>
      <c r="O764" s="491" t="s">
        <v>29</v>
      </c>
      <c r="P764" s="491" t="s">
        <v>29</v>
      </c>
      <c r="Q764" s="491" t="s">
        <v>29</v>
      </c>
      <c r="R764" s="491" t="s">
        <v>29</v>
      </c>
      <c r="S764" s="491" t="s">
        <v>29</v>
      </c>
      <c r="T764" s="1025" t="s">
        <v>29</v>
      </c>
      <c r="U764" s="491" t="s">
        <v>29</v>
      </c>
      <c r="V764" s="491" t="s">
        <v>29</v>
      </c>
      <c r="W764" s="491" t="s">
        <v>29</v>
      </c>
      <c r="X764" s="491" t="s">
        <v>29</v>
      </c>
      <c r="Y764" s="1025" t="s">
        <v>29</v>
      </c>
      <c r="Z764" s="491" t="s">
        <v>29</v>
      </c>
      <c r="AA764" s="491" t="s">
        <v>29</v>
      </c>
      <c r="AB764" s="491" t="s">
        <v>29</v>
      </c>
      <c r="AC764" s="491" t="s">
        <v>29</v>
      </c>
      <c r="AD764" s="1025" t="s">
        <v>29</v>
      </c>
      <c r="AE764" s="491" t="s">
        <v>29</v>
      </c>
      <c r="AF764" s="491" t="s">
        <v>29</v>
      </c>
      <c r="AG764" s="491" t="s">
        <v>29</v>
      </c>
      <c r="AH764" s="491" t="s">
        <v>29</v>
      </c>
      <c r="AI764" s="1025" t="s">
        <v>29</v>
      </c>
      <c r="AJ764" s="491" t="s">
        <v>29</v>
      </c>
      <c r="AK764" s="491" t="s">
        <v>29</v>
      </c>
      <c r="AL764" s="491" t="s">
        <v>29</v>
      </c>
      <c r="AM764" s="491" t="s">
        <v>29</v>
      </c>
      <c r="AN764" s="1025" t="s">
        <v>29</v>
      </c>
      <c r="AO764" s="491" t="s">
        <v>29</v>
      </c>
      <c r="AP764" s="491" t="s">
        <v>29</v>
      </c>
      <c r="AQ764" s="491" t="s">
        <v>29</v>
      </c>
      <c r="AR764" s="491" t="s">
        <v>29</v>
      </c>
      <c r="AS764" s="1025" t="s">
        <v>29</v>
      </c>
      <c r="AT764" s="1025" t="s">
        <v>29</v>
      </c>
      <c r="AU764" s="491" t="s">
        <v>29</v>
      </c>
      <c r="AV764" s="491">
        <v>0</v>
      </c>
    </row>
    <row r="765" spans="1:48">
      <c r="A765" s="72">
        <v>53</v>
      </c>
      <c r="B765" s="391" t="s">
        <v>78</v>
      </c>
      <c r="C765" s="72">
        <f t="shared" si="33"/>
        <v>1</v>
      </c>
      <c r="D765" s="72" t="str">
        <f t="shared" si="34"/>
        <v>53-1</v>
      </c>
      <c r="E765" s="72">
        <v>71746</v>
      </c>
      <c r="F765" s="72" t="str">
        <f t="shared" si="35"/>
        <v>53-71746</v>
      </c>
      <c r="G765" s="391" t="s">
        <v>1799</v>
      </c>
      <c r="H765" s="331">
        <v>12651.28</v>
      </c>
      <c r="I765" s="331">
        <v>11632.33</v>
      </c>
      <c r="J765" s="331">
        <v>11977.4</v>
      </c>
      <c r="K765" s="331">
        <v>14241.6</v>
      </c>
      <c r="L765" s="491" t="s">
        <v>29</v>
      </c>
      <c r="M765" s="1072">
        <v>0</v>
      </c>
      <c r="N765" s="491" t="s">
        <v>29</v>
      </c>
      <c r="O765" s="491" t="s">
        <v>29</v>
      </c>
      <c r="P765" s="491">
        <v>0</v>
      </c>
      <c r="Q765" s="491">
        <v>0.64</v>
      </c>
      <c r="R765" s="491">
        <v>0</v>
      </c>
      <c r="S765" s="491">
        <v>0</v>
      </c>
      <c r="T765" s="1025" t="b">
        <v>1</v>
      </c>
      <c r="U765" s="491">
        <v>0</v>
      </c>
      <c r="V765" s="491">
        <v>0</v>
      </c>
      <c r="W765" s="491">
        <v>0</v>
      </c>
      <c r="X765" s="491">
        <v>0</v>
      </c>
      <c r="Y765" s="1025" t="b">
        <v>0</v>
      </c>
      <c r="Z765" s="331">
        <v>0</v>
      </c>
      <c r="AA765" s="331">
        <v>0</v>
      </c>
      <c r="AB765" s="331">
        <v>0</v>
      </c>
      <c r="AC765" s="331">
        <v>0</v>
      </c>
      <c r="AD765" s="1025" t="b">
        <v>0</v>
      </c>
      <c r="AE765" s="331">
        <v>0</v>
      </c>
      <c r="AF765" s="331">
        <v>0</v>
      </c>
      <c r="AG765" s="331">
        <v>0</v>
      </c>
      <c r="AH765" s="331">
        <v>0</v>
      </c>
      <c r="AI765" s="1025" t="b">
        <v>0</v>
      </c>
      <c r="AJ765" s="331">
        <v>0</v>
      </c>
      <c r="AK765" s="331">
        <v>0</v>
      </c>
      <c r="AL765" s="331">
        <v>0</v>
      </c>
      <c r="AM765" s="331">
        <v>0</v>
      </c>
      <c r="AN765" s="1025" t="b">
        <v>0</v>
      </c>
      <c r="AO765" s="331">
        <v>0</v>
      </c>
      <c r="AP765" s="331">
        <v>0</v>
      </c>
      <c r="AQ765" s="331">
        <v>0</v>
      </c>
      <c r="AR765" s="331">
        <v>0</v>
      </c>
      <c r="AS765" s="1025" t="b">
        <v>0</v>
      </c>
      <c r="AT765" s="1025" t="b">
        <v>0</v>
      </c>
      <c r="AU765" s="331">
        <v>7445</v>
      </c>
      <c r="AV765" s="491" t="s">
        <v>29</v>
      </c>
    </row>
    <row r="766" spans="1:48">
      <c r="A766" s="72">
        <v>53</v>
      </c>
      <c r="B766" s="391" t="s">
        <v>78</v>
      </c>
      <c r="C766" s="72">
        <f t="shared" si="33"/>
        <v>2</v>
      </c>
      <c r="D766" s="72" t="str">
        <f t="shared" si="34"/>
        <v>53-2</v>
      </c>
      <c r="E766" s="72">
        <v>76513</v>
      </c>
      <c r="F766" s="72" t="str">
        <f t="shared" si="35"/>
        <v>53-76513</v>
      </c>
      <c r="G766" s="391" t="s">
        <v>1217</v>
      </c>
      <c r="H766" s="331">
        <v>11770.52</v>
      </c>
      <c r="I766" s="331">
        <v>10822.51</v>
      </c>
      <c r="J766" s="331">
        <v>11143.55</v>
      </c>
      <c r="K766" s="331">
        <v>13250.13</v>
      </c>
      <c r="L766" s="491" t="s">
        <v>29</v>
      </c>
      <c r="M766" s="1072">
        <v>0</v>
      </c>
      <c r="N766" s="1072">
        <v>0</v>
      </c>
      <c r="O766" s="491" t="s">
        <v>29</v>
      </c>
      <c r="P766" s="491">
        <v>0</v>
      </c>
      <c r="Q766" s="491">
        <v>0.8</v>
      </c>
      <c r="R766" s="491">
        <v>2.66</v>
      </c>
      <c r="S766" s="491">
        <v>0</v>
      </c>
      <c r="T766" s="1025" t="b">
        <v>1</v>
      </c>
      <c r="U766" s="491">
        <v>0</v>
      </c>
      <c r="V766" s="491">
        <v>0</v>
      </c>
      <c r="W766" s="491">
        <v>0</v>
      </c>
      <c r="X766" s="491">
        <v>0</v>
      </c>
      <c r="Y766" s="1025" t="b">
        <v>0</v>
      </c>
      <c r="Z766" s="331">
        <v>0</v>
      </c>
      <c r="AA766" s="331">
        <v>0</v>
      </c>
      <c r="AB766" s="331">
        <v>0</v>
      </c>
      <c r="AC766" s="331">
        <v>0</v>
      </c>
      <c r="AD766" s="1025" t="b">
        <v>0</v>
      </c>
      <c r="AE766" s="331">
        <v>0</v>
      </c>
      <c r="AF766" s="331">
        <v>0</v>
      </c>
      <c r="AG766" s="331">
        <v>0</v>
      </c>
      <c r="AH766" s="331">
        <v>0</v>
      </c>
      <c r="AI766" s="1025" t="b">
        <v>0</v>
      </c>
      <c r="AJ766" s="331">
        <v>0</v>
      </c>
      <c r="AK766" s="331">
        <v>0</v>
      </c>
      <c r="AL766" s="331">
        <v>0</v>
      </c>
      <c r="AM766" s="331">
        <v>0</v>
      </c>
      <c r="AN766" s="1025" t="b">
        <v>0</v>
      </c>
      <c r="AO766" s="331">
        <v>0</v>
      </c>
      <c r="AP766" s="331">
        <v>0</v>
      </c>
      <c r="AQ766" s="331">
        <v>0</v>
      </c>
      <c r="AR766" s="331">
        <v>0</v>
      </c>
      <c r="AS766" s="1025" t="b">
        <v>0</v>
      </c>
      <c r="AT766" s="1025" t="b">
        <v>1</v>
      </c>
      <c r="AU766" s="331">
        <v>0</v>
      </c>
      <c r="AV766" s="491" t="s">
        <v>29</v>
      </c>
    </row>
    <row r="767" spans="1:48">
      <c r="A767" s="72">
        <v>53</v>
      </c>
      <c r="B767" s="391" t="s">
        <v>78</v>
      </c>
      <c r="C767" s="72">
        <f t="shared" si="33"/>
        <v>0</v>
      </c>
      <c r="D767" s="72" t="str">
        <f t="shared" si="34"/>
        <v>53-0</v>
      </c>
      <c r="E767" s="72" t="s">
        <v>29</v>
      </c>
      <c r="F767" s="72" t="str">
        <f t="shared" si="35"/>
        <v>53-N/A</v>
      </c>
      <c r="G767" s="391" t="s">
        <v>29</v>
      </c>
      <c r="H767" s="491" t="s">
        <v>29</v>
      </c>
      <c r="I767" s="491" t="s">
        <v>29</v>
      </c>
      <c r="J767" s="491" t="s">
        <v>29</v>
      </c>
      <c r="K767" s="491" t="s">
        <v>29</v>
      </c>
      <c r="L767" s="491" t="s">
        <v>29</v>
      </c>
      <c r="M767" s="491" t="s">
        <v>29</v>
      </c>
      <c r="N767" s="491" t="s">
        <v>29</v>
      </c>
      <c r="O767" s="491" t="s">
        <v>29</v>
      </c>
      <c r="P767" s="491" t="s">
        <v>29</v>
      </c>
      <c r="Q767" s="491" t="s">
        <v>29</v>
      </c>
      <c r="R767" s="491" t="s">
        <v>29</v>
      </c>
      <c r="S767" s="491" t="s">
        <v>29</v>
      </c>
      <c r="T767" s="1025" t="s">
        <v>29</v>
      </c>
      <c r="U767" s="491" t="s">
        <v>29</v>
      </c>
      <c r="V767" s="491" t="s">
        <v>29</v>
      </c>
      <c r="W767" s="491" t="s">
        <v>29</v>
      </c>
      <c r="X767" s="491" t="s">
        <v>29</v>
      </c>
      <c r="Y767" s="1025" t="s">
        <v>29</v>
      </c>
      <c r="Z767" s="491" t="s">
        <v>29</v>
      </c>
      <c r="AA767" s="491" t="s">
        <v>29</v>
      </c>
      <c r="AB767" s="491" t="s">
        <v>29</v>
      </c>
      <c r="AC767" s="491" t="s">
        <v>29</v>
      </c>
      <c r="AD767" s="1025" t="s">
        <v>29</v>
      </c>
      <c r="AE767" s="491" t="s">
        <v>29</v>
      </c>
      <c r="AF767" s="491" t="s">
        <v>29</v>
      </c>
      <c r="AG767" s="491" t="s">
        <v>29</v>
      </c>
      <c r="AH767" s="491" t="s">
        <v>29</v>
      </c>
      <c r="AI767" s="1025" t="s">
        <v>29</v>
      </c>
      <c r="AJ767" s="491" t="s">
        <v>29</v>
      </c>
      <c r="AK767" s="491" t="s">
        <v>29</v>
      </c>
      <c r="AL767" s="491" t="s">
        <v>29</v>
      </c>
      <c r="AM767" s="491" t="s">
        <v>29</v>
      </c>
      <c r="AN767" s="1025" t="s">
        <v>29</v>
      </c>
      <c r="AO767" s="491" t="s">
        <v>29</v>
      </c>
      <c r="AP767" s="491" t="s">
        <v>29</v>
      </c>
      <c r="AQ767" s="491" t="s">
        <v>29</v>
      </c>
      <c r="AR767" s="491" t="s">
        <v>29</v>
      </c>
      <c r="AS767" s="1025" t="s">
        <v>29</v>
      </c>
      <c r="AT767" s="1025" t="s">
        <v>29</v>
      </c>
      <c r="AU767" s="491" t="s">
        <v>29</v>
      </c>
      <c r="AV767" s="491">
        <v>7445</v>
      </c>
    </row>
    <row r="768" spans="1:48">
      <c r="A768" s="72">
        <v>54</v>
      </c>
      <c r="B768" s="391" t="s">
        <v>31</v>
      </c>
      <c r="C768" s="72">
        <f t="shared" si="33"/>
        <v>1</v>
      </c>
      <c r="D768" s="72" t="str">
        <f t="shared" si="34"/>
        <v>54-1</v>
      </c>
      <c r="E768" s="72">
        <v>71803</v>
      </c>
      <c r="F768" s="72" t="str">
        <f t="shared" si="35"/>
        <v>54-71803</v>
      </c>
      <c r="G768" s="391" t="s">
        <v>1218</v>
      </c>
      <c r="H768" s="331">
        <v>14294.96</v>
      </c>
      <c r="I768" s="331">
        <v>13143.62</v>
      </c>
      <c r="J768" s="331">
        <v>13533.52</v>
      </c>
      <c r="K768" s="331">
        <v>16091.89</v>
      </c>
      <c r="L768" s="491" t="s">
        <v>29</v>
      </c>
      <c r="M768" s="491" t="s">
        <v>29</v>
      </c>
      <c r="N768" s="491" t="s">
        <v>29</v>
      </c>
      <c r="O768" s="491" t="s">
        <v>29</v>
      </c>
      <c r="P768" s="491">
        <v>0</v>
      </c>
      <c r="Q768" s="491">
        <v>0</v>
      </c>
      <c r="R768" s="491">
        <v>0</v>
      </c>
      <c r="S768" s="491">
        <v>0</v>
      </c>
      <c r="T768" s="1025" t="b">
        <v>0</v>
      </c>
      <c r="U768" s="491">
        <v>0.5</v>
      </c>
      <c r="V768" s="491">
        <v>0.39</v>
      </c>
      <c r="W768" s="491">
        <v>0</v>
      </c>
      <c r="X768" s="491">
        <v>0.55000000000000004</v>
      </c>
      <c r="Y768" s="1025" t="b">
        <v>0</v>
      </c>
      <c r="Z768" s="331">
        <v>0</v>
      </c>
      <c r="AA768" s="331">
        <v>0</v>
      </c>
      <c r="AB768" s="331">
        <v>0</v>
      </c>
      <c r="AC768" s="331">
        <v>0</v>
      </c>
      <c r="AD768" s="1025" t="b">
        <v>0</v>
      </c>
      <c r="AE768" s="331">
        <v>0</v>
      </c>
      <c r="AF768" s="331">
        <v>0</v>
      </c>
      <c r="AG768" s="331">
        <v>0.09</v>
      </c>
      <c r="AH768" s="331">
        <v>7.0000000000000007E-2</v>
      </c>
      <c r="AI768" s="1025" t="b">
        <v>0</v>
      </c>
      <c r="AJ768" s="331">
        <v>0</v>
      </c>
      <c r="AK768" s="331">
        <v>0</v>
      </c>
      <c r="AL768" s="331">
        <v>0</v>
      </c>
      <c r="AM768" s="331">
        <v>0</v>
      </c>
      <c r="AN768" s="1025" t="b">
        <v>0</v>
      </c>
      <c r="AO768" s="331">
        <v>0</v>
      </c>
      <c r="AP768" s="331">
        <v>0</v>
      </c>
      <c r="AQ768" s="331">
        <v>0</v>
      </c>
      <c r="AR768" s="331">
        <v>0</v>
      </c>
      <c r="AS768" s="1025" t="b">
        <v>0</v>
      </c>
      <c r="AT768" s="1025" t="b">
        <v>0</v>
      </c>
      <c r="AU768" s="331">
        <v>23468</v>
      </c>
      <c r="AV768" s="491" t="s">
        <v>29</v>
      </c>
    </row>
    <row r="769" spans="1:48">
      <c r="A769" s="72">
        <v>54</v>
      </c>
      <c r="B769" s="391" t="s">
        <v>31</v>
      </c>
      <c r="C769" s="72">
        <f t="shared" si="33"/>
        <v>2</v>
      </c>
      <c r="D769" s="72" t="str">
        <f t="shared" si="34"/>
        <v>54-2</v>
      </c>
      <c r="E769" s="72">
        <v>71811</v>
      </c>
      <c r="F769" s="72" t="str">
        <f t="shared" si="35"/>
        <v>54-71811</v>
      </c>
      <c r="G769" s="391" t="s">
        <v>1219</v>
      </c>
      <c r="H769" s="331">
        <v>14647.61</v>
      </c>
      <c r="I769" s="331">
        <v>13467.87</v>
      </c>
      <c r="J769" s="331">
        <v>13867.39</v>
      </c>
      <c r="K769" s="331">
        <v>16488.87</v>
      </c>
      <c r="L769" s="491" t="s">
        <v>29</v>
      </c>
      <c r="M769" s="491" t="s">
        <v>29</v>
      </c>
      <c r="N769" s="491" t="s">
        <v>29</v>
      </c>
      <c r="O769" s="491" t="s">
        <v>29</v>
      </c>
      <c r="P769" s="491">
        <v>0</v>
      </c>
      <c r="Q769" s="491">
        <v>0</v>
      </c>
      <c r="R769" s="491">
        <v>0</v>
      </c>
      <c r="S769" s="491">
        <v>0</v>
      </c>
      <c r="T769" s="1025" t="b">
        <v>0</v>
      </c>
      <c r="U769" s="491">
        <v>2.08</v>
      </c>
      <c r="V769" s="491">
        <v>0.96</v>
      </c>
      <c r="W769" s="491">
        <v>0</v>
      </c>
      <c r="X769" s="491">
        <v>0</v>
      </c>
      <c r="Y769" s="1025" t="b">
        <v>0</v>
      </c>
      <c r="Z769" s="331">
        <v>0</v>
      </c>
      <c r="AA769" s="331">
        <v>0</v>
      </c>
      <c r="AB769" s="331">
        <v>0</v>
      </c>
      <c r="AC769" s="331">
        <v>0</v>
      </c>
      <c r="AD769" s="1025" t="b">
        <v>0</v>
      </c>
      <c r="AE769" s="331">
        <v>0.09</v>
      </c>
      <c r="AF769" s="331">
        <v>0</v>
      </c>
      <c r="AG769" s="331">
        <v>0</v>
      </c>
      <c r="AH769" s="331">
        <v>0</v>
      </c>
      <c r="AI769" s="1025" t="b">
        <v>0</v>
      </c>
      <c r="AJ769" s="331">
        <v>0</v>
      </c>
      <c r="AK769" s="331">
        <v>0</v>
      </c>
      <c r="AL769" s="331">
        <v>0</v>
      </c>
      <c r="AM769" s="331">
        <v>0</v>
      </c>
      <c r="AN769" s="1025" t="b">
        <v>0</v>
      </c>
      <c r="AO769" s="331">
        <v>0</v>
      </c>
      <c r="AP769" s="331">
        <v>0</v>
      </c>
      <c r="AQ769" s="331">
        <v>0</v>
      </c>
      <c r="AR769" s="331">
        <v>0</v>
      </c>
      <c r="AS769" s="1025" t="b">
        <v>0</v>
      </c>
      <c r="AT769" s="1025" t="b">
        <v>0</v>
      </c>
      <c r="AU769" s="331">
        <v>44714</v>
      </c>
      <c r="AV769" s="491" t="s">
        <v>29</v>
      </c>
    </row>
    <row r="770" spans="1:48">
      <c r="A770" s="72">
        <v>54</v>
      </c>
      <c r="B770" s="391" t="s">
        <v>31</v>
      </c>
      <c r="C770" s="72">
        <f t="shared" si="33"/>
        <v>3</v>
      </c>
      <c r="D770" s="72" t="str">
        <f t="shared" si="34"/>
        <v>54-3</v>
      </c>
      <c r="E770" s="72">
        <v>71837</v>
      </c>
      <c r="F770" s="72" t="str">
        <f t="shared" si="35"/>
        <v>54-71837</v>
      </c>
      <c r="G770" s="391" t="s">
        <v>1220</v>
      </c>
      <c r="H770" s="331">
        <v>13715.24</v>
      </c>
      <c r="I770" s="331">
        <v>12610.6</v>
      </c>
      <c r="J770" s="331">
        <v>12984.68</v>
      </c>
      <c r="K770" s="331">
        <v>15439.3</v>
      </c>
      <c r="L770" s="491" t="s">
        <v>29</v>
      </c>
      <c r="M770" s="491" t="s">
        <v>29</v>
      </c>
      <c r="N770" s="491" t="s">
        <v>29</v>
      </c>
      <c r="O770" s="491" t="s">
        <v>29</v>
      </c>
      <c r="P770" s="491">
        <v>0</v>
      </c>
      <c r="Q770" s="491">
        <v>0</v>
      </c>
      <c r="R770" s="491">
        <v>0</v>
      </c>
      <c r="S770" s="491">
        <v>0</v>
      </c>
      <c r="T770" s="1025" t="b">
        <v>0</v>
      </c>
      <c r="U770" s="491">
        <v>5.08</v>
      </c>
      <c r="V770" s="491">
        <v>4.0599999999999996</v>
      </c>
      <c r="W770" s="491">
        <v>3.86</v>
      </c>
      <c r="X770" s="491">
        <v>0</v>
      </c>
      <c r="Y770" s="1025" t="b">
        <v>0</v>
      </c>
      <c r="Z770" s="331">
        <v>0</v>
      </c>
      <c r="AA770" s="331">
        <v>0</v>
      </c>
      <c r="AB770" s="331">
        <v>0</v>
      </c>
      <c r="AC770" s="331">
        <v>0</v>
      </c>
      <c r="AD770" s="1025" t="b">
        <v>0</v>
      </c>
      <c r="AE770" s="331">
        <v>0.09</v>
      </c>
      <c r="AF770" s="331">
        <v>0.28000000000000003</v>
      </c>
      <c r="AG770" s="331">
        <v>0.1</v>
      </c>
      <c r="AH770" s="331">
        <v>0</v>
      </c>
      <c r="AI770" s="1025" t="b">
        <v>0</v>
      </c>
      <c r="AJ770" s="331">
        <v>0</v>
      </c>
      <c r="AK770" s="331">
        <v>0</v>
      </c>
      <c r="AL770" s="331">
        <v>0</v>
      </c>
      <c r="AM770" s="331">
        <v>0</v>
      </c>
      <c r="AN770" s="1025" t="b">
        <v>0</v>
      </c>
      <c r="AO770" s="331">
        <v>0</v>
      </c>
      <c r="AP770" s="331">
        <v>0</v>
      </c>
      <c r="AQ770" s="331">
        <v>0</v>
      </c>
      <c r="AR770" s="331">
        <v>0</v>
      </c>
      <c r="AS770" s="1025" t="b">
        <v>0</v>
      </c>
      <c r="AT770" s="1025" t="b">
        <v>0</v>
      </c>
      <c r="AU770" s="331">
        <v>177057</v>
      </c>
      <c r="AV770" s="491" t="s">
        <v>29</v>
      </c>
    </row>
    <row r="771" spans="1:48">
      <c r="A771" s="72">
        <v>54</v>
      </c>
      <c r="B771" s="391" t="s">
        <v>31</v>
      </c>
      <c r="C771" s="72">
        <f t="shared" si="33"/>
        <v>4</v>
      </c>
      <c r="D771" s="72" t="str">
        <f t="shared" si="34"/>
        <v>54-4</v>
      </c>
      <c r="E771" s="72">
        <v>71860</v>
      </c>
      <c r="F771" s="72" t="str">
        <f t="shared" si="35"/>
        <v>54-71860</v>
      </c>
      <c r="G771" s="391" t="s">
        <v>1221</v>
      </c>
      <c r="H771" s="331">
        <v>14670.83</v>
      </c>
      <c r="I771" s="331">
        <v>13489.22</v>
      </c>
      <c r="J771" s="331">
        <v>13889.37</v>
      </c>
      <c r="K771" s="331">
        <v>16515.009999999998</v>
      </c>
      <c r="L771" s="491" t="s">
        <v>29</v>
      </c>
      <c r="M771" s="491" t="s">
        <v>29</v>
      </c>
      <c r="N771" s="491" t="s">
        <v>29</v>
      </c>
      <c r="O771" s="491" t="s">
        <v>29</v>
      </c>
      <c r="P771" s="491">
        <v>0</v>
      </c>
      <c r="Q771" s="491">
        <v>0</v>
      </c>
      <c r="R771" s="491">
        <v>0</v>
      </c>
      <c r="S771" s="491">
        <v>0</v>
      </c>
      <c r="T771" s="1025" t="b">
        <v>0</v>
      </c>
      <c r="U771" s="491">
        <v>4.4000000000000004</v>
      </c>
      <c r="V771" s="491">
        <v>8.81</v>
      </c>
      <c r="W771" s="491">
        <v>6.35</v>
      </c>
      <c r="X771" s="491">
        <v>17.05</v>
      </c>
      <c r="Y771" s="1025" t="b">
        <v>0</v>
      </c>
      <c r="Z771" s="331">
        <v>0</v>
      </c>
      <c r="AA771" s="331">
        <v>0</v>
      </c>
      <c r="AB771" s="331">
        <v>0</v>
      </c>
      <c r="AC771" s="331">
        <v>0</v>
      </c>
      <c r="AD771" s="1025" t="b">
        <v>0</v>
      </c>
      <c r="AE771" s="331">
        <v>0.22</v>
      </c>
      <c r="AF771" s="331">
        <v>0.23</v>
      </c>
      <c r="AG771" s="331">
        <v>0.06</v>
      </c>
      <c r="AH771" s="331">
        <v>0</v>
      </c>
      <c r="AI771" s="1025" t="b">
        <v>0</v>
      </c>
      <c r="AJ771" s="331">
        <v>0</v>
      </c>
      <c r="AK771" s="331">
        <v>0</v>
      </c>
      <c r="AL771" s="331">
        <v>0</v>
      </c>
      <c r="AM771" s="331">
        <v>0</v>
      </c>
      <c r="AN771" s="1025" t="b">
        <v>0</v>
      </c>
      <c r="AO771" s="331">
        <v>0</v>
      </c>
      <c r="AP771" s="331">
        <v>0</v>
      </c>
      <c r="AQ771" s="331">
        <v>0</v>
      </c>
      <c r="AR771" s="331">
        <v>0</v>
      </c>
      <c r="AS771" s="1025" t="b">
        <v>0</v>
      </c>
      <c r="AT771" s="1025" t="b">
        <v>0</v>
      </c>
      <c r="AU771" s="331">
        <v>560334</v>
      </c>
      <c r="AV771" s="491" t="s">
        <v>29</v>
      </c>
    </row>
    <row r="772" spans="1:48">
      <c r="A772" s="72">
        <v>54</v>
      </c>
      <c r="B772" s="391" t="s">
        <v>31</v>
      </c>
      <c r="C772" s="72">
        <f t="shared" si="33"/>
        <v>5</v>
      </c>
      <c r="D772" s="72" t="str">
        <f t="shared" si="34"/>
        <v>54-5</v>
      </c>
      <c r="E772" s="72">
        <v>71902</v>
      </c>
      <c r="F772" s="72" t="str">
        <f t="shared" si="35"/>
        <v>54-71902</v>
      </c>
      <c r="G772" s="391" t="s">
        <v>1222</v>
      </c>
      <c r="H772" s="331">
        <v>14841.99</v>
      </c>
      <c r="I772" s="331">
        <v>13646.6</v>
      </c>
      <c r="J772" s="331">
        <v>14051.42</v>
      </c>
      <c r="K772" s="331">
        <v>16707.689999999999</v>
      </c>
      <c r="L772" s="491" t="s">
        <v>29</v>
      </c>
      <c r="M772" s="491" t="s">
        <v>29</v>
      </c>
      <c r="N772" s="491" t="s">
        <v>29</v>
      </c>
      <c r="O772" s="491" t="s">
        <v>29</v>
      </c>
      <c r="P772" s="491">
        <v>0</v>
      </c>
      <c r="Q772" s="491">
        <v>0</v>
      </c>
      <c r="R772" s="491">
        <v>0</v>
      </c>
      <c r="S772" s="491">
        <v>0</v>
      </c>
      <c r="T772" s="1025" t="b">
        <v>0</v>
      </c>
      <c r="U772" s="491">
        <v>2.48</v>
      </c>
      <c r="V772" s="491">
        <v>1.96</v>
      </c>
      <c r="W772" s="491">
        <v>1.78</v>
      </c>
      <c r="X772" s="491">
        <v>0</v>
      </c>
      <c r="Y772" s="1025" t="b">
        <v>0</v>
      </c>
      <c r="Z772" s="331">
        <v>0</v>
      </c>
      <c r="AA772" s="331">
        <v>0</v>
      </c>
      <c r="AB772" s="331">
        <v>0</v>
      </c>
      <c r="AC772" s="331">
        <v>0</v>
      </c>
      <c r="AD772" s="1025" t="b">
        <v>0</v>
      </c>
      <c r="AE772" s="331">
        <v>0</v>
      </c>
      <c r="AF772" s="331">
        <v>0</v>
      </c>
      <c r="AG772" s="331">
        <v>0</v>
      </c>
      <c r="AH772" s="331">
        <v>0</v>
      </c>
      <c r="AI772" s="1025" t="b">
        <v>0</v>
      </c>
      <c r="AJ772" s="331">
        <v>0</v>
      </c>
      <c r="AK772" s="331">
        <v>0</v>
      </c>
      <c r="AL772" s="331">
        <v>0</v>
      </c>
      <c r="AM772" s="331">
        <v>0</v>
      </c>
      <c r="AN772" s="1025" t="b">
        <v>0</v>
      </c>
      <c r="AO772" s="331">
        <v>0</v>
      </c>
      <c r="AP772" s="331">
        <v>0</v>
      </c>
      <c r="AQ772" s="331">
        <v>0</v>
      </c>
      <c r="AR772" s="331">
        <v>0</v>
      </c>
      <c r="AS772" s="1025" t="b">
        <v>0</v>
      </c>
      <c r="AT772" s="1025" t="b">
        <v>0</v>
      </c>
      <c r="AU772" s="331">
        <v>88567</v>
      </c>
      <c r="AV772" s="491" t="s">
        <v>29</v>
      </c>
    </row>
    <row r="773" spans="1:48">
      <c r="A773" s="72">
        <v>54</v>
      </c>
      <c r="B773" s="391" t="s">
        <v>31</v>
      </c>
      <c r="C773" s="72">
        <f t="shared" si="33"/>
        <v>6</v>
      </c>
      <c r="D773" s="72" t="str">
        <f t="shared" si="34"/>
        <v>54-6</v>
      </c>
      <c r="E773" s="72">
        <v>71969</v>
      </c>
      <c r="F773" s="72" t="str">
        <f t="shared" si="35"/>
        <v>54-71969</v>
      </c>
      <c r="G773" s="391" t="s">
        <v>1223</v>
      </c>
      <c r="H773" s="331">
        <v>14439.46</v>
      </c>
      <c r="I773" s="331">
        <v>13276.48</v>
      </c>
      <c r="J773" s="331">
        <v>13670.32</v>
      </c>
      <c r="K773" s="331">
        <v>16254.56</v>
      </c>
      <c r="L773" s="491" t="s">
        <v>29</v>
      </c>
      <c r="M773" s="491" t="s">
        <v>29</v>
      </c>
      <c r="N773" s="491" t="s">
        <v>29</v>
      </c>
      <c r="O773" s="491" t="s">
        <v>29</v>
      </c>
      <c r="P773" s="491">
        <v>0</v>
      </c>
      <c r="Q773" s="491">
        <v>0</v>
      </c>
      <c r="R773" s="491">
        <v>0</v>
      </c>
      <c r="S773" s="491">
        <v>0</v>
      </c>
      <c r="T773" s="1025" t="b">
        <v>0</v>
      </c>
      <c r="U773" s="491">
        <v>0.54</v>
      </c>
      <c r="V773" s="491">
        <v>0</v>
      </c>
      <c r="W773" s="491">
        <v>0</v>
      </c>
      <c r="X773" s="491">
        <v>0</v>
      </c>
      <c r="Y773" s="1025" t="b">
        <v>0</v>
      </c>
      <c r="Z773" s="331">
        <v>0</v>
      </c>
      <c r="AA773" s="331">
        <v>0</v>
      </c>
      <c r="AB773" s="331">
        <v>0</v>
      </c>
      <c r="AC773" s="331">
        <v>0</v>
      </c>
      <c r="AD773" s="1025" t="b">
        <v>0</v>
      </c>
      <c r="AE773" s="331">
        <v>0.03</v>
      </c>
      <c r="AF773" s="331">
        <v>0</v>
      </c>
      <c r="AG773" s="331">
        <v>0</v>
      </c>
      <c r="AH773" s="331">
        <v>0</v>
      </c>
      <c r="AI773" s="1025" t="b">
        <v>0</v>
      </c>
      <c r="AJ773" s="331">
        <v>0</v>
      </c>
      <c r="AK773" s="331">
        <v>0</v>
      </c>
      <c r="AL773" s="331">
        <v>0</v>
      </c>
      <c r="AM773" s="331">
        <v>0</v>
      </c>
      <c r="AN773" s="1025" t="b">
        <v>0</v>
      </c>
      <c r="AO773" s="331">
        <v>0</v>
      </c>
      <c r="AP773" s="331">
        <v>0</v>
      </c>
      <c r="AQ773" s="331">
        <v>0</v>
      </c>
      <c r="AR773" s="331">
        <v>0</v>
      </c>
      <c r="AS773" s="1025" t="b">
        <v>0</v>
      </c>
      <c r="AT773" s="1025" t="b">
        <v>0</v>
      </c>
      <c r="AU773" s="331">
        <v>8230</v>
      </c>
      <c r="AV773" s="491" t="s">
        <v>29</v>
      </c>
    </row>
    <row r="774" spans="1:48">
      <c r="A774" s="72">
        <v>54</v>
      </c>
      <c r="B774" s="391" t="s">
        <v>31</v>
      </c>
      <c r="C774" s="72">
        <f t="shared" ref="C774:C838" si="36">IF(E774="N/A",0,IF(A773&lt;&gt;A774,1,C773+1))</f>
        <v>7</v>
      </c>
      <c r="D774" s="72" t="str">
        <f t="shared" ref="D774:D837" si="37">A774&amp;"-"&amp;C774</f>
        <v>54-7</v>
      </c>
      <c r="E774" s="72">
        <v>71993</v>
      </c>
      <c r="F774" s="72" t="str">
        <f t="shared" si="35"/>
        <v>54-71993</v>
      </c>
      <c r="G774" s="391" t="s">
        <v>1224</v>
      </c>
      <c r="H774" s="331">
        <v>14229.59</v>
      </c>
      <c r="I774" s="331">
        <v>13083.52</v>
      </c>
      <c r="J774" s="331">
        <v>13471.64</v>
      </c>
      <c r="K774" s="331">
        <v>16018.31</v>
      </c>
      <c r="L774" s="491" t="s">
        <v>29</v>
      </c>
      <c r="M774" s="491" t="s">
        <v>29</v>
      </c>
      <c r="N774" s="491" t="s">
        <v>29</v>
      </c>
      <c r="O774" s="491" t="s">
        <v>29</v>
      </c>
      <c r="P774" s="491">
        <v>0</v>
      </c>
      <c r="Q774" s="491">
        <v>0</v>
      </c>
      <c r="R774" s="491">
        <v>0</v>
      </c>
      <c r="S774" s="491">
        <v>0</v>
      </c>
      <c r="T774" s="1025" t="b">
        <v>0</v>
      </c>
      <c r="U774" s="491">
        <v>11.93</v>
      </c>
      <c r="V774" s="491">
        <v>5.69</v>
      </c>
      <c r="W774" s="491">
        <v>2.36</v>
      </c>
      <c r="X774" s="491">
        <v>16.7</v>
      </c>
      <c r="Y774" s="1025" t="b">
        <v>0</v>
      </c>
      <c r="Z774" s="331">
        <v>0</v>
      </c>
      <c r="AA774" s="331">
        <v>0</v>
      </c>
      <c r="AB774" s="331">
        <v>0</v>
      </c>
      <c r="AC774" s="331">
        <v>0</v>
      </c>
      <c r="AD774" s="1025" t="b">
        <v>0</v>
      </c>
      <c r="AE774" s="331">
        <v>0.33</v>
      </c>
      <c r="AF774" s="331">
        <v>0.14000000000000001</v>
      </c>
      <c r="AG774" s="331">
        <v>0.09</v>
      </c>
      <c r="AH774" s="331">
        <v>0.22</v>
      </c>
      <c r="AI774" s="1025" t="b">
        <v>0</v>
      </c>
      <c r="AJ774" s="331">
        <v>0</v>
      </c>
      <c r="AK774" s="331">
        <v>0</v>
      </c>
      <c r="AL774" s="331">
        <v>0</v>
      </c>
      <c r="AM774" s="331">
        <v>0</v>
      </c>
      <c r="AN774" s="1025" t="b">
        <v>0</v>
      </c>
      <c r="AO774" s="331">
        <v>0</v>
      </c>
      <c r="AP774" s="331">
        <v>0</v>
      </c>
      <c r="AQ774" s="331">
        <v>0</v>
      </c>
      <c r="AR774" s="331">
        <v>0</v>
      </c>
      <c r="AS774" s="1025" t="b">
        <v>0</v>
      </c>
      <c r="AT774" s="1025" t="b">
        <v>0</v>
      </c>
      <c r="AU774" s="331">
        <v>554768</v>
      </c>
      <c r="AV774" s="491" t="s">
        <v>29</v>
      </c>
    </row>
    <row r="775" spans="1:48" ht="26.4">
      <c r="A775" s="72">
        <v>54</v>
      </c>
      <c r="B775" s="391" t="s">
        <v>31</v>
      </c>
      <c r="C775" s="72">
        <f t="shared" si="36"/>
        <v>8</v>
      </c>
      <c r="D775" s="72" t="str">
        <f t="shared" si="37"/>
        <v>54-8</v>
      </c>
      <c r="E775" s="72">
        <v>72009</v>
      </c>
      <c r="F775" s="72" t="str">
        <f t="shared" ref="F775:F838" si="38">A775&amp;"-"&amp;E775</f>
        <v>54-72009</v>
      </c>
      <c r="G775" s="391" t="s">
        <v>1225</v>
      </c>
      <c r="H775" s="331">
        <v>13613.75</v>
      </c>
      <c r="I775" s="331">
        <v>12517.28</v>
      </c>
      <c r="J775" s="331">
        <v>12888.6</v>
      </c>
      <c r="K775" s="331">
        <v>15325.05</v>
      </c>
      <c r="L775" s="491" t="s">
        <v>29</v>
      </c>
      <c r="M775" s="491" t="s">
        <v>29</v>
      </c>
      <c r="N775" s="491" t="s">
        <v>29</v>
      </c>
      <c r="O775" s="491" t="s">
        <v>29</v>
      </c>
      <c r="P775" s="491">
        <v>0</v>
      </c>
      <c r="Q775" s="491">
        <v>0</v>
      </c>
      <c r="R775" s="491">
        <v>0</v>
      </c>
      <c r="S775" s="491">
        <v>0</v>
      </c>
      <c r="T775" s="1025" t="b">
        <v>0</v>
      </c>
      <c r="U775" s="491">
        <v>0.91</v>
      </c>
      <c r="V775" s="491">
        <v>2.11</v>
      </c>
      <c r="W775" s="491">
        <v>1.84</v>
      </c>
      <c r="X775" s="491">
        <v>0</v>
      </c>
      <c r="Y775" s="1025" t="b">
        <v>0</v>
      </c>
      <c r="Z775" s="331">
        <v>0</v>
      </c>
      <c r="AA775" s="331">
        <v>0</v>
      </c>
      <c r="AB775" s="331">
        <v>0</v>
      </c>
      <c r="AC775" s="331">
        <v>0</v>
      </c>
      <c r="AD775" s="1025" t="b">
        <v>0</v>
      </c>
      <c r="AE775" s="331">
        <v>0</v>
      </c>
      <c r="AF775" s="331">
        <v>0.15</v>
      </c>
      <c r="AG775" s="331">
        <v>0</v>
      </c>
      <c r="AH775" s="331">
        <v>0</v>
      </c>
      <c r="AI775" s="1025" t="b">
        <v>0</v>
      </c>
      <c r="AJ775" s="331">
        <v>0</v>
      </c>
      <c r="AK775" s="331">
        <v>0</v>
      </c>
      <c r="AL775" s="331">
        <v>0</v>
      </c>
      <c r="AM775" s="331">
        <v>0</v>
      </c>
      <c r="AN775" s="1025" t="b">
        <v>0</v>
      </c>
      <c r="AO775" s="331">
        <v>0</v>
      </c>
      <c r="AP775" s="331">
        <v>0</v>
      </c>
      <c r="AQ775" s="331">
        <v>0</v>
      </c>
      <c r="AR775" s="331">
        <v>0</v>
      </c>
      <c r="AS775" s="1025" t="b">
        <v>0</v>
      </c>
      <c r="AT775" s="1025" t="b">
        <v>0</v>
      </c>
      <c r="AU775" s="331">
        <v>64393</v>
      </c>
      <c r="AV775" s="491" t="s">
        <v>29</v>
      </c>
    </row>
    <row r="776" spans="1:48">
      <c r="A776" s="72">
        <v>54</v>
      </c>
      <c r="B776" s="391" t="s">
        <v>31</v>
      </c>
      <c r="C776" s="72">
        <f t="shared" si="36"/>
        <v>9</v>
      </c>
      <c r="D776" s="72" t="str">
        <f t="shared" si="37"/>
        <v>54-9</v>
      </c>
      <c r="E776" s="72">
        <v>72017</v>
      </c>
      <c r="F776" s="72" t="str">
        <f t="shared" si="38"/>
        <v>54-72017</v>
      </c>
      <c r="G776" s="391" t="s">
        <v>1226</v>
      </c>
      <c r="H776" s="331">
        <v>12981.56</v>
      </c>
      <c r="I776" s="331">
        <v>11936.01</v>
      </c>
      <c r="J776" s="331">
        <v>12290.09</v>
      </c>
      <c r="K776" s="331">
        <v>14613.4</v>
      </c>
      <c r="L776" s="491" t="s">
        <v>29</v>
      </c>
      <c r="M776" s="491" t="s">
        <v>29</v>
      </c>
      <c r="N776" s="491" t="s">
        <v>29</v>
      </c>
      <c r="O776" s="491" t="s">
        <v>29</v>
      </c>
      <c r="P776" s="491">
        <v>0</v>
      </c>
      <c r="Q776" s="491">
        <v>0</v>
      </c>
      <c r="R776" s="491">
        <v>0</v>
      </c>
      <c r="S776" s="491">
        <v>0</v>
      </c>
      <c r="T776" s="1025" t="b">
        <v>0</v>
      </c>
      <c r="U776" s="491">
        <v>0</v>
      </c>
      <c r="V776" s="491">
        <v>0.93</v>
      </c>
      <c r="W776" s="491">
        <v>0</v>
      </c>
      <c r="X776" s="491">
        <v>0</v>
      </c>
      <c r="Y776" s="1025" t="b">
        <v>0</v>
      </c>
      <c r="Z776" s="331">
        <v>0</v>
      </c>
      <c r="AA776" s="331">
        <v>0</v>
      </c>
      <c r="AB776" s="331">
        <v>0</v>
      </c>
      <c r="AC776" s="331">
        <v>0</v>
      </c>
      <c r="AD776" s="1025" t="b">
        <v>0</v>
      </c>
      <c r="AE776" s="331">
        <v>0</v>
      </c>
      <c r="AF776" s="331">
        <v>0</v>
      </c>
      <c r="AG776" s="331">
        <v>0</v>
      </c>
      <c r="AH776" s="331">
        <v>0</v>
      </c>
      <c r="AI776" s="1025" t="b">
        <v>0</v>
      </c>
      <c r="AJ776" s="331">
        <v>0</v>
      </c>
      <c r="AK776" s="331">
        <v>0</v>
      </c>
      <c r="AL776" s="331">
        <v>0</v>
      </c>
      <c r="AM776" s="331">
        <v>0</v>
      </c>
      <c r="AN776" s="1025" t="b">
        <v>0</v>
      </c>
      <c r="AO776" s="331">
        <v>0</v>
      </c>
      <c r="AP776" s="331">
        <v>0</v>
      </c>
      <c r="AQ776" s="331">
        <v>0</v>
      </c>
      <c r="AR776" s="331">
        <v>0</v>
      </c>
      <c r="AS776" s="1025" t="b">
        <v>0</v>
      </c>
      <c r="AT776" s="1025" t="b">
        <v>0</v>
      </c>
      <c r="AU776" s="331">
        <v>11100</v>
      </c>
      <c r="AV776" s="491" t="s">
        <v>29</v>
      </c>
    </row>
    <row r="777" spans="1:48">
      <c r="A777" s="72">
        <v>54</v>
      </c>
      <c r="B777" s="391" t="s">
        <v>31</v>
      </c>
      <c r="C777" s="72">
        <f t="shared" si="36"/>
        <v>10</v>
      </c>
      <c r="D777" s="72" t="str">
        <f t="shared" si="37"/>
        <v>54-10</v>
      </c>
      <c r="E777" s="72">
        <v>72033</v>
      </c>
      <c r="F777" s="72" t="str">
        <f t="shared" si="38"/>
        <v>54-72033</v>
      </c>
      <c r="G777" s="391" t="s">
        <v>1227</v>
      </c>
      <c r="H777" s="331">
        <v>13710.08</v>
      </c>
      <c r="I777" s="331">
        <v>12605.85</v>
      </c>
      <c r="J777" s="331">
        <v>12979.8</v>
      </c>
      <c r="K777" s="331">
        <v>15433.5</v>
      </c>
      <c r="L777" s="491" t="s">
        <v>29</v>
      </c>
      <c r="M777" s="491" t="s">
        <v>29</v>
      </c>
      <c r="N777" s="491" t="s">
        <v>29</v>
      </c>
      <c r="O777" s="491" t="s">
        <v>29</v>
      </c>
      <c r="P777" s="491">
        <v>0</v>
      </c>
      <c r="Q777" s="491">
        <v>0</v>
      </c>
      <c r="R777" s="491">
        <v>0</v>
      </c>
      <c r="S777" s="491">
        <v>0</v>
      </c>
      <c r="T777" s="1025" t="b">
        <v>0</v>
      </c>
      <c r="U777" s="491">
        <v>0.88</v>
      </c>
      <c r="V777" s="491">
        <v>0</v>
      </c>
      <c r="W777" s="491">
        <v>1.7</v>
      </c>
      <c r="X777" s="491">
        <v>0</v>
      </c>
      <c r="Y777" s="1025" t="b">
        <v>0</v>
      </c>
      <c r="Z777" s="331">
        <v>0</v>
      </c>
      <c r="AA777" s="331">
        <v>0</v>
      </c>
      <c r="AB777" s="331">
        <v>0</v>
      </c>
      <c r="AC777" s="331">
        <v>0</v>
      </c>
      <c r="AD777" s="1025" t="b">
        <v>0</v>
      </c>
      <c r="AE777" s="331">
        <v>0.06</v>
      </c>
      <c r="AF777" s="331">
        <v>0</v>
      </c>
      <c r="AG777" s="331">
        <v>0</v>
      </c>
      <c r="AH777" s="331">
        <v>0</v>
      </c>
      <c r="AI777" s="1025" t="b">
        <v>0</v>
      </c>
      <c r="AJ777" s="331">
        <v>0</v>
      </c>
      <c r="AK777" s="331">
        <v>0</v>
      </c>
      <c r="AL777" s="331">
        <v>0</v>
      </c>
      <c r="AM777" s="331">
        <v>0</v>
      </c>
      <c r="AN777" s="1025" t="b">
        <v>0</v>
      </c>
      <c r="AO777" s="331">
        <v>0</v>
      </c>
      <c r="AP777" s="331">
        <v>0</v>
      </c>
      <c r="AQ777" s="331">
        <v>0</v>
      </c>
      <c r="AR777" s="331">
        <v>0</v>
      </c>
      <c r="AS777" s="1025" t="b">
        <v>0</v>
      </c>
      <c r="AT777" s="1025" t="b">
        <v>0</v>
      </c>
      <c r="AU777" s="331">
        <v>34953</v>
      </c>
      <c r="AV777" s="491" t="s">
        <v>29</v>
      </c>
    </row>
    <row r="778" spans="1:48">
      <c r="A778" s="72">
        <v>54</v>
      </c>
      <c r="B778" s="391" t="s">
        <v>31</v>
      </c>
      <c r="C778" s="72">
        <f t="shared" si="36"/>
        <v>11</v>
      </c>
      <c r="D778" s="72" t="str">
        <f t="shared" si="37"/>
        <v>54-11</v>
      </c>
      <c r="E778" s="72">
        <v>72041</v>
      </c>
      <c r="F778" s="72" t="str">
        <f t="shared" si="38"/>
        <v>54-72041</v>
      </c>
      <c r="G778" s="391" t="s">
        <v>1228</v>
      </c>
      <c r="H778" s="331">
        <v>14879.84</v>
      </c>
      <c r="I778" s="331">
        <v>13681.39</v>
      </c>
      <c r="J778" s="331">
        <v>14087.25</v>
      </c>
      <c r="K778" s="331">
        <v>16750.29</v>
      </c>
      <c r="L778" s="491" t="s">
        <v>29</v>
      </c>
      <c r="M778" s="491" t="s">
        <v>29</v>
      </c>
      <c r="N778" s="491" t="s">
        <v>29</v>
      </c>
      <c r="O778" s="491" t="s">
        <v>29</v>
      </c>
      <c r="P778" s="491">
        <v>0</v>
      </c>
      <c r="Q778" s="491">
        <v>0</v>
      </c>
      <c r="R778" s="491">
        <v>0</v>
      </c>
      <c r="S778" s="491">
        <v>0</v>
      </c>
      <c r="T778" s="1025" t="b">
        <v>0</v>
      </c>
      <c r="U778" s="491">
        <v>0.91</v>
      </c>
      <c r="V778" s="491">
        <v>0.89</v>
      </c>
      <c r="W778" s="491">
        <v>1.88</v>
      </c>
      <c r="X778" s="491">
        <v>0.49</v>
      </c>
      <c r="Y778" s="1025" t="b">
        <v>0</v>
      </c>
      <c r="Z778" s="331">
        <v>0</v>
      </c>
      <c r="AA778" s="331">
        <v>0</v>
      </c>
      <c r="AB778" s="331">
        <v>0</v>
      </c>
      <c r="AC778" s="331">
        <v>0</v>
      </c>
      <c r="AD778" s="1025" t="b">
        <v>0</v>
      </c>
      <c r="AE778" s="331">
        <v>0.02</v>
      </c>
      <c r="AF778" s="331">
        <v>0</v>
      </c>
      <c r="AG778" s="331">
        <v>0</v>
      </c>
      <c r="AH778" s="331">
        <v>0</v>
      </c>
      <c r="AI778" s="1025" t="b">
        <v>0</v>
      </c>
      <c r="AJ778" s="331">
        <v>0</v>
      </c>
      <c r="AK778" s="331">
        <v>0</v>
      </c>
      <c r="AL778" s="331">
        <v>0</v>
      </c>
      <c r="AM778" s="331">
        <v>0</v>
      </c>
      <c r="AN778" s="1025" t="b">
        <v>0</v>
      </c>
      <c r="AO778" s="331">
        <v>0</v>
      </c>
      <c r="AP778" s="331">
        <v>0</v>
      </c>
      <c r="AQ778" s="331">
        <v>0</v>
      </c>
      <c r="AR778" s="331">
        <v>0</v>
      </c>
      <c r="AS778" s="1025" t="b">
        <v>0</v>
      </c>
      <c r="AT778" s="1025" t="b">
        <v>0</v>
      </c>
      <c r="AU778" s="331">
        <v>60706</v>
      </c>
      <c r="AV778" s="491" t="s">
        <v>29</v>
      </c>
    </row>
    <row r="779" spans="1:48">
      <c r="A779" s="72">
        <v>54</v>
      </c>
      <c r="B779" s="391" t="s">
        <v>31</v>
      </c>
      <c r="C779" s="72">
        <f t="shared" si="36"/>
        <v>12</v>
      </c>
      <c r="D779" s="72" t="str">
        <f t="shared" si="37"/>
        <v>54-12</v>
      </c>
      <c r="E779" s="72">
        <v>72082</v>
      </c>
      <c r="F779" s="72" t="str">
        <f t="shared" si="38"/>
        <v>54-72082</v>
      </c>
      <c r="G779" s="391" t="s">
        <v>1229</v>
      </c>
      <c r="H779" s="331">
        <v>14765.44</v>
      </c>
      <c r="I779" s="331">
        <v>13576.21</v>
      </c>
      <c r="J779" s="331">
        <v>13978.94</v>
      </c>
      <c r="K779" s="331">
        <v>16621.52</v>
      </c>
      <c r="L779" s="491" t="s">
        <v>29</v>
      </c>
      <c r="M779" s="491" t="s">
        <v>29</v>
      </c>
      <c r="N779" s="491" t="s">
        <v>29</v>
      </c>
      <c r="O779" s="491" t="s">
        <v>29</v>
      </c>
      <c r="P779" s="491">
        <v>0</v>
      </c>
      <c r="Q779" s="491">
        <v>0</v>
      </c>
      <c r="R779" s="491">
        <v>0</v>
      </c>
      <c r="S779" s="491">
        <v>0</v>
      </c>
      <c r="T779" s="1025" t="b">
        <v>0</v>
      </c>
      <c r="U779" s="491">
        <v>3.49</v>
      </c>
      <c r="V779" s="491">
        <v>0</v>
      </c>
      <c r="W779" s="491">
        <v>1.79</v>
      </c>
      <c r="X779" s="491">
        <v>0</v>
      </c>
      <c r="Y779" s="1025" t="b">
        <v>0</v>
      </c>
      <c r="Z779" s="331">
        <v>0</v>
      </c>
      <c r="AA779" s="331">
        <v>0</v>
      </c>
      <c r="AB779" s="331">
        <v>0</v>
      </c>
      <c r="AC779" s="331">
        <v>0</v>
      </c>
      <c r="AD779" s="1025" t="b">
        <v>0</v>
      </c>
      <c r="AE779" s="331">
        <v>0.15</v>
      </c>
      <c r="AF779" s="331">
        <v>0</v>
      </c>
      <c r="AG779" s="331">
        <v>0</v>
      </c>
      <c r="AH779" s="331">
        <v>0</v>
      </c>
      <c r="AI779" s="1025" t="b">
        <v>0</v>
      </c>
      <c r="AJ779" s="331">
        <v>0</v>
      </c>
      <c r="AK779" s="331">
        <v>0</v>
      </c>
      <c r="AL779" s="331">
        <v>0</v>
      </c>
      <c r="AM779" s="331">
        <v>0</v>
      </c>
      <c r="AN779" s="1025" t="b">
        <v>0</v>
      </c>
      <c r="AO779" s="331">
        <v>0</v>
      </c>
      <c r="AP779" s="331">
        <v>0</v>
      </c>
      <c r="AQ779" s="331">
        <v>0</v>
      </c>
      <c r="AR779" s="331">
        <v>0</v>
      </c>
      <c r="AS779" s="1025" t="b">
        <v>0</v>
      </c>
      <c r="AT779" s="1025" t="b">
        <v>0</v>
      </c>
      <c r="AU779" s="331">
        <v>78768</v>
      </c>
      <c r="AV779" s="491" t="s">
        <v>29</v>
      </c>
    </row>
    <row r="780" spans="1:48">
      <c r="A780" s="72">
        <v>54</v>
      </c>
      <c r="B780" s="391" t="s">
        <v>31</v>
      </c>
      <c r="C780" s="72">
        <f t="shared" si="36"/>
        <v>13</v>
      </c>
      <c r="D780" s="72" t="str">
        <f t="shared" si="37"/>
        <v>54-13</v>
      </c>
      <c r="E780" s="72">
        <v>72116</v>
      </c>
      <c r="F780" s="72" t="str">
        <f t="shared" si="38"/>
        <v>54-72116</v>
      </c>
      <c r="G780" s="391" t="s">
        <v>1749</v>
      </c>
      <c r="H780" s="331">
        <v>11082.73</v>
      </c>
      <c r="I780" s="331">
        <v>10190.11</v>
      </c>
      <c r="J780" s="331">
        <v>10492.4</v>
      </c>
      <c r="K780" s="331">
        <v>12475.88</v>
      </c>
      <c r="L780" s="491" t="s">
        <v>29</v>
      </c>
      <c r="M780" s="491" t="s">
        <v>29</v>
      </c>
      <c r="N780" s="491" t="s">
        <v>29</v>
      </c>
      <c r="O780" s="491" t="s">
        <v>29</v>
      </c>
      <c r="P780" s="491">
        <v>0</v>
      </c>
      <c r="Q780" s="491">
        <v>0</v>
      </c>
      <c r="R780" s="491">
        <v>0</v>
      </c>
      <c r="S780" s="491">
        <v>0</v>
      </c>
      <c r="T780" s="1025" t="b">
        <v>0</v>
      </c>
      <c r="U780" s="491">
        <v>0.94</v>
      </c>
      <c r="V780" s="491">
        <v>0.91</v>
      </c>
      <c r="W780" s="491">
        <v>0</v>
      </c>
      <c r="X780" s="491">
        <v>0</v>
      </c>
      <c r="Y780" s="1025" t="b">
        <v>0</v>
      </c>
      <c r="Z780" s="331">
        <v>0</v>
      </c>
      <c r="AA780" s="331">
        <v>0</v>
      </c>
      <c r="AB780" s="331">
        <v>0</v>
      </c>
      <c r="AC780" s="331">
        <v>0</v>
      </c>
      <c r="AD780" s="1025" t="b">
        <v>0</v>
      </c>
      <c r="AE780" s="331">
        <v>0</v>
      </c>
      <c r="AF780" s="331">
        <v>0</v>
      </c>
      <c r="AG780" s="331">
        <v>0</v>
      </c>
      <c r="AH780" s="331">
        <v>0</v>
      </c>
      <c r="AI780" s="1025" t="b">
        <v>0</v>
      </c>
      <c r="AJ780" s="331">
        <v>0</v>
      </c>
      <c r="AK780" s="331">
        <v>0</v>
      </c>
      <c r="AL780" s="331">
        <v>0</v>
      </c>
      <c r="AM780" s="331">
        <v>0</v>
      </c>
      <c r="AN780" s="1025" t="b">
        <v>0</v>
      </c>
      <c r="AO780" s="331">
        <v>0</v>
      </c>
      <c r="AP780" s="331">
        <v>0</v>
      </c>
      <c r="AQ780" s="331">
        <v>0</v>
      </c>
      <c r="AR780" s="331">
        <v>0</v>
      </c>
      <c r="AS780" s="1025" t="b">
        <v>0</v>
      </c>
      <c r="AT780" s="1025" t="b">
        <v>0</v>
      </c>
      <c r="AU780" s="331">
        <v>19691</v>
      </c>
      <c r="AV780" s="491" t="s">
        <v>29</v>
      </c>
    </row>
    <row r="781" spans="1:48">
      <c r="A781" s="72">
        <v>54</v>
      </c>
      <c r="B781" s="391" t="s">
        <v>31</v>
      </c>
      <c r="C781" s="72">
        <f t="shared" si="36"/>
        <v>14</v>
      </c>
      <c r="D781" s="72" t="str">
        <f t="shared" si="37"/>
        <v>54-14</v>
      </c>
      <c r="E781" s="72">
        <v>72132</v>
      </c>
      <c r="F781" s="72" t="str">
        <f t="shared" si="38"/>
        <v>54-72132</v>
      </c>
      <c r="G781" s="391" t="s">
        <v>1800</v>
      </c>
      <c r="H781" s="331">
        <v>11215.09</v>
      </c>
      <c r="I781" s="331">
        <v>10311.81</v>
      </c>
      <c r="J781" s="331">
        <v>10617.71</v>
      </c>
      <c r="K781" s="331">
        <v>12624.87</v>
      </c>
      <c r="L781" s="491" t="s">
        <v>29</v>
      </c>
      <c r="M781" s="491" t="s">
        <v>29</v>
      </c>
      <c r="N781" s="491" t="s">
        <v>29</v>
      </c>
      <c r="O781" s="491" t="s">
        <v>29</v>
      </c>
      <c r="P781" s="491">
        <v>0</v>
      </c>
      <c r="Q781" s="491">
        <v>0</v>
      </c>
      <c r="R781" s="491">
        <v>0</v>
      </c>
      <c r="S781" s="491">
        <v>0</v>
      </c>
      <c r="T781" s="1025" t="b">
        <v>0</v>
      </c>
      <c r="U781" s="491">
        <v>0</v>
      </c>
      <c r="V781" s="491">
        <v>0.98</v>
      </c>
      <c r="W781" s="491">
        <v>0</v>
      </c>
      <c r="X781" s="491">
        <v>0</v>
      </c>
      <c r="Y781" s="1025" t="b">
        <v>0</v>
      </c>
      <c r="Z781" s="331">
        <v>0</v>
      </c>
      <c r="AA781" s="331">
        <v>0</v>
      </c>
      <c r="AB781" s="331">
        <v>0</v>
      </c>
      <c r="AC781" s="331">
        <v>0</v>
      </c>
      <c r="AD781" s="1025" t="b">
        <v>0</v>
      </c>
      <c r="AE781" s="331">
        <v>0</v>
      </c>
      <c r="AF781" s="331">
        <v>0</v>
      </c>
      <c r="AG781" s="331">
        <v>0</v>
      </c>
      <c r="AH781" s="331">
        <v>0</v>
      </c>
      <c r="AI781" s="1025" t="b">
        <v>0</v>
      </c>
      <c r="AJ781" s="331">
        <v>0</v>
      </c>
      <c r="AK781" s="331">
        <v>0</v>
      </c>
      <c r="AL781" s="331">
        <v>0</v>
      </c>
      <c r="AM781" s="331">
        <v>0</v>
      </c>
      <c r="AN781" s="1025" t="b">
        <v>0</v>
      </c>
      <c r="AO781" s="331">
        <v>0</v>
      </c>
      <c r="AP781" s="331">
        <v>0</v>
      </c>
      <c r="AQ781" s="331">
        <v>0</v>
      </c>
      <c r="AR781" s="331">
        <v>0</v>
      </c>
      <c r="AS781" s="1025" t="b">
        <v>0</v>
      </c>
      <c r="AT781" s="1025" t="b">
        <v>0</v>
      </c>
      <c r="AU781" s="331">
        <v>10106</v>
      </c>
      <c r="AV781" s="491" t="s">
        <v>29</v>
      </c>
    </row>
    <row r="782" spans="1:48">
      <c r="A782" s="72">
        <v>54</v>
      </c>
      <c r="B782" s="391" t="s">
        <v>31</v>
      </c>
      <c r="C782" s="72">
        <f t="shared" si="36"/>
        <v>15</v>
      </c>
      <c r="D782" s="72" t="str">
        <f t="shared" si="37"/>
        <v>54-15</v>
      </c>
      <c r="E782" s="72">
        <v>72157</v>
      </c>
      <c r="F782" s="72" t="str">
        <f t="shared" si="38"/>
        <v>54-72157</v>
      </c>
      <c r="G782" s="391" t="s">
        <v>1230</v>
      </c>
      <c r="H782" s="331">
        <v>14736.2</v>
      </c>
      <c r="I782" s="331">
        <v>13549.32</v>
      </c>
      <c r="J782" s="331">
        <v>13951.26</v>
      </c>
      <c r="K782" s="331">
        <v>16588.599999999999</v>
      </c>
      <c r="L782" s="491" t="s">
        <v>29</v>
      </c>
      <c r="M782" s="491" t="s">
        <v>29</v>
      </c>
      <c r="N782" s="491" t="s">
        <v>29</v>
      </c>
      <c r="O782" s="491" t="s">
        <v>29</v>
      </c>
      <c r="P782" s="491">
        <v>0</v>
      </c>
      <c r="Q782" s="491">
        <v>0</v>
      </c>
      <c r="R782" s="491">
        <v>0</v>
      </c>
      <c r="S782" s="491">
        <v>0</v>
      </c>
      <c r="T782" s="1025" t="b">
        <v>0</v>
      </c>
      <c r="U782" s="491">
        <v>1.75</v>
      </c>
      <c r="V782" s="491">
        <v>4.43</v>
      </c>
      <c r="W782" s="491">
        <v>0.93</v>
      </c>
      <c r="X782" s="491">
        <v>0.75</v>
      </c>
      <c r="Y782" s="1025" t="b">
        <v>0</v>
      </c>
      <c r="Z782" s="331">
        <v>0</v>
      </c>
      <c r="AA782" s="331">
        <v>0</v>
      </c>
      <c r="AB782" s="331">
        <v>0</v>
      </c>
      <c r="AC782" s="331">
        <v>0</v>
      </c>
      <c r="AD782" s="1025" t="b">
        <v>0</v>
      </c>
      <c r="AE782" s="331">
        <v>0.09</v>
      </c>
      <c r="AF782" s="331">
        <v>0.2</v>
      </c>
      <c r="AG782" s="331">
        <v>0</v>
      </c>
      <c r="AH782" s="331">
        <v>0</v>
      </c>
      <c r="AI782" s="1025" t="b">
        <v>0</v>
      </c>
      <c r="AJ782" s="331">
        <v>0</v>
      </c>
      <c r="AK782" s="331">
        <v>0</v>
      </c>
      <c r="AL782" s="331">
        <v>0</v>
      </c>
      <c r="AM782" s="331">
        <v>0</v>
      </c>
      <c r="AN782" s="1025" t="b">
        <v>0</v>
      </c>
      <c r="AO782" s="331">
        <v>0</v>
      </c>
      <c r="AP782" s="331">
        <v>0</v>
      </c>
      <c r="AQ782" s="331">
        <v>0</v>
      </c>
      <c r="AR782" s="331">
        <v>0</v>
      </c>
      <c r="AS782" s="1025" t="b">
        <v>0</v>
      </c>
      <c r="AT782" s="1025" t="b">
        <v>0</v>
      </c>
      <c r="AU782" s="331">
        <v>115264</v>
      </c>
      <c r="AV782" s="491" t="s">
        <v>29</v>
      </c>
    </row>
    <row r="783" spans="1:48">
      <c r="A783" s="72">
        <v>54</v>
      </c>
      <c r="B783" s="391" t="s">
        <v>31</v>
      </c>
      <c r="C783" s="72">
        <f t="shared" si="36"/>
        <v>16</v>
      </c>
      <c r="D783" s="72" t="str">
        <f t="shared" si="37"/>
        <v>54-16</v>
      </c>
      <c r="E783" s="72">
        <v>72173</v>
      </c>
      <c r="F783" s="72" t="str">
        <f t="shared" si="38"/>
        <v>54-72173</v>
      </c>
      <c r="G783" s="391" t="s">
        <v>1231</v>
      </c>
      <c r="H783" s="331">
        <v>10942.69</v>
      </c>
      <c r="I783" s="331">
        <v>10061.35</v>
      </c>
      <c r="J783" s="331">
        <v>10359.81</v>
      </c>
      <c r="K783" s="331">
        <v>12318.23</v>
      </c>
      <c r="L783" s="491" t="s">
        <v>29</v>
      </c>
      <c r="M783" s="491" t="s">
        <v>29</v>
      </c>
      <c r="N783" s="491" t="s">
        <v>29</v>
      </c>
      <c r="O783" s="491" t="s">
        <v>29</v>
      </c>
      <c r="P783" s="491">
        <v>0</v>
      </c>
      <c r="Q783" s="491">
        <v>0</v>
      </c>
      <c r="R783" s="491">
        <v>0</v>
      </c>
      <c r="S783" s="491">
        <v>0</v>
      </c>
      <c r="T783" s="1025" t="b">
        <v>0</v>
      </c>
      <c r="U783" s="491">
        <v>0</v>
      </c>
      <c r="V783" s="491">
        <v>0</v>
      </c>
      <c r="W783" s="491">
        <v>1.73</v>
      </c>
      <c r="X783" s="491">
        <v>0</v>
      </c>
      <c r="Y783" s="1025" t="b">
        <v>0</v>
      </c>
      <c r="Z783" s="331">
        <v>0</v>
      </c>
      <c r="AA783" s="331">
        <v>0</v>
      </c>
      <c r="AB783" s="331">
        <v>0</v>
      </c>
      <c r="AC783" s="331">
        <v>0</v>
      </c>
      <c r="AD783" s="1025" t="b">
        <v>0</v>
      </c>
      <c r="AE783" s="331">
        <v>0</v>
      </c>
      <c r="AF783" s="331">
        <v>0</v>
      </c>
      <c r="AG783" s="331">
        <v>0</v>
      </c>
      <c r="AH783" s="331">
        <v>0</v>
      </c>
      <c r="AI783" s="1025" t="b">
        <v>0</v>
      </c>
      <c r="AJ783" s="331">
        <v>0</v>
      </c>
      <c r="AK783" s="331">
        <v>0</v>
      </c>
      <c r="AL783" s="331">
        <v>0</v>
      </c>
      <c r="AM783" s="331">
        <v>0</v>
      </c>
      <c r="AN783" s="1025" t="b">
        <v>0</v>
      </c>
      <c r="AO783" s="331">
        <v>0</v>
      </c>
      <c r="AP783" s="331">
        <v>0</v>
      </c>
      <c r="AQ783" s="331">
        <v>0</v>
      </c>
      <c r="AR783" s="331">
        <v>0</v>
      </c>
      <c r="AS783" s="1025" t="b">
        <v>0</v>
      </c>
      <c r="AT783" s="1025" t="b">
        <v>0</v>
      </c>
      <c r="AU783" s="331">
        <v>17922</v>
      </c>
      <c r="AV783" s="491" t="s">
        <v>29</v>
      </c>
    </row>
    <row r="784" spans="1:48">
      <c r="A784" s="72">
        <v>54</v>
      </c>
      <c r="B784" s="391" t="s">
        <v>31</v>
      </c>
      <c r="C784" s="72">
        <f t="shared" si="36"/>
        <v>17</v>
      </c>
      <c r="D784" s="72" t="str">
        <f t="shared" si="37"/>
        <v>54-17</v>
      </c>
      <c r="E784" s="72">
        <v>72199</v>
      </c>
      <c r="F784" s="72" t="str">
        <f t="shared" si="38"/>
        <v>54-72199</v>
      </c>
      <c r="G784" s="391" t="s">
        <v>1232</v>
      </c>
      <c r="H784" s="491">
        <v>14878.98</v>
      </c>
      <c r="I784" s="491">
        <v>13680.6</v>
      </c>
      <c r="J784" s="491">
        <v>14086.43</v>
      </c>
      <c r="K784" s="491">
        <v>16749.330000000002</v>
      </c>
      <c r="L784" s="491" t="s">
        <v>29</v>
      </c>
      <c r="M784" s="491" t="s">
        <v>29</v>
      </c>
      <c r="N784" s="491" t="s">
        <v>29</v>
      </c>
      <c r="O784" s="491" t="s">
        <v>29</v>
      </c>
      <c r="P784" s="491">
        <v>0</v>
      </c>
      <c r="Q784" s="491">
        <v>0</v>
      </c>
      <c r="R784" s="491">
        <v>0</v>
      </c>
      <c r="S784" s="491">
        <v>0</v>
      </c>
      <c r="T784" s="1025" t="b">
        <v>0</v>
      </c>
      <c r="U784" s="491">
        <v>1.1599999999999999</v>
      </c>
      <c r="V784" s="491">
        <v>3.8</v>
      </c>
      <c r="W784" s="491">
        <v>0.1</v>
      </c>
      <c r="X784" s="491">
        <v>0</v>
      </c>
      <c r="Y784" s="1025" t="b">
        <v>0</v>
      </c>
      <c r="Z784" s="491">
        <v>0</v>
      </c>
      <c r="AA784" s="491">
        <v>0</v>
      </c>
      <c r="AB784" s="491">
        <v>0</v>
      </c>
      <c r="AC784" s="491">
        <v>0</v>
      </c>
      <c r="AD784" s="1025" t="b">
        <v>0</v>
      </c>
      <c r="AE784" s="491">
        <v>0</v>
      </c>
      <c r="AF784" s="491">
        <v>0.06</v>
      </c>
      <c r="AG784" s="491">
        <v>0</v>
      </c>
      <c r="AH784" s="491">
        <v>0</v>
      </c>
      <c r="AI784" s="1025" t="b">
        <v>0</v>
      </c>
      <c r="AJ784" s="491">
        <v>0</v>
      </c>
      <c r="AK784" s="491">
        <v>0</v>
      </c>
      <c r="AL784" s="491">
        <v>0</v>
      </c>
      <c r="AM784" s="491">
        <v>0</v>
      </c>
      <c r="AN784" s="1025" t="b">
        <v>0</v>
      </c>
      <c r="AO784" s="491">
        <v>0</v>
      </c>
      <c r="AP784" s="491">
        <v>0</v>
      </c>
      <c r="AQ784" s="491">
        <v>0</v>
      </c>
      <c r="AR784" s="491">
        <v>0</v>
      </c>
      <c r="AS784" s="1025" t="b">
        <v>0</v>
      </c>
      <c r="AT784" s="1025" t="b">
        <v>0</v>
      </c>
      <c r="AU784" s="491">
        <v>71476</v>
      </c>
      <c r="AV784" s="491" t="s">
        <v>29</v>
      </c>
    </row>
    <row r="785" spans="1:48">
      <c r="A785" s="72">
        <v>54</v>
      </c>
      <c r="B785" s="391" t="s">
        <v>31</v>
      </c>
      <c r="C785" s="72">
        <f t="shared" si="36"/>
        <v>18</v>
      </c>
      <c r="D785" s="72" t="str">
        <f t="shared" si="37"/>
        <v>54-18</v>
      </c>
      <c r="E785" s="72">
        <v>72207</v>
      </c>
      <c r="F785" s="72" t="str">
        <f t="shared" si="38"/>
        <v>54-72207</v>
      </c>
      <c r="G785" s="391" t="s">
        <v>1233</v>
      </c>
      <c r="H785" s="331">
        <v>10896.95</v>
      </c>
      <c r="I785" s="331">
        <v>10019.290000000001</v>
      </c>
      <c r="J785" s="331">
        <v>10316.51</v>
      </c>
      <c r="K785" s="331">
        <v>12266.74</v>
      </c>
      <c r="L785" s="491" t="s">
        <v>29</v>
      </c>
      <c r="M785" s="491" t="s">
        <v>29</v>
      </c>
      <c r="N785" s="491" t="s">
        <v>29</v>
      </c>
      <c r="O785" s="491" t="s">
        <v>29</v>
      </c>
      <c r="P785" s="491">
        <v>0</v>
      </c>
      <c r="Q785" s="491">
        <v>0</v>
      </c>
      <c r="R785" s="491">
        <v>0</v>
      </c>
      <c r="S785" s="491">
        <v>0</v>
      </c>
      <c r="T785" s="1025" t="b">
        <v>0</v>
      </c>
      <c r="U785" s="491">
        <v>0.89</v>
      </c>
      <c r="V785" s="491">
        <v>0</v>
      </c>
      <c r="W785" s="491">
        <v>0.84</v>
      </c>
      <c r="X785" s="491">
        <v>0</v>
      </c>
      <c r="Y785" s="1025" t="b">
        <v>0</v>
      </c>
      <c r="Z785" s="331">
        <v>0</v>
      </c>
      <c r="AA785" s="331">
        <v>0</v>
      </c>
      <c r="AB785" s="331">
        <v>0</v>
      </c>
      <c r="AC785" s="331">
        <v>0</v>
      </c>
      <c r="AD785" s="1025" t="b">
        <v>0</v>
      </c>
      <c r="AE785" s="331">
        <v>0</v>
      </c>
      <c r="AF785" s="331">
        <v>0</v>
      </c>
      <c r="AG785" s="331">
        <v>0.09</v>
      </c>
      <c r="AH785" s="331">
        <v>0</v>
      </c>
      <c r="AI785" s="1025" t="b">
        <v>0</v>
      </c>
      <c r="AJ785" s="331">
        <v>0</v>
      </c>
      <c r="AK785" s="331">
        <v>0</v>
      </c>
      <c r="AL785" s="331">
        <v>0</v>
      </c>
      <c r="AM785" s="331">
        <v>0</v>
      </c>
      <c r="AN785" s="1025" t="b">
        <v>0</v>
      </c>
      <c r="AO785" s="331">
        <v>0</v>
      </c>
      <c r="AP785" s="331">
        <v>0</v>
      </c>
      <c r="AQ785" s="331">
        <v>0</v>
      </c>
      <c r="AR785" s="331">
        <v>0</v>
      </c>
      <c r="AS785" s="1025" t="b">
        <v>0</v>
      </c>
      <c r="AT785" s="1025" t="b">
        <v>0</v>
      </c>
      <c r="AU785" s="331">
        <v>19292</v>
      </c>
      <c r="AV785" s="491" t="s">
        <v>29</v>
      </c>
    </row>
    <row r="786" spans="1:48">
      <c r="A786" s="72">
        <v>54</v>
      </c>
      <c r="B786" s="391" t="s">
        <v>31</v>
      </c>
      <c r="C786" s="72">
        <f t="shared" si="36"/>
        <v>19</v>
      </c>
      <c r="D786" s="72" t="str">
        <f t="shared" si="37"/>
        <v>54-19</v>
      </c>
      <c r="E786" s="72">
        <v>72215</v>
      </c>
      <c r="F786" s="72" t="str">
        <f t="shared" si="38"/>
        <v>54-72215</v>
      </c>
      <c r="G786" s="391" t="s">
        <v>1234</v>
      </c>
      <c r="H786" s="331">
        <v>14616.64</v>
      </c>
      <c r="I786" s="331">
        <v>13439.4</v>
      </c>
      <c r="J786" s="331">
        <v>13838.07</v>
      </c>
      <c r="K786" s="331">
        <v>16454.009999999998</v>
      </c>
      <c r="L786" s="491" t="s">
        <v>29</v>
      </c>
      <c r="M786" s="491" t="s">
        <v>29</v>
      </c>
      <c r="N786" s="491" t="s">
        <v>29</v>
      </c>
      <c r="O786" s="491" t="s">
        <v>29</v>
      </c>
      <c r="P786" s="491">
        <v>0</v>
      </c>
      <c r="Q786" s="491">
        <v>0</v>
      </c>
      <c r="R786" s="491">
        <v>0</v>
      </c>
      <c r="S786" s="491">
        <v>0</v>
      </c>
      <c r="T786" s="1025" t="b">
        <v>0</v>
      </c>
      <c r="U786" s="491">
        <v>1.66</v>
      </c>
      <c r="V786" s="491">
        <v>0.9</v>
      </c>
      <c r="W786" s="491">
        <v>0.73</v>
      </c>
      <c r="X786" s="491">
        <v>0</v>
      </c>
      <c r="Y786" s="1025" t="b">
        <v>0</v>
      </c>
      <c r="Z786" s="331">
        <v>0</v>
      </c>
      <c r="AA786" s="331">
        <v>0</v>
      </c>
      <c r="AB786" s="331">
        <v>0</v>
      </c>
      <c r="AC786" s="331">
        <v>0</v>
      </c>
      <c r="AD786" s="1025" t="b">
        <v>0</v>
      </c>
      <c r="AE786" s="331">
        <v>0</v>
      </c>
      <c r="AF786" s="331">
        <v>0</v>
      </c>
      <c r="AG786" s="331">
        <v>0</v>
      </c>
      <c r="AH786" s="331">
        <v>0</v>
      </c>
      <c r="AI786" s="1025" t="b">
        <v>0</v>
      </c>
      <c r="AJ786" s="331">
        <v>0</v>
      </c>
      <c r="AK786" s="331">
        <v>0</v>
      </c>
      <c r="AL786" s="331">
        <v>0</v>
      </c>
      <c r="AM786" s="331">
        <v>0</v>
      </c>
      <c r="AN786" s="1025" t="b">
        <v>0</v>
      </c>
      <c r="AO786" s="331">
        <v>0</v>
      </c>
      <c r="AP786" s="331">
        <v>0</v>
      </c>
      <c r="AQ786" s="331">
        <v>0</v>
      </c>
      <c r="AR786" s="331">
        <v>0</v>
      </c>
      <c r="AS786" s="1025" t="b">
        <v>0</v>
      </c>
      <c r="AT786" s="1025" t="b">
        <v>0</v>
      </c>
      <c r="AU786" s="331">
        <v>46461</v>
      </c>
      <c r="AV786" s="491" t="s">
        <v>29</v>
      </c>
    </row>
    <row r="787" spans="1:48">
      <c r="A787" s="72">
        <v>54</v>
      </c>
      <c r="B787" s="391" t="s">
        <v>31</v>
      </c>
      <c r="C787" s="72">
        <f t="shared" si="36"/>
        <v>20</v>
      </c>
      <c r="D787" s="72" t="str">
        <f t="shared" si="37"/>
        <v>54-20</v>
      </c>
      <c r="E787" s="72">
        <v>72223</v>
      </c>
      <c r="F787" s="72" t="str">
        <f t="shared" si="38"/>
        <v>54-72223</v>
      </c>
      <c r="G787" s="391" t="s">
        <v>1235</v>
      </c>
      <c r="H787" s="331">
        <v>14628.68</v>
      </c>
      <c r="I787" s="331">
        <v>13450.47</v>
      </c>
      <c r="J787" s="331">
        <v>13849.47</v>
      </c>
      <c r="K787" s="331">
        <v>16467.57</v>
      </c>
      <c r="L787" s="491" t="s">
        <v>29</v>
      </c>
      <c r="M787" s="491" t="s">
        <v>29</v>
      </c>
      <c r="N787" s="491" t="s">
        <v>29</v>
      </c>
      <c r="O787" s="491" t="s">
        <v>29</v>
      </c>
      <c r="P787" s="491">
        <v>0</v>
      </c>
      <c r="Q787" s="491">
        <v>0</v>
      </c>
      <c r="R787" s="491">
        <v>0</v>
      </c>
      <c r="S787" s="491">
        <v>0</v>
      </c>
      <c r="T787" s="1025" t="b">
        <v>0</v>
      </c>
      <c r="U787" s="491">
        <v>0</v>
      </c>
      <c r="V787" s="491">
        <v>0</v>
      </c>
      <c r="W787" s="491">
        <v>0.76</v>
      </c>
      <c r="X787" s="491">
        <v>0</v>
      </c>
      <c r="Y787" s="1025" t="b">
        <v>0</v>
      </c>
      <c r="Z787" s="331">
        <v>0</v>
      </c>
      <c r="AA787" s="331">
        <v>0</v>
      </c>
      <c r="AB787" s="331">
        <v>0</v>
      </c>
      <c r="AC787" s="331">
        <v>0</v>
      </c>
      <c r="AD787" s="1025" t="b">
        <v>0</v>
      </c>
      <c r="AE787" s="331">
        <v>0</v>
      </c>
      <c r="AF787" s="331">
        <v>0</v>
      </c>
      <c r="AG787" s="331">
        <v>0</v>
      </c>
      <c r="AH787" s="331">
        <v>0</v>
      </c>
      <c r="AI787" s="1025" t="b">
        <v>0</v>
      </c>
      <c r="AJ787" s="331">
        <v>0</v>
      </c>
      <c r="AK787" s="331">
        <v>0</v>
      </c>
      <c r="AL787" s="331">
        <v>0</v>
      </c>
      <c r="AM787" s="331">
        <v>0</v>
      </c>
      <c r="AN787" s="1025" t="b">
        <v>0</v>
      </c>
      <c r="AO787" s="331">
        <v>0</v>
      </c>
      <c r="AP787" s="331">
        <v>0</v>
      </c>
      <c r="AQ787" s="331">
        <v>0</v>
      </c>
      <c r="AR787" s="331">
        <v>0</v>
      </c>
      <c r="AS787" s="1025" t="b">
        <v>0</v>
      </c>
      <c r="AT787" s="1025" t="b">
        <v>0</v>
      </c>
      <c r="AU787" s="331">
        <v>10526</v>
      </c>
      <c r="AV787" s="491" t="s">
        <v>29</v>
      </c>
    </row>
    <row r="788" spans="1:48">
      <c r="A788" s="72">
        <v>54</v>
      </c>
      <c r="B788" s="391" t="s">
        <v>31</v>
      </c>
      <c r="C788" s="72">
        <f t="shared" si="36"/>
        <v>21</v>
      </c>
      <c r="D788" s="72" t="str">
        <f t="shared" si="37"/>
        <v>54-21</v>
      </c>
      <c r="E788" s="72">
        <v>72231</v>
      </c>
      <c r="F788" s="72" t="str">
        <f t="shared" si="38"/>
        <v>54-72231</v>
      </c>
      <c r="G788" s="391" t="s">
        <v>1236</v>
      </c>
      <c r="H788" s="331">
        <v>13386.68</v>
      </c>
      <c r="I788" s="331">
        <v>12308.49</v>
      </c>
      <c r="J788" s="331">
        <v>12673.62</v>
      </c>
      <c r="K788" s="331">
        <v>15069.44</v>
      </c>
      <c r="L788" s="491" t="s">
        <v>29</v>
      </c>
      <c r="M788" s="491" t="s">
        <v>29</v>
      </c>
      <c r="N788" s="491" t="s">
        <v>29</v>
      </c>
      <c r="O788" s="491" t="s">
        <v>29</v>
      </c>
      <c r="P788" s="491">
        <v>0</v>
      </c>
      <c r="Q788" s="491">
        <v>0</v>
      </c>
      <c r="R788" s="491">
        <v>0</v>
      </c>
      <c r="S788" s="491">
        <v>0</v>
      </c>
      <c r="T788" s="1025" t="b">
        <v>0</v>
      </c>
      <c r="U788" s="491">
        <v>27.54</v>
      </c>
      <c r="V788" s="491">
        <v>25.08</v>
      </c>
      <c r="W788" s="491">
        <v>15.25</v>
      </c>
      <c r="X788" s="491">
        <v>1.88</v>
      </c>
      <c r="Y788" s="1025" t="b">
        <v>0</v>
      </c>
      <c r="Z788" s="331">
        <v>0</v>
      </c>
      <c r="AA788" s="331">
        <v>0</v>
      </c>
      <c r="AB788" s="331">
        <v>0</v>
      </c>
      <c r="AC788" s="331">
        <v>0</v>
      </c>
      <c r="AD788" s="1025" t="b">
        <v>0</v>
      </c>
      <c r="AE788" s="331">
        <v>0.47</v>
      </c>
      <c r="AF788" s="331">
        <v>0.65</v>
      </c>
      <c r="AG788" s="331">
        <v>0.38</v>
      </c>
      <c r="AH788" s="331">
        <v>0</v>
      </c>
      <c r="AI788" s="1025" t="b">
        <v>0</v>
      </c>
      <c r="AJ788" s="331">
        <v>0</v>
      </c>
      <c r="AK788" s="331">
        <v>0</v>
      </c>
      <c r="AL788" s="331">
        <v>0</v>
      </c>
      <c r="AM788" s="331">
        <v>0</v>
      </c>
      <c r="AN788" s="1025" t="b">
        <v>0</v>
      </c>
      <c r="AO788" s="331">
        <v>0</v>
      </c>
      <c r="AP788" s="331">
        <v>0</v>
      </c>
      <c r="AQ788" s="331">
        <v>0</v>
      </c>
      <c r="AR788" s="331">
        <v>0</v>
      </c>
      <c r="AS788" s="1025" t="b">
        <v>0</v>
      </c>
      <c r="AT788" s="1025" t="b">
        <v>0</v>
      </c>
      <c r="AU788" s="331">
        <v>918078</v>
      </c>
      <c r="AV788" s="491" t="s">
        <v>29</v>
      </c>
    </row>
    <row r="789" spans="1:48">
      <c r="A789" s="72">
        <v>54</v>
      </c>
      <c r="B789" s="391" t="s">
        <v>31</v>
      </c>
      <c r="C789" s="72">
        <f t="shared" si="36"/>
        <v>22</v>
      </c>
      <c r="D789" s="72" t="str">
        <f t="shared" si="37"/>
        <v>54-22</v>
      </c>
      <c r="E789" s="72">
        <v>72249</v>
      </c>
      <c r="F789" s="72" t="str">
        <f t="shared" si="38"/>
        <v>54-72249</v>
      </c>
      <c r="G789" s="391" t="s">
        <v>1237</v>
      </c>
      <c r="H789" s="331">
        <v>13057.25</v>
      </c>
      <c r="I789" s="331">
        <v>12005.6</v>
      </c>
      <c r="J789" s="331">
        <v>12361.74</v>
      </c>
      <c r="K789" s="331">
        <v>14698.6</v>
      </c>
      <c r="L789" s="491" t="s">
        <v>29</v>
      </c>
      <c r="M789" s="491" t="s">
        <v>29</v>
      </c>
      <c r="N789" s="491" t="s">
        <v>29</v>
      </c>
      <c r="O789" s="491" t="s">
        <v>29</v>
      </c>
      <c r="P789" s="491">
        <v>0</v>
      </c>
      <c r="Q789" s="491">
        <v>0</v>
      </c>
      <c r="R789" s="491">
        <v>0</v>
      </c>
      <c r="S789" s="491">
        <v>0</v>
      </c>
      <c r="T789" s="1025" t="b">
        <v>0</v>
      </c>
      <c r="U789" s="491">
        <v>0</v>
      </c>
      <c r="V789" s="491">
        <v>0</v>
      </c>
      <c r="W789" s="491">
        <v>0</v>
      </c>
      <c r="X789" s="491">
        <v>89.68</v>
      </c>
      <c r="Y789" s="1025" t="b">
        <v>0</v>
      </c>
      <c r="Z789" s="331">
        <v>0</v>
      </c>
      <c r="AA789" s="331">
        <v>0</v>
      </c>
      <c r="AB789" s="331">
        <v>0</v>
      </c>
      <c r="AC789" s="331">
        <v>0</v>
      </c>
      <c r="AD789" s="1025" t="b">
        <v>0</v>
      </c>
      <c r="AE789" s="331">
        <v>0</v>
      </c>
      <c r="AF789" s="331">
        <v>0</v>
      </c>
      <c r="AG789" s="331">
        <v>0</v>
      </c>
      <c r="AH789" s="331">
        <v>1.51</v>
      </c>
      <c r="AI789" s="1025" t="b">
        <v>0</v>
      </c>
      <c r="AJ789" s="331">
        <v>0</v>
      </c>
      <c r="AK789" s="331">
        <v>0</v>
      </c>
      <c r="AL789" s="331">
        <v>0</v>
      </c>
      <c r="AM789" s="331">
        <v>0</v>
      </c>
      <c r="AN789" s="1025" t="b">
        <v>0</v>
      </c>
      <c r="AO789" s="331">
        <v>0</v>
      </c>
      <c r="AP789" s="331">
        <v>0</v>
      </c>
      <c r="AQ789" s="331">
        <v>0</v>
      </c>
      <c r="AR789" s="331">
        <v>0</v>
      </c>
      <c r="AS789" s="1025" t="b">
        <v>0</v>
      </c>
      <c r="AT789" s="1025" t="b">
        <v>0</v>
      </c>
      <c r="AU789" s="331">
        <v>1340365</v>
      </c>
      <c r="AV789" s="491" t="s">
        <v>29</v>
      </c>
    </row>
    <row r="790" spans="1:48">
      <c r="A790" s="72">
        <v>54</v>
      </c>
      <c r="B790" s="391" t="s">
        <v>31</v>
      </c>
      <c r="C790" s="72">
        <f t="shared" si="36"/>
        <v>23</v>
      </c>
      <c r="D790" s="72" t="str">
        <f t="shared" si="37"/>
        <v>54-23</v>
      </c>
      <c r="E790" s="72">
        <v>72256</v>
      </c>
      <c r="F790" s="72" t="str">
        <f t="shared" si="38"/>
        <v>54-72256</v>
      </c>
      <c r="G790" s="391" t="s">
        <v>1238</v>
      </c>
      <c r="H790" s="331">
        <v>12380.34</v>
      </c>
      <c r="I790" s="331">
        <v>11383.21</v>
      </c>
      <c r="J790" s="331">
        <v>11720.89</v>
      </c>
      <c r="K790" s="331">
        <v>13936.6</v>
      </c>
      <c r="L790" s="491" t="s">
        <v>29</v>
      </c>
      <c r="M790" s="491" t="s">
        <v>29</v>
      </c>
      <c r="N790" s="491" t="s">
        <v>29</v>
      </c>
      <c r="O790" s="491" t="s">
        <v>29</v>
      </c>
      <c r="P790" s="491">
        <v>0</v>
      </c>
      <c r="Q790" s="491">
        <v>0</v>
      </c>
      <c r="R790" s="491">
        <v>0</v>
      </c>
      <c r="S790" s="491">
        <v>0</v>
      </c>
      <c r="T790" s="1025" t="b">
        <v>0</v>
      </c>
      <c r="U790" s="491">
        <v>52.38</v>
      </c>
      <c r="V790" s="491">
        <v>34.590000000000003</v>
      </c>
      <c r="W790" s="491">
        <v>35.06</v>
      </c>
      <c r="X790" s="491">
        <v>108.94</v>
      </c>
      <c r="Y790" s="1025" t="b">
        <v>0</v>
      </c>
      <c r="Z790" s="331">
        <v>0</v>
      </c>
      <c r="AA790" s="331">
        <v>0</v>
      </c>
      <c r="AB790" s="331">
        <v>0</v>
      </c>
      <c r="AC790" s="331">
        <v>0</v>
      </c>
      <c r="AD790" s="1025" t="b">
        <v>0</v>
      </c>
      <c r="AE790" s="331">
        <v>1.35</v>
      </c>
      <c r="AF790" s="331">
        <v>0.48</v>
      </c>
      <c r="AG790" s="331">
        <v>0.42</v>
      </c>
      <c r="AH790" s="331">
        <v>1.92</v>
      </c>
      <c r="AI790" s="1025" t="b">
        <v>0</v>
      </c>
      <c r="AJ790" s="331">
        <v>0</v>
      </c>
      <c r="AK790" s="331">
        <v>0</v>
      </c>
      <c r="AL790" s="331">
        <v>0</v>
      </c>
      <c r="AM790" s="331">
        <v>0</v>
      </c>
      <c r="AN790" s="1025" t="b">
        <v>0</v>
      </c>
      <c r="AO790" s="331">
        <v>0</v>
      </c>
      <c r="AP790" s="331">
        <v>0</v>
      </c>
      <c r="AQ790" s="331">
        <v>0</v>
      </c>
      <c r="AR790" s="331">
        <v>0</v>
      </c>
      <c r="AS790" s="1025" t="b">
        <v>0</v>
      </c>
      <c r="AT790" s="1025" t="b">
        <v>0</v>
      </c>
      <c r="AU790" s="331">
        <v>3025273</v>
      </c>
      <c r="AV790" s="491" t="s">
        <v>29</v>
      </c>
    </row>
    <row r="791" spans="1:48">
      <c r="A791" s="72">
        <v>54</v>
      </c>
      <c r="B791" s="391" t="s">
        <v>31</v>
      </c>
      <c r="C791" s="72">
        <f t="shared" si="36"/>
        <v>24</v>
      </c>
      <c r="D791" s="72" t="str">
        <f t="shared" si="37"/>
        <v>54-24</v>
      </c>
      <c r="E791" s="72">
        <v>72264</v>
      </c>
      <c r="F791" s="72" t="str">
        <f t="shared" si="38"/>
        <v>54-72264</v>
      </c>
      <c r="G791" s="391" t="s">
        <v>1239</v>
      </c>
      <c r="H791" s="491">
        <v>13479.57</v>
      </c>
      <c r="I791" s="491">
        <v>12393.9</v>
      </c>
      <c r="J791" s="491">
        <v>12761.57</v>
      </c>
      <c r="K791" s="491">
        <v>15174.01</v>
      </c>
      <c r="L791" s="491" t="s">
        <v>29</v>
      </c>
      <c r="M791" s="491" t="s">
        <v>29</v>
      </c>
      <c r="N791" s="491" t="s">
        <v>29</v>
      </c>
      <c r="O791" s="491" t="s">
        <v>29</v>
      </c>
      <c r="P791" s="491">
        <v>0</v>
      </c>
      <c r="Q791" s="491">
        <v>0</v>
      </c>
      <c r="R791" s="491">
        <v>0</v>
      </c>
      <c r="S791" s="491">
        <v>0</v>
      </c>
      <c r="T791" s="1025" t="b">
        <v>0</v>
      </c>
      <c r="U791" s="491">
        <v>0.88</v>
      </c>
      <c r="V791" s="491">
        <v>0</v>
      </c>
      <c r="W791" s="491">
        <v>0</v>
      </c>
      <c r="X791" s="491">
        <v>0</v>
      </c>
      <c r="Y791" s="1025" t="b">
        <v>0</v>
      </c>
      <c r="Z791" s="491">
        <v>0</v>
      </c>
      <c r="AA791" s="491">
        <v>0</v>
      </c>
      <c r="AB791" s="491">
        <v>0</v>
      </c>
      <c r="AC791" s="491">
        <v>0</v>
      </c>
      <c r="AD791" s="1025" t="b">
        <v>0</v>
      </c>
      <c r="AE791" s="491">
        <v>0</v>
      </c>
      <c r="AF791" s="491">
        <v>0</v>
      </c>
      <c r="AG791" s="491">
        <v>0</v>
      </c>
      <c r="AH791" s="491">
        <v>0</v>
      </c>
      <c r="AI791" s="1025" t="b">
        <v>0</v>
      </c>
      <c r="AJ791" s="491">
        <v>0</v>
      </c>
      <c r="AK791" s="491">
        <v>0</v>
      </c>
      <c r="AL791" s="491">
        <v>0</v>
      </c>
      <c r="AM791" s="491">
        <v>0</v>
      </c>
      <c r="AN791" s="1025" t="b">
        <v>0</v>
      </c>
      <c r="AO791" s="491">
        <v>0</v>
      </c>
      <c r="AP791" s="491">
        <v>0</v>
      </c>
      <c r="AQ791" s="491">
        <v>0</v>
      </c>
      <c r="AR791" s="491">
        <v>0</v>
      </c>
      <c r="AS791" s="1025" t="b">
        <v>0</v>
      </c>
      <c r="AT791" s="1025" t="b">
        <v>0</v>
      </c>
      <c r="AU791" s="491">
        <v>11862</v>
      </c>
      <c r="AV791" s="491" t="s">
        <v>29</v>
      </c>
    </row>
    <row r="792" spans="1:48">
      <c r="A792" s="72">
        <v>54</v>
      </c>
      <c r="B792" s="391" t="s">
        <v>31</v>
      </c>
      <c r="C792" s="72">
        <f t="shared" si="36"/>
        <v>25</v>
      </c>
      <c r="D792" s="72" t="str">
        <f t="shared" si="37"/>
        <v>54-25</v>
      </c>
      <c r="E792" s="72">
        <v>75325</v>
      </c>
      <c r="F792" s="72" t="str">
        <f t="shared" si="38"/>
        <v>54-75325</v>
      </c>
      <c r="G792" s="391" t="s">
        <v>1240</v>
      </c>
      <c r="H792" s="331">
        <v>14500.53</v>
      </c>
      <c r="I792" s="331">
        <v>13332.63</v>
      </c>
      <c r="J792" s="331">
        <v>13728.14</v>
      </c>
      <c r="K792" s="331">
        <v>16323.3</v>
      </c>
      <c r="L792" s="491" t="s">
        <v>29</v>
      </c>
      <c r="M792" s="491" t="s">
        <v>29</v>
      </c>
      <c r="N792" s="491" t="s">
        <v>29</v>
      </c>
      <c r="O792" s="491" t="s">
        <v>29</v>
      </c>
      <c r="P792" s="491">
        <v>0</v>
      </c>
      <c r="Q792" s="491">
        <v>0</v>
      </c>
      <c r="R792" s="491">
        <v>0</v>
      </c>
      <c r="S792" s="491">
        <v>0</v>
      </c>
      <c r="T792" s="1025" t="b">
        <v>0</v>
      </c>
      <c r="U792" s="491">
        <v>3.41</v>
      </c>
      <c r="V792" s="491">
        <v>1.45</v>
      </c>
      <c r="W792" s="491">
        <v>5.98</v>
      </c>
      <c r="X792" s="491">
        <v>10.96</v>
      </c>
      <c r="Y792" s="1025" t="b">
        <v>0</v>
      </c>
      <c r="Z792" s="331">
        <v>0</v>
      </c>
      <c r="AA792" s="331">
        <v>0</v>
      </c>
      <c r="AB792" s="331">
        <v>0</v>
      </c>
      <c r="AC792" s="331">
        <v>0</v>
      </c>
      <c r="AD792" s="1025" t="b">
        <v>0</v>
      </c>
      <c r="AE792" s="331">
        <v>0.22</v>
      </c>
      <c r="AF792" s="331">
        <v>7.0000000000000007E-2</v>
      </c>
      <c r="AG792" s="331">
        <v>0</v>
      </c>
      <c r="AH792" s="331">
        <v>0.2</v>
      </c>
      <c r="AI792" s="1025" t="b">
        <v>0</v>
      </c>
      <c r="AJ792" s="331">
        <v>0</v>
      </c>
      <c r="AK792" s="331">
        <v>0</v>
      </c>
      <c r="AL792" s="331">
        <v>0</v>
      </c>
      <c r="AM792" s="331">
        <v>0</v>
      </c>
      <c r="AN792" s="1025" t="b">
        <v>0</v>
      </c>
      <c r="AO792" s="331">
        <v>0</v>
      </c>
      <c r="AP792" s="331">
        <v>0</v>
      </c>
      <c r="AQ792" s="331">
        <v>0</v>
      </c>
      <c r="AR792" s="331">
        <v>0</v>
      </c>
      <c r="AS792" s="1025" t="b">
        <v>0</v>
      </c>
      <c r="AT792" s="1025" t="b">
        <v>0</v>
      </c>
      <c r="AU792" s="331">
        <v>337165</v>
      </c>
      <c r="AV792" s="491" t="s">
        <v>29</v>
      </c>
    </row>
    <row r="793" spans="1:48">
      <c r="A793" s="72">
        <v>54</v>
      </c>
      <c r="B793" s="391" t="s">
        <v>31</v>
      </c>
      <c r="C793" s="72">
        <f t="shared" si="36"/>
        <v>26</v>
      </c>
      <c r="D793" s="72" t="str">
        <f t="shared" si="37"/>
        <v>54-26</v>
      </c>
      <c r="E793" s="72">
        <v>75523</v>
      </c>
      <c r="F793" s="72" t="str">
        <f t="shared" si="38"/>
        <v>54-75523</v>
      </c>
      <c r="G793" s="391" t="s">
        <v>1241</v>
      </c>
      <c r="H793" s="331">
        <v>14044.67</v>
      </c>
      <c r="I793" s="331">
        <v>12913.49</v>
      </c>
      <c r="J793" s="331">
        <v>13296.56</v>
      </c>
      <c r="K793" s="331">
        <v>15810.14</v>
      </c>
      <c r="L793" s="491" t="s">
        <v>29</v>
      </c>
      <c r="M793" s="491" t="s">
        <v>29</v>
      </c>
      <c r="N793" s="491" t="s">
        <v>29</v>
      </c>
      <c r="O793" s="491" t="s">
        <v>29</v>
      </c>
      <c r="P793" s="491">
        <v>0</v>
      </c>
      <c r="Q793" s="491">
        <v>0</v>
      </c>
      <c r="R793" s="491">
        <v>0</v>
      </c>
      <c r="S793" s="491">
        <v>0</v>
      </c>
      <c r="T793" s="1025" t="b">
        <v>0</v>
      </c>
      <c r="U793" s="491">
        <v>13.69</v>
      </c>
      <c r="V793" s="491">
        <v>16.05</v>
      </c>
      <c r="W793" s="491">
        <v>18.149999999999999</v>
      </c>
      <c r="X793" s="491">
        <v>114.29</v>
      </c>
      <c r="Y793" s="1025" t="b">
        <v>0</v>
      </c>
      <c r="Z793" s="331">
        <v>0</v>
      </c>
      <c r="AA793" s="331">
        <v>0</v>
      </c>
      <c r="AB793" s="331">
        <v>0</v>
      </c>
      <c r="AC793" s="331">
        <v>0</v>
      </c>
      <c r="AD793" s="1025" t="b">
        <v>0</v>
      </c>
      <c r="AE793" s="331">
        <v>0.39</v>
      </c>
      <c r="AF793" s="331">
        <v>0.83</v>
      </c>
      <c r="AG793" s="331">
        <v>0.25</v>
      </c>
      <c r="AH793" s="331">
        <v>1.68</v>
      </c>
      <c r="AI793" s="1025" t="b">
        <v>0</v>
      </c>
      <c r="AJ793" s="331">
        <v>0</v>
      </c>
      <c r="AK793" s="331">
        <v>0</v>
      </c>
      <c r="AL793" s="331">
        <v>0</v>
      </c>
      <c r="AM793" s="331">
        <v>0</v>
      </c>
      <c r="AN793" s="1025" t="b">
        <v>0</v>
      </c>
      <c r="AO793" s="331">
        <v>0</v>
      </c>
      <c r="AP793" s="331">
        <v>0</v>
      </c>
      <c r="AQ793" s="331">
        <v>0</v>
      </c>
      <c r="AR793" s="331">
        <v>0</v>
      </c>
      <c r="AS793" s="1025" t="b">
        <v>0</v>
      </c>
      <c r="AT793" s="1025" t="b">
        <v>0</v>
      </c>
      <c r="AU793" s="331">
        <v>2493888</v>
      </c>
      <c r="AV793" s="491" t="s">
        <v>29</v>
      </c>
    </row>
    <row r="794" spans="1:48">
      <c r="A794" s="72">
        <v>54</v>
      </c>
      <c r="B794" s="391" t="s">
        <v>31</v>
      </c>
      <c r="C794" s="72">
        <f t="shared" si="36"/>
        <v>27</v>
      </c>
      <c r="D794" s="72" t="str">
        <f t="shared" si="37"/>
        <v>54-27</v>
      </c>
      <c r="E794" s="72">
        <v>75531</v>
      </c>
      <c r="F794" s="72" t="str">
        <f t="shared" si="38"/>
        <v>54-75531</v>
      </c>
      <c r="G794" s="391" t="s">
        <v>1242</v>
      </c>
      <c r="H794" s="331">
        <v>13944.03</v>
      </c>
      <c r="I794" s="331">
        <v>12820.96</v>
      </c>
      <c r="J794" s="331">
        <v>13201.29</v>
      </c>
      <c r="K794" s="331">
        <v>15696.85</v>
      </c>
      <c r="L794" s="491" t="s">
        <v>29</v>
      </c>
      <c r="M794" s="491" t="s">
        <v>29</v>
      </c>
      <c r="N794" s="491" t="s">
        <v>29</v>
      </c>
      <c r="O794" s="491" t="s">
        <v>29</v>
      </c>
      <c r="P794" s="491">
        <v>0</v>
      </c>
      <c r="Q794" s="491">
        <v>0</v>
      </c>
      <c r="R794" s="491">
        <v>0</v>
      </c>
      <c r="S794" s="491">
        <v>0</v>
      </c>
      <c r="T794" s="1025" t="b">
        <v>0</v>
      </c>
      <c r="U794" s="491">
        <v>7.39</v>
      </c>
      <c r="V794" s="491">
        <v>17.23</v>
      </c>
      <c r="W794" s="491">
        <v>11.08</v>
      </c>
      <c r="X794" s="491">
        <v>44.21</v>
      </c>
      <c r="Y794" s="1025" t="b">
        <v>0</v>
      </c>
      <c r="Z794" s="331">
        <v>0</v>
      </c>
      <c r="AA794" s="331">
        <v>0</v>
      </c>
      <c r="AB794" s="331">
        <v>0</v>
      </c>
      <c r="AC794" s="331">
        <v>0</v>
      </c>
      <c r="AD794" s="1025" t="b">
        <v>0</v>
      </c>
      <c r="AE794" s="331">
        <v>0.23</v>
      </c>
      <c r="AF794" s="331">
        <v>0.65</v>
      </c>
      <c r="AG794" s="331">
        <v>0.37</v>
      </c>
      <c r="AH794" s="331">
        <v>0.71</v>
      </c>
      <c r="AI794" s="1025" t="b">
        <v>0</v>
      </c>
      <c r="AJ794" s="331">
        <v>0</v>
      </c>
      <c r="AK794" s="331">
        <v>0</v>
      </c>
      <c r="AL794" s="331">
        <v>0</v>
      </c>
      <c r="AM794" s="331">
        <v>0</v>
      </c>
      <c r="AN794" s="1025" t="b">
        <v>0</v>
      </c>
      <c r="AO794" s="331">
        <v>0</v>
      </c>
      <c r="AP794" s="331">
        <v>0</v>
      </c>
      <c r="AQ794" s="331">
        <v>0</v>
      </c>
      <c r="AR794" s="331">
        <v>0</v>
      </c>
      <c r="AS794" s="1025" t="b">
        <v>0</v>
      </c>
      <c r="AT794" s="1025" t="b">
        <v>0</v>
      </c>
      <c r="AU794" s="331">
        <v>1191751</v>
      </c>
      <c r="AV794" s="491" t="s">
        <v>29</v>
      </c>
    </row>
    <row r="795" spans="1:48">
      <c r="A795" s="72">
        <v>54</v>
      </c>
      <c r="B795" s="391" t="s">
        <v>31</v>
      </c>
      <c r="C795" s="72">
        <f t="shared" si="36"/>
        <v>28</v>
      </c>
      <c r="D795" s="72" t="str">
        <f t="shared" si="37"/>
        <v>54-28</v>
      </c>
      <c r="E795" s="72">
        <v>76794</v>
      </c>
      <c r="F795" s="72" t="str">
        <f t="shared" si="38"/>
        <v>54-76794</v>
      </c>
      <c r="G795" s="391" t="s">
        <v>1243</v>
      </c>
      <c r="H795" s="331">
        <v>14211.53</v>
      </c>
      <c r="I795" s="331">
        <v>13066.91</v>
      </c>
      <c r="J795" s="331">
        <v>13454.54</v>
      </c>
      <c r="K795" s="331">
        <v>15997.98</v>
      </c>
      <c r="L795" s="491" t="s">
        <v>29</v>
      </c>
      <c r="M795" s="491" t="s">
        <v>29</v>
      </c>
      <c r="N795" s="491" t="s">
        <v>29</v>
      </c>
      <c r="O795" s="491" t="s">
        <v>29</v>
      </c>
      <c r="P795" s="491">
        <v>0</v>
      </c>
      <c r="Q795" s="491">
        <v>0</v>
      </c>
      <c r="R795" s="491">
        <v>0</v>
      </c>
      <c r="S795" s="491">
        <v>0</v>
      </c>
      <c r="T795" s="1025" t="b">
        <v>0</v>
      </c>
      <c r="U795" s="491">
        <v>1.31</v>
      </c>
      <c r="V795" s="491">
        <v>8.26</v>
      </c>
      <c r="W795" s="491">
        <v>4.93</v>
      </c>
      <c r="X795" s="491">
        <v>12.76</v>
      </c>
      <c r="Y795" s="1025" t="b">
        <v>0</v>
      </c>
      <c r="Z795" s="331">
        <v>0</v>
      </c>
      <c r="AA795" s="331">
        <v>0</v>
      </c>
      <c r="AB795" s="331">
        <v>0</v>
      </c>
      <c r="AC795" s="331">
        <v>0</v>
      </c>
      <c r="AD795" s="1025" t="b">
        <v>0</v>
      </c>
      <c r="AE795" s="331">
        <v>0</v>
      </c>
      <c r="AF795" s="331">
        <v>0</v>
      </c>
      <c r="AG795" s="331">
        <v>0</v>
      </c>
      <c r="AH795" s="331">
        <v>0</v>
      </c>
      <c r="AI795" s="1025" t="b">
        <v>0</v>
      </c>
      <c r="AJ795" s="331">
        <v>0</v>
      </c>
      <c r="AK795" s="331">
        <v>0</v>
      </c>
      <c r="AL795" s="331">
        <v>0</v>
      </c>
      <c r="AM795" s="331">
        <v>0</v>
      </c>
      <c r="AN795" s="1025" t="b">
        <v>0</v>
      </c>
      <c r="AO795" s="331">
        <v>0</v>
      </c>
      <c r="AP795" s="331">
        <v>0</v>
      </c>
      <c r="AQ795" s="331">
        <v>0</v>
      </c>
      <c r="AR795" s="331">
        <v>0</v>
      </c>
      <c r="AS795" s="1025" t="b">
        <v>0</v>
      </c>
      <c r="AT795" s="1025" t="b">
        <v>0</v>
      </c>
      <c r="AU795" s="331">
        <v>397015</v>
      </c>
      <c r="AV795" s="491" t="s">
        <v>29</v>
      </c>
    </row>
    <row r="796" spans="1:48">
      <c r="A796" s="72">
        <v>54</v>
      </c>
      <c r="B796" s="391" t="s">
        <v>31</v>
      </c>
      <c r="C796" s="72">
        <f t="shared" si="36"/>
        <v>29</v>
      </c>
      <c r="D796" s="72" t="str">
        <f t="shared" si="37"/>
        <v>54-29</v>
      </c>
      <c r="E796" s="72">
        <v>76836</v>
      </c>
      <c r="F796" s="72" t="str">
        <f t="shared" si="38"/>
        <v>54-76836</v>
      </c>
      <c r="G796" s="391" t="s">
        <v>1244</v>
      </c>
      <c r="H796" s="331">
        <v>12394.97</v>
      </c>
      <c r="I796" s="331">
        <v>11396.66</v>
      </c>
      <c r="J796" s="331">
        <v>11734.73</v>
      </c>
      <c r="K796" s="331">
        <v>13953.06</v>
      </c>
      <c r="L796" s="491" t="s">
        <v>29</v>
      </c>
      <c r="M796" s="491" t="s">
        <v>29</v>
      </c>
      <c r="N796" s="491" t="s">
        <v>29</v>
      </c>
      <c r="O796" s="491" t="s">
        <v>29</v>
      </c>
      <c r="P796" s="491">
        <v>0</v>
      </c>
      <c r="Q796" s="491">
        <v>0</v>
      </c>
      <c r="R796" s="491">
        <v>0</v>
      </c>
      <c r="S796" s="491">
        <v>0</v>
      </c>
      <c r="T796" s="1025" t="b">
        <v>0</v>
      </c>
      <c r="U796" s="491">
        <v>9</v>
      </c>
      <c r="V796" s="491">
        <v>3.9</v>
      </c>
      <c r="W796" s="491">
        <v>1.89</v>
      </c>
      <c r="X796" s="491">
        <v>16.03</v>
      </c>
      <c r="Y796" s="1025" t="b">
        <v>0</v>
      </c>
      <c r="Z796" s="331">
        <v>0</v>
      </c>
      <c r="AA796" s="331">
        <v>0</v>
      </c>
      <c r="AB796" s="331">
        <v>0</v>
      </c>
      <c r="AC796" s="331">
        <v>0</v>
      </c>
      <c r="AD796" s="1025" t="b">
        <v>0</v>
      </c>
      <c r="AE796" s="331">
        <v>0.18</v>
      </c>
      <c r="AF796" s="331">
        <v>7.0000000000000007E-2</v>
      </c>
      <c r="AG796" s="331">
        <v>0.17</v>
      </c>
      <c r="AH796" s="331">
        <v>0.27</v>
      </c>
      <c r="AI796" s="1025" t="b">
        <v>0</v>
      </c>
      <c r="AJ796" s="331">
        <v>0</v>
      </c>
      <c r="AK796" s="331">
        <v>0</v>
      </c>
      <c r="AL796" s="331">
        <v>0</v>
      </c>
      <c r="AM796" s="331">
        <v>0</v>
      </c>
      <c r="AN796" s="1025" t="b">
        <v>0</v>
      </c>
      <c r="AO796" s="331">
        <v>0</v>
      </c>
      <c r="AP796" s="331">
        <v>0</v>
      </c>
      <c r="AQ796" s="331">
        <v>0</v>
      </c>
      <c r="AR796" s="331">
        <v>0</v>
      </c>
      <c r="AS796" s="1025" t="b">
        <v>0</v>
      </c>
      <c r="AT796" s="1025" t="b">
        <v>0</v>
      </c>
      <c r="AU796" s="331">
        <v>410640</v>
      </c>
      <c r="AV796" s="491" t="s">
        <v>29</v>
      </c>
    </row>
    <row r="797" spans="1:48">
      <c r="A797" s="72">
        <v>54</v>
      </c>
      <c r="B797" s="391" t="s">
        <v>31</v>
      </c>
      <c r="C797" s="72">
        <f t="shared" si="36"/>
        <v>0</v>
      </c>
      <c r="D797" s="72" t="str">
        <f t="shared" si="37"/>
        <v>54-0</v>
      </c>
      <c r="E797" s="72" t="s">
        <v>29</v>
      </c>
      <c r="F797" s="72" t="str">
        <f t="shared" si="38"/>
        <v>54-N/A</v>
      </c>
      <c r="G797" s="391" t="s">
        <v>29</v>
      </c>
      <c r="H797" s="491" t="s">
        <v>29</v>
      </c>
      <c r="I797" s="491" t="s">
        <v>29</v>
      </c>
      <c r="J797" s="491" t="s">
        <v>29</v>
      </c>
      <c r="K797" s="491" t="s">
        <v>29</v>
      </c>
      <c r="L797" s="491" t="s">
        <v>29</v>
      </c>
      <c r="M797" s="491" t="s">
        <v>29</v>
      </c>
      <c r="N797" s="491" t="s">
        <v>29</v>
      </c>
      <c r="O797" s="491" t="s">
        <v>29</v>
      </c>
      <c r="P797" s="491" t="s">
        <v>29</v>
      </c>
      <c r="Q797" s="491" t="s">
        <v>29</v>
      </c>
      <c r="R797" s="491" t="s">
        <v>29</v>
      </c>
      <c r="S797" s="491" t="s">
        <v>29</v>
      </c>
      <c r="T797" s="1025" t="s">
        <v>29</v>
      </c>
      <c r="U797" s="491" t="s">
        <v>29</v>
      </c>
      <c r="V797" s="491" t="s">
        <v>29</v>
      </c>
      <c r="W797" s="491" t="s">
        <v>29</v>
      </c>
      <c r="X797" s="491" t="s">
        <v>29</v>
      </c>
      <c r="Y797" s="1025" t="s">
        <v>29</v>
      </c>
      <c r="Z797" s="491" t="s">
        <v>29</v>
      </c>
      <c r="AA797" s="491" t="s">
        <v>29</v>
      </c>
      <c r="AB797" s="491" t="s">
        <v>29</v>
      </c>
      <c r="AC797" s="491" t="s">
        <v>29</v>
      </c>
      <c r="AD797" s="1025" t="s">
        <v>29</v>
      </c>
      <c r="AE797" s="491" t="s">
        <v>29</v>
      </c>
      <c r="AF797" s="491" t="s">
        <v>29</v>
      </c>
      <c r="AG797" s="491" t="s">
        <v>29</v>
      </c>
      <c r="AH797" s="491" t="s">
        <v>29</v>
      </c>
      <c r="AI797" s="1025" t="s">
        <v>29</v>
      </c>
      <c r="AJ797" s="491" t="s">
        <v>29</v>
      </c>
      <c r="AK797" s="491" t="s">
        <v>29</v>
      </c>
      <c r="AL797" s="491" t="s">
        <v>29</v>
      </c>
      <c r="AM797" s="491" t="s">
        <v>29</v>
      </c>
      <c r="AN797" s="1025" t="s">
        <v>29</v>
      </c>
      <c r="AO797" s="491" t="s">
        <v>29</v>
      </c>
      <c r="AP797" s="491" t="s">
        <v>29</v>
      </c>
      <c r="AQ797" s="491" t="s">
        <v>29</v>
      </c>
      <c r="AR797" s="491" t="s">
        <v>29</v>
      </c>
      <c r="AS797" s="1025" t="s">
        <v>29</v>
      </c>
      <c r="AT797" s="1025" t="s">
        <v>29</v>
      </c>
      <c r="AU797" s="491" t="s">
        <v>29</v>
      </c>
      <c r="AV797" s="491">
        <v>12143833</v>
      </c>
    </row>
    <row r="798" spans="1:48">
      <c r="A798" s="72">
        <v>55</v>
      </c>
      <c r="B798" s="391" t="s">
        <v>40</v>
      </c>
      <c r="C798" s="72">
        <f t="shared" si="36"/>
        <v>1</v>
      </c>
      <c r="D798" s="72" t="str">
        <f t="shared" si="37"/>
        <v>55-1</v>
      </c>
      <c r="E798" s="72">
        <v>72306</v>
      </c>
      <c r="F798" s="72" t="str">
        <f t="shared" si="38"/>
        <v>55-72306</v>
      </c>
      <c r="G798" s="391" t="s">
        <v>1245</v>
      </c>
      <c r="H798" s="331">
        <v>11041.45</v>
      </c>
      <c r="I798" s="331">
        <v>10152.15</v>
      </c>
      <c r="J798" s="331">
        <v>10453.31</v>
      </c>
      <c r="K798" s="331">
        <v>12429.4</v>
      </c>
      <c r="L798" s="491" t="s">
        <v>29</v>
      </c>
      <c r="M798" s="491" t="s">
        <v>29</v>
      </c>
      <c r="N798" s="491" t="s">
        <v>29</v>
      </c>
      <c r="O798" s="491" t="s">
        <v>29</v>
      </c>
      <c r="P798" s="491">
        <v>0</v>
      </c>
      <c r="Q798" s="491">
        <v>0</v>
      </c>
      <c r="R798" s="491">
        <v>1.01</v>
      </c>
      <c r="S798" s="491">
        <v>0</v>
      </c>
      <c r="T798" s="1025" t="b">
        <v>0</v>
      </c>
      <c r="U798" s="491">
        <v>0</v>
      </c>
      <c r="V798" s="491">
        <v>0</v>
      </c>
      <c r="W798" s="491">
        <v>1</v>
      </c>
      <c r="X798" s="491">
        <v>0</v>
      </c>
      <c r="Y798" s="1025" t="b">
        <v>0</v>
      </c>
      <c r="Z798" s="331">
        <v>0</v>
      </c>
      <c r="AA798" s="331">
        <v>0</v>
      </c>
      <c r="AB798" s="331">
        <v>0</v>
      </c>
      <c r="AC798" s="331">
        <v>0</v>
      </c>
      <c r="AD798" s="1025" t="b">
        <v>0</v>
      </c>
      <c r="AE798" s="331">
        <v>0</v>
      </c>
      <c r="AF798" s="331">
        <v>0</v>
      </c>
      <c r="AG798" s="331">
        <v>0</v>
      </c>
      <c r="AH798" s="331">
        <v>0</v>
      </c>
      <c r="AI798" s="1025" t="b">
        <v>0</v>
      </c>
      <c r="AJ798" s="331">
        <v>0</v>
      </c>
      <c r="AK798" s="331">
        <v>0</v>
      </c>
      <c r="AL798" s="331">
        <v>0</v>
      </c>
      <c r="AM798" s="331">
        <v>0</v>
      </c>
      <c r="AN798" s="1025" t="b">
        <v>0</v>
      </c>
      <c r="AO798" s="331">
        <v>0</v>
      </c>
      <c r="AP798" s="331">
        <v>0</v>
      </c>
      <c r="AQ798" s="331">
        <v>0</v>
      </c>
      <c r="AR798" s="331">
        <v>0</v>
      </c>
      <c r="AS798" s="1025" t="b">
        <v>0</v>
      </c>
      <c r="AT798" s="1025" t="b">
        <v>0</v>
      </c>
      <c r="AU798" s="331">
        <v>21011</v>
      </c>
      <c r="AV798" s="491" t="s">
        <v>29</v>
      </c>
    </row>
    <row r="799" spans="1:48">
      <c r="A799" s="72">
        <v>55</v>
      </c>
      <c r="B799" s="391" t="s">
        <v>40</v>
      </c>
      <c r="C799" s="72">
        <f t="shared" si="36"/>
        <v>2</v>
      </c>
      <c r="D799" s="72" t="str">
        <f t="shared" si="37"/>
        <v>55-2</v>
      </c>
      <c r="E799" s="72">
        <v>72348</v>
      </c>
      <c r="F799" s="72" t="str">
        <f t="shared" si="38"/>
        <v>55-72348</v>
      </c>
      <c r="G799" s="391" t="s">
        <v>1246</v>
      </c>
      <c r="H799" s="331">
        <v>11221.97</v>
      </c>
      <c r="I799" s="331">
        <v>10318.14</v>
      </c>
      <c r="J799" s="331">
        <v>10624.22</v>
      </c>
      <c r="K799" s="331">
        <v>12632.62</v>
      </c>
      <c r="L799" s="491" t="s">
        <v>29</v>
      </c>
      <c r="M799" s="491" t="s">
        <v>29</v>
      </c>
      <c r="N799" s="491" t="s">
        <v>29</v>
      </c>
      <c r="O799" s="491" t="s">
        <v>29</v>
      </c>
      <c r="P799" s="491">
        <v>0</v>
      </c>
      <c r="Q799" s="491">
        <v>0</v>
      </c>
      <c r="R799" s="491">
        <v>0</v>
      </c>
      <c r="S799" s="491">
        <v>0</v>
      </c>
      <c r="T799" s="1025" t="b">
        <v>0</v>
      </c>
      <c r="U799" s="491">
        <v>0</v>
      </c>
      <c r="V799" s="491">
        <v>0</v>
      </c>
      <c r="W799" s="491">
        <v>0</v>
      </c>
      <c r="X799" s="491">
        <v>0</v>
      </c>
      <c r="Y799" s="1025" t="b">
        <v>0</v>
      </c>
      <c r="Z799" s="331">
        <v>0</v>
      </c>
      <c r="AA799" s="331">
        <v>0</v>
      </c>
      <c r="AB799" s="331">
        <v>1</v>
      </c>
      <c r="AC799" s="331">
        <v>0</v>
      </c>
      <c r="AD799" s="1025" t="b">
        <v>0</v>
      </c>
      <c r="AE799" s="331">
        <v>0</v>
      </c>
      <c r="AF799" s="331">
        <v>0</v>
      </c>
      <c r="AG799" s="331">
        <v>0.09</v>
      </c>
      <c r="AH799" s="331">
        <v>0</v>
      </c>
      <c r="AI799" s="1025" t="b">
        <v>0</v>
      </c>
      <c r="AJ799" s="331">
        <v>0</v>
      </c>
      <c r="AK799" s="331">
        <v>0</v>
      </c>
      <c r="AL799" s="331">
        <v>0</v>
      </c>
      <c r="AM799" s="331">
        <v>0</v>
      </c>
      <c r="AN799" s="1025" t="b">
        <v>0</v>
      </c>
      <c r="AO799" s="331">
        <v>0</v>
      </c>
      <c r="AP799" s="331">
        <v>0</v>
      </c>
      <c r="AQ799" s="331">
        <v>0</v>
      </c>
      <c r="AR799" s="331">
        <v>0</v>
      </c>
      <c r="AS799" s="1025" t="b">
        <v>0</v>
      </c>
      <c r="AT799" s="1025" t="b">
        <v>0</v>
      </c>
      <c r="AU799" s="331">
        <v>11580</v>
      </c>
      <c r="AV799" s="491" t="s">
        <v>29</v>
      </c>
    </row>
    <row r="800" spans="1:48">
      <c r="A800" s="72">
        <v>55</v>
      </c>
      <c r="B800" s="391" t="s">
        <v>40</v>
      </c>
      <c r="C800" s="72">
        <f t="shared" si="36"/>
        <v>3</v>
      </c>
      <c r="D800" s="72" t="str">
        <f t="shared" si="37"/>
        <v>55-3</v>
      </c>
      <c r="E800" s="72">
        <v>72355</v>
      </c>
      <c r="F800" s="72" t="str">
        <f t="shared" si="38"/>
        <v>55-72355</v>
      </c>
      <c r="G800" s="391" t="s">
        <v>1247</v>
      </c>
      <c r="H800" s="491">
        <v>11193.03</v>
      </c>
      <c r="I800" s="491">
        <v>10291.530000000001</v>
      </c>
      <c r="J800" s="491">
        <v>10596.82</v>
      </c>
      <c r="K800" s="491">
        <v>12600.04</v>
      </c>
      <c r="L800" s="491" t="s">
        <v>29</v>
      </c>
      <c r="M800" s="491" t="s">
        <v>29</v>
      </c>
      <c r="N800" s="491" t="s">
        <v>29</v>
      </c>
      <c r="O800" s="491" t="s">
        <v>29</v>
      </c>
      <c r="P800" s="491">
        <v>0</v>
      </c>
      <c r="Q800" s="491">
        <v>0</v>
      </c>
      <c r="R800" s="491">
        <v>0</v>
      </c>
      <c r="S800" s="491">
        <v>0</v>
      </c>
      <c r="T800" s="1025" t="b">
        <v>0</v>
      </c>
      <c r="U800" s="491">
        <v>2.6</v>
      </c>
      <c r="V800" s="491">
        <v>0</v>
      </c>
      <c r="W800" s="491">
        <v>4.5</v>
      </c>
      <c r="X800" s="491">
        <v>0</v>
      </c>
      <c r="Y800" s="1025" t="b">
        <v>0</v>
      </c>
      <c r="Z800" s="491">
        <v>0</v>
      </c>
      <c r="AA800" s="491">
        <v>0</v>
      </c>
      <c r="AB800" s="491">
        <v>0</v>
      </c>
      <c r="AC800" s="491">
        <v>0</v>
      </c>
      <c r="AD800" s="1025" t="b">
        <v>0</v>
      </c>
      <c r="AE800" s="491">
        <v>0.26</v>
      </c>
      <c r="AF800" s="491">
        <v>0.03</v>
      </c>
      <c r="AG800" s="491">
        <v>7.0000000000000007E-2</v>
      </c>
      <c r="AH800" s="491">
        <v>0</v>
      </c>
      <c r="AI800" s="1025" t="b">
        <v>0</v>
      </c>
      <c r="AJ800" s="491">
        <v>0</v>
      </c>
      <c r="AK800" s="491">
        <v>0</v>
      </c>
      <c r="AL800" s="491">
        <v>0</v>
      </c>
      <c r="AM800" s="491">
        <v>0</v>
      </c>
      <c r="AN800" s="1025" t="b">
        <v>0</v>
      </c>
      <c r="AO800" s="491">
        <v>0</v>
      </c>
      <c r="AP800" s="491">
        <v>0</v>
      </c>
      <c r="AQ800" s="491">
        <v>0</v>
      </c>
      <c r="AR800" s="491">
        <v>0</v>
      </c>
      <c r="AS800" s="1025" t="b">
        <v>0</v>
      </c>
      <c r="AT800" s="1025" t="b">
        <v>0</v>
      </c>
      <c r="AU800" s="491">
        <v>80748</v>
      </c>
      <c r="AV800" s="491" t="s">
        <v>29</v>
      </c>
    </row>
    <row r="801" spans="1:48">
      <c r="A801" s="72">
        <v>55</v>
      </c>
      <c r="B801" s="391" t="s">
        <v>40</v>
      </c>
      <c r="C801" s="72">
        <f t="shared" si="36"/>
        <v>4</v>
      </c>
      <c r="D801" s="72" t="str">
        <f t="shared" si="37"/>
        <v>55-4</v>
      </c>
      <c r="E801" s="72">
        <v>72363</v>
      </c>
      <c r="F801" s="72" t="str">
        <f t="shared" si="38"/>
        <v>55-72363</v>
      </c>
      <c r="G801" s="391" t="s">
        <v>1248</v>
      </c>
      <c r="H801" s="331">
        <v>13023.71</v>
      </c>
      <c r="I801" s="331">
        <v>11974.76</v>
      </c>
      <c r="J801" s="331">
        <v>12329.99</v>
      </c>
      <c r="K801" s="331">
        <v>14660.84</v>
      </c>
      <c r="L801" s="491" t="s">
        <v>29</v>
      </c>
      <c r="M801" s="491" t="s">
        <v>29</v>
      </c>
      <c r="N801" s="491" t="s">
        <v>29</v>
      </c>
      <c r="O801" s="491" t="s">
        <v>29</v>
      </c>
      <c r="P801" s="491">
        <v>0</v>
      </c>
      <c r="Q801" s="491">
        <v>0</v>
      </c>
      <c r="R801" s="491">
        <v>1.34</v>
      </c>
      <c r="S801" s="491">
        <v>0</v>
      </c>
      <c r="T801" s="1025" t="b">
        <v>0</v>
      </c>
      <c r="U801" s="491">
        <v>3.42</v>
      </c>
      <c r="V801" s="491">
        <v>1</v>
      </c>
      <c r="W801" s="491">
        <v>0.92</v>
      </c>
      <c r="X801" s="491">
        <v>0</v>
      </c>
      <c r="Y801" s="1025" t="b">
        <v>0</v>
      </c>
      <c r="Z801" s="331">
        <v>0</v>
      </c>
      <c r="AA801" s="331">
        <v>0</v>
      </c>
      <c r="AB801" s="331">
        <v>0</v>
      </c>
      <c r="AC801" s="331">
        <v>0</v>
      </c>
      <c r="AD801" s="1025" t="b">
        <v>0</v>
      </c>
      <c r="AE801" s="331">
        <v>0.21</v>
      </c>
      <c r="AF801" s="331">
        <v>0</v>
      </c>
      <c r="AG801" s="331">
        <v>0.09</v>
      </c>
      <c r="AH801" s="331">
        <v>0</v>
      </c>
      <c r="AI801" s="1025" t="b">
        <v>0</v>
      </c>
      <c r="AJ801" s="331">
        <v>0</v>
      </c>
      <c r="AK801" s="331">
        <v>0</v>
      </c>
      <c r="AL801" s="331">
        <v>0</v>
      </c>
      <c r="AM801" s="331">
        <v>0</v>
      </c>
      <c r="AN801" s="1025" t="b">
        <v>0</v>
      </c>
      <c r="AO801" s="331">
        <v>0</v>
      </c>
      <c r="AP801" s="331">
        <v>0</v>
      </c>
      <c r="AQ801" s="331">
        <v>0</v>
      </c>
      <c r="AR801" s="331">
        <v>0</v>
      </c>
      <c r="AS801" s="1025" t="b">
        <v>0</v>
      </c>
      <c r="AT801" s="1025" t="b">
        <v>0</v>
      </c>
      <c r="AU801" s="331">
        <v>88226</v>
      </c>
      <c r="AV801" s="491" t="s">
        <v>29</v>
      </c>
    </row>
    <row r="802" spans="1:48">
      <c r="A802" s="72">
        <v>55</v>
      </c>
      <c r="B802" s="391" t="s">
        <v>40</v>
      </c>
      <c r="C802" s="72">
        <f t="shared" si="36"/>
        <v>5</v>
      </c>
      <c r="D802" s="72" t="str">
        <f t="shared" si="37"/>
        <v>55-5</v>
      </c>
      <c r="E802" s="72">
        <v>72371</v>
      </c>
      <c r="F802" s="72" t="str">
        <f t="shared" si="38"/>
        <v>55-72371</v>
      </c>
      <c r="G802" s="391" t="s">
        <v>1249</v>
      </c>
      <c r="H802" s="331">
        <v>11010.69</v>
      </c>
      <c r="I802" s="331">
        <v>10123.870000000001</v>
      </c>
      <c r="J802" s="331">
        <v>10424.19</v>
      </c>
      <c r="K802" s="331">
        <v>12394.77</v>
      </c>
      <c r="L802" s="491" t="s">
        <v>29</v>
      </c>
      <c r="M802" s="491" t="s">
        <v>29</v>
      </c>
      <c r="N802" s="491" t="s">
        <v>29</v>
      </c>
      <c r="O802" s="491" t="s">
        <v>29</v>
      </c>
      <c r="P802" s="491">
        <v>0</v>
      </c>
      <c r="Q802" s="491">
        <v>0.63</v>
      </c>
      <c r="R802" s="491">
        <v>1.59</v>
      </c>
      <c r="S802" s="491">
        <v>0</v>
      </c>
      <c r="T802" s="1025" t="b">
        <v>0</v>
      </c>
      <c r="U802" s="491">
        <v>0.86</v>
      </c>
      <c r="V802" s="491">
        <v>0</v>
      </c>
      <c r="W802" s="491">
        <v>0.99</v>
      </c>
      <c r="X802" s="491">
        <v>0</v>
      </c>
      <c r="Y802" s="1025" t="b">
        <v>0</v>
      </c>
      <c r="Z802" s="331">
        <v>0</v>
      </c>
      <c r="AA802" s="331">
        <v>0</v>
      </c>
      <c r="AB802" s="331">
        <v>0</v>
      </c>
      <c r="AC802" s="331">
        <v>0</v>
      </c>
      <c r="AD802" s="1025" t="b">
        <v>0</v>
      </c>
      <c r="AE802" s="331">
        <v>0.09</v>
      </c>
      <c r="AF802" s="331">
        <v>0.03</v>
      </c>
      <c r="AG802" s="331">
        <v>0</v>
      </c>
      <c r="AH802" s="331">
        <v>0</v>
      </c>
      <c r="AI802" s="1025" t="b">
        <v>0</v>
      </c>
      <c r="AJ802" s="331">
        <v>0</v>
      </c>
      <c r="AK802" s="331">
        <v>0</v>
      </c>
      <c r="AL802" s="331">
        <v>0</v>
      </c>
      <c r="AM802" s="331">
        <v>0</v>
      </c>
      <c r="AN802" s="1025" t="b">
        <v>0</v>
      </c>
      <c r="AO802" s="331">
        <v>0</v>
      </c>
      <c r="AP802" s="331">
        <v>0</v>
      </c>
      <c r="AQ802" s="331">
        <v>0</v>
      </c>
      <c r="AR802" s="331">
        <v>0</v>
      </c>
      <c r="AS802" s="1025" t="b">
        <v>0</v>
      </c>
      <c r="AT802" s="1025" t="b">
        <v>0</v>
      </c>
      <c r="AU802" s="331">
        <v>44036</v>
      </c>
      <c r="AV802" s="491" t="s">
        <v>29</v>
      </c>
    </row>
    <row r="803" spans="1:48">
      <c r="A803" s="72">
        <v>55</v>
      </c>
      <c r="B803" s="391" t="s">
        <v>40</v>
      </c>
      <c r="C803" s="72">
        <f t="shared" si="36"/>
        <v>6</v>
      </c>
      <c r="D803" s="72" t="str">
        <f t="shared" si="37"/>
        <v>55-6</v>
      </c>
      <c r="E803" s="72">
        <v>72389</v>
      </c>
      <c r="F803" s="72" t="str">
        <f t="shared" si="38"/>
        <v>55-72389</v>
      </c>
      <c r="G803" s="391" t="s">
        <v>1250</v>
      </c>
      <c r="H803" s="491">
        <v>10892.9</v>
      </c>
      <c r="I803" s="491">
        <v>10015.57</v>
      </c>
      <c r="J803" s="491">
        <v>10312.68</v>
      </c>
      <c r="K803" s="491">
        <v>12262.18</v>
      </c>
      <c r="L803" s="491" t="s">
        <v>29</v>
      </c>
      <c r="M803" s="491" t="s">
        <v>29</v>
      </c>
      <c r="N803" s="491" t="s">
        <v>29</v>
      </c>
      <c r="O803" s="491" t="s">
        <v>29</v>
      </c>
      <c r="P803" s="491">
        <v>0</v>
      </c>
      <c r="Q803" s="491">
        <v>0</v>
      </c>
      <c r="R803" s="491">
        <v>0</v>
      </c>
      <c r="S803" s="491">
        <v>4.57</v>
      </c>
      <c r="T803" s="1025" t="b">
        <v>0</v>
      </c>
      <c r="U803" s="491">
        <v>0</v>
      </c>
      <c r="V803" s="491">
        <v>0</v>
      </c>
      <c r="W803" s="491">
        <v>0</v>
      </c>
      <c r="X803" s="491">
        <v>8.43</v>
      </c>
      <c r="Y803" s="1025" t="b">
        <v>0</v>
      </c>
      <c r="Z803" s="491">
        <v>0</v>
      </c>
      <c r="AA803" s="491">
        <v>0</v>
      </c>
      <c r="AB803" s="491">
        <v>0</v>
      </c>
      <c r="AC803" s="491">
        <v>8</v>
      </c>
      <c r="AD803" s="1025" t="b">
        <v>0</v>
      </c>
      <c r="AE803" s="491">
        <v>0</v>
      </c>
      <c r="AF803" s="491">
        <v>0</v>
      </c>
      <c r="AG803" s="491">
        <v>0</v>
      </c>
      <c r="AH803" s="491">
        <v>0.15</v>
      </c>
      <c r="AI803" s="1025" t="b">
        <v>0</v>
      </c>
      <c r="AJ803" s="491">
        <v>0</v>
      </c>
      <c r="AK803" s="491">
        <v>0</v>
      </c>
      <c r="AL803" s="491">
        <v>0</v>
      </c>
      <c r="AM803" s="491">
        <v>0</v>
      </c>
      <c r="AN803" s="1025" t="b">
        <v>0</v>
      </c>
      <c r="AO803" s="491">
        <v>0</v>
      </c>
      <c r="AP803" s="491">
        <v>0</v>
      </c>
      <c r="AQ803" s="491">
        <v>0</v>
      </c>
      <c r="AR803" s="491">
        <v>0</v>
      </c>
      <c r="AS803" s="1025" t="b">
        <v>0</v>
      </c>
      <c r="AT803" s="1025" t="b">
        <v>0</v>
      </c>
      <c r="AU803" s="491">
        <v>259345</v>
      </c>
      <c r="AV803" s="491" t="s">
        <v>29</v>
      </c>
    </row>
    <row r="804" spans="1:48">
      <c r="A804" s="72">
        <v>55</v>
      </c>
      <c r="B804" s="391" t="s">
        <v>40</v>
      </c>
      <c r="C804" s="72">
        <f t="shared" si="36"/>
        <v>7</v>
      </c>
      <c r="D804" s="72" t="str">
        <f t="shared" si="37"/>
        <v>55-7</v>
      </c>
      <c r="E804" s="72">
        <v>72397</v>
      </c>
      <c r="F804" s="72" t="str">
        <f t="shared" si="38"/>
        <v>55-72397</v>
      </c>
      <c r="G804" s="391" t="s">
        <v>1251</v>
      </c>
      <c r="H804" s="331">
        <v>10920.83</v>
      </c>
      <c r="I804" s="331">
        <v>10041.25</v>
      </c>
      <c r="J804" s="331">
        <v>10339.120000000001</v>
      </c>
      <c r="K804" s="331">
        <v>12293.62</v>
      </c>
      <c r="L804" s="491" t="s">
        <v>29</v>
      </c>
      <c r="M804" s="491" t="s">
        <v>29</v>
      </c>
      <c r="N804" s="491" t="s">
        <v>29</v>
      </c>
      <c r="O804" s="491" t="s">
        <v>29</v>
      </c>
      <c r="P804" s="491">
        <v>0</v>
      </c>
      <c r="Q804" s="491">
        <v>0</v>
      </c>
      <c r="R804" s="491">
        <v>2.89</v>
      </c>
      <c r="S804" s="491">
        <v>0</v>
      </c>
      <c r="T804" s="1025" t="b">
        <v>0</v>
      </c>
      <c r="U804" s="491">
        <v>0.96</v>
      </c>
      <c r="V804" s="491">
        <v>2.42</v>
      </c>
      <c r="W804" s="491">
        <v>1.64</v>
      </c>
      <c r="X804" s="491">
        <v>0</v>
      </c>
      <c r="Y804" s="1025" t="b">
        <v>0</v>
      </c>
      <c r="Z804" s="331">
        <v>0</v>
      </c>
      <c r="AA804" s="331">
        <v>0</v>
      </c>
      <c r="AB804" s="331">
        <v>0</v>
      </c>
      <c r="AC804" s="331">
        <v>0</v>
      </c>
      <c r="AD804" s="1025" t="b">
        <v>0</v>
      </c>
      <c r="AE804" s="331">
        <v>0.15</v>
      </c>
      <c r="AF804" s="331">
        <v>0.04</v>
      </c>
      <c r="AG804" s="331">
        <v>0.06</v>
      </c>
      <c r="AH804" s="331">
        <v>0</v>
      </c>
      <c r="AI804" s="1025" t="b">
        <v>0</v>
      </c>
      <c r="AJ804" s="331">
        <v>0</v>
      </c>
      <c r="AK804" s="331">
        <v>0</v>
      </c>
      <c r="AL804" s="331">
        <v>0</v>
      </c>
      <c r="AM804" s="331">
        <v>0</v>
      </c>
      <c r="AN804" s="1025" t="b">
        <v>0</v>
      </c>
      <c r="AO804" s="331">
        <v>0</v>
      </c>
      <c r="AP804" s="331">
        <v>0</v>
      </c>
      <c r="AQ804" s="331">
        <v>0</v>
      </c>
      <c r="AR804" s="331">
        <v>0</v>
      </c>
      <c r="AS804" s="1025" t="b">
        <v>0</v>
      </c>
      <c r="AT804" s="1025" t="b">
        <v>0</v>
      </c>
      <c r="AU804" s="331">
        <v>84280</v>
      </c>
      <c r="AV804" s="491" t="s">
        <v>29</v>
      </c>
    </row>
    <row r="805" spans="1:48">
      <c r="A805" s="72">
        <v>55</v>
      </c>
      <c r="B805" s="391" t="s">
        <v>40</v>
      </c>
      <c r="C805" s="72">
        <f t="shared" si="36"/>
        <v>8</v>
      </c>
      <c r="D805" s="72" t="str">
        <f t="shared" si="37"/>
        <v>55-8</v>
      </c>
      <c r="E805" s="72">
        <v>72405</v>
      </c>
      <c r="F805" s="72" t="str">
        <f t="shared" si="38"/>
        <v>55-72405</v>
      </c>
      <c r="G805" s="391" t="s">
        <v>1252</v>
      </c>
      <c r="H805" s="331">
        <v>11142.64</v>
      </c>
      <c r="I805" s="331">
        <v>10245.19</v>
      </c>
      <c r="J805" s="331">
        <v>10549.11</v>
      </c>
      <c r="K805" s="331">
        <v>12543.31</v>
      </c>
      <c r="L805" s="491" t="s">
        <v>29</v>
      </c>
      <c r="M805" s="491" t="s">
        <v>29</v>
      </c>
      <c r="N805" s="491" t="s">
        <v>29</v>
      </c>
      <c r="O805" s="491" t="s">
        <v>29</v>
      </c>
      <c r="P805" s="491">
        <v>0</v>
      </c>
      <c r="Q805" s="491">
        <v>0</v>
      </c>
      <c r="R805" s="491">
        <v>0.41</v>
      </c>
      <c r="S805" s="491">
        <v>0</v>
      </c>
      <c r="T805" s="1025" t="b">
        <v>0</v>
      </c>
      <c r="U805" s="491">
        <v>0</v>
      </c>
      <c r="V805" s="491">
        <v>0.74</v>
      </c>
      <c r="W805" s="491">
        <v>0</v>
      </c>
      <c r="X805" s="491">
        <v>0</v>
      </c>
      <c r="Y805" s="1025" t="b">
        <v>0</v>
      </c>
      <c r="Z805" s="331">
        <v>0</v>
      </c>
      <c r="AA805" s="331">
        <v>0</v>
      </c>
      <c r="AB805" s="331">
        <v>0</v>
      </c>
      <c r="AC805" s="331">
        <v>0</v>
      </c>
      <c r="AD805" s="1025" t="b">
        <v>0</v>
      </c>
      <c r="AE805" s="331">
        <v>0</v>
      </c>
      <c r="AF805" s="331">
        <v>0</v>
      </c>
      <c r="AG805" s="331">
        <v>0</v>
      </c>
      <c r="AH805" s="331">
        <v>0</v>
      </c>
      <c r="AI805" s="1025" t="b">
        <v>0</v>
      </c>
      <c r="AJ805" s="331">
        <v>0</v>
      </c>
      <c r="AK805" s="331">
        <v>0</v>
      </c>
      <c r="AL805" s="331">
        <v>0</v>
      </c>
      <c r="AM805" s="331">
        <v>0</v>
      </c>
      <c r="AN805" s="1025" t="b">
        <v>0</v>
      </c>
      <c r="AO805" s="331">
        <v>0</v>
      </c>
      <c r="AP805" s="331">
        <v>0</v>
      </c>
      <c r="AQ805" s="331">
        <v>0</v>
      </c>
      <c r="AR805" s="331">
        <v>0</v>
      </c>
      <c r="AS805" s="1025" t="b">
        <v>0</v>
      </c>
      <c r="AT805" s="1025" t="b">
        <v>0</v>
      </c>
      <c r="AU805" s="331">
        <v>11906</v>
      </c>
      <c r="AV805" s="491" t="s">
        <v>29</v>
      </c>
    </row>
    <row r="806" spans="1:48">
      <c r="A806" s="72">
        <v>55</v>
      </c>
      <c r="B806" s="391" t="s">
        <v>40</v>
      </c>
      <c r="C806" s="72">
        <f t="shared" si="36"/>
        <v>9</v>
      </c>
      <c r="D806" s="72" t="str">
        <f t="shared" si="37"/>
        <v>55-9</v>
      </c>
      <c r="E806" s="72">
        <v>72413</v>
      </c>
      <c r="F806" s="72" t="str">
        <f t="shared" si="38"/>
        <v>55-72413</v>
      </c>
      <c r="G806" s="391" t="s">
        <v>1253</v>
      </c>
      <c r="H806" s="331">
        <v>11000.16</v>
      </c>
      <c r="I806" s="331">
        <v>10114.19</v>
      </c>
      <c r="J806" s="331">
        <v>10414.23</v>
      </c>
      <c r="K806" s="331">
        <v>12382.93</v>
      </c>
      <c r="L806" s="491" t="s">
        <v>29</v>
      </c>
      <c r="M806" s="491" t="s">
        <v>29</v>
      </c>
      <c r="N806" s="491" t="s">
        <v>29</v>
      </c>
      <c r="O806" s="491" t="s">
        <v>29</v>
      </c>
      <c r="P806" s="491">
        <v>0</v>
      </c>
      <c r="Q806" s="491">
        <v>0</v>
      </c>
      <c r="R806" s="491">
        <v>0</v>
      </c>
      <c r="S806" s="491">
        <v>3.36</v>
      </c>
      <c r="T806" s="1025" t="b">
        <v>0</v>
      </c>
      <c r="U806" s="491">
        <v>0</v>
      </c>
      <c r="V806" s="491">
        <v>0</v>
      </c>
      <c r="W806" s="491">
        <v>0</v>
      </c>
      <c r="X806" s="491">
        <v>2.11</v>
      </c>
      <c r="Y806" s="1025" t="b">
        <v>0</v>
      </c>
      <c r="Z806" s="331">
        <v>0</v>
      </c>
      <c r="AA806" s="331">
        <v>0</v>
      </c>
      <c r="AB806" s="331">
        <v>0</v>
      </c>
      <c r="AC806" s="331">
        <v>1</v>
      </c>
      <c r="AD806" s="1025" t="b">
        <v>0</v>
      </c>
      <c r="AE806" s="331">
        <v>0</v>
      </c>
      <c r="AF806" s="331">
        <v>0</v>
      </c>
      <c r="AG806" s="331">
        <v>0</v>
      </c>
      <c r="AH806" s="331">
        <v>0.19</v>
      </c>
      <c r="AI806" s="1025" t="b">
        <v>0</v>
      </c>
      <c r="AJ806" s="331">
        <v>0</v>
      </c>
      <c r="AK806" s="331">
        <v>0</v>
      </c>
      <c r="AL806" s="331">
        <v>0</v>
      </c>
      <c r="AM806" s="331">
        <v>0</v>
      </c>
      <c r="AN806" s="1025" t="b">
        <v>0</v>
      </c>
      <c r="AO806" s="331">
        <v>0</v>
      </c>
      <c r="AP806" s="331">
        <v>0</v>
      </c>
      <c r="AQ806" s="331">
        <v>0</v>
      </c>
      <c r="AR806" s="331">
        <v>0</v>
      </c>
      <c r="AS806" s="1025" t="b">
        <v>0</v>
      </c>
      <c r="AT806" s="1025" t="b">
        <v>0</v>
      </c>
      <c r="AU806" s="331">
        <v>82470</v>
      </c>
      <c r="AV806" s="491" t="s">
        <v>29</v>
      </c>
    </row>
    <row r="807" spans="1:48">
      <c r="A807" s="72">
        <v>55</v>
      </c>
      <c r="B807" s="391" t="s">
        <v>40</v>
      </c>
      <c r="C807" s="72">
        <f t="shared" si="36"/>
        <v>10</v>
      </c>
      <c r="D807" s="72" t="str">
        <f t="shared" si="37"/>
        <v>55-10</v>
      </c>
      <c r="E807" s="72">
        <v>72421</v>
      </c>
      <c r="F807" s="72" t="str">
        <f t="shared" si="38"/>
        <v>55-72421</v>
      </c>
      <c r="G807" s="391" t="s">
        <v>1254</v>
      </c>
      <c r="H807" s="331">
        <v>11219.14</v>
      </c>
      <c r="I807" s="331">
        <v>10315.530000000001</v>
      </c>
      <c r="J807" s="331">
        <v>10621.54</v>
      </c>
      <c r="K807" s="331">
        <v>12629.43</v>
      </c>
      <c r="L807" s="491" t="s">
        <v>29</v>
      </c>
      <c r="M807" s="491" t="s">
        <v>29</v>
      </c>
      <c r="N807" s="491" t="s">
        <v>29</v>
      </c>
      <c r="O807" s="491" t="s">
        <v>29</v>
      </c>
      <c r="P807" s="491">
        <v>0</v>
      </c>
      <c r="Q807" s="491">
        <v>0</v>
      </c>
      <c r="R807" s="491">
        <v>2.0099999999999998</v>
      </c>
      <c r="S807" s="491">
        <v>0</v>
      </c>
      <c r="T807" s="1025" t="b">
        <v>0</v>
      </c>
      <c r="U807" s="491">
        <v>0.89</v>
      </c>
      <c r="V807" s="491">
        <v>0</v>
      </c>
      <c r="W807" s="491">
        <v>0</v>
      </c>
      <c r="X807" s="491">
        <v>0</v>
      </c>
      <c r="Y807" s="1025" t="b">
        <v>0</v>
      </c>
      <c r="Z807" s="331">
        <v>0</v>
      </c>
      <c r="AA807" s="331">
        <v>0</v>
      </c>
      <c r="AB807" s="331">
        <v>1</v>
      </c>
      <c r="AC807" s="331">
        <v>0</v>
      </c>
      <c r="AD807" s="1025" t="b">
        <v>0</v>
      </c>
      <c r="AE807" s="331">
        <v>7.0000000000000007E-2</v>
      </c>
      <c r="AF807" s="331">
        <v>0</v>
      </c>
      <c r="AG807" s="331">
        <v>0</v>
      </c>
      <c r="AH807" s="331">
        <v>0</v>
      </c>
      <c r="AI807" s="1025" t="b">
        <v>0</v>
      </c>
      <c r="AJ807" s="331">
        <v>0</v>
      </c>
      <c r="AK807" s="331">
        <v>0</v>
      </c>
      <c r="AL807" s="331">
        <v>0</v>
      </c>
      <c r="AM807" s="331">
        <v>0</v>
      </c>
      <c r="AN807" s="1025" t="b">
        <v>0</v>
      </c>
      <c r="AO807" s="331">
        <v>0</v>
      </c>
      <c r="AP807" s="331">
        <v>0</v>
      </c>
      <c r="AQ807" s="331">
        <v>0</v>
      </c>
      <c r="AR807" s="331">
        <v>0</v>
      </c>
      <c r="AS807" s="1025" t="b">
        <v>0</v>
      </c>
      <c r="AT807" s="1025" t="b">
        <v>0</v>
      </c>
      <c r="AU807" s="331">
        <v>42741</v>
      </c>
      <c r="AV807" s="491" t="s">
        <v>29</v>
      </c>
    </row>
    <row r="808" spans="1:48">
      <c r="A808" s="72">
        <v>55</v>
      </c>
      <c r="B808" s="391" t="s">
        <v>40</v>
      </c>
      <c r="C808" s="72">
        <f t="shared" si="36"/>
        <v>11</v>
      </c>
      <c r="D808" s="72" t="str">
        <f t="shared" si="37"/>
        <v>55-11</v>
      </c>
      <c r="E808" s="72">
        <v>75184</v>
      </c>
      <c r="F808" s="72" t="str">
        <f t="shared" si="38"/>
        <v>55-75184</v>
      </c>
      <c r="G808" s="391" t="s">
        <v>1255</v>
      </c>
      <c r="H808" s="331">
        <v>11198.09</v>
      </c>
      <c r="I808" s="331">
        <v>10296.18</v>
      </c>
      <c r="J808" s="331">
        <v>10601.61</v>
      </c>
      <c r="K808" s="331">
        <v>12605.74</v>
      </c>
      <c r="L808" s="491" t="s">
        <v>29</v>
      </c>
      <c r="M808" s="491" t="s">
        <v>29</v>
      </c>
      <c r="N808" s="491" t="s">
        <v>29</v>
      </c>
      <c r="O808" s="491" t="s">
        <v>29</v>
      </c>
      <c r="P808" s="491">
        <v>0</v>
      </c>
      <c r="Q808" s="491">
        <v>0</v>
      </c>
      <c r="R808" s="491">
        <v>0</v>
      </c>
      <c r="S808" s="491">
        <v>0</v>
      </c>
      <c r="T808" s="1025" t="b">
        <v>0</v>
      </c>
      <c r="U808" s="491">
        <v>0.78</v>
      </c>
      <c r="V808" s="491">
        <v>0</v>
      </c>
      <c r="W808" s="491">
        <v>0.82</v>
      </c>
      <c r="X808" s="491">
        <v>1.56</v>
      </c>
      <c r="Y808" s="1025" t="b">
        <v>0</v>
      </c>
      <c r="Z808" s="331">
        <v>0</v>
      </c>
      <c r="AA808" s="331">
        <v>0</v>
      </c>
      <c r="AB808" s="331">
        <v>1</v>
      </c>
      <c r="AC808" s="331">
        <v>0</v>
      </c>
      <c r="AD808" s="1025" t="b">
        <v>0</v>
      </c>
      <c r="AE808" s="331">
        <v>0</v>
      </c>
      <c r="AF808" s="331">
        <v>0</v>
      </c>
      <c r="AG808" s="331">
        <v>0.06</v>
      </c>
      <c r="AH808" s="331">
        <v>0.15</v>
      </c>
      <c r="AI808" s="1025" t="b">
        <v>0</v>
      </c>
      <c r="AJ808" s="331">
        <v>0</v>
      </c>
      <c r="AK808" s="331">
        <v>0</v>
      </c>
      <c r="AL808" s="331">
        <v>0</v>
      </c>
      <c r="AM808" s="331">
        <v>0</v>
      </c>
      <c r="AN808" s="1025" t="b">
        <v>0</v>
      </c>
      <c r="AO808" s="331">
        <v>0</v>
      </c>
      <c r="AP808" s="331">
        <v>0</v>
      </c>
      <c r="AQ808" s="331">
        <v>0</v>
      </c>
      <c r="AR808" s="331">
        <v>0</v>
      </c>
      <c r="AS808" s="1025" t="b">
        <v>0</v>
      </c>
      <c r="AT808" s="1025" t="b">
        <v>0</v>
      </c>
      <c r="AU808" s="331">
        <v>50222</v>
      </c>
      <c r="AV808" s="491" t="s">
        <v>29</v>
      </c>
    </row>
    <row r="809" spans="1:48">
      <c r="A809" s="72">
        <v>55</v>
      </c>
      <c r="B809" s="391" t="s">
        <v>40</v>
      </c>
      <c r="C809" s="72">
        <f t="shared" si="36"/>
        <v>0</v>
      </c>
      <c r="D809" s="72" t="str">
        <f t="shared" si="37"/>
        <v>55-0</v>
      </c>
      <c r="E809" s="72" t="s">
        <v>29</v>
      </c>
      <c r="F809" s="72" t="str">
        <f t="shared" si="38"/>
        <v>55-N/A</v>
      </c>
      <c r="G809" s="391" t="s">
        <v>29</v>
      </c>
      <c r="H809" s="491" t="s">
        <v>29</v>
      </c>
      <c r="I809" s="491" t="s">
        <v>29</v>
      </c>
      <c r="J809" s="491" t="s">
        <v>29</v>
      </c>
      <c r="K809" s="491" t="s">
        <v>29</v>
      </c>
      <c r="L809" s="491" t="s">
        <v>29</v>
      </c>
      <c r="M809" s="491" t="s">
        <v>29</v>
      </c>
      <c r="N809" s="491" t="s">
        <v>29</v>
      </c>
      <c r="O809" s="491" t="s">
        <v>29</v>
      </c>
      <c r="P809" s="491" t="s">
        <v>29</v>
      </c>
      <c r="Q809" s="491" t="s">
        <v>29</v>
      </c>
      <c r="R809" s="491" t="s">
        <v>29</v>
      </c>
      <c r="S809" s="491" t="s">
        <v>29</v>
      </c>
      <c r="T809" s="1025" t="s">
        <v>29</v>
      </c>
      <c r="U809" s="491" t="s">
        <v>29</v>
      </c>
      <c r="V809" s="491" t="s">
        <v>29</v>
      </c>
      <c r="W809" s="491" t="s">
        <v>29</v>
      </c>
      <c r="X809" s="491" t="s">
        <v>29</v>
      </c>
      <c r="Y809" s="1025" t="s">
        <v>29</v>
      </c>
      <c r="Z809" s="491" t="s">
        <v>29</v>
      </c>
      <c r="AA809" s="491" t="s">
        <v>29</v>
      </c>
      <c r="AB809" s="491" t="s">
        <v>29</v>
      </c>
      <c r="AC809" s="491" t="s">
        <v>29</v>
      </c>
      <c r="AD809" s="1025" t="s">
        <v>29</v>
      </c>
      <c r="AE809" s="491" t="s">
        <v>29</v>
      </c>
      <c r="AF809" s="491" t="s">
        <v>29</v>
      </c>
      <c r="AG809" s="491" t="s">
        <v>29</v>
      </c>
      <c r="AH809" s="491" t="s">
        <v>29</v>
      </c>
      <c r="AI809" s="1025" t="s">
        <v>29</v>
      </c>
      <c r="AJ809" s="491" t="s">
        <v>29</v>
      </c>
      <c r="AK809" s="491" t="s">
        <v>29</v>
      </c>
      <c r="AL809" s="491" t="s">
        <v>29</v>
      </c>
      <c r="AM809" s="491" t="s">
        <v>29</v>
      </c>
      <c r="AN809" s="1025" t="s">
        <v>29</v>
      </c>
      <c r="AO809" s="491" t="s">
        <v>29</v>
      </c>
      <c r="AP809" s="491" t="s">
        <v>29</v>
      </c>
      <c r="AQ809" s="491" t="s">
        <v>29</v>
      </c>
      <c r="AR809" s="491" t="s">
        <v>29</v>
      </c>
      <c r="AS809" s="1025" t="s">
        <v>29</v>
      </c>
      <c r="AT809" s="1025" t="s">
        <v>29</v>
      </c>
      <c r="AU809" s="491" t="s">
        <v>29</v>
      </c>
      <c r="AV809" s="491">
        <v>776565</v>
      </c>
    </row>
    <row r="810" spans="1:48">
      <c r="A810" s="72">
        <v>56</v>
      </c>
      <c r="B810" s="391" t="s">
        <v>39</v>
      </c>
      <c r="C810" s="72">
        <f t="shared" si="36"/>
        <v>1</v>
      </c>
      <c r="D810" s="72" t="str">
        <f t="shared" si="37"/>
        <v>56-1</v>
      </c>
      <c r="E810" s="72">
        <v>64683</v>
      </c>
      <c r="F810" s="72" t="str">
        <f t="shared" si="38"/>
        <v>56-64683</v>
      </c>
      <c r="G810" s="391" t="s">
        <v>818</v>
      </c>
      <c r="H810" s="491">
        <v>10508.78</v>
      </c>
      <c r="I810" s="491">
        <v>9662.39</v>
      </c>
      <c r="J810" s="491">
        <v>9949.02</v>
      </c>
      <c r="K810" s="491">
        <v>11829.78</v>
      </c>
      <c r="L810" s="491" t="s">
        <v>29</v>
      </c>
      <c r="M810" s="491" t="s">
        <v>29</v>
      </c>
      <c r="N810" s="491" t="s">
        <v>29</v>
      </c>
      <c r="O810" s="491" t="s">
        <v>29</v>
      </c>
      <c r="P810" s="491">
        <v>0</v>
      </c>
      <c r="Q810" s="491">
        <v>0</v>
      </c>
      <c r="R810" s="491">
        <v>0</v>
      </c>
      <c r="S810" s="491">
        <v>0</v>
      </c>
      <c r="T810" s="1025" t="b">
        <v>0</v>
      </c>
      <c r="U810" s="491">
        <v>1.77</v>
      </c>
      <c r="V810" s="491">
        <v>1.07</v>
      </c>
      <c r="W810" s="491">
        <v>0.84</v>
      </c>
      <c r="X810" s="491">
        <v>3.07</v>
      </c>
      <c r="Y810" s="1025" t="b">
        <v>0</v>
      </c>
      <c r="Z810" s="491">
        <v>0</v>
      </c>
      <c r="AA810" s="491">
        <v>0</v>
      </c>
      <c r="AB810" s="491">
        <v>0</v>
      </c>
      <c r="AC810" s="491">
        <v>0</v>
      </c>
      <c r="AD810" s="1025" t="b">
        <v>0</v>
      </c>
      <c r="AE810" s="491">
        <v>0.25</v>
      </c>
      <c r="AF810" s="491">
        <v>0.02</v>
      </c>
      <c r="AG810" s="491">
        <v>0</v>
      </c>
      <c r="AH810" s="491">
        <v>0.3</v>
      </c>
      <c r="AI810" s="1025" t="b">
        <v>0</v>
      </c>
      <c r="AJ810" s="491">
        <v>0</v>
      </c>
      <c r="AK810" s="491">
        <v>0</v>
      </c>
      <c r="AL810" s="491">
        <v>0</v>
      </c>
      <c r="AM810" s="491">
        <v>0</v>
      </c>
      <c r="AN810" s="1025" t="b">
        <v>0</v>
      </c>
      <c r="AO810" s="491">
        <v>0</v>
      </c>
      <c r="AP810" s="491">
        <v>0</v>
      </c>
      <c r="AQ810" s="491">
        <v>0</v>
      </c>
      <c r="AR810" s="491">
        <v>0</v>
      </c>
      <c r="AS810" s="1025" t="b">
        <v>0</v>
      </c>
      <c r="AT810" s="1025" t="b">
        <v>0</v>
      </c>
      <c r="AU810" s="491">
        <v>79983</v>
      </c>
      <c r="AV810" s="491" t="s">
        <v>29</v>
      </c>
    </row>
    <row r="811" spans="1:48">
      <c r="A811" s="72">
        <v>56</v>
      </c>
      <c r="B811" s="391" t="s">
        <v>39</v>
      </c>
      <c r="C811" s="72">
        <f t="shared" si="36"/>
        <v>2</v>
      </c>
      <c r="D811" s="72" t="str">
        <f t="shared" si="37"/>
        <v>56-2</v>
      </c>
      <c r="E811" s="72">
        <v>72447</v>
      </c>
      <c r="F811" s="72" t="str">
        <f t="shared" si="38"/>
        <v>56-72447</v>
      </c>
      <c r="G811" s="391" t="s">
        <v>1256</v>
      </c>
      <c r="H811" s="331">
        <v>12935.98</v>
      </c>
      <c r="I811" s="331">
        <v>11894.09</v>
      </c>
      <c r="J811" s="331">
        <v>12246.93</v>
      </c>
      <c r="K811" s="331">
        <v>14562.08</v>
      </c>
      <c r="L811" s="491" t="s">
        <v>29</v>
      </c>
      <c r="M811" s="491" t="s">
        <v>29</v>
      </c>
      <c r="N811" s="491" t="s">
        <v>29</v>
      </c>
      <c r="O811" s="491" t="s">
        <v>29</v>
      </c>
      <c r="P811" s="491">
        <v>0</v>
      </c>
      <c r="Q811" s="491">
        <v>0</v>
      </c>
      <c r="R811" s="491">
        <v>0</v>
      </c>
      <c r="S811" s="491">
        <v>0</v>
      </c>
      <c r="T811" s="1025" t="b">
        <v>0</v>
      </c>
      <c r="U811" s="491">
        <v>2.38</v>
      </c>
      <c r="V811" s="491">
        <v>1.88</v>
      </c>
      <c r="W811" s="491">
        <v>0</v>
      </c>
      <c r="X811" s="491">
        <v>0</v>
      </c>
      <c r="Y811" s="1025" t="b">
        <v>0</v>
      </c>
      <c r="Z811" s="331">
        <v>0</v>
      </c>
      <c r="AA811" s="331">
        <v>0</v>
      </c>
      <c r="AB811" s="331">
        <v>0</v>
      </c>
      <c r="AC811" s="331">
        <v>0</v>
      </c>
      <c r="AD811" s="1025" t="b">
        <v>0</v>
      </c>
      <c r="AE811" s="331">
        <v>0.14000000000000001</v>
      </c>
      <c r="AF811" s="331">
        <v>0.21</v>
      </c>
      <c r="AG811" s="331">
        <v>0</v>
      </c>
      <c r="AH811" s="331">
        <v>0</v>
      </c>
      <c r="AI811" s="1025" t="b">
        <v>0</v>
      </c>
      <c r="AJ811" s="331">
        <v>0</v>
      </c>
      <c r="AK811" s="331">
        <v>0</v>
      </c>
      <c r="AL811" s="331">
        <v>0</v>
      </c>
      <c r="AM811" s="331">
        <v>0</v>
      </c>
      <c r="AN811" s="1025" t="b">
        <v>0</v>
      </c>
      <c r="AO811" s="331">
        <v>0</v>
      </c>
      <c r="AP811" s="331">
        <v>0</v>
      </c>
      <c r="AQ811" s="331">
        <v>0</v>
      </c>
      <c r="AR811" s="331">
        <v>0</v>
      </c>
      <c r="AS811" s="1025" t="b">
        <v>0</v>
      </c>
      <c r="AT811" s="1025" t="b">
        <v>0</v>
      </c>
      <c r="AU811" s="331">
        <v>57458</v>
      </c>
      <c r="AV811" s="491" t="s">
        <v>29</v>
      </c>
    </row>
    <row r="812" spans="1:48">
      <c r="A812" s="72">
        <v>56</v>
      </c>
      <c r="B812" s="391" t="s">
        <v>39</v>
      </c>
      <c r="C812" s="72">
        <f t="shared" si="36"/>
        <v>3</v>
      </c>
      <c r="D812" s="72" t="str">
        <f t="shared" si="37"/>
        <v>56-3</v>
      </c>
      <c r="E812" s="72">
        <v>72454</v>
      </c>
      <c r="F812" s="72" t="str">
        <f t="shared" si="38"/>
        <v>56-72454</v>
      </c>
      <c r="G812" s="391" t="s">
        <v>1257</v>
      </c>
      <c r="H812" s="491">
        <v>13534.62</v>
      </c>
      <c r="I812" s="491">
        <v>12444.52</v>
      </c>
      <c r="J812" s="491">
        <v>12813.68</v>
      </c>
      <c r="K812" s="491">
        <v>15235.98</v>
      </c>
      <c r="L812" s="491" t="s">
        <v>29</v>
      </c>
      <c r="M812" s="491" t="s">
        <v>29</v>
      </c>
      <c r="N812" s="491" t="s">
        <v>29</v>
      </c>
      <c r="O812" s="491" t="s">
        <v>29</v>
      </c>
      <c r="P812" s="491">
        <v>0</v>
      </c>
      <c r="Q812" s="491">
        <v>0</v>
      </c>
      <c r="R812" s="491">
        <v>0</v>
      </c>
      <c r="S812" s="491">
        <v>0</v>
      </c>
      <c r="T812" s="1025" t="b">
        <v>0</v>
      </c>
      <c r="U812" s="491">
        <v>0</v>
      </c>
      <c r="V812" s="491">
        <v>0</v>
      </c>
      <c r="W812" s="491">
        <v>0.73</v>
      </c>
      <c r="X812" s="491">
        <v>1.37</v>
      </c>
      <c r="Y812" s="1025" t="b">
        <v>0</v>
      </c>
      <c r="Z812" s="491">
        <v>0</v>
      </c>
      <c r="AA812" s="491">
        <v>0</v>
      </c>
      <c r="AB812" s="491">
        <v>0</v>
      </c>
      <c r="AC812" s="491">
        <v>0</v>
      </c>
      <c r="AD812" s="1025" t="b">
        <v>0</v>
      </c>
      <c r="AE812" s="491">
        <v>0</v>
      </c>
      <c r="AF812" s="491">
        <v>0</v>
      </c>
      <c r="AG812" s="491">
        <v>0.1</v>
      </c>
      <c r="AH812" s="491">
        <v>0.1</v>
      </c>
      <c r="AI812" s="1025" t="b">
        <v>0</v>
      </c>
      <c r="AJ812" s="491">
        <v>0</v>
      </c>
      <c r="AK812" s="491">
        <v>0</v>
      </c>
      <c r="AL812" s="491">
        <v>0</v>
      </c>
      <c r="AM812" s="491">
        <v>0</v>
      </c>
      <c r="AN812" s="1025" t="b">
        <v>0</v>
      </c>
      <c r="AO812" s="491">
        <v>0</v>
      </c>
      <c r="AP812" s="491">
        <v>0</v>
      </c>
      <c r="AQ812" s="491">
        <v>0</v>
      </c>
      <c r="AR812" s="491">
        <v>0</v>
      </c>
      <c r="AS812" s="1025" t="b">
        <v>0</v>
      </c>
      <c r="AT812" s="1025" t="b">
        <v>0</v>
      </c>
      <c r="AU812" s="491">
        <v>33032</v>
      </c>
      <c r="AV812" s="491" t="s">
        <v>29</v>
      </c>
    </row>
    <row r="813" spans="1:48">
      <c r="A813" s="72">
        <v>56</v>
      </c>
      <c r="B813" s="391" t="s">
        <v>39</v>
      </c>
      <c r="C813" s="72">
        <f t="shared" si="36"/>
        <v>4</v>
      </c>
      <c r="D813" s="72" t="str">
        <f t="shared" si="37"/>
        <v>56-4</v>
      </c>
      <c r="E813" s="72">
        <v>72462</v>
      </c>
      <c r="F813" s="72" t="str">
        <f t="shared" si="38"/>
        <v>56-72462</v>
      </c>
      <c r="G813" s="391" t="s">
        <v>1258</v>
      </c>
      <c r="H813" s="331">
        <v>13830.5</v>
      </c>
      <c r="I813" s="331">
        <v>12716.57</v>
      </c>
      <c r="J813" s="331">
        <v>13093.8</v>
      </c>
      <c r="K813" s="331">
        <v>15569.05</v>
      </c>
      <c r="L813" s="491" t="s">
        <v>29</v>
      </c>
      <c r="M813" s="491" t="s">
        <v>29</v>
      </c>
      <c r="N813" s="491" t="s">
        <v>29</v>
      </c>
      <c r="O813" s="491" t="s">
        <v>29</v>
      </c>
      <c r="P813" s="491">
        <v>0</v>
      </c>
      <c r="Q813" s="491">
        <v>0</v>
      </c>
      <c r="R813" s="491">
        <v>0</v>
      </c>
      <c r="S813" s="491">
        <v>0</v>
      </c>
      <c r="T813" s="1025" t="b">
        <v>0</v>
      </c>
      <c r="U813" s="491">
        <v>17.34</v>
      </c>
      <c r="V813" s="491">
        <v>14.89</v>
      </c>
      <c r="W813" s="491">
        <v>10.119999999999999</v>
      </c>
      <c r="X813" s="491">
        <v>0</v>
      </c>
      <c r="Y813" s="1025" t="b">
        <v>0</v>
      </c>
      <c r="Z813" s="331">
        <v>0</v>
      </c>
      <c r="AA813" s="331">
        <v>0</v>
      </c>
      <c r="AB813" s="331">
        <v>0</v>
      </c>
      <c r="AC813" s="331">
        <v>0</v>
      </c>
      <c r="AD813" s="1025" t="b">
        <v>0</v>
      </c>
      <c r="AE813" s="331">
        <v>1.85</v>
      </c>
      <c r="AF813" s="331">
        <v>1.21</v>
      </c>
      <c r="AG813" s="331">
        <v>0.45</v>
      </c>
      <c r="AH813" s="331">
        <v>0</v>
      </c>
      <c r="AI813" s="1025" t="b">
        <v>0</v>
      </c>
      <c r="AJ813" s="331">
        <v>0</v>
      </c>
      <c r="AK813" s="331">
        <v>0</v>
      </c>
      <c r="AL813" s="331">
        <v>0</v>
      </c>
      <c r="AM813" s="331">
        <v>0</v>
      </c>
      <c r="AN813" s="1025" t="b">
        <v>0</v>
      </c>
      <c r="AO813" s="331">
        <v>0</v>
      </c>
      <c r="AP813" s="331">
        <v>0</v>
      </c>
      <c r="AQ813" s="331">
        <v>0</v>
      </c>
      <c r="AR813" s="331">
        <v>0</v>
      </c>
      <c r="AS813" s="1025" t="b">
        <v>0</v>
      </c>
      <c r="AT813" s="1025" t="b">
        <v>0</v>
      </c>
      <c r="AU813" s="331">
        <v>608545</v>
      </c>
      <c r="AV813" s="491" t="s">
        <v>29</v>
      </c>
    </row>
    <row r="814" spans="1:48">
      <c r="A814" s="72">
        <v>56</v>
      </c>
      <c r="B814" s="391" t="s">
        <v>39</v>
      </c>
      <c r="C814" s="72">
        <f t="shared" si="36"/>
        <v>5</v>
      </c>
      <c r="D814" s="72" t="str">
        <f t="shared" si="37"/>
        <v>56-5</v>
      </c>
      <c r="E814" s="72">
        <v>72512</v>
      </c>
      <c r="F814" s="72" t="str">
        <f t="shared" si="38"/>
        <v>56-72512</v>
      </c>
      <c r="G814" s="391" t="s">
        <v>953</v>
      </c>
      <c r="H814" s="331">
        <v>13693.74</v>
      </c>
      <c r="I814" s="331">
        <v>12590.82</v>
      </c>
      <c r="J814" s="331">
        <v>12964.33</v>
      </c>
      <c r="K814" s="331">
        <v>15415.1</v>
      </c>
      <c r="L814" s="491" t="s">
        <v>29</v>
      </c>
      <c r="M814" s="491" t="s">
        <v>29</v>
      </c>
      <c r="N814" s="491" t="s">
        <v>29</v>
      </c>
      <c r="O814" s="491" t="s">
        <v>29</v>
      </c>
      <c r="P814" s="491">
        <v>0</v>
      </c>
      <c r="Q814" s="491">
        <v>0</v>
      </c>
      <c r="R814" s="491">
        <v>0</v>
      </c>
      <c r="S814" s="491">
        <v>0</v>
      </c>
      <c r="T814" s="1025" t="b">
        <v>0</v>
      </c>
      <c r="U814" s="491">
        <v>13.5</v>
      </c>
      <c r="V814" s="491">
        <v>13.14</v>
      </c>
      <c r="W814" s="491">
        <v>4.6100000000000003</v>
      </c>
      <c r="X814" s="491">
        <v>0</v>
      </c>
      <c r="Y814" s="1025" t="b">
        <v>0</v>
      </c>
      <c r="Z814" s="331">
        <v>0</v>
      </c>
      <c r="AA814" s="331">
        <v>0</v>
      </c>
      <c r="AB814" s="331">
        <v>0</v>
      </c>
      <c r="AC814" s="331">
        <v>0</v>
      </c>
      <c r="AD814" s="1025" t="b">
        <v>0</v>
      </c>
      <c r="AE814" s="331">
        <v>0.71</v>
      </c>
      <c r="AF814" s="331">
        <v>0.79</v>
      </c>
      <c r="AG814" s="331">
        <v>0.19</v>
      </c>
      <c r="AH814" s="331">
        <v>0</v>
      </c>
      <c r="AI814" s="1025" t="b">
        <v>0</v>
      </c>
      <c r="AJ814" s="331">
        <v>0</v>
      </c>
      <c r="AK814" s="331">
        <v>0</v>
      </c>
      <c r="AL814" s="331">
        <v>0</v>
      </c>
      <c r="AM814" s="331">
        <v>0</v>
      </c>
      <c r="AN814" s="1025" t="b">
        <v>0</v>
      </c>
      <c r="AO814" s="331">
        <v>0</v>
      </c>
      <c r="AP814" s="331">
        <v>0</v>
      </c>
      <c r="AQ814" s="331">
        <v>0</v>
      </c>
      <c r="AR814" s="331">
        <v>0</v>
      </c>
      <c r="AS814" s="1025" t="b">
        <v>0</v>
      </c>
      <c r="AT814" s="1025" t="b">
        <v>0</v>
      </c>
      <c r="AU814" s="331">
        <v>432207</v>
      </c>
      <c r="AV814" s="491" t="s">
        <v>29</v>
      </c>
    </row>
    <row r="815" spans="1:48">
      <c r="A815" s="72">
        <v>56</v>
      </c>
      <c r="B815" s="391" t="s">
        <v>39</v>
      </c>
      <c r="C815" s="72">
        <f t="shared" si="36"/>
        <v>6</v>
      </c>
      <c r="D815" s="72" t="str">
        <f t="shared" si="37"/>
        <v>56-6</v>
      </c>
      <c r="E815" s="72">
        <v>72520</v>
      </c>
      <c r="F815" s="72" t="str">
        <f t="shared" si="38"/>
        <v>56-72520</v>
      </c>
      <c r="G815" s="391" t="s">
        <v>1259</v>
      </c>
      <c r="H815" s="331">
        <v>11028.09</v>
      </c>
      <c r="I815" s="331">
        <v>10139.870000000001</v>
      </c>
      <c r="J815" s="331">
        <v>10440.67</v>
      </c>
      <c r="K815" s="331">
        <v>12414.37</v>
      </c>
      <c r="L815" s="491" t="s">
        <v>29</v>
      </c>
      <c r="M815" s="491" t="s">
        <v>29</v>
      </c>
      <c r="N815" s="491" t="s">
        <v>29</v>
      </c>
      <c r="O815" s="491" t="s">
        <v>29</v>
      </c>
      <c r="P815" s="491">
        <v>0</v>
      </c>
      <c r="Q815" s="491">
        <v>0</v>
      </c>
      <c r="R815" s="491">
        <v>0</v>
      </c>
      <c r="S815" s="491">
        <v>0</v>
      </c>
      <c r="T815" s="1025" t="b">
        <v>0</v>
      </c>
      <c r="U815" s="491">
        <v>1.68</v>
      </c>
      <c r="V815" s="491">
        <v>0</v>
      </c>
      <c r="W815" s="491">
        <v>0.97</v>
      </c>
      <c r="X815" s="491">
        <v>0</v>
      </c>
      <c r="Y815" s="1025" t="b">
        <v>0</v>
      </c>
      <c r="Z815" s="331">
        <v>0</v>
      </c>
      <c r="AA815" s="331">
        <v>0</v>
      </c>
      <c r="AB815" s="331">
        <v>0</v>
      </c>
      <c r="AC815" s="331">
        <v>0</v>
      </c>
      <c r="AD815" s="1025" t="b">
        <v>0</v>
      </c>
      <c r="AE815" s="331">
        <v>0.15</v>
      </c>
      <c r="AF815" s="331">
        <v>0</v>
      </c>
      <c r="AG815" s="331">
        <v>0.1</v>
      </c>
      <c r="AH815" s="331">
        <v>0</v>
      </c>
      <c r="AI815" s="1025" t="b">
        <v>0</v>
      </c>
      <c r="AJ815" s="331">
        <v>0</v>
      </c>
      <c r="AK815" s="331">
        <v>0</v>
      </c>
      <c r="AL815" s="331">
        <v>0</v>
      </c>
      <c r="AM815" s="331">
        <v>0</v>
      </c>
      <c r="AN815" s="1025" t="b">
        <v>0</v>
      </c>
      <c r="AO815" s="331">
        <v>0</v>
      </c>
      <c r="AP815" s="331">
        <v>0</v>
      </c>
      <c r="AQ815" s="331">
        <v>0</v>
      </c>
      <c r="AR815" s="331">
        <v>0</v>
      </c>
      <c r="AS815" s="1025" t="b">
        <v>0</v>
      </c>
      <c r="AT815" s="1025" t="b">
        <v>0</v>
      </c>
      <c r="AU815" s="331">
        <v>31353</v>
      </c>
      <c r="AV815" s="491" t="s">
        <v>29</v>
      </c>
    </row>
    <row r="816" spans="1:48">
      <c r="A816" s="72">
        <v>56</v>
      </c>
      <c r="B816" s="391" t="s">
        <v>39</v>
      </c>
      <c r="C816" s="72">
        <f t="shared" si="36"/>
        <v>7</v>
      </c>
      <c r="D816" s="72" t="str">
        <f t="shared" si="37"/>
        <v>56-7</v>
      </c>
      <c r="E816" s="72">
        <v>72538</v>
      </c>
      <c r="F816" s="72" t="str">
        <f t="shared" si="38"/>
        <v>56-72538</v>
      </c>
      <c r="G816" s="391" t="s">
        <v>1260</v>
      </c>
      <c r="H816" s="491">
        <v>14346.57</v>
      </c>
      <c r="I816" s="491">
        <v>13191.07</v>
      </c>
      <c r="J816" s="491">
        <v>13582.38</v>
      </c>
      <c r="K816" s="491">
        <v>16149.99</v>
      </c>
      <c r="L816" s="491" t="s">
        <v>29</v>
      </c>
      <c r="M816" s="491" t="s">
        <v>29</v>
      </c>
      <c r="N816" s="491" t="s">
        <v>29</v>
      </c>
      <c r="O816" s="491" t="s">
        <v>29</v>
      </c>
      <c r="P816" s="491">
        <v>0</v>
      </c>
      <c r="Q816" s="491">
        <v>0</v>
      </c>
      <c r="R816" s="491">
        <v>0</v>
      </c>
      <c r="S816" s="491">
        <v>0</v>
      </c>
      <c r="T816" s="1025" t="b">
        <v>0</v>
      </c>
      <c r="U816" s="491">
        <v>5.92</v>
      </c>
      <c r="V816" s="491">
        <v>6.52</v>
      </c>
      <c r="W816" s="491">
        <v>16.84</v>
      </c>
      <c r="X816" s="491">
        <v>0</v>
      </c>
      <c r="Y816" s="1025" t="b">
        <v>0</v>
      </c>
      <c r="Z816" s="491">
        <v>0</v>
      </c>
      <c r="AA816" s="491">
        <v>0</v>
      </c>
      <c r="AB816" s="491">
        <v>0</v>
      </c>
      <c r="AC816" s="491">
        <v>0</v>
      </c>
      <c r="AD816" s="1025" t="b">
        <v>0</v>
      </c>
      <c r="AE816" s="491">
        <v>0.41</v>
      </c>
      <c r="AF816" s="491">
        <v>0.3</v>
      </c>
      <c r="AG816" s="491">
        <v>1.25</v>
      </c>
      <c r="AH816" s="491">
        <v>0</v>
      </c>
      <c r="AI816" s="1025" t="b">
        <v>0</v>
      </c>
      <c r="AJ816" s="491">
        <v>0</v>
      </c>
      <c r="AK816" s="491">
        <v>0</v>
      </c>
      <c r="AL816" s="491">
        <v>0</v>
      </c>
      <c r="AM816" s="491">
        <v>0</v>
      </c>
      <c r="AN816" s="1025" t="b">
        <v>0</v>
      </c>
      <c r="AO816" s="491">
        <v>0</v>
      </c>
      <c r="AP816" s="491">
        <v>0</v>
      </c>
      <c r="AQ816" s="491">
        <v>0</v>
      </c>
      <c r="AR816" s="491">
        <v>0</v>
      </c>
      <c r="AS816" s="1025" t="b">
        <v>0</v>
      </c>
      <c r="AT816" s="1025" t="b">
        <v>0</v>
      </c>
      <c r="AU816" s="491">
        <v>426482</v>
      </c>
      <c r="AV816" s="491" t="s">
        <v>29</v>
      </c>
    </row>
    <row r="817" spans="1:48">
      <c r="A817" s="72">
        <v>56</v>
      </c>
      <c r="B817" s="391" t="s">
        <v>39</v>
      </c>
      <c r="C817" s="72">
        <f t="shared" si="36"/>
        <v>8</v>
      </c>
      <c r="D817" s="72" t="str">
        <f t="shared" si="37"/>
        <v>56-8</v>
      </c>
      <c r="E817" s="72">
        <v>72546</v>
      </c>
      <c r="F817" s="72" t="str">
        <f t="shared" si="38"/>
        <v>56-72546</v>
      </c>
      <c r="G817" s="391" t="s">
        <v>1261</v>
      </c>
      <c r="H817" s="331">
        <v>12371.74</v>
      </c>
      <c r="I817" s="331">
        <v>11375.3</v>
      </c>
      <c r="J817" s="331">
        <v>11712.75</v>
      </c>
      <c r="K817" s="331">
        <v>13926.92</v>
      </c>
      <c r="L817" s="491" t="s">
        <v>29</v>
      </c>
      <c r="M817" s="491" t="s">
        <v>29</v>
      </c>
      <c r="N817" s="491" t="s">
        <v>29</v>
      </c>
      <c r="O817" s="491" t="s">
        <v>29</v>
      </c>
      <c r="P817" s="491">
        <v>0</v>
      </c>
      <c r="Q817" s="491">
        <v>0</v>
      </c>
      <c r="R817" s="491">
        <v>0</v>
      </c>
      <c r="S817" s="491">
        <v>0</v>
      </c>
      <c r="T817" s="1025" t="b">
        <v>0</v>
      </c>
      <c r="U817" s="491">
        <v>0</v>
      </c>
      <c r="V817" s="491">
        <v>0</v>
      </c>
      <c r="W817" s="491">
        <v>0</v>
      </c>
      <c r="X817" s="491">
        <v>45.01</v>
      </c>
      <c r="Y817" s="1025" t="b">
        <v>0</v>
      </c>
      <c r="Z817" s="331">
        <v>0</v>
      </c>
      <c r="AA817" s="331">
        <v>0</v>
      </c>
      <c r="AB817" s="331">
        <v>0</v>
      </c>
      <c r="AC817" s="331">
        <v>0</v>
      </c>
      <c r="AD817" s="1025" t="b">
        <v>0</v>
      </c>
      <c r="AE817" s="331">
        <v>0</v>
      </c>
      <c r="AF817" s="331">
        <v>0</v>
      </c>
      <c r="AG817" s="331">
        <v>0</v>
      </c>
      <c r="AH817" s="331">
        <v>3.07</v>
      </c>
      <c r="AI817" s="1025" t="b">
        <v>0</v>
      </c>
      <c r="AJ817" s="331">
        <v>0</v>
      </c>
      <c r="AK817" s="331">
        <v>0</v>
      </c>
      <c r="AL817" s="331">
        <v>0</v>
      </c>
      <c r="AM817" s="331">
        <v>0</v>
      </c>
      <c r="AN817" s="1025" t="b">
        <v>0</v>
      </c>
      <c r="AO817" s="331">
        <v>0</v>
      </c>
      <c r="AP817" s="331">
        <v>0</v>
      </c>
      <c r="AQ817" s="331">
        <v>0</v>
      </c>
      <c r="AR817" s="331">
        <v>0</v>
      </c>
      <c r="AS817" s="1025" t="b">
        <v>0</v>
      </c>
      <c r="AT817" s="1025" t="b">
        <v>0</v>
      </c>
      <c r="AU817" s="331">
        <v>669606</v>
      </c>
      <c r="AV817" s="491" t="s">
        <v>29</v>
      </c>
    </row>
    <row r="818" spans="1:48">
      <c r="A818" s="72">
        <v>56</v>
      </c>
      <c r="B818" s="391" t="s">
        <v>39</v>
      </c>
      <c r="C818" s="72">
        <f t="shared" si="36"/>
        <v>9</v>
      </c>
      <c r="D818" s="72" t="str">
        <f t="shared" si="37"/>
        <v>56-9</v>
      </c>
      <c r="E818" s="72">
        <v>72553</v>
      </c>
      <c r="F818" s="72" t="str">
        <f t="shared" si="38"/>
        <v>56-72553</v>
      </c>
      <c r="G818" s="391" t="s">
        <v>1262</v>
      </c>
      <c r="H818" s="331">
        <v>10786.25</v>
      </c>
      <c r="I818" s="331">
        <v>9917.51</v>
      </c>
      <c r="J818" s="331">
        <v>10211.709999999999</v>
      </c>
      <c r="K818" s="331">
        <v>12142.12</v>
      </c>
      <c r="L818" s="491" t="s">
        <v>29</v>
      </c>
      <c r="M818" s="491" t="s">
        <v>29</v>
      </c>
      <c r="N818" s="491" t="s">
        <v>29</v>
      </c>
      <c r="O818" s="491" t="s">
        <v>29</v>
      </c>
      <c r="P818" s="491">
        <v>0</v>
      </c>
      <c r="Q818" s="491">
        <v>0</v>
      </c>
      <c r="R818" s="491">
        <v>0</v>
      </c>
      <c r="S818" s="491">
        <v>0</v>
      </c>
      <c r="T818" s="1025" t="b">
        <v>0</v>
      </c>
      <c r="U818" s="491">
        <v>33.22</v>
      </c>
      <c r="V818" s="491">
        <v>19.940000000000001</v>
      </c>
      <c r="W818" s="491">
        <v>7.47</v>
      </c>
      <c r="X818" s="491">
        <v>0</v>
      </c>
      <c r="Y818" s="1025" t="b">
        <v>0</v>
      </c>
      <c r="Z818" s="331">
        <v>0</v>
      </c>
      <c r="AA818" s="331">
        <v>0</v>
      </c>
      <c r="AB818" s="331">
        <v>0</v>
      </c>
      <c r="AC818" s="331">
        <v>0</v>
      </c>
      <c r="AD818" s="1025" t="b">
        <v>0</v>
      </c>
      <c r="AE818" s="331">
        <v>2.81</v>
      </c>
      <c r="AF818" s="331">
        <v>2.1</v>
      </c>
      <c r="AG818" s="331">
        <v>0.4</v>
      </c>
      <c r="AH818" s="331">
        <v>0</v>
      </c>
      <c r="AI818" s="1025" t="b">
        <v>0</v>
      </c>
      <c r="AJ818" s="331">
        <v>0</v>
      </c>
      <c r="AK818" s="331">
        <v>0</v>
      </c>
      <c r="AL818" s="331">
        <v>0</v>
      </c>
      <c r="AM818" s="331">
        <v>0</v>
      </c>
      <c r="AN818" s="1025" t="b">
        <v>0</v>
      </c>
      <c r="AO818" s="331">
        <v>0</v>
      </c>
      <c r="AP818" s="331">
        <v>0</v>
      </c>
      <c r="AQ818" s="331">
        <v>0</v>
      </c>
      <c r="AR818" s="331">
        <v>0</v>
      </c>
      <c r="AS818" s="1025" t="b">
        <v>0</v>
      </c>
      <c r="AT818" s="1025" t="b">
        <v>0</v>
      </c>
      <c r="AU818" s="331">
        <v>687577</v>
      </c>
      <c r="AV818" s="491" t="s">
        <v>29</v>
      </c>
    </row>
    <row r="819" spans="1:48">
      <c r="A819" s="72">
        <v>56</v>
      </c>
      <c r="B819" s="391" t="s">
        <v>39</v>
      </c>
      <c r="C819" s="72">
        <f t="shared" si="36"/>
        <v>10</v>
      </c>
      <c r="D819" s="72" t="str">
        <f t="shared" si="37"/>
        <v>56-10</v>
      </c>
      <c r="E819" s="72">
        <v>72561</v>
      </c>
      <c r="F819" s="72" t="str">
        <f t="shared" si="38"/>
        <v>56-72561</v>
      </c>
      <c r="G819" s="391" t="s">
        <v>1263</v>
      </c>
      <c r="H819" s="331">
        <v>12612.57</v>
      </c>
      <c r="I819" s="331">
        <v>11596.74</v>
      </c>
      <c r="J819" s="331">
        <v>11940.75</v>
      </c>
      <c r="K819" s="331">
        <v>14198.03</v>
      </c>
      <c r="L819" s="491" t="s">
        <v>29</v>
      </c>
      <c r="M819" s="491" t="s">
        <v>29</v>
      </c>
      <c r="N819" s="491" t="s">
        <v>29</v>
      </c>
      <c r="O819" s="491" t="s">
        <v>29</v>
      </c>
      <c r="P819" s="491">
        <v>0</v>
      </c>
      <c r="Q819" s="491">
        <v>0</v>
      </c>
      <c r="R819" s="491">
        <v>0</v>
      </c>
      <c r="S819" s="491">
        <v>0</v>
      </c>
      <c r="T819" s="1025" t="b">
        <v>0</v>
      </c>
      <c r="U819" s="491">
        <v>15.91</v>
      </c>
      <c r="V819" s="491">
        <v>5.92</v>
      </c>
      <c r="W819" s="491">
        <v>5.08</v>
      </c>
      <c r="X819" s="491">
        <v>0</v>
      </c>
      <c r="Y819" s="1025" t="b">
        <v>0</v>
      </c>
      <c r="Z819" s="331">
        <v>0</v>
      </c>
      <c r="AA819" s="331">
        <v>0</v>
      </c>
      <c r="AB819" s="331">
        <v>0</v>
      </c>
      <c r="AC819" s="331">
        <v>0</v>
      </c>
      <c r="AD819" s="1025" t="b">
        <v>0</v>
      </c>
      <c r="AE819" s="331">
        <v>1.1499999999999999</v>
      </c>
      <c r="AF819" s="331">
        <v>0.26</v>
      </c>
      <c r="AG819" s="331">
        <v>0.38</v>
      </c>
      <c r="AH819" s="331">
        <v>0</v>
      </c>
      <c r="AI819" s="1025" t="b">
        <v>0</v>
      </c>
      <c r="AJ819" s="331">
        <v>0</v>
      </c>
      <c r="AK819" s="331">
        <v>0</v>
      </c>
      <c r="AL819" s="331">
        <v>0</v>
      </c>
      <c r="AM819" s="331">
        <v>0</v>
      </c>
      <c r="AN819" s="1025" t="b">
        <v>0</v>
      </c>
      <c r="AO819" s="331">
        <v>0</v>
      </c>
      <c r="AP819" s="331">
        <v>0</v>
      </c>
      <c r="AQ819" s="331">
        <v>0</v>
      </c>
      <c r="AR819" s="331">
        <v>0</v>
      </c>
      <c r="AS819" s="1025" t="b">
        <v>0</v>
      </c>
      <c r="AT819" s="1025" t="b">
        <v>0</v>
      </c>
      <c r="AU819" s="331">
        <v>352034</v>
      </c>
      <c r="AV819" s="491" t="s">
        <v>29</v>
      </c>
    </row>
    <row r="820" spans="1:48">
      <c r="A820" s="72">
        <v>56</v>
      </c>
      <c r="B820" s="391" t="s">
        <v>39</v>
      </c>
      <c r="C820" s="72">
        <f t="shared" si="36"/>
        <v>11</v>
      </c>
      <c r="D820" s="72" t="str">
        <f t="shared" si="37"/>
        <v>56-11</v>
      </c>
      <c r="E820" s="72">
        <v>72603</v>
      </c>
      <c r="F820" s="72" t="str">
        <f t="shared" si="38"/>
        <v>56-72603</v>
      </c>
      <c r="G820" s="391" t="s">
        <v>1264</v>
      </c>
      <c r="H820" s="331">
        <v>10947.95</v>
      </c>
      <c r="I820" s="331">
        <v>10066.18</v>
      </c>
      <c r="J820" s="331">
        <v>10364.790000000001</v>
      </c>
      <c r="K820" s="331">
        <v>12324.15</v>
      </c>
      <c r="L820" s="491" t="s">
        <v>29</v>
      </c>
      <c r="M820" s="491" t="s">
        <v>29</v>
      </c>
      <c r="N820" s="491" t="s">
        <v>29</v>
      </c>
      <c r="O820" s="491" t="s">
        <v>29</v>
      </c>
      <c r="P820" s="491">
        <v>0</v>
      </c>
      <c r="Q820" s="491">
        <v>0</v>
      </c>
      <c r="R820" s="491">
        <v>0</v>
      </c>
      <c r="S820" s="491">
        <v>0</v>
      </c>
      <c r="T820" s="1025" t="b">
        <v>0</v>
      </c>
      <c r="U820" s="491">
        <v>0</v>
      </c>
      <c r="V820" s="491">
        <v>0.85</v>
      </c>
      <c r="W820" s="491">
        <v>0</v>
      </c>
      <c r="X820" s="491">
        <v>3.24</v>
      </c>
      <c r="Y820" s="1025" t="b">
        <v>0</v>
      </c>
      <c r="Z820" s="331">
        <v>0</v>
      </c>
      <c r="AA820" s="331">
        <v>0</v>
      </c>
      <c r="AB820" s="331">
        <v>0</v>
      </c>
      <c r="AC820" s="331">
        <v>0</v>
      </c>
      <c r="AD820" s="1025" t="b">
        <v>0</v>
      </c>
      <c r="AE820" s="331">
        <v>0</v>
      </c>
      <c r="AF820" s="331">
        <v>0.05</v>
      </c>
      <c r="AG820" s="331">
        <v>0</v>
      </c>
      <c r="AH820" s="331">
        <v>0.18</v>
      </c>
      <c r="AI820" s="1025" t="b">
        <v>0</v>
      </c>
      <c r="AJ820" s="331">
        <v>0</v>
      </c>
      <c r="AK820" s="331">
        <v>0</v>
      </c>
      <c r="AL820" s="331">
        <v>0</v>
      </c>
      <c r="AM820" s="331">
        <v>0</v>
      </c>
      <c r="AN820" s="1025" t="b">
        <v>0</v>
      </c>
      <c r="AO820" s="331">
        <v>0</v>
      </c>
      <c r="AP820" s="331">
        <v>0</v>
      </c>
      <c r="AQ820" s="331">
        <v>0</v>
      </c>
      <c r="AR820" s="331">
        <v>0</v>
      </c>
      <c r="AS820" s="1025" t="b">
        <v>0</v>
      </c>
      <c r="AT820" s="1025" t="b">
        <v>0</v>
      </c>
      <c r="AU820" s="331">
        <v>51209</v>
      </c>
      <c r="AV820" s="491" t="s">
        <v>29</v>
      </c>
    </row>
    <row r="821" spans="1:48">
      <c r="A821" s="72">
        <v>56</v>
      </c>
      <c r="B821" s="391" t="s">
        <v>39</v>
      </c>
      <c r="C821" s="72">
        <f t="shared" si="36"/>
        <v>12</v>
      </c>
      <c r="D821" s="72" t="str">
        <f t="shared" si="37"/>
        <v>56-12</v>
      </c>
      <c r="E821" s="72">
        <v>72611</v>
      </c>
      <c r="F821" s="72" t="str">
        <f t="shared" si="38"/>
        <v>56-72611</v>
      </c>
      <c r="G821" s="391" t="s">
        <v>1265</v>
      </c>
      <c r="H821" s="331">
        <v>12991.89</v>
      </c>
      <c r="I821" s="331">
        <v>11945.5</v>
      </c>
      <c r="J821" s="331">
        <v>12299.86</v>
      </c>
      <c r="K821" s="331">
        <v>14625.02</v>
      </c>
      <c r="L821" s="491" t="s">
        <v>29</v>
      </c>
      <c r="M821" s="491" t="s">
        <v>29</v>
      </c>
      <c r="N821" s="491" t="s">
        <v>29</v>
      </c>
      <c r="O821" s="491" t="s">
        <v>29</v>
      </c>
      <c r="P821" s="491">
        <v>0</v>
      </c>
      <c r="Q821" s="491">
        <v>0</v>
      </c>
      <c r="R821" s="491">
        <v>0</v>
      </c>
      <c r="S821" s="491">
        <v>0</v>
      </c>
      <c r="T821" s="1025" t="b">
        <v>0</v>
      </c>
      <c r="U821" s="491">
        <v>0</v>
      </c>
      <c r="V821" s="491">
        <v>1.9</v>
      </c>
      <c r="W821" s="491">
        <v>0.85</v>
      </c>
      <c r="X821" s="491">
        <v>0</v>
      </c>
      <c r="Y821" s="1025" t="b">
        <v>0</v>
      </c>
      <c r="Z821" s="331">
        <v>0</v>
      </c>
      <c r="AA821" s="331">
        <v>0</v>
      </c>
      <c r="AB821" s="331">
        <v>0</v>
      </c>
      <c r="AC821" s="331">
        <v>0</v>
      </c>
      <c r="AD821" s="1025" t="b">
        <v>0</v>
      </c>
      <c r="AE821" s="331">
        <v>0</v>
      </c>
      <c r="AF821" s="331">
        <v>0.14000000000000001</v>
      </c>
      <c r="AG821" s="331">
        <v>0</v>
      </c>
      <c r="AH821" s="331">
        <v>0</v>
      </c>
      <c r="AI821" s="1025" t="b">
        <v>0</v>
      </c>
      <c r="AJ821" s="331">
        <v>0</v>
      </c>
      <c r="AK821" s="331">
        <v>0</v>
      </c>
      <c r="AL821" s="331">
        <v>0</v>
      </c>
      <c r="AM821" s="331">
        <v>0</v>
      </c>
      <c r="AN821" s="1025" t="b">
        <v>0</v>
      </c>
      <c r="AO821" s="331">
        <v>0</v>
      </c>
      <c r="AP821" s="331">
        <v>0</v>
      </c>
      <c r="AQ821" s="331">
        <v>0</v>
      </c>
      <c r="AR821" s="331">
        <v>0</v>
      </c>
      <c r="AS821" s="1025" t="b">
        <v>0</v>
      </c>
      <c r="AT821" s="1025" t="b">
        <v>0</v>
      </c>
      <c r="AU821" s="331">
        <v>34824</v>
      </c>
      <c r="AV821" s="491" t="s">
        <v>29</v>
      </c>
    </row>
    <row r="822" spans="1:48">
      <c r="A822" s="72">
        <v>56</v>
      </c>
      <c r="B822" s="391" t="s">
        <v>39</v>
      </c>
      <c r="C822" s="72">
        <f t="shared" si="36"/>
        <v>13</v>
      </c>
      <c r="D822" s="72" t="str">
        <f t="shared" si="37"/>
        <v>56-13</v>
      </c>
      <c r="E822" s="72">
        <v>72652</v>
      </c>
      <c r="F822" s="72" t="str">
        <f t="shared" si="38"/>
        <v>56-72652</v>
      </c>
      <c r="G822" s="391" t="s">
        <v>1266</v>
      </c>
      <c r="H822" s="331">
        <v>11246.71</v>
      </c>
      <c r="I822" s="331">
        <v>10340.879999999999</v>
      </c>
      <c r="J822" s="331">
        <v>10647.64</v>
      </c>
      <c r="K822" s="331">
        <v>12660.47</v>
      </c>
      <c r="L822" s="491" t="s">
        <v>29</v>
      </c>
      <c r="M822" s="491" t="s">
        <v>29</v>
      </c>
      <c r="N822" s="491" t="s">
        <v>29</v>
      </c>
      <c r="O822" s="491" t="s">
        <v>29</v>
      </c>
      <c r="P822" s="491">
        <v>0</v>
      </c>
      <c r="Q822" s="491">
        <v>0</v>
      </c>
      <c r="R822" s="491">
        <v>0</v>
      </c>
      <c r="S822" s="491">
        <v>0</v>
      </c>
      <c r="T822" s="1025" t="b">
        <v>0</v>
      </c>
      <c r="U822" s="491">
        <v>10.79</v>
      </c>
      <c r="V822" s="491">
        <v>12.8</v>
      </c>
      <c r="W822" s="491">
        <v>2.76</v>
      </c>
      <c r="X822" s="491">
        <v>56.98</v>
      </c>
      <c r="Y822" s="1025" t="b">
        <v>0</v>
      </c>
      <c r="Z822" s="331">
        <v>0</v>
      </c>
      <c r="AA822" s="331">
        <v>0</v>
      </c>
      <c r="AB822" s="331">
        <v>0</v>
      </c>
      <c r="AC822" s="331">
        <v>0</v>
      </c>
      <c r="AD822" s="1025" t="b">
        <v>0</v>
      </c>
      <c r="AE822" s="331">
        <v>1.1299999999999999</v>
      </c>
      <c r="AF822" s="331">
        <v>0.71</v>
      </c>
      <c r="AG822" s="331">
        <v>0.14000000000000001</v>
      </c>
      <c r="AH822" s="331">
        <v>4.3</v>
      </c>
      <c r="AI822" s="1025" t="b">
        <v>0</v>
      </c>
      <c r="AJ822" s="331">
        <v>0</v>
      </c>
      <c r="AK822" s="331">
        <v>0</v>
      </c>
      <c r="AL822" s="331">
        <v>0</v>
      </c>
      <c r="AM822" s="331">
        <v>0</v>
      </c>
      <c r="AN822" s="1025" t="b">
        <v>0</v>
      </c>
      <c r="AO822" s="331">
        <v>0</v>
      </c>
      <c r="AP822" s="331">
        <v>0</v>
      </c>
      <c r="AQ822" s="331">
        <v>0</v>
      </c>
      <c r="AR822" s="331">
        <v>0</v>
      </c>
      <c r="AS822" s="1025" t="b">
        <v>0</v>
      </c>
      <c r="AT822" s="1025" t="b">
        <v>0</v>
      </c>
      <c r="AU822" s="331">
        <v>1080478</v>
      </c>
      <c r="AV822" s="491" t="s">
        <v>29</v>
      </c>
    </row>
    <row r="823" spans="1:48">
      <c r="A823" s="72">
        <v>56</v>
      </c>
      <c r="B823" s="391" t="s">
        <v>39</v>
      </c>
      <c r="C823" s="72">
        <f t="shared" si="36"/>
        <v>14</v>
      </c>
      <c r="D823" s="72" t="str">
        <f t="shared" si="37"/>
        <v>56-14</v>
      </c>
      <c r="E823" s="72">
        <v>73759</v>
      </c>
      <c r="F823" s="72" t="str">
        <f t="shared" si="38"/>
        <v>56-73759</v>
      </c>
      <c r="G823" s="391" t="s">
        <v>858</v>
      </c>
      <c r="H823" s="331">
        <v>10655.1</v>
      </c>
      <c r="I823" s="331">
        <v>9796.93</v>
      </c>
      <c r="J823" s="331">
        <v>10087.549999999999</v>
      </c>
      <c r="K823" s="331">
        <v>11994.5</v>
      </c>
      <c r="L823" s="491" t="s">
        <v>29</v>
      </c>
      <c r="M823" s="491" t="s">
        <v>29</v>
      </c>
      <c r="N823" s="491" t="s">
        <v>29</v>
      </c>
      <c r="O823" s="491" t="s">
        <v>29</v>
      </c>
      <c r="P823" s="491">
        <v>0</v>
      </c>
      <c r="Q823" s="491">
        <v>0</v>
      </c>
      <c r="R823" s="491">
        <v>0</v>
      </c>
      <c r="S823" s="491">
        <v>0</v>
      </c>
      <c r="T823" s="1025" t="b">
        <v>0</v>
      </c>
      <c r="U823" s="491">
        <v>1.76</v>
      </c>
      <c r="V823" s="491">
        <v>2.72</v>
      </c>
      <c r="W823" s="491">
        <v>0.95</v>
      </c>
      <c r="X823" s="491">
        <v>4.63</v>
      </c>
      <c r="Y823" s="1025" t="b">
        <v>0</v>
      </c>
      <c r="Z823" s="331">
        <v>0</v>
      </c>
      <c r="AA823" s="331">
        <v>0</v>
      </c>
      <c r="AB823" s="331">
        <v>0</v>
      </c>
      <c r="AC823" s="331">
        <v>0</v>
      </c>
      <c r="AD823" s="1025" t="b">
        <v>0</v>
      </c>
      <c r="AE823" s="331">
        <v>0</v>
      </c>
      <c r="AF823" s="331">
        <v>0.19</v>
      </c>
      <c r="AG823" s="331">
        <v>0</v>
      </c>
      <c r="AH823" s="331">
        <v>0.38</v>
      </c>
      <c r="AI823" s="1025" t="b">
        <v>0</v>
      </c>
      <c r="AJ823" s="331">
        <v>0</v>
      </c>
      <c r="AK823" s="331">
        <v>0</v>
      </c>
      <c r="AL823" s="331">
        <v>0</v>
      </c>
      <c r="AM823" s="331">
        <v>0</v>
      </c>
      <c r="AN823" s="1025" t="b">
        <v>0</v>
      </c>
      <c r="AO823" s="331">
        <v>0</v>
      </c>
      <c r="AP823" s="331">
        <v>0</v>
      </c>
      <c r="AQ823" s="331">
        <v>0</v>
      </c>
      <c r="AR823" s="331">
        <v>0</v>
      </c>
      <c r="AS823" s="1025" t="b">
        <v>0</v>
      </c>
      <c r="AT823" s="1025" t="b">
        <v>0</v>
      </c>
      <c r="AU823" s="331">
        <v>116937</v>
      </c>
      <c r="AV823" s="491" t="s">
        <v>29</v>
      </c>
    </row>
    <row r="824" spans="1:48">
      <c r="A824" s="72">
        <v>56</v>
      </c>
      <c r="B824" s="391" t="s">
        <v>39</v>
      </c>
      <c r="C824" s="72">
        <f t="shared" si="36"/>
        <v>15</v>
      </c>
      <c r="D824" s="72" t="str">
        <f t="shared" si="37"/>
        <v>56-15</v>
      </c>
      <c r="E824" s="72">
        <v>73874</v>
      </c>
      <c r="F824" s="72" t="str">
        <f t="shared" si="38"/>
        <v>56-73874</v>
      </c>
      <c r="G824" s="391" t="s">
        <v>1267</v>
      </c>
      <c r="H824" s="331">
        <v>10429.65</v>
      </c>
      <c r="I824" s="331">
        <v>9589.6299999999992</v>
      </c>
      <c r="J824" s="331">
        <v>9874.11</v>
      </c>
      <c r="K824" s="331">
        <v>11740.7</v>
      </c>
      <c r="L824" s="491" t="s">
        <v>29</v>
      </c>
      <c r="M824" s="491" t="s">
        <v>29</v>
      </c>
      <c r="N824" s="491" t="s">
        <v>29</v>
      </c>
      <c r="O824" s="491" t="s">
        <v>29</v>
      </c>
      <c r="P824" s="491">
        <v>0</v>
      </c>
      <c r="Q824" s="491">
        <v>0</v>
      </c>
      <c r="R824" s="491">
        <v>0</v>
      </c>
      <c r="S824" s="491">
        <v>0</v>
      </c>
      <c r="T824" s="1025" t="b">
        <v>0</v>
      </c>
      <c r="U824" s="491">
        <v>1.29</v>
      </c>
      <c r="V824" s="491">
        <v>0</v>
      </c>
      <c r="W824" s="491">
        <v>0.95</v>
      </c>
      <c r="X824" s="491">
        <v>2.75</v>
      </c>
      <c r="Y824" s="1025" t="b">
        <v>0</v>
      </c>
      <c r="Z824" s="331">
        <v>0</v>
      </c>
      <c r="AA824" s="331">
        <v>0</v>
      </c>
      <c r="AB824" s="331">
        <v>0</v>
      </c>
      <c r="AC824" s="331">
        <v>0</v>
      </c>
      <c r="AD824" s="1025" t="b">
        <v>0</v>
      </c>
      <c r="AE824" s="331">
        <v>0.1</v>
      </c>
      <c r="AF824" s="331">
        <v>0</v>
      </c>
      <c r="AG824" s="331">
        <v>7.0000000000000007E-2</v>
      </c>
      <c r="AH824" s="331">
        <v>0.19</v>
      </c>
      <c r="AI824" s="1025" t="b">
        <v>0</v>
      </c>
      <c r="AJ824" s="331">
        <v>0</v>
      </c>
      <c r="AK824" s="331">
        <v>0</v>
      </c>
      <c r="AL824" s="331">
        <v>0</v>
      </c>
      <c r="AM824" s="331">
        <v>0</v>
      </c>
      <c r="AN824" s="1025" t="b">
        <v>0</v>
      </c>
      <c r="AO824" s="331">
        <v>0</v>
      </c>
      <c r="AP824" s="331">
        <v>0</v>
      </c>
      <c r="AQ824" s="331">
        <v>0</v>
      </c>
      <c r="AR824" s="331">
        <v>0</v>
      </c>
      <c r="AS824" s="1025" t="b">
        <v>0</v>
      </c>
      <c r="AT824" s="1025" t="b">
        <v>0</v>
      </c>
      <c r="AU824" s="331">
        <v>59087</v>
      </c>
      <c r="AV824" s="491" t="s">
        <v>29</v>
      </c>
    </row>
    <row r="825" spans="1:48">
      <c r="A825" s="72">
        <v>56</v>
      </c>
      <c r="B825" s="391" t="s">
        <v>39</v>
      </c>
      <c r="C825" s="72">
        <f t="shared" si="36"/>
        <v>16</v>
      </c>
      <c r="D825" s="72" t="str">
        <f t="shared" si="37"/>
        <v>56-16</v>
      </c>
      <c r="E825" s="72">
        <v>73940</v>
      </c>
      <c r="F825" s="72" t="str">
        <f t="shared" si="38"/>
        <v>56-73940</v>
      </c>
      <c r="G825" s="391" t="s">
        <v>1268</v>
      </c>
      <c r="H825" s="331">
        <v>10820.85</v>
      </c>
      <c r="I825" s="331">
        <v>9949.33</v>
      </c>
      <c r="J825" s="331">
        <v>10244.469999999999</v>
      </c>
      <c r="K825" s="331">
        <v>12181.08</v>
      </c>
      <c r="L825" s="491" t="s">
        <v>29</v>
      </c>
      <c r="M825" s="491" t="s">
        <v>29</v>
      </c>
      <c r="N825" s="491" t="s">
        <v>29</v>
      </c>
      <c r="O825" s="491" t="s">
        <v>29</v>
      </c>
      <c r="P825" s="491">
        <v>0</v>
      </c>
      <c r="Q825" s="491">
        <v>0</v>
      </c>
      <c r="R825" s="491">
        <v>0</v>
      </c>
      <c r="S825" s="491">
        <v>0</v>
      </c>
      <c r="T825" s="1025" t="b">
        <v>0</v>
      </c>
      <c r="U825" s="491">
        <v>0.25</v>
      </c>
      <c r="V825" s="491">
        <v>7.0000000000000007E-2</v>
      </c>
      <c r="W825" s="491">
        <v>2.52</v>
      </c>
      <c r="X825" s="491">
        <v>27.86</v>
      </c>
      <c r="Y825" s="1025" t="b">
        <v>0</v>
      </c>
      <c r="Z825" s="331">
        <v>0</v>
      </c>
      <c r="AA825" s="331">
        <v>0</v>
      </c>
      <c r="AB825" s="331">
        <v>0</v>
      </c>
      <c r="AC825" s="331">
        <v>0</v>
      </c>
      <c r="AD825" s="1025" t="b">
        <v>0</v>
      </c>
      <c r="AE825" s="331">
        <v>0</v>
      </c>
      <c r="AF825" s="331">
        <v>0.05</v>
      </c>
      <c r="AG825" s="331">
        <v>0.06</v>
      </c>
      <c r="AH825" s="331">
        <v>1.54</v>
      </c>
      <c r="AI825" s="1025" t="b">
        <v>0</v>
      </c>
      <c r="AJ825" s="331">
        <v>0</v>
      </c>
      <c r="AK825" s="331">
        <v>0</v>
      </c>
      <c r="AL825" s="331">
        <v>0</v>
      </c>
      <c r="AM825" s="331">
        <v>0</v>
      </c>
      <c r="AN825" s="1025" t="b">
        <v>0</v>
      </c>
      <c r="AO825" s="331">
        <v>0</v>
      </c>
      <c r="AP825" s="331">
        <v>0</v>
      </c>
      <c r="AQ825" s="331">
        <v>0</v>
      </c>
      <c r="AR825" s="331">
        <v>0</v>
      </c>
      <c r="AS825" s="1025" t="b">
        <v>0</v>
      </c>
      <c r="AT825" s="1025" t="b">
        <v>0</v>
      </c>
      <c r="AU825" s="331">
        <v>388454</v>
      </c>
      <c r="AV825" s="491" t="s">
        <v>29</v>
      </c>
    </row>
    <row r="826" spans="1:48">
      <c r="A826" s="72">
        <v>56</v>
      </c>
      <c r="B826" s="391" t="s">
        <v>39</v>
      </c>
      <c r="C826" s="72">
        <f t="shared" si="36"/>
        <v>17</v>
      </c>
      <c r="D826" s="72" t="str">
        <f t="shared" si="37"/>
        <v>56-17</v>
      </c>
      <c r="E826" s="72">
        <v>76828</v>
      </c>
      <c r="F826" s="72" t="str">
        <f t="shared" si="38"/>
        <v>56-76828</v>
      </c>
      <c r="G826" s="391" t="s">
        <v>1269</v>
      </c>
      <c r="H826" s="331">
        <v>13744.49</v>
      </c>
      <c r="I826" s="331">
        <v>12637.48</v>
      </c>
      <c r="J826" s="331">
        <v>13012.37</v>
      </c>
      <c r="K826" s="331">
        <v>15472.22</v>
      </c>
      <c r="L826" s="491" t="s">
        <v>29</v>
      </c>
      <c r="M826" s="491" t="s">
        <v>29</v>
      </c>
      <c r="N826" s="491" t="s">
        <v>29</v>
      </c>
      <c r="O826" s="491" t="s">
        <v>29</v>
      </c>
      <c r="P826" s="491">
        <v>0</v>
      </c>
      <c r="Q826" s="491">
        <v>0</v>
      </c>
      <c r="R826" s="491">
        <v>0</v>
      </c>
      <c r="S826" s="491">
        <v>0</v>
      </c>
      <c r="T826" s="1025" t="b">
        <v>0</v>
      </c>
      <c r="U826" s="491">
        <v>2.58</v>
      </c>
      <c r="V826" s="491">
        <v>4.91</v>
      </c>
      <c r="W826" s="491">
        <v>4.4000000000000004</v>
      </c>
      <c r="X826" s="491">
        <v>20.34</v>
      </c>
      <c r="Y826" s="1025" t="b">
        <v>0</v>
      </c>
      <c r="Z826" s="331">
        <v>0</v>
      </c>
      <c r="AA826" s="331">
        <v>0</v>
      </c>
      <c r="AB826" s="331">
        <v>0</v>
      </c>
      <c r="AC826" s="331">
        <v>0</v>
      </c>
      <c r="AD826" s="1025" t="b">
        <v>0</v>
      </c>
      <c r="AE826" s="331">
        <v>0.24</v>
      </c>
      <c r="AF826" s="331">
        <v>0.18</v>
      </c>
      <c r="AG826" s="331">
        <v>0.36</v>
      </c>
      <c r="AH826" s="331">
        <v>0.91</v>
      </c>
      <c r="AI826" s="1025" t="b">
        <v>0</v>
      </c>
      <c r="AJ826" s="331">
        <v>0</v>
      </c>
      <c r="AK826" s="331">
        <v>0</v>
      </c>
      <c r="AL826" s="331">
        <v>0</v>
      </c>
      <c r="AM826" s="331">
        <v>0</v>
      </c>
      <c r="AN826" s="1025" t="b">
        <v>0</v>
      </c>
      <c r="AO826" s="331">
        <v>0</v>
      </c>
      <c r="AP826" s="331">
        <v>0</v>
      </c>
      <c r="AQ826" s="331">
        <v>0</v>
      </c>
      <c r="AR826" s="331">
        <v>0</v>
      </c>
      <c r="AS826" s="1025" t="b">
        <v>0</v>
      </c>
      <c r="AT826" s="1025" t="b">
        <v>0</v>
      </c>
      <c r="AU826" s="331">
        <v>493808</v>
      </c>
      <c r="AV826" s="491" t="s">
        <v>29</v>
      </c>
    </row>
    <row r="827" spans="1:48">
      <c r="A827" s="72">
        <v>56</v>
      </c>
      <c r="B827" s="391" t="s">
        <v>39</v>
      </c>
      <c r="C827" s="72">
        <f t="shared" si="36"/>
        <v>0</v>
      </c>
      <c r="D827" s="72" t="str">
        <f t="shared" si="37"/>
        <v>56-0</v>
      </c>
      <c r="E827" s="72" t="s">
        <v>29</v>
      </c>
      <c r="F827" s="72" t="str">
        <f t="shared" si="38"/>
        <v>56-N/A</v>
      </c>
      <c r="G827" s="391" t="s">
        <v>29</v>
      </c>
      <c r="H827" s="491" t="s">
        <v>29</v>
      </c>
      <c r="I827" s="491" t="s">
        <v>29</v>
      </c>
      <c r="J827" s="491" t="s">
        <v>29</v>
      </c>
      <c r="K827" s="491" t="s">
        <v>29</v>
      </c>
      <c r="L827" s="491" t="s">
        <v>29</v>
      </c>
      <c r="M827" s="491" t="s">
        <v>29</v>
      </c>
      <c r="N827" s="491" t="s">
        <v>29</v>
      </c>
      <c r="O827" s="491" t="s">
        <v>29</v>
      </c>
      <c r="P827" s="491" t="s">
        <v>29</v>
      </c>
      <c r="Q827" s="491" t="s">
        <v>29</v>
      </c>
      <c r="R827" s="491" t="s">
        <v>29</v>
      </c>
      <c r="S827" s="491" t="s">
        <v>29</v>
      </c>
      <c r="T827" s="1025" t="s">
        <v>29</v>
      </c>
      <c r="U827" s="491" t="s">
        <v>29</v>
      </c>
      <c r="V827" s="491" t="s">
        <v>29</v>
      </c>
      <c r="W827" s="491" t="s">
        <v>29</v>
      </c>
      <c r="X827" s="491" t="s">
        <v>29</v>
      </c>
      <c r="Y827" s="1025" t="s">
        <v>29</v>
      </c>
      <c r="Z827" s="491" t="s">
        <v>29</v>
      </c>
      <c r="AA827" s="491" t="s">
        <v>29</v>
      </c>
      <c r="AB827" s="491" t="s">
        <v>29</v>
      </c>
      <c r="AC827" s="491" t="s">
        <v>29</v>
      </c>
      <c r="AD827" s="1025" t="s">
        <v>29</v>
      </c>
      <c r="AE827" s="491" t="s">
        <v>29</v>
      </c>
      <c r="AF827" s="491" t="s">
        <v>29</v>
      </c>
      <c r="AG827" s="491" t="s">
        <v>29</v>
      </c>
      <c r="AH827" s="491" t="s">
        <v>29</v>
      </c>
      <c r="AI827" s="1025" t="s">
        <v>29</v>
      </c>
      <c r="AJ827" s="491" t="s">
        <v>29</v>
      </c>
      <c r="AK827" s="491" t="s">
        <v>29</v>
      </c>
      <c r="AL827" s="491" t="s">
        <v>29</v>
      </c>
      <c r="AM827" s="491" t="s">
        <v>29</v>
      </c>
      <c r="AN827" s="1025" t="s">
        <v>29</v>
      </c>
      <c r="AO827" s="491" t="s">
        <v>29</v>
      </c>
      <c r="AP827" s="491" t="s">
        <v>29</v>
      </c>
      <c r="AQ827" s="491" t="s">
        <v>29</v>
      </c>
      <c r="AR827" s="491" t="s">
        <v>29</v>
      </c>
      <c r="AS827" s="1025" t="s">
        <v>29</v>
      </c>
      <c r="AT827" s="1025" t="s">
        <v>29</v>
      </c>
      <c r="AU827" s="491" t="s">
        <v>29</v>
      </c>
      <c r="AV827" s="491">
        <v>5603074</v>
      </c>
    </row>
    <row r="828" spans="1:48">
      <c r="A828" s="72">
        <v>57</v>
      </c>
      <c r="B828" s="391" t="s">
        <v>38</v>
      </c>
      <c r="C828" s="72">
        <f t="shared" si="36"/>
        <v>1</v>
      </c>
      <c r="D828" s="72" t="str">
        <f t="shared" si="37"/>
        <v>57-1</v>
      </c>
      <c r="E828" s="72">
        <v>72678</v>
      </c>
      <c r="F828" s="72" t="str">
        <f t="shared" si="38"/>
        <v>57-72678</v>
      </c>
      <c r="G828" s="391" t="s">
        <v>1270</v>
      </c>
      <c r="H828" s="331">
        <v>10614.02</v>
      </c>
      <c r="I828" s="331">
        <v>9759.15</v>
      </c>
      <c r="J828" s="331">
        <v>10048.65</v>
      </c>
      <c r="K828" s="331">
        <v>11948.25</v>
      </c>
      <c r="L828" s="1072">
        <v>0</v>
      </c>
      <c r="M828" s="1072">
        <v>0</v>
      </c>
      <c r="N828" s="1072">
        <v>0</v>
      </c>
      <c r="O828" s="1072">
        <v>0</v>
      </c>
      <c r="P828" s="491">
        <v>0</v>
      </c>
      <c r="Q828" s="491">
        <v>0</v>
      </c>
      <c r="R828" s="491">
        <v>0</v>
      </c>
      <c r="S828" s="491">
        <v>0</v>
      </c>
      <c r="T828" s="1025" t="b">
        <v>0</v>
      </c>
      <c r="U828" s="491">
        <v>1.83</v>
      </c>
      <c r="V828" s="491">
        <v>4.25</v>
      </c>
      <c r="W828" s="491">
        <v>0.92</v>
      </c>
      <c r="X828" s="491">
        <v>14.51</v>
      </c>
      <c r="Y828" s="1025" t="b">
        <v>1</v>
      </c>
      <c r="Z828" s="331">
        <v>0</v>
      </c>
      <c r="AA828" s="331">
        <v>0</v>
      </c>
      <c r="AB828" s="331">
        <v>0</v>
      </c>
      <c r="AC828" s="331">
        <v>0</v>
      </c>
      <c r="AD828" s="1025" t="b">
        <v>0</v>
      </c>
      <c r="AE828" s="331">
        <v>0.35</v>
      </c>
      <c r="AF828" s="331">
        <v>0.41</v>
      </c>
      <c r="AG828" s="331">
        <v>0.18</v>
      </c>
      <c r="AH828" s="331">
        <v>1.05</v>
      </c>
      <c r="AI828" s="1025" t="b">
        <v>1</v>
      </c>
      <c r="AJ828" s="331">
        <v>0</v>
      </c>
      <c r="AK828" s="331">
        <v>0</v>
      </c>
      <c r="AL828" s="331">
        <v>0</v>
      </c>
      <c r="AM828" s="331">
        <v>0</v>
      </c>
      <c r="AN828" s="1025" t="b">
        <v>0</v>
      </c>
      <c r="AO828" s="331">
        <v>0</v>
      </c>
      <c r="AP828" s="331">
        <v>0</v>
      </c>
      <c r="AQ828" s="331">
        <v>0</v>
      </c>
      <c r="AR828" s="331">
        <v>0</v>
      </c>
      <c r="AS828" s="1025" t="b">
        <v>0</v>
      </c>
      <c r="AT828" s="1025" t="b">
        <v>1</v>
      </c>
      <c r="AU828" s="331">
        <v>0</v>
      </c>
      <c r="AV828" s="491" t="s">
        <v>29</v>
      </c>
    </row>
    <row r="829" spans="1:48">
      <c r="A829" s="72">
        <v>57</v>
      </c>
      <c r="B829" s="391" t="s">
        <v>38</v>
      </c>
      <c r="C829" s="72">
        <f t="shared" si="36"/>
        <v>2</v>
      </c>
      <c r="D829" s="72" t="str">
        <f t="shared" si="37"/>
        <v>57-2</v>
      </c>
      <c r="E829" s="72">
        <v>72686</v>
      </c>
      <c r="F829" s="72" t="str">
        <f t="shared" si="38"/>
        <v>57-72686</v>
      </c>
      <c r="G829" s="391" t="s">
        <v>1271</v>
      </c>
      <c r="H829" s="331">
        <v>13275.72</v>
      </c>
      <c r="I829" s="331">
        <v>12206.48</v>
      </c>
      <c r="J829" s="331">
        <v>12568.58</v>
      </c>
      <c r="K829" s="331">
        <v>14944.54</v>
      </c>
      <c r="L829" s="1072">
        <v>0</v>
      </c>
      <c r="M829" s="1072">
        <v>0</v>
      </c>
      <c r="N829" s="1072">
        <v>0</v>
      </c>
      <c r="O829" s="1072">
        <v>0</v>
      </c>
      <c r="P829" s="491">
        <v>0</v>
      </c>
      <c r="Q829" s="491">
        <v>0</v>
      </c>
      <c r="R829" s="491">
        <v>0</v>
      </c>
      <c r="S829" s="491">
        <v>0</v>
      </c>
      <c r="T829" s="1025" t="b">
        <v>0</v>
      </c>
      <c r="U829" s="491">
        <v>0.96</v>
      </c>
      <c r="V829" s="491">
        <v>1.55</v>
      </c>
      <c r="W829" s="491">
        <v>0</v>
      </c>
      <c r="X829" s="491">
        <v>3.06</v>
      </c>
      <c r="Y829" s="1025" t="b">
        <v>1</v>
      </c>
      <c r="Z829" s="331">
        <v>0</v>
      </c>
      <c r="AA829" s="331">
        <v>0</v>
      </c>
      <c r="AB829" s="331">
        <v>0</v>
      </c>
      <c r="AC829" s="331">
        <v>0</v>
      </c>
      <c r="AD829" s="1025" t="b">
        <v>0</v>
      </c>
      <c r="AE829" s="331">
        <v>7.0000000000000007E-2</v>
      </c>
      <c r="AF829" s="331">
        <v>0</v>
      </c>
      <c r="AG829" s="331">
        <v>0</v>
      </c>
      <c r="AH829" s="331">
        <v>0.26</v>
      </c>
      <c r="AI829" s="1025" t="b">
        <v>1</v>
      </c>
      <c r="AJ829" s="331">
        <v>0</v>
      </c>
      <c r="AK829" s="331">
        <v>0</v>
      </c>
      <c r="AL829" s="331">
        <v>0</v>
      </c>
      <c r="AM829" s="331">
        <v>0</v>
      </c>
      <c r="AN829" s="1025" t="b">
        <v>0</v>
      </c>
      <c r="AO829" s="331">
        <v>0</v>
      </c>
      <c r="AP829" s="331">
        <v>0</v>
      </c>
      <c r="AQ829" s="331">
        <v>0</v>
      </c>
      <c r="AR829" s="331">
        <v>0</v>
      </c>
      <c r="AS829" s="1025" t="b">
        <v>0</v>
      </c>
      <c r="AT829" s="1025" t="b">
        <v>1</v>
      </c>
      <c r="AU829" s="331">
        <v>0</v>
      </c>
      <c r="AV829" s="491" t="s">
        <v>29</v>
      </c>
    </row>
    <row r="830" spans="1:48">
      <c r="A830" s="72">
        <v>57</v>
      </c>
      <c r="B830" s="391" t="s">
        <v>38</v>
      </c>
      <c r="C830" s="72">
        <f t="shared" si="36"/>
        <v>3</v>
      </c>
      <c r="D830" s="72" t="str">
        <f t="shared" si="37"/>
        <v>57-3</v>
      </c>
      <c r="E830" s="72">
        <v>72694</v>
      </c>
      <c r="F830" s="72" t="str">
        <f t="shared" si="38"/>
        <v>57-72694</v>
      </c>
      <c r="G830" s="391" t="s">
        <v>706</v>
      </c>
      <c r="H830" s="331">
        <v>12369.16</v>
      </c>
      <c r="I830" s="331">
        <v>11372.93</v>
      </c>
      <c r="J830" s="331">
        <v>11710.3</v>
      </c>
      <c r="K830" s="331">
        <v>13924.02</v>
      </c>
      <c r="L830" s="1072">
        <v>0</v>
      </c>
      <c r="M830" s="1072">
        <v>0</v>
      </c>
      <c r="N830" s="1072">
        <v>0</v>
      </c>
      <c r="O830" s="1072">
        <v>0</v>
      </c>
      <c r="P830" s="491">
        <v>0</v>
      </c>
      <c r="Q830" s="491">
        <v>0</v>
      </c>
      <c r="R830" s="491">
        <v>0</v>
      </c>
      <c r="S830" s="491">
        <v>0</v>
      </c>
      <c r="T830" s="1025" t="b">
        <v>0</v>
      </c>
      <c r="U830" s="491">
        <v>5.27</v>
      </c>
      <c r="V830" s="491">
        <v>3.19</v>
      </c>
      <c r="W830" s="491">
        <v>6.37</v>
      </c>
      <c r="X830" s="491">
        <v>15.7</v>
      </c>
      <c r="Y830" s="1025" t="b">
        <v>1</v>
      </c>
      <c r="Z830" s="331">
        <v>0</v>
      </c>
      <c r="AA830" s="331">
        <v>0</v>
      </c>
      <c r="AB830" s="331">
        <v>0</v>
      </c>
      <c r="AC830" s="331">
        <v>0</v>
      </c>
      <c r="AD830" s="1025" t="b">
        <v>0</v>
      </c>
      <c r="AE830" s="331">
        <v>0.22</v>
      </c>
      <c r="AF830" s="331">
        <v>0.5</v>
      </c>
      <c r="AG830" s="331">
        <v>0.39</v>
      </c>
      <c r="AH830" s="331">
        <v>0.64</v>
      </c>
      <c r="AI830" s="1025" t="b">
        <v>1</v>
      </c>
      <c r="AJ830" s="331">
        <v>0</v>
      </c>
      <c r="AK830" s="331">
        <v>0</v>
      </c>
      <c r="AL830" s="331">
        <v>0</v>
      </c>
      <c r="AM830" s="331">
        <v>0</v>
      </c>
      <c r="AN830" s="1025" t="b">
        <v>0</v>
      </c>
      <c r="AO830" s="331">
        <v>0</v>
      </c>
      <c r="AP830" s="331">
        <v>0</v>
      </c>
      <c r="AQ830" s="331">
        <v>0</v>
      </c>
      <c r="AR830" s="331">
        <v>0</v>
      </c>
      <c r="AS830" s="1025" t="b">
        <v>0</v>
      </c>
      <c r="AT830" s="1025" t="b">
        <v>1</v>
      </c>
      <c r="AU830" s="331">
        <v>0</v>
      </c>
      <c r="AV830" s="491" t="s">
        <v>29</v>
      </c>
    </row>
    <row r="831" spans="1:48">
      <c r="A831" s="72">
        <v>57</v>
      </c>
      <c r="B831" s="391" t="s">
        <v>38</v>
      </c>
      <c r="C831" s="72">
        <f t="shared" si="36"/>
        <v>4</v>
      </c>
      <c r="D831" s="72" t="str">
        <f t="shared" si="37"/>
        <v>57-4</v>
      </c>
      <c r="E831" s="72">
        <v>72702</v>
      </c>
      <c r="F831" s="72" t="str">
        <f t="shared" si="38"/>
        <v>57-72702</v>
      </c>
      <c r="G831" s="391" t="s">
        <v>1272</v>
      </c>
      <c r="H831" s="331">
        <v>12278.85</v>
      </c>
      <c r="I831" s="331">
        <v>11289.89</v>
      </c>
      <c r="J831" s="331">
        <v>11624.8</v>
      </c>
      <c r="K831" s="331">
        <v>13822.35</v>
      </c>
      <c r="L831" s="1072">
        <v>0</v>
      </c>
      <c r="M831" s="1072">
        <v>0</v>
      </c>
      <c r="N831" s="1072">
        <v>0</v>
      </c>
      <c r="O831" s="1072">
        <v>0</v>
      </c>
      <c r="P831" s="491">
        <v>0</v>
      </c>
      <c r="Q831" s="491">
        <v>0</v>
      </c>
      <c r="R831" s="491">
        <v>0</v>
      </c>
      <c r="S831" s="491">
        <v>0</v>
      </c>
      <c r="T831" s="1025" t="b">
        <v>0</v>
      </c>
      <c r="U831" s="491">
        <v>2.59</v>
      </c>
      <c r="V831" s="491">
        <v>4.6399999999999997</v>
      </c>
      <c r="W831" s="491">
        <v>0.75</v>
      </c>
      <c r="X831" s="491">
        <v>5.96</v>
      </c>
      <c r="Y831" s="1025" t="b">
        <v>1</v>
      </c>
      <c r="Z831" s="331">
        <v>0</v>
      </c>
      <c r="AA831" s="331">
        <v>0</v>
      </c>
      <c r="AB831" s="331">
        <v>0</v>
      </c>
      <c r="AC831" s="331">
        <v>0</v>
      </c>
      <c r="AD831" s="1025" t="b">
        <v>0</v>
      </c>
      <c r="AE831" s="331">
        <v>0.28999999999999998</v>
      </c>
      <c r="AF831" s="331">
        <v>0.3</v>
      </c>
      <c r="AG831" s="331">
        <v>0</v>
      </c>
      <c r="AH831" s="331">
        <v>0.62</v>
      </c>
      <c r="AI831" s="1025" t="b">
        <v>1</v>
      </c>
      <c r="AJ831" s="331">
        <v>0</v>
      </c>
      <c r="AK831" s="331">
        <v>0</v>
      </c>
      <c r="AL831" s="331">
        <v>0</v>
      </c>
      <c r="AM831" s="331">
        <v>0</v>
      </c>
      <c r="AN831" s="1025" t="b">
        <v>0</v>
      </c>
      <c r="AO831" s="331">
        <v>0</v>
      </c>
      <c r="AP831" s="331">
        <v>0</v>
      </c>
      <c r="AQ831" s="331">
        <v>0</v>
      </c>
      <c r="AR831" s="331">
        <v>0</v>
      </c>
      <c r="AS831" s="1025" t="b">
        <v>0</v>
      </c>
      <c r="AT831" s="1025" t="b">
        <v>1</v>
      </c>
      <c r="AU831" s="331">
        <v>0</v>
      </c>
      <c r="AV831" s="491" t="s">
        <v>29</v>
      </c>
    </row>
    <row r="832" spans="1:48">
      <c r="A832" s="72">
        <v>57</v>
      </c>
      <c r="B832" s="391" t="s">
        <v>38</v>
      </c>
      <c r="C832" s="72">
        <f t="shared" si="36"/>
        <v>5</v>
      </c>
      <c r="D832" s="72" t="str">
        <f t="shared" si="37"/>
        <v>57-5</v>
      </c>
      <c r="E832" s="72">
        <v>72710</v>
      </c>
      <c r="F832" s="72" t="str">
        <f t="shared" si="38"/>
        <v>57-72710</v>
      </c>
      <c r="G832" s="391" t="s">
        <v>1273</v>
      </c>
      <c r="H832" s="331">
        <v>12496.46</v>
      </c>
      <c r="I832" s="331">
        <v>11489.97</v>
      </c>
      <c r="J832" s="331">
        <v>11830.82</v>
      </c>
      <c r="K832" s="331">
        <v>14067.32</v>
      </c>
      <c r="L832" s="1072">
        <v>0</v>
      </c>
      <c r="M832" s="1072">
        <v>0</v>
      </c>
      <c r="N832" s="1072">
        <v>0</v>
      </c>
      <c r="O832" s="1072">
        <v>0</v>
      </c>
      <c r="P832" s="491">
        <v>0</v>
      </c>
      <c r="Q832" s="491">
        <v>0</v>
      </c>
      <c r="R832" s="491">
        <v>0</v>
      </c>
      <c r="S832" s="491">
        <v>0</v>
      </c>
      <c r="T832" s="1025" t="b">
        <v>0</v>
      </c>
      <c r="U832" s="491">
        <v>6.33</v>
      </c>
      <c r="V832" s="491">
        <v>16.440000000000001</v>
      </c>
      <c r="W832" s="491">
        <v>6.88</v>
      </c>
      <c r="X832" s="491">
        <v>23.17</v>
      </c>
      <c r="Y832" s="1025" t="b">
        <v>1</v>
      </c>
      <c r="Z832" s="331">
        <v>0</v>
      </c>
      <c r="AA832" s="331">
        <v>0</v>
      </c>
      <c r="AB832" s="331">
        <v>0</v>
      </c>
      <c r="AC832" s="331">
        <v>0</v>
      </c>
      <c r="AD832" s="1025" t="b">
        <v>0</v>
      </c>
      <c r="AE832" s="331">
        <v>0.91</v>
      </c>
      <c r="AF832" s="331">
        <v>1.59</v>
      </c>
      <c r="AG832" s="331">
        <v>0.31</v>
      </c>
      <c r="AH832" s="331">
        <v>2.3199999999999998</v>
      </c>
      <c r="AI832" s="1025" t="b">
        <v>1</v>
      </c>
      <c r="AJ832" s="331">
        <v>0</v>
      </c>
      <c r="AK832" s="331">
        <v>0</v>
      </c>
      <c r="AL832" s="331">
        <v>0</v>
      </c>
      <c r="AM832" s="331">
        <v>0</v>
      </c>
      <c r="AN832" s="1025" t="b">
        <v>0</v>
      </c>
      <c r="AO832" s="331">
        <v>0</v>
      </c>
      <c r="AP832" s="331">
        <v>0</v>
      </c>
      <c r="AQ832" s="331">
        <v>0</v>
      </c>
      <c r="AR832" s="331">
        <v>0</v>
      </c>
      <c r="AS832" s="1025" t="b">
        <v>0</v>
      </c>
      <c r="AT832" s="1025" t="b">
        <v>1</v>
      </c>
      <c r="AU832" s="331">
        <v>0</v>
      </c>
      <c r="AV832" s="491" t="s">
        <v>29</v>
      </c>
    </row>
    <row r="833" spans="1:48">
      <c r="A833" s="72">
        <v>57</v>
      </c>
      <c r="B833" s="391" t="s">
        <v>38</v>
      </c>
      <c r="C833" s="72">
        <f t="shared" si="36"/>
        <v>0</v>
      </c>
      <c r="D833" s="72" t="str">
        <f t="shared" si="37"/>
        <v>57-0</v>
      </c>
      <c r="E833" s="72" t="s">
        <v>29</v>
      </c>
      <c r="F833" s="72" t="str">
        <f t="shared" si="38"/>
        <v>57-N/A</v>
      </c>
      <c r="G833" s="391" t="s">
        <v>29</v>
      </c>
      <c r="H833" s="491" t="s">
        <v>29</v>
      </c>
      <c r="I833" s="491" t="s">
        <v>29</v>
      </c>
      <c r="J833" s="491" t="s">
        <v>29</v>
      </c>
      <c r="K833" s="491" t="s">
        <v>29</v>
      </c>
      <c r="L833" s="491" t="s">
        <v>29</v>
      </c>
      <c r="M833" s="491" t="s">
        <v>29</v>
      </c>
      <c r="N833" s="491" t="s">
        <v>29</v>
      </c>
      <c r="O833" s="491" t="s">
        <v>29</v>
      </c>
      <c r="P833" s="491" t="s">
        <v>29</v>
      </c>
      <c r="Q833" s="491" t="s">
        <v>29</v>
      </c>
      <c r="R833" s="491" t="s">
        <v>29</v>
      </c>
      <c r="S833" s="491" t="s">
        <v>29</v>
      </c>
      <c r="T833" s="1025" t="s">
        <v>29</v>
      </c>
      <c r="U833" s="491" t="s">
        <v>29</v>
      </c>
      <c r="V833" s="491" t="s">
        <v>29</v>
      </c>
      <c r="W833" s="491" t="s">
        <v>29</v>
      </c>
      <c r="X833" s="491" t="s">
        <v>29</v>
      </c>
      <c r="Y833" s="1025" t="s">
        <v>29</v>
      </c>
      <c r="Z833" s="491" t="s">
        <v>29</v>
      </c>
      <c r="AA833" s="491" t="s">
        <v>29</v>
      </c>
      <c r="AB833" s="491" t="s">
        <v>29</v>
      </c>
      <c r="AC833" s="491" t="s">
        <v>29</v>
      </c>
      <c r="AD833" s="1025" t="s">
        <v>29</v>
      </c>
      <c r="AE833" s="491" t="s">
        <v>29</v>
      </c>
      <c r="AF833" s="491" t="s">
        <v>29</v>
      </c>
      <c r="AG833" s="491" t="s">
        <v>29</v>
      </c>
      <c r="AH833" s="491" t="s">
        <v>29</v>
      </c>
      <c r="AI833" s="1025" t="s">
        <v>29</v>
      </c>
      <c r="AJ833" s="491" t="s">
        <v>29</v>
      </c>
      <c r="AK833" s="491" t="s">
        <v>29</v>
      </c>
      <c r="AL833" s="491" t="s">
        <v>29</v>
      </c>
      <c r="AM833" s="491" t="s">
        <v>29</v>
      </c>
      <c r="AN833" s="1025" t="s">
        <v>29</v>
      </c>
      <c r="AO833" s="491" t="s">
        <v>29</v>
      </c>
      <c r="AP833" s="491" t="s">
        <v>29</v>
      </c>
      <c r="AQ833" s="491" t="s">
        <v>29</v>
      </c>
      <c r="AR833" s="491" t="s">
        <v>29</v>
      </c>
      <c r="AS833" s="1025" t="s">
        <v>29</v>
      </c>
      <c r="AT833" s="1025" t="s">
        <v>29</v>
      </c>
      <c r="AU833" s="491" t="s">
        <v>29</v>
      </c>
      <c r="AV833" s="491">
        <v>0</v>
      </c>
    </row>
    <row r="834" spans="1:48">
      <c r="A834" s="72">
        <v>58</v>
      </c>
      <c r="B834" s="391" t="s">
        <v>79</v>
      </c>
      <c r="C834" s="72">
        <f t="shared" si="36"/>
        <v>1</v>
      </c>
      <c r="D834" s="72" t="str">
        <f t="shared" si="37"/>
        <v>58-1</v>
      </c>
      <c r="E834" s="72">
        <v>72736</v>
      </c>
      <c r="F834" s="72" t="str">
        <f t="shared" si="38"/>
        <v>58-72736</v>
      </c>
      <c r="G834" s="391" t="s">
        <v>1208</v>
      </c>
      <c r="H834" s="331">
        <v>12972.1</v>
      </c>
      <c r="I834" s="331">
        <v>11927.31</v>
      </c>
      <c r="J834" s="331">
        <v>12281.13</v>
      </c>
      <c r="K834" s="331">
        <v>14602.75</v>
      </c>
      <c r="L834" s="491" t="s">
        <v>29</v>
      </c>
      <c r="M834" s="491" t="s">
        <v>29</v>
      </c>
      <c r="N834" s="491" t="s">
        <v>29</v>
      </c>
      <c r="O834" s="491" t="s">
        <v>29</v>
      </c>
      <c r="P834" s="491">
        <v>0</v>
      </c>
      <c r="Q834" s="491">
        <v>0</v>
      </c>
      <c r="R834" s="491">
        <v>0</v>
      </c>
      <c r="S834" s="491">
        <v>0</v>
      </c>
      <c r="T834" s="1025" t="b">
        <v>0</v>
      </c>
      <c r="U834" s="491">
        <v>61.52</v>
      </c>
      <c r="V834" s="491">
        <v>26.89</v>
      </c>
      <c r="W834" s="491">
        <v>14.05</v>
      </c>
      <c r="X834" s="491">
        <v>43.72</v>
      </c>
      <c r="Y834" s="1025" t="b">
        <v>0</v>
      </c>
      <c r="Z834" s="331">
        <v>0</v>
      </c>
      <c r="AA834" s="331">
        <v>0</v>
      </c>
      <c r="AB834" s="331">
        <v>0</v>
      </c>
      <c r="AC834" s="331">
        <v>0</v>
      </c>
      <c r="AD834" s="1025" t="b">
        <v>0</v>
      </c>
      <c r="AE834" s="331">
        <v>4.63</v>
      </c>
      <c r="AF834" s="331">
        <v>1.8</v>
      </c>
      <c r="AG834" s="331">
        <v>0.5</v>
      </c>
      <c r="AH834" s="331">
        <v>2.69</v>
      </c>
      <c r="AI834" s="1025" t="b">
        <v>0</v>
      </c>
      <c r="AJ834" s="331">
        <v>0</v>
      </c>
      <c r="AK834" s="331">
        <v>0</v>
      </c>
      <c r="AL834" s="331">
        <v>0</v>
      </c>
      <c r="AM834" s="331">
        <v>0</v>
      </c>
      <c r="AN834" s="1025" t="b">
        <v>0</v>
      </c>
      <c r="AO834" s="331">
        <v>0</v>
      </c>
      <c r="AP834" s="331">
        <v>0</v>
      </c>
      <c r="AQ834" s="331">
        <v>0</v>
      </c>
      <c r="AR834" s="331">
        <v>0</v>
      </c>
      <c r="AS834" s="1025" t="b">
        <v>0</v>
      </c>
      <c r="AT834" s="1025" t="b">
        <v>0</v>
      </c>
      <c r="AU834" s="331">
        <v>2056703</v>
      </c>
      <c r="AV834" s="491" t="s">
        <v>29</v>
      </c>
    </row>
    <row r="835" spans="1:48">
      <c r="A835" s="72">
        <v>58</v>
      </c>
      <c r="B835" s="391" t="s">
        <v>79</v>
      </c>
      <c r="C835" s="72">
        <f t="shared" si="36"/>
        <v>2</v>
      </c>
      <c r="D835" s="72" t="str">
        <f t="shared" si="37"/>
        <v>58-2</v>
      </c>
      <c r="E835" s="72">
        <v>72744</v>
      </c>
      <c r="F835" s="72" t="str">
        <f t="shared" si="38"/>
        <v>58-72744</v>
      </c>
      <c r="G835" s="391" t="s">
        <v>1209</v>
      </c>
      <c r="H835" s="331">
        <v>10908.89</v>
      </c>
      <c r="I835" s="331">
        <v>10030.27</v>
      </c>
      <c r="J835" s="331">
        <v>10327.81</v>
      </c>
      <c r="K835" s="331">
        <v>12280.18</v>
      </c>
      <c r="L835" s="491" t="s">
        <v>29</v>
      </c>
      <c r="M835" s="491" t="s">
        <v>29</v>
      </c>
      <c r="N835" s="491" t="s">
        <v>29</v>
      </c>
      <c r="O835" s="491" t="s">
        <v>29</v>
      </c>
      <c r="P835" s="491">
        <v>0</v>
      </c>
      <c r="Q835" s="491">
        <v>0</v>
      </c>
      <c r="R835" s="491">
        <v>0</v>
      </c>
      <c r="S835" s="491">
        <v>0</v>
      </c>
      <c r="T835" s="1025" t="b">
        <v>0</v>
      </c>
      <c r="U835" s="491">
        <v>0.86</v>
      </c>
      <c r="V835" s="491">
        <v>0.49</v>
      </c>
      <c r="W835" s="491">
        <v>0</v>
      </c>
      <c r="X835" s="491">
        <v>0</v>
      </c>
      <c r="Y835" s="1025" t="b">
        <v>0</v>
      </c>
      <c r="Z835" s="331">
        <v>0</v>
      </c>
      <c r="AA835" s="331">
        <v>0</v>
      </c>
      <c r="AB835" s="331">
        <v>0</v>
      </c>
      <c r="AC835" s="331">
        <v>0</v>
      </c>
      <c r="AD835" s="1025" t="b">
        <v>0</v>
      </c>
      <c r="AE835" s="331">
        <v>0.11</v>
      </c>
      <c r="AF835" s="331">
        <v>0</v>
      </c>
      <c r="AG835" s="331">
        <v>0.09</v>
      </c>
      <c r="AH835" s="331">
        <v>0</v>
      </c>
      <c r="AI835" s="1025" t="b">
        <v>0</v>
      </c>
      <c r="AJ835" s="331">
        <v>0</v>
      </c>
      <c r="AK835" s="331">
        <v>0</v>
      </c>
      <c r="AL835" s="331">
        <v>0</v>
      </c>
      <c r="AM835" s="331">
        <v>0</v>
      </c>
      <c r="AN835" s="1025" t="b">
        <v>0</v>
      </c>
      <c r="AO835" s="331">
        <v>0</v>
      </c>
      <c r="AP835" s="331">
        <v>0</v>
      </c>
      <c r="AQ835" s="331">
        <v>0</v>
      </c>
      <c r="AR835" s="331">
        <v>0</v>
      </c>
      <c r="AS835" s="1025" t="b">
        <v>0</v>
      </c>
      <c r="AT835" s="1025" t="b">
        <v>0</v>
      </c>
      <c r="AU835" s="331">
        <v>16427</v>
      </c>
      <c r="AV835" s="491" t="s">
        <v>29</v>
      </c>
    </row>
    <row r="836" spans="1:48">
      <c r="A836" s="72">
        <v>58</v>
      </c>
      <c r="B836" s="391" t="s">
        <v>79</v>
      </c>
      <c r="C836" s="72">
        <f t="shared" si="36"/>
        <v>3</v>
      </c>
      <c r="D836" s="72" t="str">
        <f t="shared" si="37"/>
        <v>58-3</v>
      </c>
      <c r="E836" s="72">
        <v>72751</v>
      </c>
      <c r="F836" s="72" t="str">
        <f t="shared" si="38"/>
        <v>58-72751</v>
      </c>
      <c r="G836" s="391" t="s">
        <v>1274</v>
      </c>
      <c r="H836" s="331">
        <v>11069.78</v>
      </c>
      <c r="I836" s="331">
        <v>10178.200000000001</v>
      </c>
      <c r="J836" s="331">
        <v>10480.14</v>
      </c>
      <c r="K836" s="331">
        <v>12461.3</v>
      </c>
      <c r="L836" s="491" t="s">
        <v>29</v>
      </c>
      <c r="M836" s="491" t="s">
        <v>29</v>
      </c>
      <c r="N836" s="491" t="s">
        <v>29</v>
      </c>
      <c r="O836" s="491" t="s">
        <v>29</v>
      </c>
      <c r="P836" s="491">
        <v>0</v>
      </c>
      <c r="Q836" s="491">
        <v>0</v>
      </c>
      <c r="R836" s="491">
        <v>0</v>
      </c>
      <c r="S836" s="491">
        <v>0</v>
      </c>
      <c r="T836" s="1025" t="b">
        <v>0</v>
      </c>
      <c r="U836" s="491">
        <v>0.75</v>
      </c>
      <c r="V836" s="491">
        <v>0.84</v>
      </c>
      <c r="W836" s="491">
        <v>0</v>
      </c>
      <c r="X836" s="491">
        <v>0</v>
      </c>
      <c r="Y836" s="1025" t="b">
        <v>0</v>
      </c>
      <c r="Z836" s="331">
        <v>0</v>
      </c>
      <c r="AA836" s="331">
        <v>0</v>
      </c>
      <c r="AB836" s="331">
        <v>0</v>
      </c>
      <c r="AC836" s="331">
        <v>0</v>
      </c>
      <c r="AD836" s="1025" t="b">
        <v>0</v>
      </c>
      <c r="AE836" s="331">
        <v>0.11</v>
      </c>
      <c r="AF836" s="331">
        <v>0.08</v>
      </c>
      <c r="AG836" s="331">
        <v>0.05</v>
      </c>
      <c r="AH836" s="331">
        <v>0</v>
      </c>
      <c r="AI836" s="1025" t="b">
        <v>0</v>
      </c>
      <c r="AJ836" s="331">
        <v>0</v>
      </c>
      <c r="AK836" s="331">
        <v>0</v>
      </c>
      <c r="AL836" s="331">
        <v>0</v>
      </c>
      <c r="AM836" s="331">
        <v>0</v>
      </c>
      <c r="AN836" s="1025" t="b">
        <v>0</v>
      </c>
      <c r="AO836" s="331">
        <v>0</v>
      </c>
      <c r="AP836" s="331">
        <v>0</v>
      </c>
      <c r="AQ836" s="331">
        <v>0</v>
      </c>
      <c r="AR836" s="331">
        <v>0</v>
      </c>
      <c r="AS836" s="1025" t="b">
        <v>0</v>
      </c>
      <c r="AT836" s="1025" t="b">
        <v>0</v>
      </c>
      <c r="AU836" s="331">
        <v>19408</v>
      </c>
      <c r="AV836" s="491" t="s">
        <v>29</v>
      </c>
    </row>
    <row r="837" spans="1:48">
      <c r="A837" s="72">
        <v>58</v>
      </c>
      <c r="B837" s="391" t="s">
        <v>79</v>
      </c>
      <c r="C837" s="72">
        <f t="shared" si="36"/>
        <v>4</v>
      </c>
      <c r="D837" s="72" t="str">
        <f t="shared" si="37"/>
        <v>58-4</v>
      </c>
      <c r="E837" s="72">
        <v>72769</v>
      </c>
      <c r="F837" s="72" t="str">
        <f t="shared" si="38"/>
        <v>58-72769</v>
      </c>
      <c r="G837" s="391" t="s">
        <v>1275</v>
      </c>
      <c r="H837" s="331">
        <v>12504.2</v>
      </c>
      <c r="I837" s="331">
        <v>11497.09</v>
      </c>
      <c r="J837" s="331">
        <v>11838.15</v>
      </c>
      <c r="K837" s="331">
        <v>14076.03</v>
      </c>
      <c r="L837" s="491" t="s">
        <v>29</v>
      </c>
      <c r="M837" s="491" t="s">
        <v>29</v>
      </c>
      <c r="N837" s="491" t="s">
        <v>29</v>
      </c>
      <c r="O837" s="491" t="s">
        <v>29</v>
      </c>
      <c r="P837" s="491">
        <v>0</v>
      </c>
      <c r="Q837" s="491">
        <v>0</v>
      </c>
      <c r="R837" s="491">
        <v>0</v>
      </c>
      <c r="S837" s="491">
        <v>0</v>
      </c>
      <c r="T837" s="1025" t="b">
        <v>0</v>
      </c>
      <c r="U837" s="491">
        <v>0</v>
      </c>
      <c r="V837" s="491">
        <v>0</v>
      </c>
      <c r="W837" s="491">
        <v>0</v>
      </c>
      <c r="X837" s="491">
        <v>5.87</v>
      </c>
      <c r="Y837" s="1025" t="b">
        <v>0</v>
      </c>
      <c r="Z837" s="331">
        <v>0</v>
      </c>
      <c r="AA837" s="331">
        <v>0</v>
      </c>
      <c r="AB837" s="331">
        <v>0</v>
      </c>
      <c r="AC837" s="331">
        <v>0</v>
      </c>
      <c r="AD837" s="1025" t="b">
        <v>0</v>
      </c>
      <c r="AE837" s="331">
        <v>0</v>
      </c>
      <c r="AF837" s="331">
        <v>0</v>
      </c>
      <c r="AG837" s="331">
        <v>0</v>
      </c>
      <c r="AH837" s="331">
        <v>0.46</v>
      </c>
      <c r="AI837" s="1025" t="b">
        <v>0</v>
      </c>
      <c r="AJ837" s="331">
        <v>0</v>
      </c>
      <c r="AK837" s="331">
        <v>0</v>
      </c>
      <c r="AL837" s="331">
        <v>0</v>
      </c>
      <c r="AM837" s="331">
        <v>0</v>
      </c>
      <c r="AN837" s="1025" t="b">
        <v>0</v>
      </c>
      <c r="AO837" s="331">
        <v>0</v>
      </c>
      <c r="AP837" s="331">
        <v>0</v>
      </c>
      <c r="AQ837" s="331">
        <v>0</v>
      </c>
      <c r="AR837" s="331">
        <v>0</v>
      </c>
      <c r="AS837" s="1025" t="b">
        <v>0</v>
      </c>
      <c r="AT837" s="1025" t="b">
        <v>0</v>
      </c>
      <c r="AU837" s="331">
        <v>89101</v>
      </c>
      <c r="AV837" s="491" t="s">
        <v>29</v>
      </c>
    </row>
    <row r="838" spans="1:48">
      <c r="A838" s="72">
        <v>58</v>
      </c>
      <c r="B838" s="391" t="s">
        <v>79</v>
      </c>
      <c r="C838" s="72">
        <f t="shared" si="36"/>
        <v>0</v>
      </c>
      <c r="D838" s="72" t="str">
        <f t="shared" ref="D838" si="39">A838&amp;"-"&amp;C838</f>
        <v>58-0</v>
      </c>
      <c r="E838" s="72" t="s">
        <v>29</v>
      </c>
      <c r="F838" s="72" t="str">
        <f t="shared" si="38"/>
        <v>58-N/A</v>
      </c>
      <c r="G838" s="391" t="s">
        <v>29</v>
      </c>
      <c r="H838" s="491" t="s">
        <v>29</v>
      </c>
      <c r="I838" s="491" t="s">
        <v>29</v>
      </c>
      <c r="J838" s="491" t="s">
        <v>29</v>
      </c>
      <c r="K838" s="491" t="s">
        <v>29</v>
      </c>
      <c r="L838" s="491" t="s">
        <v>29</v>
      </c>
      <c r="M838" s="491" t="s">
        <v>29</v>
      </c>
      <c r="N838" s="491" t="s">
        <v>29</v>
      </c>
      <c r="O838" s="491" t="s">
        <v>29</v>
      </c>
      <c r="P838" s="491" t="s">
        <v>29</v>
      </c>
      <c r="Q838" s="491" t="s">
        <v>29</v>
      </c>
      <c r="R838" s="491" t="s">
        <v>29</v>
      </c>
      <c r="S838" s="491" t="s">
        <v>29</v>
      </c>
      <c r="T838" s="1025" t="s">
        <v>29</v>
      </c>
      <c r="U838" s="491" t="s">
        <v>29</v>
      </c>
      <c r="V838" s="491" t="s">
        <v>29</v>
      </c>
      <c r="W838" s="491" t="s">
        <v>29</v>
      </c>
      <c r="X838" s="491" t="s">
        <v>29</v>
      </c>
      <c r="Y838" s="1025" t="s">
        <v>29</v>
      </c>
      <c r="Z838" s="491" t="s">
        <v>29</v>
      </c>
      <c r="AA838" s="491" t="s">
        <v>29</v>
      </c>
      <c r="AB838" s="491" t="s">
        <v>29</v>
      </c>
      <c r="AC838" s="491" t="s">
        <v>29</v>
      </c>
      <c r="AD838" s="1025" t="s">
        <v>29</v>
      </c>
      <c r="AE838" s="491" t="s">
        <v>29</v>
      </c>
      <c r="AF838" s="491" t="s">
        <v>29</v>
      </c>
      <c r="AG838" s="491" t="s">
        <v>29</v>
      </c>
      <c r="AH838" s="491" t="s">
        <v>29</v>
      </c>
      <c r="AI838" s="1025" t="s">
        <v>29</v>
      </c>
      <c r="AJ838" s="491" t="s">
        <v>29</v>
      </c>
      <c r="AK838" s="491" t="s">
        <v>29</v>
      </c>
      <c r="AL838" s="491" t="s">
        <v>29</v>
      </c>
      <c r="AM838" s="491" t="s">
        <v>29</v>
      </c>
      <c r="AN838" s="1025" t="s">
        <v>29</v>
      </c>
      <c r="AO838" s="491" t="s">
        <v>29</v>
      </c>
      <c r="AP838" s="491" t="s">
        <v>29</v>
      </c>
      <c r="AQ838" s="491" t="s">
        <v>29</v>
      </c>
      <c r="AR838" s="491" t="s">
        <v>29</v>
      </c>
      <c r="AS838" s="1025" t="s">
        <v>29</v>
      </c>
      <c r="AT838" s="1025" t="s">
        <v>29</v>
      </c>
      <c r="AU838" s="491" t="s">
        <v>29</v>
      </c>
      <c r="AV838" s="491">
        <v>2181639</v>
      </c>
    </row>
    <row r="839" spans="1:48">
      <c r="G839" s="314"/>
      <c r="H839" s="949">
        <f>SUM(H6:H838)</f>
        <v>9518554.8199999966</v>
      </c>
      <c r="I839" s="949">
        <f>SUM(I6:I838)</f>
        <v>8751915.6300000027</v>
      </c>
      <c r="J839" s="949">
        <f>SUM(J6:J838)</f>
        <v>9011538.540000014</v>
      </c>
      <c r="K839" s="949">
        <f>SUM(K6:K838)</f>
        <v>10715076.539999994</v>
      </c>
      <c r="P839" s="949">
        <f>SUM(P6:P838)</f>
        <v>203.32</v>
      </c>
      <c r="Q839" s="949">
        <f>SUM(Q6:Q838)</f>
        <v>174.31000000000003</v>
      </c>
      <c r="R839" s="949">
        <f>SUM(R6:R838)</f>
        <v>404.19</v>
      </c>
      <c r="S839" s="949">
        <f>SUM(S6:S838)</f>
        <v>5975.3300000000008</v>
      </c>
      <c r="U839" s="949">
        <f>SUM(U6:U838)</f>
        <v>3023.5599999999977</v>
      </c>
      <c r="V839" s="949">
        <f>SUM(V6:V838)</f>
        <v>2016.8000000000015</v>
      </c>
      <c r="W839" s="949">
        <f>SUM(W6:W838)</f>
        <v>1277.1799999999998</v>
      </c>
      <c r="X839" s="949">
        <f>SUM(X6:X838)</f>
        <v>3874.9600000000005</v>
      </c>
      <c r="Z839" s="949">
        <f>SUM(Z6:Z838)</f>
        <v>5.42</v>
      </c>
      <c r="AA839" s="949">
        <f>SUM(AA6:AA838)</f>
        <v>30.490000000000002</v>
      </c>
      <c r="AB839" s="949">
        <f>SUM(AB6:AB838)</f>
        <v>36.68</v>
      </c>
      <c r="AC839" s="949">
        <f>SUM(AC6:AC838)</f>
        <v>88.039999999999978</v>
      </c>
      <c r="AE839" s="949">
        <f>SUM(AE6:AE838)</f>
        <v>149.96000000000004</v>
      </c>
      <c r="AF839" s="949">
        <f>SUM(AF6:AF838)</f>
        <v>95.199999999999989</v>
      </c>
      <c r="AG839" s="949">
        <f>SUM(AG6:AG838)</f>
        <v>54.570000000000036</v>
      </c>
      <c r="AH839" s="949">
        <f>SUM(AH6:AH838)</f>
        <v>187.75999999999993</v>
      </c>
      <c r="AJ839" s="949">
        <f>SUM(AJ6:AJ838)</f>
        <v>1.64</v>
      </c>
      <c r="AK839" s="949">
        <f>SUM(AK6:AK838)</f>
        <v>1.73</v>
      </c>
      <c r="AL839" s="949">
        <f>SUM(AL6:AL838)</f>
        <v>0</v>
      </c>
      <c r="AM839" s="949">
        <f>SUM(AM6:AM838)</f>
        <v>1010.62</v>
      </c>
      <c r="AO839" s="949">
        <f>SUM(AO6:AO838)</f>
        <v>12.41</v>
      </c>
      <c r="AP839" s="949">
        <f>SUM(AP6:AP838)</f>
        <v>13.280000000000001</v>
      </c>
      <c r="AQ839" s="949">
        <f>SUM(AQ6:AQ838)</f>
        <v>5.5200000000000005</v>
      </c>
      <c r="AR839" s="949">
        <f>SUM(AR6:AR838)</f>
        <v>65.63</v>
      </c>
      <c r="AU839" s="949">
        <f>SUM(AU6:AU838)</f>
        <v>183819746</v>
      </c>
      <c r="AV839" s="1026">
        <f>SUM(AV6:AV838)</f>
        <v>183819746</v>
      </c>
    </row>
    <row r="841" spans="1:48">
      <c r="G841" s="404">
        <f>SUM(H839:AV839)</f>
        <v>405655286.13</v>
      </c>
    </row>
    <row r="842" spans="1:48">
      <c r="G842" s="919" t="s">
        <v>1611</v>
      </c>
    </row>
  </sheetData>
  <mergeCells count="8">
    <mergeCell ref="H3:K3"/>
    <mergeCell ref="L3:O3"/>
    <mergeCell ref="AO3:AR3"/>
    <mergeCell ref="P3:S3"/>
    <mergeCell ref="U3:X3"/>
    <mergeCell ref="Z3:AC3"/>
    <mergeCell ref="AE3:AH3"/>
    <mergeCell ref="AJ3:AM3"/>
  </mergeCells>
  <phoneticPr fontId="51" type="noConversion"/>
  <pageMargins left="0.25" right="0.25" top="0.75" bottom="0.75" header="0.3" footer="0.3"/>
  <pageSetup paperSize="5" scale="55" orientation="landscape" horizontalDpi="4294967295" verticalDpi="4294967295" r:id="rId1"/>
  <headerFooter>
    <oddFooter>&amp;R&amp;F
&amp;A</oddFooter>
  </headerFooter>
  <rowBreaks count="1" manualBreakCount="1">
    <brk id="56" max="16383" man="1"/>
  </rowBreaks>
  <colBreaks count="2" manualBreakCount="2">
    <brk id="20" max="1048575" man="1"/>
    <brk id="35" max="1048575" man="1"/>
  </colBreaks>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4"/>
  <dimension ref="A1:W18"/>
  <sheetViews>
    <sheetView zoomScaleNormal="100" workbookViewId="0">
      <selection activeCell="E3" sqref="E3"/>
    </sheetView>
  </sheetViews>
  <sheetFormatPr defaultColWidth="8.88671875" defaultRowHeight="13.2"/>
  <cols>
    <col min="1" max="1" width="13.109375" style="5" customWidth="1"/>
  </cols>
  <sheetData>
    <row r="1" spans="1:23" ht="231.6" customHeight="1">
      <c r="A1" s="1260" t="s">
        <v>1751</v>
      </c>
      <c r="B1" s="1260"/>
      <c r="C1" s="1260"/>
      <c r="D1" s="1260"/>
      <c r="E1" s="1260"/>
      <c r="F1" s="1260"/>
      <c r="G1" s="1260"/>
      <c r="H1" s="1260"/>
      <c r="I1" s="1260"/>
      <c r="J1" s="1260"/>
      <c r="K1" s="1260"/>
      <c r="L1" s="1260"/>
      <c r="M1" s="1260"/>
      <c r="N1" s="1260"/>
      <c r="O1" s="1260"/>
      <c r="P1" s="1260"/>
      <c r="Q1" s="1260"/>
      <c r="R1" s="1260"/>
      <c r="S1" s="1260"/>
      <c r="T1" s="1260"/>
      <c r="U1" s="1260"/>
      <c r="V1" s="1260"/>
    </row>
    <row r="2" spans="1:23" ht="14.4">
      <c r="A2" s="260"/>
      <c r="B2" s="94"/>
      <c r="C2" s="94"/>
      <c r="D2" s="94"/>
      <c r="E2" s="94"/>
      <c r="F2" s="94"/>
      <c r="G2" s="261"/>
      <c r="H2" s="261"/>
      <c r="I2" s="261"/>
      <c r="J2" s="94"/>
      <c r="K2" s="94"/>
      <c r="L2" s="94"/>
      <c r="M2" s="94"/>
      <c r="N2" s="94"/>
      <c r="O2" s="94"/>
      <c r="P2" s="94"/>
      <c r="Q2" s="94"/>
      <c r="R2" s="94"/>
      <c r="S2" s="94"/>
      <c r="T2" s="94"/>
      <c r="U2" s="94"/>
      <c r="V2" s="94"/>
      <c r="W2" s="94"/>
    </row>
    <row r="3" spans="1:23" s="65" customFormat="1" ht="28.5" customHeight="1">
      <c r="A3" s="262"/>
      <c r="C3" s="263" t="s">
        <v>268</v>
      </c>
      <c r="D3" s="266" t="s">
        <v>120</v>
      </c>
      <c r="E3" s="1007" t="s">
        <v>108</v>
      </c>
      <c r="G3" s="265" t="s">
        <v>265</v>
      </c>
      <c r="H3" s="79"/>
    </row>
    <row r="4" spans="1:23" s="65" customFormat="1" ht="15.75" customHeight="1">
      <c r="A4" s="262"/>
      <c r="C4" s="263"/>
      <c r="D4" s="264"/>
      <c r="E4" s="264"/>
      <c r="G4" s="265"/>
      <c r="H4" s="79"/>
      <c r="I4" s="79"/>
    </row>
    <row r="5" spans="1:23" ht="17.25" customHeight="1">
      <c r="B5" s="108"/>
      <c r="C5" s="108"/>
      <c r="D5" s="107" t="s">
        <v>120</v>
      </c>
      <c r="E5" s="107" t="s">
        <v>190</v>
      </c>
      <c r="G5" s="108"/>
      <c r="H5" s="108"/>
      <c r="I5" s="105"/>
    </row>
    <row r="6" spans="1:23" s="65" customFormat="1" ht="36.75" customHeight="1">
      <c r="B6" s="465" t="s">
        <v>194</v>
      </c>
      <c r="C6" s="466" t="s">
        <v>192</v>
      </c>
      <c r="D6" s="900" t="s">
        <v>1618</v>
      </c>
      <c r="E6" s="900" t="s">
        <v>1619</v>
      </c>
      <c r="G6" s="467"/>
      <c r="H6" s="468"/>
    </row>
    <row r="7" spans="1:23" s="5" customFormat="1">
      <c r="A7" s="464">
        <v>1</v>
      </c>
      <c r="B7" s="464" t="s">
        <v>179</v>
      </c>
      <c r="C7" s="1008" t="s">
        <v>83</v>
      </c>
      <c r="D7" s="464" t="s">
        <v>187</v>
      </c>
      <c r="E7" s="464" t="s">
        <v>188</v>
      </c>
      <c r="F7" s="24"/>
      <c r="G7" s="32"/>
    </row>
    <row r="8" spans="1:23" s="5" customFormat="1">
      <c r="A8" s="464">
        <v>2</v>
      </c>
      <c r="B8" s="464" t="s">
        <v>180</v>
      </c>
      <c r="C8" s="1008" t="s">
        <v>107</v>
      </c>
      <c r="D8" s="464" t="s">
        <v>121</v>
      </c>
      <c r="E8" s="464" t="s">
        <v>189</v>
      </c>
      <c r="F8" s="24"/>
      <c r="G8" s="32"/>
    </row>
    <row r="9" spans="1:23" s="5" customFormat="1">
      <c r="A9" s="464">
        <v>3</v>
      </c>
      <c r="B9" s="464" t="s">
        <v>181</v>
      </c>
      <c r="C9" s="1008" t="s">
        <v>108</v>
      </c>
      <c r="D9" s="464" t="s">
        <v>120</v>
      </c>
      <c r="E9" s="464" t="s">
        <v>190</v>
      </c>
      <c r="F9" s="24"/>
      <c r="G9" s="32"/>
    </row>
    <row r="10" spans="1:23" s="5" customFormat="1">
      <c r="A10" s="464">
        <v>4</v>
      </c>
      <c r="B10" s="464" t="s">
        <v>182</v>
      </c>
      <c r="C10" s="1009" t="s">
        <v>118</v>
      </c>
      <c r="D10" s="464" t="s">
        <v>191</v>
      </c>
      <c r="E10" s="464" t="s">
        <v>191</v>
      </c>
      <c r="F10" s="24"/>
      <c r="G10" s="106"/>
      <c r="H10" s="24"/>
    </row>
    <row r="11" spans="1:23" s="5" customFormat="1">
      <c r="A11" s="464">
        <v>5</v>
      </c>
      <c r="B11" s="464" t="s">
        <v>183</v>
      </c>
      <c r="C11" s="1008" t="s">
        <v>119</v>
      </c>
      <c r="D11" s="464"/>
      <c r="E11" s="19"/>
      <c r="F11" s="24"/>
      <c r="G11" s="32"/>
      <c r="H11" s="24"/>
    </row>
    <row r="12" spans="1:23" s="5" customFormat="1">
      <c r="A12" s="464">
        <v>6</v>
      </c>
      <c r="B12" s="464" t="s">
        <v>184</v>
      </c>
      <c r="C12" s="1008" t="s">
        <v>174</v>
      </c>
      <c r="D12" s="464"/>
      <c r="E12" s="19"/>
      <c r="F12" s="24"/>
      <c r="G12" s="32"/>
      <c r="H12" s="24"/>
    </row>
    <row r="13" spans="1:23" s="5" customFormat="1">
      <c r="A13" s="464">
        <v>7</v>
      </c>
      <c r="B13" s="464" t="s">
        <v>185</v>
      </c>
      <c r="C13" s="1008" t="s">
        <v>178</v>
      </c>
      <c r="D13" s="464"/>
      <c r="E13" s="19"/>
      <c r="F13" s="24"/>
      <c r="G13" s="32"/>
      <c r="H13" s="24"/>
    </row>
    <row r="14" spans="1:23" s="5" customFormat="1">
      <c r="A14" s="464">
        <v>8</v>
      </c>
      <c r="B14" s="464" t="s">
        <v>186</v>
      </c>
      <c r="C14" s="1008" t="s">
        <v>1768</v>
      </c>
      <c r="D14" s="19"/>
      <c r="E14" s="19"/>
      <c r="G14" s="32"/>
    </row>
    <row r="15" spans="1:23" s="5" customFormat="1">
      <c r="A15" s="259"/>
      <c r="B15" s="258"/>
      <c r="C15" s="270"/>
      <c r="D15" s="258"/>
      <c r="E15" s="258"/>
      <c r="G15" s="32"/>
    </row>
    <row r="16" spans="1:23" s="5" customFormat="1"/>
    <row r="18" spans="2:3">
      <c r="B18" s="23"/>
      <c r="C18" s="5"/>
    </row>
  </sheetData>
  <mergeCells count="1">
    <mergeCell ref="A1:V1"/>
  </mergeCells>
  <dataValidations count="1">
    <dataValidation type="list" allowBlank="1" showInputMessage="1" showErrorMessage="1" sqref="D3:D4" xr:uid="{00000000-0002-0000-0300-000000000000}">
      <formula1>$D$5:$E$5</formula1>
    </dataValidation>
  </dataValidations>
  <pageMargins left="0.25" right="0.25" top="0.75" bottom="0.75" header="0.3" footer="0.3"/>
  <pageSetup scale="65" orientation="landscape" horizontalDpi="300" verticalDpi="300" r:id="rId1"/>
  <headerFooter>
    <oddFooter>&amp;R&amp;A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76">
    <tabColor theme="1"/>
  </sheetPr>
  <dimension ref="A1"/>
  <sheetViews>
    <sheetView workbookViewId="0">
      <selection activeCell="C29" sqref="C29"/>
    </sheetView>
  </sheetViews>
  <sheetFormatPr defaultColWidth="8.88671875" defaultRowHeight="13.2"/>
  <sheetData/>
  <printOptions horizontalCentered="1"/>
  <pageMargins left="0.45" right="0.45" top="0.5" bottom="0.5" header="0.3" footer="0.3"/>
  <pageSetup scale="83" orientation="landscape" r:id="rId1"/>
  <headerFooter>
    <oddFooter>&amp;L&amp;D&amp;T&amp;C&amp;A&amp;RLCFF Calculator  v21.2</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77">
    <tabColor theme="1"/>
  </sheetPr>
  <dimension ref="A1"/>
  <sheetViews>
    <sheetView workbookViewId="0">
      <selection activeCell="C29" sqref="C29"/>
    </sheetView>
  </sheetViews>
  <sheetFormatPr defaultColWidth="8.88671875" defaultRowHeight="13.2"/>
  <sheetData/>
  <printOptions horizontalCentered="1"/>
  <pageMargins left="0.45" right="0.45" top="0.5" bottom="0.5" header="0.3" footer="0.3"/>
  <pageSetup scale="83" orientation="landscape" r:id="rId1"/>
  <headerFooter>
    <oddFooter>&amp;L&amp;D&amp;T&amp;C&amp;A&amp;RLCFF Calculator  v21.2</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8">
    <tabColor theme="1"/>
  </sheetPr>
  <dimension ref="A1"/>
  <sheetViews>
    <sheetView workbookViewId="0">
      <selection activeCell="C29" sqref="C29"/>
    </sheetView>
  </sheetViews>
  <sheetFormatPr defaultColWidth="8.88671875" defaultRowHeight="13.2"/>
  <cols>
    <col min="1" max="16384" width="8.88671875" style="5"/>
  </cols>
  <sheetData/>
  <printOptions horizontalCentered="1"/>
  <pageMargins left="0.45" right="0.45" top="0.5" bottom="0.5" header="0.3" footer="0.3"/>
  <pageSetup scale="83" orientation="landscape" r:id="rId1"/>
  <headerFooter>
    <oddFooter>&amp;L&amp;D&amp;T&amp;C&amp;A&amp;RLCFF Calculator  v21.2</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79">
    <tabColor theme="1"/>
  </sheetPr>
  <dimension ref="A1"/>
  <sheetViews>
    <sheetView workbookViewId="0">
      <selection activeCell="C29" sqref="C29"/>
    </sheetView>
  </sheetViews>
  <sheetFormatPr defaultColWidth="8.88671875" defaultRowHeight="13.2"/>
  <cols>
    <col min="1" max="16384" width="8.88671875" style="5"/>
  </cols>
  <sheetData/>
  <printOptions horizontalCentered="1"/>
  <pageMargins left="0.45" right="0.45" top="0.5" bottom="0.5" header="0.3" footer="0.3"/>
  <pageSetup scale="83" orientation="landscape" r:id="rId1"/>
  <headerFooter>
    <oddFooter>&amp;L&amp;D&amp;T&amp;C&amp;A&amp;RLCFF Calculator  v21.2</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80">
    <tabColor theme="1"/>
  </sheetPr>
  <dimension ref="A1"/>
  <sheetViews>
    <sheetView workbookViewId="0">
      <selection activeCell="C29" sqref="C29"/>
    </sheetView>
  </sheetViews>
  <sheetFormatPr defaultColWidth="8.88671875" defaultRowHeight="13.2"/>
  <cols>
    <col min="1" max="16384" width="8.88671875" style="5"/>
  </cols>
  <sheetData/>
  <printOptions horizontalCentered="1"/>
  <pageMargins left="0.45" right="0.45" top="0.5" bottom="0.5" header="0.3" footer="0.3"/>
  <pageSetup scale="83" orientation="landscape" r:id="rId1"/>
  <headerFooter>
    <oddFooter>&amp;L&amp;D&amp;T&amp;C&amp;A&amp;RLCFF Calculator  v21.2</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C11"/>
  <sheetViews>
    <sheetView showGridLines="0" tabSelected="1" zoomScaleNormal="100" workbookViewId="0">
      <selection activeCell="C25" sqref="C25"/>
    </sheetView>
  </sheetViews>
  <sheetFormatPr defaultColWidth="9.109375" defaultRowHeight="13.2"/>
  <cols>
    <col min="1" max="1" width="7" style="5" customWidth="1"/>
    <col min="2" max="2" width="11.109375" style="5" customWidth="1"/>
    <col min="3" max="3" width="92.88671875" style="60" customWidth="1"/>
    <col min="4" max="16384" width="9.109375" style="5"/>
  </cols>
  <sheetData>
    <row r="1" spans="1:3" ht="28.2">
      <c r="A1" s="56" t="s">
        <v>157</v>
      </c>
      <c r="B1" s="56"/>
      <c r="C1" s="57"/>
    </row>
    <row r="2" spans="1:3" s="19" customFormat="1" ht="13.8">
      <c r="A2" s="192" t="str">
        <f>Instructions!C2</f>
        <v>v.24.1a</v>
      </c>
      <c r="C2" s="193">
        <f>+Instructions!D2</f>
        <v>45007</v>
      </c>
    </row>
    <row r="3" spans="1:3" ht="13.8">
      <c r="C3" s="58"/>
    </row>
    <row r="4" spans="1:3" ht="66" customHeight="1">
      <c r="C4" s="273" t="s">
        <v>1699</v>
      </c>
    </row>
    <row r="5" spans="1:3" ht="27.6">
      <c r="C5" s="194" t="s">
        <v>158</v>
      </c>
    </row>
    <row r="6" spans="1:3" ht="14.4" thickBot="1">
      <c r="C6" s="58"/>
    </row>
    <row r="7" spans="1:3" ht="40.5" customHeight="1" thickTop="1" thickBot="1">
      <c r="B7" s="59" t="s">
        <v>159</v>
      </c>
      <c r="C7" s="254" t="s">
        <v>1755</v>
      </c>
    </row>
    <row r="8" spans="1:3" ht="42" customHeight="1" thickBot="1">
      <c r="C8" s="271" t="s">
        <v>1756</v>
      </c>
    </row>
    <row r="9" spans="1:3" ht="55.8" thickBot="1">
      <c r="C9" s="271" t="s">
        <v>1700</v>
      </c>
    </row>
    <row r="10" spans="1:3" ht="59.25" customHeight="1" thickBot="1">
      <c r="C10" s="994" t="s">
        <v>1691</v>
      </c>
    </row>
    <row r="11" spans="1:3" ht="13.8" thickTop="1"/>
  </sheetData>
  <sheetProtection algorithmName="SHA-512" hashValue="DuNCY0Iec79d7M7u5YETc4v+32u/LJdDElFJ20kpJB7GRNPc5hKMinRrlysC6SzBFqFYsqEHb2jWhdtv9VdJNg==" saltValue="xC7ZkhY0D7KZLJYJ7CRJDA==" spinCount="100000" sheet="1" objects="1" scenarios="1"/>
  <pageMargins left="0.25" right="0.25" top="0.75" bottom="0.5" header="0.55000000000000004" footer="0.3"/>
  <pageSetup scale="85" orientation="portrait" r:id="rId1"/>
  <headerFooter>
    <oddHeader>&amp;LCaveats Tab</oddHeader>
    <oddFooter>&amp;L&amp;D
&amp;G&amp;R&amp;F
&amp;A - page &amp;P of &amp;N</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theme="9" tint="0.39997558519241921"/>
  </sheetPr>
  <dimension ref="B1:I40"/>
  <sheetViews>
    <sheetView showGridLines="0" zoomScaleNormal="100" workbookViewId="0">
      <selection activeCell="C2" sqref="C2"/>
    </sheetView>
  </sheetViews>
  <sheetFormatPr defaultColWidth="9.109375" defaultRowHeight="14.4"/>
  <cols>
    <col min="1" max="1" width="0.6640625" style="168" customWidth="1"/>
    <col min="2" max="2" width="3.109375" style="168" customWidth="1"/>
    <col min="3" max="3" width="32.44140625" style="168" customWidth="1"/>
    <col min="4" max="5" width="17.5546875" style="168" customWidth="1"/>
    <col min="6" max="6" width="11.33203125" style="168" customWidth="1"/>
    <col min="7" max="7" width="112.33203125" style="168" customWidth="1"/>
    <col min="8" max="8" width="17.5546875" style="168" customWidth="1"/>
    <col min="9" max="9" width="1.88671875" style="168" customWidth="1"/>
    <col min="10" max="10" width="9.44140625" style="168" customWidth="1"/>
    <col min="11" max="16384" width="9.109375" style="168"/>
  </cols>
  <sheetData>
    <row r="1" spans="2:9" ht="18">
      <c r="B1" s="474" t="s">
        <v>588</v>
      </c>
      <c r="C1" s="228"/>
      <c r="D1" s="228"/>
      <c r="E1" s="228"/>
      <c r="F1" s="228"/>
      <c r="G1" s="228"/>
      <c r="H1" s="228"/>
    </row>
    <row r="2" spans="2:9">
      <c r="B2" s="229"/>
      <c r="C2" s="252" t="s">
        <v>1874</v>
      </c>
      <c r="D2" s="230">
        <v>45007</v>
      </c>
      <c r="E2" s="229"/>
      <c r="F2" s="229"/>
      <c r="G2" s="229"/>
      <c r="H2" s="231"/>
    </row>
    <row r="3" spans="2:9" ht="9.75" customHeight="1">
      <c r="C3" s="169"/>
      <c r="D3" s="954"/>
      <c r="E3" s="167"/>
      <c r="F3" s="167"/>
      <c r="G3" s="167"/>
      <c r="H3" s="167"/>
    </row>
    <row r="4" spans="2:9" s="5" customFormat="1">
      <c r="B4" s="255"/>
    </row>
    <row r="5" spans="2:9" ht="101.25" customHeight="1">
      <c r="C5" s="1265" t="s">
        <v>1719</v>
      </c>
      <c r="D5" s="1265"/>
      <c r="E5" s="1265"/>
      <c r="F5" s="1265"/>
      <c r="G5" s="1265"/>
      <c r="H5" s="1265"/>
    </row>
    <row r="6" spans="2:9">
      <c r="B6" s="176" t="s">
        <v>275</v>
      </c>
      <c r="C6" s="169"/>
      <c r="D6" s="169"/>
      <c r="E6" s="167"/>
      <c r="F6" s="167"/>
      <c r="G6" s="167"/>
      <c r="H6" s="167"/>
    </row>
    <row r="7" spans="2:9" s="452" customFormat="1" ht="24" customHeight="1">
      <c r="B7" s="471">
        <v>1</v>
      </c>
      <c r="C7" s="1262" t="s">
        <v>1701</v>
      </c>
      <c r="D7" s="1262"/>
      <c r="E7" s="1262"/>
      <c r="F7" s="1262"/>
      <c r="G7" s="1262"/>
      <c r="H7" s="1262"/>
    </row>
    <row r="8" spans="2:9" s="469" customFormat="1" ht="24" customHeight="1">
      <c r="B8" s="471">
        <v>2</v>
      </c>
      <c r="C8" s="897" t="s">
        <v>1695</v>
      </c>
      <c r="D8" s="473"/>
      <c r="E8" s="473"/>
      <c r="F8" s="473"/>
      <c r="G8" s="473"/>
      <c r="H8" s="470"/>
    </row>
    <row r="9" spans="2:9" s="469" customFormat="1" ht="24" customHeight="1">
      <c r="B9" s="471"/>
      <c r="C9" s="489" t="s">
        <v>1281</v>
      </c>
      <c r="D9" s="472" t="s">
        <v>1692</v>
      </c>
      <c r="E9" s="473"/>
      <c r="F9" s="473"/>
      <c r="G9" s="473"/>
      <c r="H9" s="470"/>
    </row>
    <row r="10" spans="2:9" s="469" customFormat="1" ht="72.75" customHeight="1">
      <c r="B10" s="471"/>
      <c r="C10" s="487" t="s">
        <v>1354</v>
      </c>
      <c r="D10" s="1263" t="s">
        <v>1702</v>
      </c>
      <c r="E10" s="1263"/>
      <c r="F10" s="1263"/>
      <c r="G10" s="1263"/>
      <c r="H10" s="470"/>
    </row>
    <row r="11" spans="2:9" s="469" customFormat="1" ht="24" customHeight="1">
      <c r="B11" s="471"/>
      <c r="C11" s="488" t="s">
        <v>1353</v>
      </c>
      <c r="D11" s="472" t="s">
        <v>1693</v>
      </c>
      <c r="E11" s="473"/>
      <c r="F11" s="473"/>
      <c r="G11" s="473"/>
      <c r="H11" s="470"/>
    </row>
    <row r="12" spans="2:9" s="469" customFormat="1" ht="46.5" customHeight="1">
      <c r="B12" s="471"/>
      <c r="C12" s="749" t="s">
        <v>1352</v>
      </c>
      <c r="D12" s="1264" t="s">
        <v>1694</v>
      </c>
      <c r="E12" s="1263"/>
      <c r="F12" s="1263"/>
      <c r="G12" s="1263"/>
      <c r="H12" s="1263"/>
    </row>
    <row r="13" spans="2:9" s="469" customFormat="1" ht="24" customHeight="1">
      <c r="B13" s="471"/>
      <c r="C13" s="750" t="s">
        <v>586</v>
      </c>
      <c r="D13" s="472" t="s">
        <v>1617</v>
      </c>
      <c r="E13" s="473"/>
      <c r="F13" s="473"/>
      <c r="G13" s="473"/>
      <c r="H13" s="470"/>
    </row>
    <row r="14" spans="2:9" ht="14.4" customHeight="1"/>
    <row r="15" spans="2:9" ht="14.4" customHeight="1">
      <c r="B15" s="232" t="s">
        <v>237</v>
      </c>
    </row>
    <row r="16" spans="2:9" s="166" customFormat="1" ht="222" customHeight="1">
      <c r="B16" s="236">
        <v>1</v>
      </c>
      <c r="C16" s="1261" t="s">
        <v>1720</v>
      </c>
      <c r="D16" s="1261"/>
      <c r="E16" s="1261"/>
      <c r="F16" s="1261"/>
      <c r="G16" s="1261"/>
      <c r="H16" s="1261"/>
      <c r="I16" s="1261"/>
    </row>
    <row r="17" spans="2:7" s="274" customFormat="1" ht="25.5" customHeight="1">
      <c r="B17" s="236">
        <v>2</v>
      </c>
      <c r="C17" s="281" t="s">
        <v>587</v>
      </c>
    </row>
    <row r="18" spans="2:7" s="274" customFormat="1" ht="25.5" customHeight="1">
      <c r="B18" s="236">
        <v>3</v>
      </c>
      <c r="C18" s="281" t="s">
        <v>1703</v>
      </c>
    </row>
    <row r="19" spans="2:7" s="274" customFormat="1" ht="6.75" customHeight="1">
      <c r="B19" s="236"/>
      <c r="C19" s="281"/>
    </row>
    <row r="20" spans="2:7">
      <c r="B20" s="176" t="s">
        <v>238</v>
      </c>
    </row>
    <row r="21" spans="2:7">
      <c r="C21" s="168" t="s">
        <v>242</v>
      </c>
      <c r="D21" s="176"/>
      <c r="G21" s="233" t="s">
        <v>267</v>
      </c>
    </row>
    <row r="22" spans="2:7">
      <c r="D22" s="233"/>
    </row>
    <row r="23" spans="2:7">
      <c r="C23" s="168" t="s">
        <v>240</v>
      </c>
      <c r="G23" s="233" t="s">
        <v>239</v>
      </c>
    </row>
    <row r="25" spans="2:7">
      <c r="C25" s="997" t="s">
        <v>1704</v>
      </c>
      <c r="G25" s="233" t="s">
        <v>239</v>
      </c>
    </row>
    <row r="27" spans="2:7">
      <c r="C27" s="997" t="s">
        <v>1705</v>
      </c>
      <c r="G27" s="234" t="s">
        <v>241</v>
      </c>
    </row>
    <row r="29" spans="2:7">
      <c r="C29" s="997" t="s">
        <v>1705</v>
      </c>
      <c r="G29" s="234" t="s">
        <v>241</v>
      </c>
    </row>
    <row r="31" spans="2:7">
      <c r="C31" s="87" t="s">
        <v>1721</v>
      </c>
    </row>
    <row r="32" spans="2:7">
      <c r="C32" s="48"/>
    </row>
    <row r="33" spans="3:3">
      <c r="C33" s="48"/>
    </row>
    <row r="34" spans="3:3">
      <c r="C34" s="88"/>
    </row>
    <row r="35" spans="3:3">
      <c r="C35" s="89"/>
    </row>
    <row r="36" spans="3:3">
      <c r="C36" s="48"/>
    </row>
    <row r="37" spans="3:3">
      <c r="C37" s="48"/>
    </row>
    <row r="38" spans="3:3">
      <c r="C38" s="8"/>
    </row>
    <row r="39" spans="3:3">
      <c r="C39" s="8"/>
    </row>
    <row r="40" spans="3:3">
      <c r="C40" s="17"/>
    </row>
  </sheetData>
  <sheetProtection algorithmName="SHA-512" hashValue="zy6sudqbyd/64fHPVgxQxMjdJCrkareCboMUfmAuSYW+fVHVI/HzzV/vFI+1yBJ8KQxHeWc3nD5JOruBiPaiNg==" saltValue="4oZbufZZi6uH5j79jN/1kg==" spinCount="100000" sheet="1" formatCells="0" formatColumns="0" formatRows="0"/>
  <mergeCells count="5">
    <mergeCell ref="C16:I16"/>
    <mergeCell ref="C7:H7"/>
    <mergeCell ref="D10:G10"/>
    <mergeCell ref="D12:H12"/>
    <mergeCell ref="C5:H5"/>
  </mergeCells>
  <hyperlinks>
    <hyperlink ref="G23" r:id="rId1" xr:uid="{00000000-0004-0000-0600-000000000000}"/>
    <hyperlink ref="G27" r:id="rId2" xr:uid="{00000000-0004-0000-0600-000001000000}"/>
    <hyperlink ref="G25" r:id="rId3" xr:uid="{00000000-0004-0000-0600-000002000000}"/>
    <hyperlink ref="G21" r:id="rId4" xr:uid="{00000000-0004-0000-0600-000003000000}"/>
    <hyperlink ref="G29" r:id="rId5" xr:uid="{ADB931C5-DFDF-4CDF-B3A4-DA88466A460F}"/>
  </hyperlinks>
  <printOptions horizontalCentered="1"/>
  <pageMargins left="0.25" right="0.25" top="0.75" bottom="0.75" header="0.3" footer="0.3"/>
  <pageSetup scale="64" orientation="landscape" r:id="rId6"/>
  <headerFooter>
    <oddHeader>&amp;LInstructions Tab&amp;R&amp;G</oddHeader>
    <oddFooter>&amp;L&amp;D&amp;T&amp;R&amp;F
&amp;A - page &amp;P of &amp;N</oddFooter>
  </headerFooter>
  <legacyDrawingHF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72"/>
  <sheetViews>
    <sheetView zoomScale="90" zoomScaleNormal="90" workbookViewId="0">
      <pane ySplit="4" topLeftCell="A5" activePane="bottomLeft" state="frozen"/>
      <selection activeCell="R36" sqref="R36"/>
      <selection pane="bottomLeft" activeCell="D4" sqref="D4"/>
    </sheetView>
  </sheetViews>
  <sheetFormatPr defaultColWidth="11.44140625" defaultRowHeight="13.2"/>
  <cols>
    <col min="1" max="1" width="9.33203125" style="5" customWidth="1"/>
    <col min="2" max="2" width="52.5546875" style="5" customWidth="1"/>
    <col min="3" max="3" width="5.109375" style="5" customWidth="1"/>
    <col min="4" max="9" width="7.88671875" style="5" customWidth="1"/>
    <col min="10" max="10" width="4.33203125" style="5" customWidth="1"/>
    <col min="11" max="15" width="7.88671875" style="5" customWidth="1"/>
    <col min="16" max="16" width="4.33203125" style="5" customWidth="1"/>
    <col min="17" max="21" width="7.88671875" style="5" customWidth="1"/>
    <col min="22" max="22" width="5.44140625" style="5" customWidth="1"/>
    <col min="23" max="16384" width="11.44140625" style="5"/>
  </cols>
  <sheetData>
    <row r="1" spans="1:21" ht="19.8">
      <c r="A1" s="751" t="s">
        <v>149</v>
      </c>
      <c r="D1" s="952" t="s">
        <v>1663</v>
      </c>
    </row>
    <row r="2" spans="1:21" ht="16.5" customHeight="1">
      <c r="A2" s="401" t="s">
        <v>1735</v>
      </c>
      <c r="B2" s="767"/>
      <c r="D2" s="1268" t="s">
        <v>1685</v>
      </c>
      <c r="E2" s="1269"/>
      <c r="F2" s="1269"/>
      <c r="G2" s="1269"/>
      <c r="H2" s="1269"/>
      <c r="I2" s="1270"/>
      <c r="K2" s="1268" t="str">
        <f>+'FY Control'!B8</f>
        <v>PY2</v>
      </c>
      <c r="L2" s="1269"/>
      <c r="M2" s="1269"/>
      <c r="N2" s="1269"/>
      <c r="O2" s="1270"/>
      <c r="Q2" s="1268" t="str">
        <f>+'FY Control'!B7</f>
        <v>PY3</v>
      </c>
      <c r="R2" s="1269"/>
      <c r="S2" s="1269"/>
      <c r="T2" s="1269"/>
      <c r="U2" s="1270"/>
    </row>
    <row r="3" spans="1:21" ht="20.25" customHeight="1">
      <c r="A3" s="79" t="str">
        <f>+'FY Control'!C9</f>
        <v>2022-23</v>
      </c>
      <c r="B3" s="784"/>
      <c r="C3" s="24"/>
      <c r="D3" s="1266" t="s">
        <v>108</v>
      </c>
      <c r="E3" s="1267"/>
      <c r="F3" s="1267"/>
      <c r="G3" s="1267"/>
      <c r="H3" s="1267"/>
      <c r="I3" s="1267"/>
      <c r="J3" s="24"/>
      <c r="K3" s="1266" t="str">
        <f>+'FY Control'!C8</f>
        <v>2021-22</v>
      </c>
      <c r="L3" s="1267"/>
      <c r="M3" s="1267"/>
      <c r="N3" s="1267"/>
      <c r="O3" s="1267"/>
      <c r="P3" s="24"/>
      <c r="Q3" s="1266" t="str">
        <f>+'FY Control'!C7</f>
        <v>2020-21</v>
      </c>
      <c r="R3" s="1267"/>
      <c r="S3" s="1267"/>
      <c r="T3" s="1267"/>
      <c r="U3" s="1267"/>
    </row>
    <row r="4" spans="1:21" s="755" customFormat="1" ht="54" customHeight="1">
      <c r="A4" s="752" t="s">
        <v>16</v>
      </c>
      <c r="B4" s="753" t="s">
        <v>20</v>
      </c>
      <c r="D4" s="990" t="s">
        <v>1666</v>
      </c>
      <c r="E4" s="990" t="s">
        <v>1667</v>
      </c>
      <c r="F4" s="869" t="s">
        <v>1668</v>
      </c>
      <c r="G4" s="990" t="s">
        <v>1669</v>
      </c>
      <c r="H4" s="869" t="s">
        <v>1670</v>
      </c>
      <c r="I4" s="754" t="s">
        <v>1351</v>
      </c>
      <c r="K4" s="990" t="s">
        <v>1666</v>
      </c>
      <c r="L4" s="990" t="s">
        <v>1667</v>
      </c>
      <c r="M4" s="869" t="s">
        <v>1668</v>
      </c>
      <c r="N4" s="990" t="s">
        <v>1669</v>
      </c>
      <c r="O4" s="869" t="s">
        <v>1670</v>
      </c>
      <c r="Q4" s="990" t="s">
        <v>1666</v>
      </c>
      <c r="R4" s="990" t="s">
        <v>1667</v>
      </c>
      <c r="S4" s="869" t="s">
        <v>1668</v>
      </c>
      <c r="T4" s="990" t="s">
        <v>1669</v>
      </c>
      <c r="U4" s="869" t="s">
        <v>1670</v>
      </c>
    </row>
    <row r="5" spans="1:21" ht="21" customHeight="1">
      <c r="A5" s="909">
        <v>1</v>
      </c>
      <c r="B5" s="909" t="s">
        <v>49</v>
      </c>
      <c r="D5" s="821"/>
      <c r="E5" s="866"/>
      <c r="F5" s="821"/>
      <c r="G5" s="866"/>
      <c r="H5" s="866"/>
      <c r="I5" s="748"/>
      <c r="K5" s="442"/>
      <c r="L5" s="442"/>
      <c r="M5" s="442"/>
      <c r="N5" s="748"/>
      <c r="O5" s="748"/>
      <c r="Q5" s="896"/>
      <c r="R5" s="896"/>
      <c r="S5" s="896"/>
      <c r="T5" s="896"/>
      <c r="U5" s="896"/>
    </row>
    <row r="6" spans="1:21" ht="21" customHeight="1">
      <c r="A6" s="909">
        <v>2</v>
      </c>
      <c r="B6" s="909" t="s">
        <v>51</v>
      </c>
      <c r="D6" s="821"/>
      <c r="E6" s="866"/>
      <c r="F6" s="821"/>
      <c r="G6" s="866"/>
      <c r="H6" s="866"/>
      <c r="I6" s="748"/>
      <c r="K6" s="442"/>
      <c r="L6" s="442"/>
      <c r="M6" s="442"/>
      <c r="N6" s="748"/>
      <c r="O6" s="748"/>
      <c r="Q6" s="896"/>
      <c r="R6" s="896"/>
      <c r="S6" s="896"/>
      <c r="T6" s="896"/>
      <c r="U6" s="896"/>
    </row>
    <row r="7" spans="1:21" ht="21" customHeight="1">
      <c r="A7" s="909">
        <v>3</v>
      </c>
      <c r="B7" s="909" t="s">
        <v>52</v>
      </c>
      <c r="D7" s="821"/>
      <c r="E7" s="866"/>
      <c r="F7" s="821"/>
      <c r="G7" s="866"/>
      <c r="H7" s="866"/>
      <c r="I7" s="748"/>
      <c r="K7" s="442"/>
      <c r="L7" s="442"/>
      <c r="M7" s="442"/>
      <c r="N7" s="748"/>
      <c r="O7" s="748"/>
      <c r="Q7" s="896"/>
      <c r="R7" s="896"/>
      <c r="S7" s="896"/>
      <c r="T7" s="896"/>
      <c r="U7" s="896"/>
    </row>
    <row r="8" spans="1:21" ht="21" customHeight="1">
      <c r="A8" s="909">
        <v>4</v>
      </c>
      <c r="B8" s="909" t="s">
        <v>53</v>
      </c>
      <c r="D8" s="821"/>
      <c r="E8" s="866"/>
      <c r="F8" s="821"/>
      <c r="G8" s="866"/>
      <c r="H8" s="866"/>
      <c r="I8" s="748"/>
      <c r="K8" s="442"/>
      <c r="L8" s="442"/>
      <c r="M8" s="442"/>
      <c r="N8" s="748"/>
      <c r="O8" s="748"/>
      <c r="Q8" s="896"/>
      <c r="R8" s="896"/>
      <c r="S8" s="896"/>
      <c r="T8" s="896"/>
      <c r="U8" s="896"/>
    </row>
    <row r="9" spans="1:21" ht="21" customHeight="1">
      <c r="A9" s="909">
        <v>5</v>
      </c>
      <c r="B9" s="909" t="s">
        <v>54</v>
      </c>
      <c r="D9" s="821"/>
      <c r="E9" s="866"/>
      <c r="F9" s="821"/>
      <c r="G9" s="866"/>
      <c r="H9" s="866"/>
      <c r="I9" s="748"/>
      <c r="K9" s="442"/>
      <c r="L9" s="442"/>
      <c r="M9" s="442"/>
      <c r="N9" s="748"/>
      <c r="O9" s="748"/>
      <c r="Q9" s="896"/>
      <c r="R9" s="896"/>
      <c r="S9" s="896"/>
      <c r="T9" s="896"/>
      <c r="U9" s="896"/>
    </row>
    <row r="10" spans="1:21" ht="21" customHeight="1">
      <c r="A10" s="909">
        <v>6</v>
      </c>
      <c r="B10" s="909" t="s">
        <v>55</v>
      </c>
      <c r="D10" s="821"/>
      <c r="E10" s="866"/>
      <c r="F10" s="821"/>
      <c r="G10" s="866"/>
      <c r="H10" s="866"/>
      <c r="I10" s="748"/>
      <c r="K10" s="442"/>
      <c r="L10" s="442"/>
      <c r="M10" s="442"/>
      <c r="N10" s="748"/>
      <c r="O10" s="748"/>
      <c r="Q10" s="896"/>
      <c r="R10" s="896"/>
      <c r="S10" s="896"/>
      <c r="T10" s="896"/>
      <c r="U10" s="896"/>
    </row>
    <row r="11" spans="1:21" ht="21" customHeight="1">
      <c r="A11" s="909">
        <v>7</v>
      </c>
      <c r="B11" s="909" t="s">
        <v>109</v>
      </c>
      <c r="D11" s="821"/>
      <c r="E11" s="866"/>
      <c r="F11" s="821"/>
      <c r="G11" s="866"/>
      <c r="H11" s="866"/>
      <c r="I11" s="748"/>
      <c r="K11" s="442"/>
      <c r="L11" s="442"/>
      <c r="M11" s="442"/>
      <c r="N11" s="748"/>
      <c r="O11" s="748"/>
      <c r="Q11" s="896"/>
      <c r="R11" s="896"/>
      <c r="S11" s="896"/>
      <c r="T11" s="896"/>
      <c r="U11" s="896"/>
    </row>
    <row r="12" spans="1:21" ht="21" customHeight="1">
      <c r="A12" s="909">
        <v>8</v>
      </c>
      <c r="B12" s="909" t="s">
        <v>56</v>
      </c>
      <c r="D12" s="821"/>
      <c r="E12" s="866"/>
      <c r="F12" s="821"/>
      <c r="G12" s="866"/>
      <c r="H12" s="866"/>
      <c r="I12" s="748"/>
      <c r="K12" s="442"/>
      <c r="L12" s="442"/>
      <c r="M12" s="442"/>
      <c r="N12" s="748"/>
      <c r="O12" s="748"/>
      <c r="Q12" s="896"/>
      <c r="R12" s="896"/>
      <c r="S12" s="896"/>
      <c r="T12" s="896"/>
      <c r="U12" s="896"/>
    </row>
    <row r="13" spans="1:21" ht="21" customHeight="1">
      <c r="A13" s="909">
        <v>9</v>
      </c>
      <c r="B13" s="909" t="s">
        <v>37</v>
      </c>
      <c r="D13" s="821"/>
      <c r="E13" s="866"/>
      <c r="F13" s="821"/>
      <c r="G13" s="866"/>
      <c r="H13" s="866"/>
      <c r="I13" s="748"/>
      <c r="K13" s="442"/>
      <c r="L13" s="442"/>
      <c r="M13" s="442"/>
      <c r="N13" s="748"/>
      <c r="O13" s="748"/>
      <c r="Q13" s="896"/>
      <c r="R13" s="896"/>
      <c r="S13" s="896"/>
      <c r="T13" s="896"/>
      <c r="U13" s="896"/>
    </row>
    <row r="14" spans="1:21" ht="21" customHeight="1">
      <c r="A14" s="909">
        <v>10</v>
      </c>
      <c r="B14" s="909" t="s">
        <v>48</v>
      </c>
      <c r="D14" s="821"/>
      <c r="E14" s="866"/>
      <c r="F14" s="821"/>
      <c r="G14" s="866"/>
      <c r="H14" s="866"/>
      <c r="I14" s="748"/>
      <c r="K14" s="442"/>
      <c r="L14" s="442"/>
      <c r="M14" s="442"/>
      <c r="N14" s="748"/>
      <c r="O14" s="748"/>
      <c r="Q14" s="896"/>
      <c r="R14" s="896"/>
      <c r="S14" s="896"/>
      <c r="T14" s="896"/>
      <c r="U14" s="896"/>
    </row>
    <row r="15" spans="1:21" ht="21" customHeight="1">
      <c r="A15" s="909">
        <v>11</v>
      </c>
      <c r="B15" s="909" t="s">
        <v>47</v>
      </c>
      <c r="D15" s="821"/>
      <c r="E15" s="866"/>
      <c r="F15" s="821"/>
      <c r="G15" s="866"/>
      <c r="H15" s="866"/>
      <c r="I15" s="748"/>
      <c r="K15" s="442"/>
      <c r="L15" s="442"/>
      <c r="M15" s="442"/>
      <c r="N15" s="748"/>
      <c r="O15" s="748"/>
      <c r="Q15" s="896"/>
      <c r="R15" s="896"/>
      <c r="S15" s="896"/>
      <c r="T15" s="896"/>
      <c r="U15" s="896"/>
    </row>
    <row r="16" spans="1:21" ht="21" customHeight="1">
      <c r="A16" s="909">
        <v>12</v>
      </c>
      <c r="B16" s="909" t="s">
        <v>57</v>
      </c>
      <c r="D16" s="821"/>
      <c r="E16" s="866"/>
      <c r="F16" s="821"/>
      <c r="G16" s="866"/>
      <c r="H16" s="866"/>
      <c r="I16" s="748"/>
      <c r="K16" s="442"/>
      <c r="L16" s="442"/>
      <c r="M16" s="442"/>
      <c r="N16" s="748"/>
      <c r="O16" s="748"/>
      <c r="Q16" s="896"/>
      <c r="R16" s="896"/>
      <c r="S16" s="896"/>
      <c r="T16" s="896"/>
      <c r="U16" s="896"/>
    </row>
    <row r="17" spans="1:21" ht="21" customHeight="1">
      <c r="A17" s="909">
        <v>13</v>
      </c>
      <c r="B17" s="909" t="s">
        <v>58</v>
      </c>
      <c r="D17" s="821"/>
      <c r="E17" s="866"/>
      <c r="F17" s="821"/>
      <c r="G17" s="866"/>
      <c r="H17" s="866"/>
      <c r="I17" s="748"/>
      <c r="K17" s="442"/>
      <c r="L17" s="442"/>
      <c r="M17" s="442"/>
      <c r="N17" s="748"/>
      <c r="O17" s="748"/>
      <c r="Q17" s="896"/>
      <c r="R17" s="896"/>
      <c r="S17" s="896"/>
      <c r="T17" s="896"/>
      <c r="U17" s="896"/>
    </row>
    <row r="18" spans="1:21" ht="21" customHeight="1">
      <c r="A18" s="909">
        <v>14</v>
      </c>
      <c r="B18" s="909" t="s">
        <v>36</v>
      </c>
      <c r="D18" s="821"/>
      <c r="E18" s="866"/>
      <c r="F18" s="821"/>
      <c r="G18" s="866"/>
      <c r="H18" s="866"/>
      <c r="I18" s="748"/>
      <c r="K18" s="442"/>
      <c r="L18" s="442"/>
      <c r="M18" s="442"/>
      <c r="N18" s="748"/>
      <c r="O18" s="748"/>
      <c r="Q18" s="896"/>
      <c r="R18" s="896"/>
      <c r="S18" s="896"/>
      <c r="T18" s="896"/>
      <c r="U18" s="896"/>
    </row>
    <row r="19" spans="1:21" ht="21" customHeight="1">
      <c r="A19" s="909">
        <v>15</v>
      </c>
      <c r="B19" s="909" t="s">
        <v>46</v>
      </c>
      <c r="D19" s="821"/>
      <c r="E19" s="866"/>
      <c r="F19" s="821"/>
      <c r="G19" s="866"/>
      <c r="H19" s="866"/>
      <c r="I19" s="748"/>
      <c r="K19" s="442"/>
      <c r="L19" s="442"/>
      <c r="M19" s="442"/>
      <c r="N19" s="748"/>
      <c r="O19" s="748"/>
      <c r="Q19" s="896"/>
      <c r="R19" s="896"/>
      <c r="S19" s="896"/>
      <c r="T19" s="896"/>
      <c r="U19" s="896"/>
    </row>
    <row r="20" spans="1:21" ht="21" customHeight="1">
      <c r="A20" s="909">
        <v>16</v>
      </c>
      <c r="B20" s="909" t="s">
        <v>59</v>
      </c>
      <c r="D20" s="821"/>
      <c r="E20" s="866"/>
      <c r="F20" s="821"/>
      <c r="G20" s="866"/>
      <c r="H20" s="866"/>
      <c r="I20" s="748"/>
      <c r="K20" s="442"/>
      <c r="L20" s="442"/>
      <c r="M20" s="442"/>
      <c r="N20" s="748"/>
      <c r="O20" s="748"/>
      <c r="Q20" s="896"/>
      <c r="R20" s="896"/>
      <c r="S20" s="896"/>
      <c r="T20" s="896"/>
      <c r="U20" s="896"/>
    </row>
    <row r="21" spans="1:21" ht="21" customHeight="1">
      <c r="A21" s="909">
        <v>17</v>
      </c>
      <c r="B21" s="909" t="s">
        <v>60</v>
      </c>
      <c r="D21" s="821"/>
      <c r="E21" s="866"/>
      <c r="F21" s="821"/>
      <c r="G21" s="866"/>
      <c r="H21" s="866"/>
      <c r="I21" s="748"/>
      <c r="K21" s="442"/>
      <c r="L21" s="442"/>
      <c r="M21" s="442"/>
      <c r="N21" s="748"/>
      <c r="O21" s="748"/>
      <c r="Q21" s="896"/>
      <c r="R21" s="896"/>
      <c r="S21" s="896"/>
      <c r="T21" s="896"/>
      <c r="U21" s="896"/>
    </row>
    <row r="22" spans="1:21" ht="21" customHeight="1">
      <c r="A22" s="909">
        <v>18</v>
      </c>
      <c r="B22" s="909" t="s">
        <v>61</v>
      </c>
      <c r="D22" s="821"/>
      <c r="E22" s="866"/>
      <c r="F22" s="821"/>
      <c r="G22" s="866"/>
      <c r="H22" s="866"/>
      <c r="I22" s="748"/>
      <c r="K22" s="442"/>
      <c r="L22" s="442"/>
      <c r="M22" s="442"/>
      <c r="N22" s="748"/>
      <c r="O22" s="748"/>
      <c r="Q22" s="896"/>
      <c r="R22" s="896"/>
      <c r="S22" s="896"/>
      <c r="T22" s="896"/>
      <c r="U22" s="896"/>
    </row>
    <row r="23" spans="1:21" ht="21" customHeight="1">
      <c r="A23" s="909">
        <v>19</v>
      </c>
      <c r="B23" s="909" t="s">
        <v>45</v>
      </c>
      <c r="D23" s="821"/>
      <c r="E23" s="866"/>
      <c r="F23" s="821"/>
      <c r="G23" s="866"/>
      <c r="H23" s="866"/>
      <c r="I23" s="748"/>
      <c r="K23" s="442"/>
      <c r="L23" s="442"/>
      <c r="M23" s="442"/>
      <c r="N23" s="748"/>
      <c r="O23" s="748"/>
      <c r="Q23" s="896"/>
      <c r="R23" s="896"/>
      <c r="S23" s="896"/>
      <c r="T23" s="896"/>
      <c r="U23" s="896"/>
    </row>
    <row r="24" spans="1:21" ht="21" customHeight="1">
      <c r="A24" s="909">
        <v>20</v>
      </c>
      <c r="B24" s="909" t="s">
        <v>124</v>
      </c>
      <c r="D24" s="821"/>
      <c r="E24" s="866"/>
      <c r="F24" s="821"/>
      <c r="G24" s="866"/>
      <c r="H24" s="866"/>
      <c r="I24" s="748"/>
      <c r="K24" s="442"/>
      <c r="L24" s="442"/>
      <c r="M24" s="442"/>
      <c r="N24" s="748"/>
      <c r="O24" s="748"/>
      <c r="Q24" s="896"/>
      <c r="R24" s="896"/>
      <c r="S24" s="896"/>
      <c r="T24" s="896"/>
      <c r="U24" s="896"/>
    </row>
    <row r="25" spans="1:21" ht="21" customHeight="1">
      <c r="A25" s="909">
        <v>21</v>
      </c>
      <c r="B25" s="909" t="s">
        <v>62</v>
      </c>
      <c r="D25" s="821"/>
      <c r="E25" s="866"/>
      <c r="F25" s="821"/>
      <c r="G25" s="866"/>
      <c r="H25" s="866"/>
      <c r="I25" s="748"/>
      <c r="K25" s="442"/>
      <c r="L25" s="442"/>
      <c r="M25" s="442"/>
      <c r="N25" s="748"/>
      <c r="O25" s="748"/>
      <c r="Q25" s="896"/>
      <c r="R25" s="896"/>
      <c r="S25" s="896"/>
      <c r="T25" s="896"/>
      <c r="U25" s="896"/>
    </row>
    <row r="26" spans="1:21" ht="21" customHeight="1">
      <c r="A26" s="909">
        <v>22</v>
      </c>
      <c r="B26" s="909" t="s">
        <v>63</v>
      </c>
      <c r="D26" s="821"/>
      <c r="E26" s="866"/>
      <c r="F26" s="821"/>
      <c r="G26" s="866"/>
      <c r="H26" s="866"/>
      <c r="I26" s="748"/>
      <c r="K26" s="442"/>
      <c r="L26" s="442"/>
      <c r="M26" s="442"/>
      <c r="N26" s="748"/>
      <c r="O26" s="748"/>
      <c r="Q26" s="896"/>
      <c r="R26" s="896"/>
      <c r="S26" s="896"/>
      <c r="T26" s="896"/>
      <c r="U26" s="896"/>
    </row>
    <row r="27" spans="1:21" ht="21" customHeight="1">
      <c r="A27" s="909">
        <v>23</v>
      </c>
      <c r="B27" s="909" t="s">
        <v>64</v>
      </c>
      <c r="D27" s="821"/>
      <c r="E27" s="866"/>
      <c r="F27" s="821"/>
      <c r="G27" s="866"/>
      <c r="H27" s="866"/>
      <c r="I27" s="748"/>
      <c r="K27" s="442"/>
      <c r="L27" s="442"/>
      <c r="M27" s="442"/>
      <c r="N27" s="748"/>
      <c r="O27" s="748"/>
      <c r="Q27" s="896"/>
      <c r="R27" s="896"/>
      <c r="S27" s="896"/>
      <c r="T27" s="896"/>
      <c r="U27" s="896"/>
    </row>
    <row r="28" spans="1:21" ht="21" customHeight="1">
      <c r="A28" s="909">
        <v>24</v>
      </c>
      <c r="B28" s="909" t="s">
        <v>65</v>
      </c>
      <c r="D28" s="821"/>
      <c r="E28" s="866"/>
      <c r="F28" s="821"/>
      <c r="G28" s="866"/>
      <c r="H28" s="866"/>
      <c r="I28" s="748"/>
      <c r="K28" s="442"/>
      <c r="L28" s="442"/>
      <c r="M28" s="442"/>
      <c r="N28" s="748"/>
      <c r="O28" s="748"/>
      <c r="Q28" s="896"/>
      <c r="R28" s="896"/>
      <c r="S28" s="896"/>
      <c r="T28" s="896"/>
      <c r="U28" s="896"/>
    </row>
    <row r="29" spans="1:21" ht="21" customHeight="1">
      <c r="A29" s="909">
        <v>25</v>
      </c>
      <c r="B29" s="909" t="s">
        <v>66</v>
      </c>
      <c r="D29" s="821"/>
      <c r="E29" s="866"/>
      <c r="F29" s="821"/>
      <c r="G29" s="866"/>
      <c r="H29" s="866"/>
      <c r="I29" s="748"/>
      <c r="K29" s="442"/>
      <c r="L29" s="442"/>
      <c r="M29" s="442"/>
      <c r="N29" s="748"/>
      <c r="O29" s="748"/>
      <c r="Q29" s="896"/>
      <c r="R29" s="896"/>
      <c r="S29" s="896"/>
      <c r="T29" s="896"/>
      <c r="U29" s="896"/>
    </row>
    <row r="30" spans="1:21" ht="21" customHeight="1">
      <c r="A30" s="909">
        <v>26</v>
      </c>
      <c r="B30" s="909" t="s">
        <v>35</v>
      </c>
      <c r="D30" s="821"/>
      <c r="E30" s="866"/>
      <c r="F30" s="821"/>
      <c r="G30" s="866"/>
      <c r="H30" s="866"/>
      <c r="I30" s="748"/>
      <c r="K30" s="442"/>
      <c r="L30" s="442"/>
      <c r="M30" s="442"/>
      <c r="N30" s="748"/>
      <c r="O30" s="748"/>
      <c r="Q30" s="896"/>
      <c r="R30" s="896"/>
      <c r="S30" s="896"/>
      <c r="T30" s="896"/>
      <c r="U30" s="896"/>
    </row>
    <row r="31" spans="1:21" ht="21" customHeight="1">
      <c r="A31" s="909">
        <v>27</v>
      </c>
      <c r="B31" s="909" t="s">
        <v>44</v>
      </c>
      <c r="D31" s="821"/>
      <c r="E31" s="866"/>
      <c r="F31" s="821"/>
      <c r="G31" s="866"/>
      <c r="H31" s="866"/>
      <c r="I31" s="748"/>
      <c r="K31" s="442"/>
      <c r="L31" s="442"/>
      <c r="M31" s="442"/>
      <c r="N31" s="748"/>
      <c r="O31" s="748"/>
      <c r="Q31" s="896"/>
      <c r="R31" s="896"/>
      <c r="S31" s="896"/>
      <c r="T31" s="896"/>
      <c r="U31" s="896"/>
    </row>
    <row r="32" spans="1:21" ht="21" customHeight="1">
      <c r="A32" s="909">
        <v>28</v>
      </c>
      <c r="B32" s="909" t="s">
        <v>67</v>
      </c>
      <c r="D32" s="821"/>
      <c r="E32" s="866"/>
      <c r="F32" s="821"/>
      <c r="G32" s="866"/>
      <c r="H32" s="866"/>
      <c r="I32" s="748"/>
      <c r="K32" s="442"/>
      <c r="L32" s="442"/>
      <c r="M32" s="442"/>
      <c r="N32" s="748"/>
      <c r="O32" s="748"/>
      <c r="Q32" s="896"/>
      <c r="R32" s="896"/>
      <c r="S32" s="896"/>
      <c r="T32" s="896"/>
      <c r="U32" s="896"/>
    </row>
    <row r="33" spans="1:21" ht="21" customHeight="1">
      <c r="A33" s="909">
        <v>29</v>
      </c>
      <c r="B33" s="909" t="s">
        <v>34</v>
      </c>
      <c r="D33" s="821"/>
      <c r="E33" s="866"/>
      <c r="F33" s="821"/>
      <c r="G33" s="866"/>
      <c r="H33" s="866"/>
      <c r="I33" s="748"/>
      <c r="K33" s="442"/>
      <c r="L33" s="442"/>
      <c r="M33" s="442"/>
      <c r="N33" s="748"/>
      <c r="O33" s="748"/>
      <c r="Q33" s="896"/>
      <c r="R33" s="896"/>
      <c r="S33" s="896"/>
      <c r="T33" s="896"/>
      <c r="U33" s="896"/>
    </row>
    <row r="34" spans="1:21" ht="21" customHeight="1">
      <c r="A34" s="909">
        <v>30</v>
      </c>
      <c r="B34" s="909" t="s">
        <v>68</v>
      </c>
      <c r="D34" s="821"/>
      <c r="E34" s="866"/>
      <c r="F34" s="821"/>
      <c r="G34" s="866"/>
      <c r="H34" s="866"/>
      <c r="I34" s="748"/>
      <c r="K34" s="442"/>
      <c r="L34" s="442"/>
      <c r="M34" s="442"/>
      <c r="N34" s="748"/>
      <c r="O34" s="748"/>
      <c r="Q34" s="896"/>
      <c r="R34" s="896"/>
      <c r="S34" s="896"/>
      <c r="T34" s="896"/>
      <c r="U34" s="896"/>
    </row>
    <row r="35" spans="1:21" ht="21" customHeight="1">
      <c r="A35" s="909">
        <v>31</v>
      </c>
      <c r="B35" s="909" t="s">
        <v>33</v>
      </c>
      <c r="D35" s="821"/>
      <c r="E35" s="866"/>
      <c r="F35" s="821"/>
      <c r="G35" s="866"/>
      <c r="H35" s="866"/>
      <c r="I35" s="748"/>
      <c r="K35" s="442"/>
      <c r="L35" s="442"/>
      <c r="M35" s="442"/>
      <c r="N35" s="748"/>
      <c r="O35" s="748"/>
      <c r="Q35" s="896"/>
      <c r="R35" s="896"/>
      <c r="S35" s="896"/>
      <c r="T35" s="896"/>
      <c r="U35" s="896"/>
    </row>
    <row r="36" spans="1:21" ht="21" customHeight="1">
      <c r="A36" s="909">
        <v>32</v>
      </c>
      <c r="B36" s="909" t="s">
        <v>69</v>
      </c>
      <c r="D36" s="821"/>
      <c r="E36" s="866"/>
      <c r="F36" s="821"/>
      <c r="G36" s="866"/>
      <c r="H36" s="866"/>
      <c r="I36" s="748"/>
      <c r="K36" s="442"/>
      <c r="L36" s="442"/>
      <c r="M36" s="442"/>
      <c r="N36" s="748"/>
      <c r="O36" s="748"/>
      <c r="Q36" s="896"/>
      <c r="R36" s="896"/>
      <c r="S36" s="896"/>
      <c r="T36" s="896"/>
      <c r="U36" s="896"/>
    </row>
    <row r="37" spans="1:21" ht="21" customHeight="1">
      <c r="A37" s="909">
        <v>33</v>
      </c>
      <c r="B37" s="909" t="s">
        <v>32</v>
      </c>
      <c r="D37" s="821"/>
      <c r="E37" s="866"/>
      <c r="F37" s="821"/>
      <c r="G37" s="866"/>
      <c r="H37" s="866"/>
      <c r="I37" s="748"/>
      <c r="K37" s="442"/>
      <c r="L37" s="442"/>
      <c r="M37" s="442"/>
      <c r="N37" s="748"/>
      <c r="O37" s="748"/>
      <c r="Q37" s="896"/>
      <c r="R37" s="896"/>
      <c r="S37" s="896"/>
      <c r="T37" s="896"/>
      <c r="U37" s="896"/>
    </row>
    <row r="38" spans="1:21" ht="21" customHeight="1">
      <c r="A38" s="909">
        <v>34</v>
      </c>
      <c r="B38" s="909" t="s">
        <v>43</v>
      </c>
      <c r="D38" s="821"/>
      <c r="E38" s="866"/>
      <c r="F38" s="821"/>
      <c r="G38" s="866"/>
      <c r="H38" s="866"/>
      <c r="I38" s="748"/>
      <c r="K38" s="442"/>
      <c r="L38" s="442"/>
      <c r="M38" s="442"/>
      <c r="N38" s="748"/>
      <c r="O38" s="748"/>
      <c r="Q38" s="896"/>
      <c r="R38" s="896"/>
      <c r="S38" s="896"/>
      <c r="T38" s="896"/>
      <c r="U38" s="896"/>
    </row>
    <row r="39" spans="1:21" ht="21" customHeight="1">
      <c r="A39" s="909">
        <v>35</v>
      </c>
      <c r="B39" s="909" t="s">
        <v>70</v>
      </c>
      <c r="D39" s="821"/>
      <c r="E39" s="866"/>
      <c r="F39" s="821"/>
      <c r="G39" s="866"/>
      <c r="H39" s="866"/>
      <c r="I39" s="748"/>
      <c r="K39" s="442"/>
      <c r="L39" s="442"/>
      <c r="M39" s="442"/>
      <c r="N39" s="748"/>
      <c r="O39" s="748"/>
      <c r="Q39" s="896"/>
      <c r="R39" s="896"/>
      <c r="S39" s="896"/>
      <c r="T39" s="896"/>
      <c r="U39" s="896"/>
    </row>
    <row r="40" spans="1:21" ht="21" customHeight="1">
      <c r="A40" s="909">
        <v>36</v>
      </c>
      <c r="B40" s="909" t="s">
        <v>110</v>
      </c>
      <c r="D40" s="821"/>
      <c r="E40" s="866"/>
      <c r="F40" s="821"/>
      <c r="G40" s="866"/>
      <c r="H40" s="866"/>
      <c r="I40" s="748"/>
      <c r="K40" s="442"/>
      <c r="L40" s="442"/>
      <c r="M40" s="442"/>
      <c r="N40" s="748"/>
      <c r="O40" s="748"/>
      <c r="Q40" s="896"/>
      <c r="R40" s="896"/>
      <c r="S40" s="896"/>
      <c r="T40" s="896"/>
      <c r="U40" s="896"/>
    </row>
    <row r="41" spans="1:21" ht="21" customHeight="1">
      <c r="A41" s="909">
        <v>37</v>
      </c>
      <c r="B41" s="909" t="s">
        <v>71</v>
      </c>
      <c r="D41" s="821"/>
      <c r="E41" s="866"/>
      <c r="F41" s="821"/>
      <c r="G41" s="866"/>
      <c r="H41" s="866"/>
      <c r="I41" s="748"/>
      <c r="K41" s="442"/>
      <c r="L41" s="442"/>
      <c r="M41" s="442"/>
      <c r="N41" s="748"/>
      <c r="O41" s="748"/>
      <c r="Q41" s="896"/>
      <c r="R41" s="896"/>
      <c r="S41" s="896"/>
      <c r="T41" s="896"/>
      <c r="U41" s="896"/>
    </row>
    <row r="42" spans="1:21" ht="21" customHeight="1">
      <c r="A42" s="909">
        <v>38</v>
      </c>
      <c r="B42" s="909" t="s">
        <v>111</v>
      </c>
      <c r="D42" s="821"/>
      <c r="E42" s="866"/>
      <c r="F42" s="821"/>
      <c r="G42" s="866"/>
      <c r="H42" s="866"/>
      <c r="I42" s="748"/>
      <c r="K42" s="442"/>
      <c r="L42" s="442"/>
      <c r="M42" s="442"/>
      <c r="N42" s="748"/>
      <c r="O42" s="748"/>
      <c r="Q42" s="896"/>
      <c r="R42" s="896"/>
      <c r="S42" s="896"/>
      <c r="T42" s="896"/>
      <c r="U42" s="896"/>
    </row>
    <row r="43" spans="1:21" ht="21" customHeight="1">
      <c r="A43" s="909">
        <v>39</v>
      </c>
      <c r="B43" s="909" t="s">
        <v>112</v>
      </c>
      <c r="D43" s="821"/>
      <c r="E43" s="866"/>
      <c r="F43" s="821"/>
      <c r="G43" s="866"/>
      <c r="H43" s="866"/>
      <c r="I43" s="748"/>
      <c r="K43" s="442"/>
      <c r="L43" s="442"/>
      <c r="M43" s="442"/>
      <c r="N43" s="748"/>
      <c r="O43" s="748"/>
      <c r="Q43" s="896"/>
      <c r="R43" s="896"/>
      <c r="S43" s="896"/>
      <c r="T43" s="896"/>
      <c r="U43" s="896"/>
    </row>
    <row r="44" spans="1:21" ht="21" customHeight="1">
      <c r="A44" s="909">
        <v>40</v>
      </c>
      <c r="B44" s="909" t="s">
        <v>113</v>
      </c>
      <c r="D44" s="821"/>
      <c r="E44" s="866"/>
      <c r="F44" s="821"/>
      <c r="G44" s="866"/>
      <c r="H44" s="866"/>
      <c r="I44" s="748"/>
      <c r="K44" s="442"/>
      <c r="L44" s="442"/>
      <c r="M44" s="442"/>
      <c r="N44" s="748"/>
      <c r="O44" s="748"/>
      <c r="Q44" s="896"/>
      <c r="R44" s="896"/>
      <c r="S44" s="896"/>
      <c r="T44" s="896"/>
      <c r="U44" s="896"/>
    </row>
    <row r="45" spans="1:21" ht="21" customHeight="1">
      <c r="A45" s="909">
        <v>41</v>
      </c>
      <c r="B45" s="909" t="s">
        <v>114</v>
      </c>
      <c r="D45" s="821"/>
      <c r="E45" s="866"/>
      <c r="F45" s="821"/>
      <c r="G45" s="866"/>
      <c r="H45" s="866"/>
      <c r="I45" s="748"/>
      <c r="K45" s="442"/>
      <c r="L45" s="442"/>
      <c r="M45" s="442"/>
      <c r="N45" s="748"/>
      <c r="O45" s="748"/>
      <c r="Q45" s="896"/>
      <c r="R45" s="896"/>
      <c r="S45" s="896"/>
      <c r="T45" s="896"/>
      <c r="U45" s="896"/>
    </row>
    <row r="46" spans="1:21" ht="21" customHeight="1">
      <c r="A46" s="909">
        <v>42</v>
      </c>
      <c r="B46" s="909" t="s">
        <v>115</v>
      </c>
      <c r="D46" s="821"/>
      <c r="E46" s="866"/>
      <c r="F46" s="821"/>
      <c r="G46" s="866"/>
      <c r="H46" s="866"/>
      <c r="I46" s="748"/>
      <c r="K46" s="442"/>
      <c r="L46" s="442"/>
      <c r="M46" s="442"/>
      <c r="N46" s="748"/>
      <c r="O46" s="748"/>
      <c r="Q46" s="896"/>
      <c r="R46" s="896"/>
      <c r="S46" s="896"/>
      <c r="T46" s="896"/>
      <c r="U46" s="896"/>
    </row>
    <row r="47" spans="1:21" ht="21" customHeight="1">
      <c r="A47" s="909">
        <v>43</v>
      </c>
      <c r="B47" s="909" t="s">
        <v>116</v>
      </c>
      <c r="D47" s="821"/>
      <c r="E47" s="866"/>
      <c r="F47" s="821"/>
      <c r="G47" s="866"/>
      <c r="H47" s="866"/>
      <c r="I47" s="748"/>
      <c r="K47" s="442"/>
      <c r="L47" s="442"/>
      <c r="M47" s="442"/>
      <c r="N47" s="748"/>
      <c r="O47" s="748"/>
      <c r="Q47" s="896"/>
      <c r="R47" s="896"/>
      <c r="S47" s="896"/>
      <c r="T47" s="896"/>
      <c r="U47" s="896"/>
    </row>
    <row r="48" spans="1:21" ht="21" customHeight="1">
      <c r="A48" s="909">
        <v>44</v>
      </c>
      <c r="B48" s="909" t="s">
        <v>117</v>
      </c>
      <c r="D48" s="821"/>
      <c r="E48" s="866"/>
      <c r="F48" s="821"/>
      <c r="G48" s="866"/>
      <c r="H48" s="866"/>
      <c r="I48" s="748"/>
      <c r="K48" s="442"/>
      <c r="L48" s="442"/>
      <c r="M48" s="442"/>
      <c r="N48" s="748"/>
      <c r="O48" s="748"/>
      <c r="Q48" s="896"/>
      <c r="R48" s="896"/>
      <c r="S48" s="896"/>
      <c r="T48" s="896"/>
      <c r="U48" s="896"/>
    </row>
    <row r="49" spans="1:21" ht="21" customHeight="1">
      <c r="A49" s="909">
        <v>45</v>
      </c>
      <c r="B49" s="909" t="s">
        <v>72</v>
      </c>
      <c r="D49" s="821"/>
      <c r="E49" s="866"/>
      <c r="F49" s="821"/>
      <c r="G49" s="866"/>
      <c r="H49" s="866"/>
      <c r="I49" s="748"/>
      <c r="K49" s="442"/>
      <c r="L49" s="442"/>
      <c r="M49" s="442"/>
      <c r="N49" s="748"/>
      <c r="O49" s="748"/>
      <c r="Q49" s="896"/>
      <c r="R49" s="896"/>
      <c r="S49" s="896"/>
      <c r="T49" s="896"/>
      <c r="U49" s="896"/>
    </row>
    <row r="50" spans="1:21" ht="21" customHeight="1">
      <c r="A50" s="909">
        <v>46</v>
      </c>
      <c r="B50" s="909" t="s">
        <v>73</v>
      </c>
      <c r="D50" s="821"/>
      <c r="E50" s="866"/>
      <c r="F50" s="821"/>
      <c r="G50" s="866"/>
      <c r="H50" s="866"/>
      <c r="I50" s="748"/>
      <c r="K50" s="442"/>
      <c r="L50" s="442"/>
      <c r="M50" s="442"/>
      <c r="N50" s="748"/>
      <c r="O50" s="748"/>
      <c r="Q50" s="896"/>
      <c r="R50" s="896"/>
      <c r="S50" s="896"/>
      <c r="T50" s="896"/>
      <c r="U50" s="896"/>
    </row>
    <row r="51" spans="1:21" ht="21" customHeight="1">
      <c r="A51" s="909">
        <v>47</v>
      </c>
      <c r="B51" s="909" t="s">
        <v>42</v>
      </c>
      <c r="D51" s="821"/>
      <c r="E51" s="866"/>
      <c r="F51" s="821"/>
      <c r="G51" s="866"/>
      <c r="H51" s="866"/>
      <c r="I51" s="748"/>
      <c r="K51" s="442"/>
      <c r="L51" s="442"/>
      <c r="M51" s="442"/>
      <c r="N51" s="748"/>
      <c r="O51" s="748"/>
      <c r="Q51" s="896"/>
      <c r="R51" s="896"/>
      <c r="S51" s="896"/>
      <c r="T51" s="896"/>
      <c r="U51" s="896"/>
    </row>
    <row r="52" spans="1:21" ht="21" customHeight="1">
      <c r="A52" s="909">
        <v>48</v>
      </c>
      <c r="B52" s="909" t="s">
        <v>74</v>
      </c>
      <c r="D52" s="821"/>
      <c r="E52" s="866"/>
      <c r="F52" s="821"/>
      <c r="G52" s="866"/>
      <c r="H52" s="866"/>
      <c r="I52" s="748"/>
      <c r="K52" s="442"/>
      <c r="L52" s="442"/>
      <c r="M52" s="442"/>
      <c r="N52" s="748"/>
      <c r="O52" s="748"/>
      <c r="Q52" s="896"/>
      <c r="R52" s="896"/>
      <c r="S52" s="896"/>
      <c r="T52" s="896"/>
      <c r="U52" s="896"/>
    </row>
    <row r="53" spans="1:21" ht="21" customHeight="1">
      <c r="A53" s="909">
        <v>49</v>
      </c>
      <c r="B53" s="909" t="s">
        <v>75</v>
      </c>
      <c r="D53" s="821"/>
      <c r="E53" s="866"/>
      <c r="F53" s="821"/>
      <c r="G53" s="866"/>
      <c r="H53" s="866"/>
      <c r="I53" s="748"/>
      <c r="K53" s="442"/>
      <c r="L53" s="442"/>
      <c r="M53" s="442"/>
      <c r="N53" s="748"/>
      <c r="O53" s="748"/>
      <c r="Q53" s="896"/>
      <c r="R53" s="896"/>
      <c r="S53" s="896"/>
      <c r="T53" s="896"/>
      <c r="U53" s="896"/>
    </row>
    <row r="54" spans="1:21" ht="21" customHeight="1">
      <c r="A54" s="909">
        <v>50</v>
      </c>
      <c r="B54" s="909" t="s">
        <v>41</v>
      </c>
      <c r="D54" s="821"/>
      <c r="E54" s="866"/>
      <c r="F54" s="821"/>
      <c r="G54" s="866"/>
      <c r="H54" s="866"/>
      <c r="I54" s="748"/>
      <c r="K54" s="442"/>
      <c r="L54" s="442"/>
      <c r="M54" s="442"/>
      <c r="N54" s="748"/>
      <c r="O54" s="748"/>
      <c r="Q54" s="896"/>
      <c r="R54" s="896"/>
      <c r="S54" s="896"/>
      <c r="T54" s="896"/>
      <c r="U54" s="896"/>
    </row>
    <row r="55" spans="1:21" ht="21" customHeight="1">
      <c r="A55" s="909">
        <v>51</v>
      </c>
      <c r="B55" s="909" t="s">
        <v>76</v>
      </c>
      <c r="D55" s="821"/>
      <c r="E55" s="866"/>
      <c r="F55" s="821"/>
      <c r="G55" s="866"/>
      <c r="H55" s="866"/>
      <c r="I55" s="748"/>
      <c r="K55" s="442"/>
      <c r="L55" s="442"/>
      <c r="M55" s="442"/>
      <c r="N55" s="748"/>
      <c r="O55" s="748"/>
      <c r="Q55" s="896"/>
      <c r="R55" s="896"/>
      <c r="S55" s="896"/>
      <c r="T55" s="896"/>
      <c r="U55" s="896"/>
    </row>
    <row r="56" spans="1:21" ht="21" customHeight="1">
      <c r="A56" s="909">
        <v>52</v>
      </c>
      <c r="B56" s="909" t="s">
        <v>77</v>
      </c>
      <c r="D56" s="821"/>
      <c r="E56" s="866"/>
      <c r="F56" s="821"/>
      <c r="G56" s="866"/>
      <c r="H56" s="866"/>
      <c r="I56" s="748"/>
      <c r="K56" s="442"/>
      <c r="L56" s="442"/>
      <c r="M56" s="442"/>
      <c r="N56" s="748"/>
      <c r="O56" s="748"/>
      <c r="Q56" s="896"/>
      <c r="R56" s="896"/>
      <c r="S56" s="896"/>
      <c r="T56" s="896"/>
      <c r="U56" s="896"/>
    </row>
    <row r="57" spans="1:21" ht="21" customHeight="1">
      <c r="A57" s="909">
        <v>53</v>
      </c>
      <c r="B57" s="909" t="s">
        <v>78</v>
      </c>
      <c r="D57" s="821"/>
      <c r="E57" s="866"/>
      <c r="F57" s="821"/>
      <c r="G57" s="866"/>
      <c r="H57" s="866"/>
      <c r="I57" s="748"/>
      <c r="K57" s="442"/>
      <c r="L57" s="442"/>
      <c r="M57" s="442"/>
      <c r="N57" s="748"/>
      <c r="O57" s="748"/>
      <c r="Q57" s="896"/>
      <c r="R57" s="896"/>
      <c r="S57" s="896"/>
      <c r="T57" s="896"/>
      <c r="U57" s="896"/>
    </row>
    <row r="58" spans="1:21" ht="21" customHeight="1">
      <c r="A58" s="909">
        <v>54</v>
      </c>
      <c r="B58" s="909" t="s">
        <v>31</v>
      </c>
      <c r="D58" s="821"/>
      <c r="E58" s="866"/>
      <c r="F58" s="821"/>
      <c r="G58" s="866"/>
      <c r="H58" s="866"/>
      <c r="I58" s="748"/>
      <c r="K58" s="442"/>
      <c r="L58" s="442"/>
      <c r="M58" s="442"/>
      <c r="N58" s="748"/>
      <c r="O58" s="748"/>
      <c r="Q58" s="896"/>
      <c r="R58" s="896"/>
      <c r="S58" s="896"/>
      <c r="T58" s="896"/>
      <c r="U58" s="896"/>
    </row>
    <row r="59" spans="1:21" ht="21" customHeight="1">
      <c r="A59" s="909">
        <v>55</v>
      </c>
      <c r="B59" s="909" t="s">
        <v>40</v>
      </c>
      <c r="D59" s="821"/>
      <c r="E59" s="866"/>
      <c r="F59" s="821"/>
      <c r="G59" s="866"/>
      <c r="H59" s="866"/>
      <c r="I59" s="748"/>
      <c r="K59" s="442"/>
      <c r="L59" s="442"/>
      <c r="M59" s="442"/>
      <c r="N59" s="748"/>
      <c r="O59" s="748"/>
      <c r="Q59" s="896"/>
      <c r="R59" s="896"/>
      <c r="S59" s="896"/>
      <c r="T59" s="896"/>
      <c r="U59" s="896"/>
    </row>
    <row r="60" spans="1:21" ht="21" customHeight="1">
      <c r="A60" s="909">
        <v>56</v>
      </c>
      <c r="B60" s="909" t="s">
        <v>39</v>
      </c>
      <c r="D60" s="821"/>
      <c r="E60" s="866"/>
      <c r="F60" s="821"/>
      <c r="G60" s="866"/>
      <c r="H60" s="866"/>
      <c r="I60" s="748"/>
      <c r="K60" s="442"/>
      <c r="L60" s="442"/>
      <c r="M60" s="442"/>
      <c r="N60" s="748"/>
      <c r="O60" s="748"/>
      <c r="Q60" s="896"/>
      <c r="R60" s="896"/>
      <c r="S60" s="896"/>
      <c r="T60" s="896"/>
      <c r="U60" s="896"/>
    </row>
    <row r="61" spans="1:21" ht="21" customHeight="1">
      <c r="A61" s="909">
        <v>57</v>
      </c>
      <c r="B61" s="909" t="s">
        <v>38</v>
      </c>
      <c r="D61" s="821"/>
      <c r="E61" s="866"/>
      <c r="F61" s="821"/>
      <c r="G61" s="866"/>
      <c r="H61" s="866"/>
      <c r="I61" s="748"/>
      <c r="K61" s="442"/>
      <c r="L61" s="442"/>
      <c r="M61" s="442"/>
      <c r="N61" s="748"/>
      <c r="O61" s="748"/>
      <c r="Q61" s="896"/>
      <c r="R61" s="896"/>
      <c r="S61" s="896"/>
      <c r="T61" s="896"/>
      <c r="U61" s="896"/>
    </row>
    <row r="62" spans="1:21" ht="21" customHeight="1">
      <c r="A62" s="909">
        <v>58</v>
      </c>
      <c r="B62" s="909" t="s">
        <v>79</v>
      </c>
      <c r="D62" s="821"/>
      <c r="E62" s="866"/>
      <c r="F62" s="821"/>
      <c r="G62" s="866"/>
      <c r="H62" s="866"/>
      <c r="I62" s="748"/>
      <c r="K62" s="442"/>
      <c r="L62" s="442"/>
      <c r="M62" s="442"/>
      <c r="N62" s="748"/>
      <c r="O62" s="748"/>
      <c r="Q62" s="896"/>
      <c r="R62" s="896"/>
      <c r="S62" s="896"/>
      <c r="T62" s="896"/>
      <c r="U62" s="896"/>
    </row>
    <row r="63" spans="1:21" s="366" customFormat="1">
      <c r="A63" s="364"/>
      <c r="B63" s="365"/>
    </row>
    <row r="65" spans="2:7" ht="26.4">
      <c r="D65" s="72" t="s">
        <v>1687</v>
      </c>
      <c r="E65" s="72" t="s">
        <v>1690</v>
      </c>
      <c r="F65" s="72" t="s">
        <v>1688</v>
      </c>
      <c r="G65" s="72" t="s">
        <v>1689</v>
      </c>
    </row>
    <row r="66" spans="2:7" ht="21" customHeight="1">
      <c r="B66" s="5" t="s">
        <v>273</v>
      </c>
      <c r="D66" s="748"/>
      <c r="E66" s="748"/>
      <c r="F66" s="748"/>
      <c r="G66" s="748"/>
    </row>
    <row r="67" spans="2:7" ht="21" customHeight="1">
      <c r="B67" s="5" t="s">
        <v>201</v>
      </c>
      <c r="D67" s="748"/>
      <c r="E67" s="748"/>
      <c r="F67" s="748"/>
      <c r="G67" s="748"/>
    </row>
    <row r="68" spans="2:7" ht="21" customHeight="1">
      <c r="B68" s="5" t="s">
        <v>18</v>
      </c>
      <c r="D68" s="748"/>
      <c r="E68" s="748"/>
      <c r="F68" s="748"/>
      <c r="G68" s="748"/>
    </row>
    <row r="69" spans="2:7" ht="21" customHeight="1">
      <c r="B69" s="5" t="s">
        <v>22</v>
      </c>
      <c r="D69" s="748"/>
      <c r="E69" s="748"/>
      <c r="F69" s="748"/>
      <c r="G69" s="748"/>
    </row>
    <row r="70" spans="2:7" ht="21" customHeight="1">
      <c r="B70" s="5" t="s">
        <v>30</v>
      </c>
      <c r="D70" s="748"/>
      <c r="E70" s="748"/>
      <c r="F70" s="748"/>
      <c r="G70" s="748"/>
    </row>
    <row r="71" spans="2:7" ht="21" customHeight="1">
      <c r="B71" s="5" t="s">
        <v>531</v>
      </c>
      <c r="D71" s="748"/>
      <c r="E71" s="748"/>
      <c r="F71" s="748"/>
      <c r="G71" s="748"/>
    </row>
    <row r="72" spans="2:7" ht="21" customHeight="1">
      <c r="B72" s="5" t="s">
        <v>1686</v>
      </c>
      <c r="D72" s="748"/>
      <c r="E72" s="748"/>
      <c r="F72" s="748"/>
      <c r="G72" s="748"/>
    </row>
  </sheetData>
  <mergeCells count="6">
    <mergeCell ref="D3:I3"/>
    <mergeCell ref="D2:I2"/>
    <mergeCell ref="K2:O2"/>
    <mergeCell ref="K3:O3"/>
    <mergeCell ref="Q2:U2"/>
    <mergeCell ref="Q3:U3"/>
  </mergeCells>
  <pageMargins left="0.25" right="0.25" top="0.35" bottom="0.2" header="0.25" footer="0.25"/>
  <pageSetup scale="65" fitToWidth="0" orientation="landscape" r:id="rId1"/>
  <headerFooter>
    <oddFooter>&amp;L&amp;P of &amp;N
&amp;D  &amp;T&amp;R&amp;F
&amp;A</oddFooter>
  </headerFooter>
  <rowBreaks count="1" manualBreakCount="1">
    <brk id="34" max="16383" man="1"/>
  </rowBreaks>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FFFFCC"/>
  </sheetPr>
  <dimension ref="A1:T141"/>
  <sheetViews>
    <sheetView showGridLines="0" zoomScale="80" zoomScaleNormal="80" zoomScaleSheetLayoutView="80" workbookViewId="0">
      <pane xSplit="6" ySplit="10" topLeftCell="G11" activePane="bottomRight" state="frozen"/>
      <selection activeCell="C29" sqref="C29"/>
      <selection pane="topRight" activeCell="C29" sqref="C29"/>
      <selection pane="bottomLeft" activeCell="C29" sqref="C29"/>
      <selection pane="bottomRight" activeCell="B3" sqref="B3:D3"/>
    </sheetView>
  </sheetViews>
  <sheetFormatPr defaultColWidth="8.88671875" defaultRowHeight="15.75" customHeight="1"/>
  <cols>
    <col min="1" max="1" width="6.88671875" style="8" customWidth="1"/>
    <col min="2" max="2" width="9" style="8" customWidth="1"/>
    <col min="3" max="4" width="7.6640625" style="186" customWidth="1"/>
    <col min="5" max="5" width="18.33203125" style="186" customWidth="1"/>
    <col min="6" max="6" width="17" style="186" customWidth="1"/>
    <col min="7" max="7" width="15.6640625" style="8" customWidth="1"/>
    <col min="8" max="8" width="15.88671875" style="8" customWidth="1"/>
    <col min="9" max="13" width="14.6640625" style="8" customWidth="1"/>
    <col min="14" max="14" width="14.6640625" style="50" customWidth="1"/>
    <col min="15" max="15" width="1.88671875" style="8" customWidth="1"/>
    <col min="16" max="16" width="16.44140625" style="50" hidden="1" customWidth="1"/>
    <col min="17" max="17" width="53.44140625" style="8" customWidth="1"/>
    <col min="18" max="16384" width="8.88671875" style="8"/>
  </cols>
  <sheetData>
    <row r="1" spans="1:20" s="188" customFormat="1" ht="30" customHeight="1" thickBot="1">
      <c r="A1" s="564" t="s">
        <v>305</v>
      </c>
      <c r="B1" s="565"/>
      <c r="C1" s="565"/>
      <c r="D1" s="565"/>
      <c r="E1" s="566" t="str">
        <f>+Instructions!C2</f>
        <v>v.24.1a</v>
      </c>
      <c r="F1" s="566"/>
      <c r="G1" s="567"/>
      <c r="H1" s="567"/>
      <c r="I1" s="567"/>
      <c r="J1" s="567"/>
      <c r="K1" s="567"/>
      <c r="L1" s="567"/>
      <c r="M1" s="567"/>
      <c r="N1" s="567"/>
      <c r="O1" s="568"/>
      <c r="P1" s="880" t="s">
        <v>1608</v>
      </c>
      <c r="Q1" s="955" t="s">
        <v>23</v>
      </c>
    </row>
    <row r="2" spans="1:20" s="188" customFormat="1" ht="15.75" customHeight="1">
      <c r="A2" s="285"/>
      <c r="B2" s="286"/>
      <c r="C2" s="286"/>
      <c r="D2" s="287"/>
      <c r="E2" s="287"/>
      <c r="F2" s="287"/>
      <c r="G2" s="287"/>
      <c r="H2" s="287"/>
      <c r="I2" s="287"/>
      <c r="J2" s="287"/>
      <c r="K2" s="287"/>
      <c r="L2" s="287"/>
      <c r="M2" s="287"/>
      <c r="N2" s="287"/>
      <c r="O2" s="288"/>
      <c r="P2" s="874"/>
      <c r="Q2" s="83"/>
    </row>
    <row r="3" spans="1:20" ht="15.75" customHeight="1">
      <c r="A3" s="289"/>
      <c r="B3" s="1271"/>
      <c r="C3" s="1272"/>
      <c r="D3" s="1273"/>
      <c r="E3" s="291" t="s">
        <v>589</v>
      </c>
      <c r="F3" s="292"/>
      <c r="G3" s="292"/>
      <c r="H3" s="293" t="s">
        <v>101</v>
      </c>
      <c r="I3" s="1280" t="str">
        <f>IFERROR(VLOOKUP($B$3,'COE CDS'!A:B,2,FALSE),"&lt;=  &lt;=  &lt;=     Enter the county code portion of your LEA CDS Code ")</f>
        <v xml:space="preserve">&lt;=  &lt;=  &lt;=     Enter the county code portion of your LEA CDS Code </v>
      </c>
      <c r="J3" s="1281"/>
      <c r="K3" s="1281"/>
      <c r="L3" s="1281"/>
      <c r="M3" s="1281"/>
      <c r="N3" s="1282"/>
      <c r="O3" s="298"/>
      <c r="P3" s="310"/>
      <c r="Q3" s="275" t="s">
        <v>236</v>
      </c>
    </row>
    <row r="4" spans="1:20" ht="15.75" customHeight="1">
      <c r="A4" s="289"/>
      <c r="B4" s="294"/>
      <c r="C4" s="294"/>
      <c r="D4" s="294"/>
      <c r="E4" s="291"/>
      <c r="F4" s="294"/>
      <c r="G4" s="294"/>
      <c r="H4" s="293" t="s">
        <v>176</v>
      </c>
      <c r="I4" s="457"/>
      <c r="J4" s="458"/>
      <c r="K4" s="458"/>
      <c r="L4" s="458"/>
      <c r="M4" s="458"/>
      <c r="N4" s="459"/>
      <c r="O4" s="298"/>
      <c r="P4" s="310"/>
      <c r="Q4" s="4"/>
      <c r="R4" s="189"/>
      <c r="S4" s="189"/>
      <c r="T4" s="189"/>
    </row>
    <row r="5" spans="1:20" ht="15.75" customHeight="1">
      <c r="A5" s="289"/>
      <c r="B5" s="294"/>
      <c r="C5" s="294"/>
      <c r="D5" s="294"/>
      <c r="E5" s="295"/>
      <c r="F5" s="294"/>
      <c r="G5" s="294"/>
      <c r="H5" s="293" t="s">
        <v>84</v>
      </c>
      <c r="I5" s="457"/>
      <c r="J5" s="458"/>
      <c r="K5" s="458"/>
      <c r="L5" s="458"/>
      <c r="M5" s="458"/>
      <c r="N5" s="459"/>
      <c r="O5" s="298"/>
      <c r="P5" s="310"/>
      <c r="Q5" s="4"/>
      <c r="R5" s="189"/>
      <c r="S5" s="189"/>
      <c r="T5" s="189"/>
    </row>
    <row r="6" spans="1:20" ht="15.75" customHeight="1">
      <c r="A6" s="289"/>
      <c r="B6" s="294"/>
      <c r="C6" s="294"/>
      <c r="D6" s="294"/>
      <c r="E6" s="295"/>
      <c r="F6" s="294"/>
      <c r="G6" s="294"/>
      <c r="H6" s="293" t="s">
        <v>85</v>
      </c>
      <c r="I6" s="457"/>
      <c r="J6" s="458"/>
      <c r="K6" s="458"/>
      <c r="L6" s="458"/>
      <c r="M6" s="458"/>
      <c r="N6" s="459"/>
      <c r="O6" s="298"/>
      <c r="P6" s="310"/>
      <c r="Q6" s="4"/>
      <c r="R6" s="189"/>
      <c r="S6" s="189"/>
      <c r="T6" s="189"/>
    </row>
    <row r="7" spans="1:20" s="189" customFormat="1" ht="15.75" customHeight="1">
      <c r="A7" s="289"/>
      <c r="B7" s="1274"/>
      <c r="C7" s="1275"/>
      <c r="D7" s="1276"/>
      <c r="E7" s="294" t="s">
        <v>213</v>
      </c>
      <c r="F7" s="294"/>
      <c r="G7" s="294"/>
      <c r="H7" s="293" t="s">
        <v>86</v>
      </c>
      <c r="I7" s="457"/>
      <c r="J7" s="458"/>
      <c r="K7" s="458"/>
      <c r="L7" s="458"/>
      <c r="M7" s="458"/>
      <c r="N7" s="459"/>
      <c r="O7" s="298"/>
      <c r="P7" s="310"/>
      <c r="Q7" s="276"/>
    </row>
    <row r="8" spans="1:20" s="7" customFormat="1" ht="15.75" customHeight="1" thickBot="1">
      <c r="A8" s="290"/>
      <c r="B8" s="296"/>
      <c r="C8" s="296"/>
      <c r="D8" s="296"/>
      <c r="E8" s="296"/>
      <c r="F8" s="296"/>
      <c r="G8" s="296"/>
      <c r="H8" s="296"/>
      <c r="I8" s="296"/>
      <c r="J8" s="296"/>
      <c r="K8" s="296"/>
      <c r="L8" s="296"/>
      <c r="M8" s="296"/>
      <c r="N8" s="296"/>
      <c r="O8" s="297"/>
      <c r="P8" s="310"/>
      <c r="Q8" s="4"/>
    </row>
    <row r="9" spans="1:20" s="188" customFormat="1" ht="15.75" customHeight="1" thickBot="1">
      <c r="A9" s="569"/>
      <c r="G9" s="570" t="s">
        <v>179</v>
      </c>
      <c r="H9" s="570" t="s">
        <v>180</v>
      </c>
      <c r="I9" s="570" t="s">
        <v>181</v>
      </c>
      <c r="J9" s="570" t="s">
        <v>182</v>
      </c>
      <c r="K9" s="570" t="s">
        <v>221</v>
      </c>
      <c r="L9" s="570" t="s">
        <v>222</v>
      </c>
      <c r="M9" s="570" t="s">
        <v>223</v>
      </c>
      <c r="N9" s="570" t="s">
        <v>224</v>
      </c>
      <c r="O9" s="571"/>
      <c r="Q9" s="83"/>
    </row>
    <row r="10" spans="1:20" s="82" customFormat="1" ht="15.75" customHeight="1" thickBot="1">
      <c r="A10" s="299"/>
      <c r="B10" s="309"/>
      <c r="C10" s="309"/>
      <c r="D10" s="309"/>
      <c r="E10" s="309"/>
      <c r="F10" s="309"/>
      <c r="G10" s="460" t="str">
        <f>'FY Control'!C7</f>
        <v>2020-21</v>
      </c>
      <c r="H10" s="460" t="str">
        <f>'FY Control'!C8</f>
        <v>2021-22</v>
      </c>
      <c r="I10" s="460" t="str">
        <f>'FY Control'!C9</f>
        <v>2022-23</v>
      </c>
      <c r="J10" s="460" t="str">
        <f>'FY Control'!C10</f>
        <v>2023-24</v>
      </c>
      <c r="K10" s="460" t="str">
        <f>'FY Control'!C11</f>
        <v>2024-25</v>
      </c>
      <c r="L10" s="460" t="str">
        <f>'FY Control'!C12</f>
        <v>2025-26</v>
      </c>
      <c r="M10" s="460" t="str">
        <f>'FY Control'!C13</f>
        <v>2026-27</v>
      </c>
      <c r="N10" s="460" t="str">
        <f>'FY Control'!C14</f>
        <v>2027-28</v>
      </c>
      <c r="O10" s="300"/>
      <c r="P10" s="875"/>
      <c r="Q10" s="83"/>
    </row>
    <row r="11" spans="1:20" s="82" customFormat="1" ht="30" customHeight="1" thickBot="1">
      <c r="A11" s="564" t="s">
        <v>546</v>
      </c>
      <c r="B11" s="565"/>
      <c r="C11" s="566"/>
      <c r="D11" s="566"/>
      <c r="E11" s="566"/>
      <c r="F11" s="566"/>
      <c r="G11" s="567"/>
      <c r="H11" s="567"/>
      <c r="I11" s="567"/>
      <c r="J11" s="567"/>
      <c r="K11" s="567"/>
      <c r="L11" s="567"/>
      <c r="M11" s="567"/>
      <c r="N11" s="567"/>
      <c r="O11" s="568"/>
      <c r="P11" s="873"/>
      <c r="Q11" s="83"/>
    </row>
    <row r="12" spans="1:20" s="82" customFormat="1" ht="20.25" customHeight="1" thickBot="1">
      <c r="A12" s="301" t="s">
        <v>545</v>
      </c>
      <c r="B12" s="302"/>
      <c r="C12" s="302"/>
      <c r="D12" s="303"/>
      <c r="E12" s="304"/>
      <c r="F12" s="305"/>
      <c r="G12" s="306"/>
      <c r="H12" s="306"/>
      <c r="I12" s="306"/>
      <c r="J12" s="306"/>
      <c r="K12" s="306"/>
      <c r="L12" s="306"/>
      <c r="M12" s="306"/>
      <c r="N12" s="306"/>
      <c r="O12" s="307"/>
      <c r="P12" s="180"/>
      <c r="Q12" s="283"/>
    </row>
    <row r="13" spans="1:20" s="82" customFormat="1" ht="32.4" customHeight="1">
      <c r="A13" s="1277" t="s">
        <v>543</v>
      </c>
      <c r="B13" s="1278"/>
      <c r="C13" s="1278"/>
      <c r="D13" s="1278"/>
      <c r="E13" s="1278"/>
      <c r="F13" s="1279"/>
      <c r="G13" s="477">
        <f>SUM(G14:G15)</f>
        <v>0</v>
      </c>
      <c r="H13" s="477">
        <f t="shared" ref="H13:N13" si="0">SUM(H14:H15)</f>
        <v>5.0700000000000002E-2</v>
      </c>
      <c r="I13" s="478">
        <f>SUM(I14:I15)</f>
        <v>6.5600000000000006E-2</v>
      </c>
      <c r="J13" s="478">
        <f>SUM(J14:J15)</f>
        <v>8.1299999999999997E-2</v>
      </c>
      <c r="K13" s="478">
        <f t="shared" si="0"/>
        <v>3.5400000000000001E-2</v>
      </c>
      <c r="L13" s="478">
        <f t="shared" si="0"/>
        <v>3.3099999999999997E-2</v>
      </c>
      <c r="M13" s="478">
        <f t="shared" si="0"/>
        <v>3.2300000000000002E-2</v>
      </c>
      <c r="N13" s="478">
        <f t="shared" si="0"/>
        <v>3.2000000000000001E-2</v>
      </c>
      <c r="O13" s="311"/>
      <c r="P13" s="310"/>
      <c r="Q13" s="83"/>
    </row>
    <row r="14" spans="1:20" s="187" customFormat="1" ht="15.75" customHeight="1">
      <c r="A14" s="555" t="s">
        <v>152</v>
      </c>
      <c r="B14" s="556"/>
      <c r="C14" s="556"/>
      <c r="D14" s="556"/>
      <c r="E14" s="556"/>
      <c r="F14" s="556"/>
      <c r="G14" s="498">
        <v>2.3099999999999999E-2</v>
      </c>
      <c r="H14" s="498">
        <v>1.7000000000000001E-2</v>
      </c>
      <c r="I14" s="498">
        <v>6.5600000000000006E-2</v>
      </c>
      <c r="J14" s="406">
        <v>8.1299999999999997E-2</v>
      </c>
      <c r="K14" s="406">
        <v>3.5400000000000001E-2</v>
      </c>
      <c r="L14" s="406">
        <v>3.3099999999999997E-2</v>
      </c>
      <c r="M14" s="406">
        <v>3.2300000000000002E-2</v>
      </c>
      <c r="N14" s="406">
        <v>3.2000000000000001E-2</v>
      </c>
      <c r="O14" s="311"/>
      <c r="P14" s="310"/>
      <c r="Q14" s="1148" t="s">
        <v>1869</v>
      </c>
    </row>
    <row r="15" spans="1:20" s="187" customFormat="1" ht="15.75" customHeight="1">
      <c r="A15" s="555" t="s">
        <v>168</v>
      </c>
      <c r="B15" s="556"/>
      <c r="C15" s="556"/>
      <c r="D15" s="556"/>
      <c r="E15" s="556"/>
      <c r="F15" s="556"/>
      <c r="G15" s="498">
        <v>-2.3099999999999999E-2</v>
      </c>
      <c r="H15" s="498">
        <v>3.3700000000000001E-2</v>
      </c>
      <c r="I15" s="498">
        <v>0</v>
      </c>
      <c r="J15" s="406">
        <v>0</v>
      </c>
      <c r="K15" s="406">
        <v>0</v>
      </c>
      <c r="L15" s="406">
        <v>0</v>
      </c>
      <c r="M15" s="406">
        <v>0</v>
      </c>
      <c r="N15" s="406">
        <v>0</v>
      </c>
      <c r="O15" s="311"/>
      <c r="P15" s="310"/>
      <c r="Q15" s="277"/>
    </row>
    <row r="16" spans="1:20" s="82" customFormat="1" ht="15.75" customHeight="1">
      <c r="A16" s="555" t="s">
        <v>235</v>
      </c>
      <c r="B16" s="556"/>
      <c r="C16" s="556"/>
      <c r="D16" s="556"/>
      <c r="E16" s="556"/>
      <c r="F16" s="556"/>
      <c r="G16" s="479">
        <v>0.70067850649999996</v>
      </c>
      <c r="H16" s="479">
        <v>0.73317890350000003</v>
      </c>
      <c r="I16" s="898">
        <v>0.4521920787</v>
      </c>
      <c r="J16" s="898"/>
      <c r="K16" s="898"/>
      <c r="L16" s="898"/>
      <c r="M16" s="898"/>
      <c r="N16" s="898"/>
      <c r="O16" s="311"/>
      <c r="P16" s="310"/>
      <c r="Q16" s="584" t="s">
        <v>1319</v>
      </c>
    </row>
    <row r="17" spans="1:17" s="82" customFormat="1" ht="15.75" customHeight="1">
      <c r="A17" s="555" t="s">
        <v>234</v>
      </c>
      <c r="B17" s="556"/>
      <c r="C17" s="556"/>
      <c r="D17" s="556"/>
      <c r="E17" s="556"/>
      <c r="F17" s="556"/>
      <c r="G17" s="480">
        <v>0.82744885379999999</v>
      </c>
      <c r="H17" s="480">
        <v>0.75371569029999996</v>
      </c>
      <c r="I17" s="898">
        <v>0.4521920787</v>
      </c>
      <c r="J17" s="898"/>
      <c r="K17" s="898"/>
      <c r="L17" s="898"/>
      <c r="M17" s="898"/>
      <c r="N17" s="898"/>
      <c r="O17" s="311"/>
      <c r="P17" s="310"/>
      <c r="Q17" s="982" t="s">
        <v>1664</v>
      </c>
    </row>
    <row r="18" spans="1:17" s="191" customFormat="1" ht="15.75" customHeight="1">
      <c r="A18" s="557" t="s">
        <v>155</v>
      </c>
      <c r="B18" s="556"/>
      <c r="C18" s="556"/>
      <c r="D18" s="556"/>
      <c r="E18" s="556"/>
      <c r="F18" s="556"/>
      <c r="G18" s="461"/>
      <c r="H18" s="461"/>
      <c r="I18" s="461"/>
      <c r="J18" s="461"/>
      <c r="K18" s="461"/>
      <c r="L18" s="461"/>
      <c r="M18" s="461"/>
      <c r="N18" s="461"/>
      <c r="O18" s="311"/>
      <c r="P18" s="310"/>
      <c r="Q18" s="278"/>
    </row>
    <row r="19" spans="1:17" s="191" customFormat="1" ht="15.75" customHeight="1">
      <c r="A19" s="555" t="s">
        <v>175</v>
      </c>
      <c r="B19" s="556"/>
      <c r="C19" s="556"/>
      <c r="D19" s="556"/>
      <c r="E19" s="556"/>
      <c r="F19" s="556"/>
      <c r="G19" s="461"/>
      <c r="H19" s="310"/>
      <c r="I19" s="310"/>
      <c r="J19" s="310"/>
      <c r="K19" s="310"/>
      <c r="L19" s="310"/>
      <c r="M19" s="310"/>
      <c r="N19" s="310"/>
      <c r="O19" s="311"/>
      <c r="P19" s="310"/>
      <c r="Q19" s="278"/>
    </row>
    <row r="20" spans="1:17" s="191" customFormat="1" ht="9" customHeight="1" thickBot="1">
      <c r="A20" s="563"/>
      <c r="B20" s="310"/>
      <c r="C20" s="310"/>
      <c r="D20" s="310"/>
      <c r="E20" s="310"/>
      <c r="F20" s="310"/>
      <c r="G20" s="310"/>
      <c r="H20" s="310"/>
      <c r="I20" s="310"/>
      <c r="J20" s="310"/>
      <c r="K20" s="310"/>
      <c r="L20" s="310"/>
      <c r="M20" s="310"/>
      <c r="N20" s="310"/>
      <c r="O20" s="311"/>
      <c r="P20" s="310"/>
      <c r="Q20" s="278"/>
    </row>
    <row r="21" spans="1:17" s="82" customFormat="1" ht="20.25" customHeight="1" thickBot="1">
      <c r="A21" s="301" t="s">
        <v>1326</v>
      </c>
      <c r="B21" s="302"/>
      <c r="C21" s="302"/>
      <c r="D21" s="303"/>
      <c r="E21" s="304"/>
      <c r="F21" s="305"/>
      <c r="G21" s="306"/>
      <c r="H21" s="306"/>
      <c r="I21" s="306"/>
      <c r="J21" s="306"/>
      <c r="K21" s="306"/>
      <c r="L21" s="306"/>
      <c r="M21" s="306"/>
      <c r="N21" s="306"/>
      <c r="O21" s="307"/>
      <c r="P21" s="956" t="s">
        <v>1282</v>
      </c>
      <c r="Q21" s="83"/>
    </row>
    <row r="22" spans="1:17" s="191" customFormat="1" ht="15.75" customHeight="1">
      <c r="A22" s="555" t="s">
        <v>283</v>
      </c>
      <c r="B22" s="558"/>
      <c r="C22" s="556"/>
      <c r="D22" s="556"/>
      <c r="E22" s="556"/>
      <c r="F22" s="556"/>
      <c r="G22" s="475">
        <f>IFERROR(VLOOKUP('Data Entry'!$B$3,'PY3 COG'!$A:$S,MATCH("A-13",'PY3 COG'!$A$5:$S$5,0),FALSE),0)</f>
        <v>0</v>
      </c>
      <c r="H22" s="475">
        <f>IFERROR(VLOOKUP('Data Entry'!$B$3,'PY2 COG'!$A:$S,MATCH("A-13",'PY2 COG'!$A$5:$S$5,0),FALSE),0)</f>
        <v>0</v>
      </c>
      <c r="I22" s="475">
        <f>IFERROR(VLOOKUP('Data Entry'!$B$3,'PY1 COG'!$A:$S,MATCH("A-13",'PY1 COG'!$A$5:$S$5,0),FALSE),0)</f>
        <v>0</v>
      </c>
      <c r="J22" s="476">
        <f>I22*(1+J$13)</f>
        <v>0</v>
      </c>
      <c r="K22" s="476">
        <f t="shared" ref="K22:N22" si="1">+J22*(1+K$13)</f>
        <v>0</v>
      </c>
      <c r="L22" s="476">
        <f t="shared" si="1"/>
        <v>0</v>
      </c>
      <c r="M22" s="476">
        <f t="shared" si="1"/>
        <v>0</v>
      </c>
      <c r="N22" s="476">
        <f t="shared" si="1"/>
        <v>0</v>
      </c>
      <c r="O22" s="311"/>
      <c r="P22" s="867" t="s">
        <v>1478</v>
      </c>
      <c r="Q22" s="1001"/>
    </row>
    <row r="23" spans="1:17" s="191" customFormat="1" ht="15.75" customHeight="1">
      <c r="A23" s="555" t="s">
        <v>284</v>
      </c>
      <c r="B23" s="558"/>
      <c r="C23" s="556"/>
      <c r="D23" s="556"/>
      <c r="E23" s="556"/>
      <c r="F23" s="556"/>
      <c r="G23" s="475">
        <f>IFERROR(VLOOKUP('Data Entry'!$B$3,'PY3 COG'!$A:$S,MATCH("A-18",'PY3 COG'!$A$5:$S$5,0),FALSE),0)</f>
        <v>0</v>
      </c>
      <c r="H23" s="475">
        <f>IFERROR(VLOOKUP('Data Entry'!$B$3,'PY2 COG'!$A:$S,MATCH("A-18",'PY2 COG'!$A$5:$S$5,0),FALSE),0)</f>
        <v>0</v>
      </c>
      <c r="I23" s="475">
        <f>IFERROR(VLOOKUP('Data Entry'!$B$3,'PY1 COG'!$A:$S,MATCH("A-18",'PY1 COG'!$A$5:$S$5,0),FALSE),0)</f>
        <v>0</v>
      </c>
      <c r="J23" s="476">
        <f>I23*(1+J$13)</f>
        <v>0</v>
      </c>
      <c r="K23" s="476">
        <f t="shared" ref="K23:N23" si="2">+J23*(1+K$13)</f>
        <v>0</v>
      </c>
      <c r="L23" s="476">
        <f t="shared" si="2"/>
        <v>0</v>
      </c>
      <c r="M23" s="476">
        <f t="shared" si="2"/>
        <v>0</v>
      </c>
      <c r="N23" s="476">
        <f t="shared" si="2"/>
        <v>0</v>
      </c>
      <c r="O23" s="311"/>
      <c r="P23" s="867" t="s">
        <v>1480</v>
      </c>
      <c r="Q23" s="1001"/>
    </row>
    <row r="24" spans="1:17" s="191" customFormat="1" ht="15.75" customHeight="1">
      <c r="A24" s="555" t="s">
        <v>286</v>
      </c>
      <c r="B24" s="558"/>
      <c r="C24" s="556"/>
      <c r="D24" s="556"/>
      <c r="E24" s="556"/>
      <c r="F24" s="556"/>
      <c r="G24" s="475">
        <f>IFERROR(VLOOKUP('Data Entry'!$B$3,'PY3 COG'!$A:$S,MATCH("A-23",'PY3 COG'!$A$5:$S$5,0),FALSE),0)</f>
        <v>0</v>
      </c>
      <c r="H24" s="475">
        <f>IFERROR(VLOOKUP('Data Entry'!$B$3,'PY2 COG'!$A:$S,MATCH("A-23",'PY2 COG'!$A$5:$S$5,0),FALSE),0)</f>
        <v>0</v>
      </c>
      <c r="I24" s="475">
        <f>IFERROR(VLOOKUP('Data Entry'!$B$3,'PY1 COG'!$A:$S,MATCH("A-23",'PY1 COG'!$A$5:$S$5,0),FALSE),0)</f>
        <v>0</v>
      </c>
      <c r="J24" s="476">
        <f>+I24*(1+J$13)</f>
        <v>0</v>
      </c>
      <c r="K24" s="476">
        <f t="shared" ref="K24:N24" si="3">+J24*(1+K$13)</f>
        <v>0</v>
      </c>
      <c r="L24" s="476">
        <f t="shared" si="3"/>
        <v>0</v>
      </c>
      <c r="M24" s="476">
        <f t="shared" si="3"/>
        <v>0</v>
      </c>
      <c r="N24" s="476">
        <f t="shared" si="3"/>
        <v>0</v>
      </c>
      <c r="O24" s="311"/>
      <c r="P24" s="867" t="s">
        <v>1479</v>
      </c>
      <c r="Q24" s="1001"/>
    </row>
    <row r="25" spans="1:17" s="191" customFormat="1" ht="15.75" customHeight="1">
      <c r="A25" s="555" t="s">
        <v>285</v>
      </c>
      <c r="B25" s="558"/>
      <c r="C25" s="556"/>
      <c r="D25" s="556"/>
      <c r="E25" s="556"/>
      <c r="F25" s="556"/>
      <c r="G25" s="475">
        <f>IFERROR(VLOOKUP('Data Entry'!$B$3,'PY3 COG'!$A:$S,MATCH("A-28",'PY3 COG'!$A$5:$S$5,0),FALSE),0)</f>
        <v>0</v>
      </c>
      <c r="H25" s="475">
        <f>IFERROR(VLOOKUP('Data Entry'!$B$3,'PY2 COG'!$A:$S,MATCH("A-28",'PY2 COG'!$A$5:$S$5,0),FALSE),0)</f>
        <v>0</v>
      </c>
      <c r="I25" s="475">
        <f>IFERROR(VLOOKUP('Data Entry'!$B$3,'PY1 COG'!$A:$S,MATCH("A-28",'PY1 COG'!$A$5:$S$5,0),FALSE),0)</f>
        <v>0</v>
      </c>
      <c r="J25" s="476">
        <f>+I25*(1+J$13)</f>
        <v>0</v>
      </c>
      <c r="K25" s="476">
        <f t="shared" ref="K25:N25" si="4">+J25*(1+K$13)</f>
        <v>0</v>
      </c>
      <c r="L25" s="476">
        <f t="shared" si="4"/>
        <v>0</v>
      </c>
      <c r="M25" s="476">
        <f t="shared" si="4"/>
        <v>0</v>
      </c>
      <c r="N25" s="476">
        <f t="shared" si="4"/>
        <v>0</v>
      </c>
      <c r="O25" s="311"/>
      <c r="P25" s="867" t="s">
        <v>1481</v>
      </c>
      <c r="Q25" s="1001"/>
    </row>
    <row r="26" spans="1:17" s="191" customFormat="1" ht="9" customHeight="1">
      <c r="A26" s="554"/>
      <c r="B26" s="558"/>
      <c r="C26" s="556"/>
      <c r="D26" s="556"/>
      <c r="E26" s="556"/>
      <c r="F26" s="556"/>
      <c r="G26" s="310"/>
      <c r="H26" s="310"/>
      <c r="I26" s="310"/>
      <c r="J26" s="310"/>
      <c r="K26" s="310"/>
      <c r="L26" s="310"/>
      <c r="M26" s="310"/>
      <c r="N26" s="310"/>
      <c r="O26" s="311"/>
      <c r="P26" s="867"/>
      <c r="Q26" s="280"/>
    </row>
    <row r="27" spans="1:17" s="191" customFormat="1" ht="15.75" customHeight="1">
      <c r="A27" s="555" t="s">
        <v>318</v>
      </c>
      <c r="B27" s="558"/>
      <c r="C27" s="556"/>
      <c r="D27" s="556"/>
      <c r="E27" s="556"/>
      <c r="F27" s="556"/>
      <c r="G27" s="499">
        <f>IFERROR(VLOOKUP('Data Entry'!$B$3,'PY3 COG'!$A:$S,MATCH("B-2",'PY3 COG'!$A$5:$S$5,0),FALSE),0)</f>
        <v>0</v>
      </c>
      <c r="H27" s="499">
        <f>IFERROR(VLOOKUP('Data Entry'!$B$3,'PY2 COG'!$A:$S,MATCH("B-2",'PY2 COG'!$A$5:$S$5,0),FALSE),0)</f>
        <v>0</v>
      </c>
      <c r="I27" s="499">
        <f>IFERROR(VLOOKUP('Data Entry'!$B$3,'PY1 COG'!$A:$S,MATCH("B-2",'PY1 COG'!$A$5:$S$5,0),FALSE),0)</f>
        <v>0</v>
      </c>
      <c r="J27" s="500">
        <f>+I27*(1+J$13)</f>
        <v>0</v>
      </c>
      <c r="K27" s="500">
        <f>+J27*(1+K$13)</f>
        <v>0</v>
      </c>
      <c r="L27" s="500">
        <f>+K27*(1+L$13)</f>
        <v>0</v>
      </c>
      <c r="M27" s="500">
        <f t="shared" ref="M27:N27" si="5">+L27*(1+M$13)</f>
        <v>0</v>
      </c>
      <c r="N27" s="500">
        <f t="shared" si="5"/>
        <v>0</v>
      </c>
      <c r="O27" s="311"/>
      <c r="P27" s="867" t="s">
        <v>1482</v>
      </c>
      <c r="Q27" s="280"/>
    </row>
    <row r="28" spans="1:17" s="191" customFormat="1" ht="15.75" customHeight="1">
      <c r="A28" s="555" t="s">
        <v>301</v>
      </c>
      <c r="B28" s="558"/>
      <c r="C28" s="556"/>
      <c r="D28" s="556"/>
      <c r="E28" s="556"/>
      <c r="F28" s="559"/>
      <c r="G28" s="501">
        <f>IFERROR(VLOOKUP('Data Entry'!$B$3,'PY3 COG'!$A:$S,MATCH("C-2",'PY3 COG'!$A$5:$S$5,0),FALSE),0)</f>
        <v>0</v>
      </c>
      <c r="H28" s="501">
        <f>IFERROR(VLOOKUP('Data Entry'!$B$3,'PY2 COG'!$A:$S,MATCH("C-2",'PY2 COG'!$A$5:$S$5,0),FALSE),0)</f>
        <v>0</v>
      </c>
      <c r="I28" s="501">
        <f>IFERROR(VLOOKUP('Data Entry'!$B$3,'PY1 COG'!$A:$S,MATCH("C-2",'PY1 COG'!$A$5:$S$5,0),FALSE),0)</f>
        <v>0</v>
      </c>
      <c r="J28" s="502">
        <f>+I28*(1+J$13)</f>
        <v>0</v>
      </c>
      <c r="K28" s="502">
        <f>+J28*(1+K$13)</f>
        <v>0</v>
      </c>
      <c r="L28" s="502">
        <f t="shared" ref="L28:N28" si="6">+K28*(1+L$13)</f>
        <v>0</v>
      </c>
      <c r="M28" s="502">
        <f t="shared" si="6"/>
        <v>0</v>
      </c>
      <c r="N28" s="502">
        <f t="shared" si="6"/>
        <v>0</v>
      </c>
      <c r="O28" s="312"/>
      <c r="P28" s="867" t="s">
        <v>1483</v>
      </c>
      <c r="Q28" s="1001"/>
    </row>
    <row r="29" spans="1:17" s="191" customFormat="1" ht="9" customHeight="1">
      <c r="A29" s="554"/>
      <c r="B29" s="558"/>
      <c r="C29" s="556"/>
      <c r="D29" s="556"/>
      <c r="E29" s="556"/>
      <c r="F29" s="556"/>
      <c r="G29" s="310"/>
      <c r="H29" s="310"/>
      <c r="I29" s="310"/>
      <c r="J29" s="310"/>
      <c r="K29" s="310"/>
      <c r="L29" s="310"/>
      <c r="M29" s="310"/>
      <c r="N29" s="310"/>
      <c r="O29" s="311"/>
      <c r="P29" s="867"/>
      <c r="Q29" s="280"/>
    </row>
    <row r="30" spans="1:17" s="82" customFormat="1" ht="15.75" customHeight="1">
      <c r="A30" s="555" t="s">
        <v>311</v>
      </c>
      <c r="B30" s="560"/>
      <c r="C30" s="561"/>
      <c r="D30" s="562"/>
      <c r="E30" s="562"/>
      <c r="F30" s="562"/>
      <c r="G30" s="580">
        <f>IFERROR(VLOOKUP('Data Entry'!$B$3,'PY3 COG'!$A:$S,MATCH("C-3",'PY3 COG'!$A$5:$S$5,0),FALSE),0)</f>
        <v>0</v>
      </c>
      <c r="H30" s="580">
        <f>IFERROR(VLOOKUP('Data Entry'!$B$3,'PY2 COG'!$A:$S,MATCH("C-3",'PY2 COG'!$A$5:$S$5,0),FALSE),0)</f>
        <v>0</v>
      </c>
      <c r="I30" s="580">
        <f>IFERROR(VLOOKUP('Data Entry'!$B$3,'PY1 COG'!$A:$S,MATCH("C-3",'PY1 COG'!$A$5:$S$5,0),FALSE),0)</f>
        <v>0</v>
      </c>
      <c r="J30" s="581">
        <f t="shared" ref="J30:N30" si="7">+I30</f>
        <v>0</v>
      </c>
      <c r="K30" s="581">
        <f t="shared" si="7"/>
        <v>0</v>
      </c>
      <c r="L30" s="581">
        <f t="shared" si="7"/>
        <v>0</v>
      </c>
      <c r="M30" s="581">
        <f t="shared" si="7"/>
        <v>0</v>
      </c>
      <c r="N30" s="581">
        <f t="shared" si="7"/>
        <v>0</v>
      </c>
      <c r="O30" s="173"/>
      <c r="P30" s="867" t="s">
        <v>1484</v>
      </c>
      <c r="Q30" s="83"/>
    </row>
    <row r="31" spans="1:17" s="191" customFormat="1" ht="9" customHeight="1" thickBot="1">
      <c r="A31" s="563"/>
      <c r="B31" s="310"/>
      <c r="C31" s="310"/>
      <c r="D31" s="310"/>
      <c r="E31" s="310"/>
      <c r="F31" s="310"/>
      <c r="G31" s="310"/>
      <c r="H31" s="310"/>
      <c r="I31" s="310"/>
      <c r="J31" s="310"/>
      <c r="K31" s="310"/>
      <c r="L31" s="310"/>
      <c r="M31" s="310"/>
      <c r="N31" s="310"/>
      <c r="O31" s="311"/>
      <c r="P31" s="721"/>
      <c r="Q31" s="724"/>
    </row>
    <row r="32" spans="1:17" s="82" customFormat="1" ht="20.25" customHeight="1" thickBot="1">
      <c r="A32" s="301" t="s">
        <v>1327</v>
      </c>
      <c r="B32" s="302"/>
      <c r="C32" s="302"/>
      <c r="D32" s="303"/>
      <c r="E32" s="304"/>
      <c r="F32" s="305"/>
      <c r="G32" s="306"/>
      <c r="H32" s="306"/>
      <c r="I32" s="306"/>
      <c r="J32" s="306"/>
      <c r="K32" s="306"/>
      <c r="L32" s="306"/>
      <c r="M32" s="306"/>
      <c r="N32" s="306"/>
      <c r="O32" s="307"/>
      <c r="P32" s="877"/>
      <c r="Q32" s="616"/>
    </row>
    <row r="33" spans="1:18" s="187" customFormat="1" ht="15.75" customHeight="1">
      <c r="A33" s="555" t="s">
        <v>277</v>
      </c>
      <c r="B33" s="556"/>
      <c r="C33" s="556"/>
      <c r="D33" s="556"/>
      <c r="E33" s="556"/>
      <c r="F33" s="556"/>
      <c r="G33" s="498">
        <v>0.35</v>
      </c>
      <c r="H33" s="498">
        <v>0.35</v>
      </c>
      <c r="I33" s="498">
        <v>0.35</v>
      </c>
      <c r="J33" s="498">
        <v>0.35</v>
      </c>
      <c r="K33" s="498">
        <v>0.35</v>
      </c>
      <c r="L33" s="498">
        <v>0.35</v>
      </c>
      <c r="M33" s="498">
        <v>0.35</v>
      </c>
      <c r="N33" s="498">
        <v>0.35</v>
      </c>
      <c r="O33" s="311"/>
      <c r="P33" s="721"/>
      <c r="Q33" s="725"/>
    </row>
    <row r="34" spans="1:18" s="187" customFormat="1" ht="15.75" customHeight="1">
      <c r="A34" s="555" t="s">
        <v>276</v>
      </c>
      <c r="B34" s="556"/>
      <c r="C34" s="556"/>
      <c r="D34" s="556"/>
      <c r="E34" s="556"/>
      <c r="F34" s="556"/>
      <c r="G34" s="498">
        <v>0.35</v>
      </c>
      <c r="H34" s="498">
        <v>0.35</v>
      </c>
      <c r="I34" s="498">
        <v>0.35</v>
      </c>
      <c r="J34" s="498">
        <v>0.35</v>
      </c>
      <c r="K34" s="498">
        <v>0.35</v>
      </c>
      <c r="L34" s="498">
        <v>0.35</v>
      </c>
      <c r="M34" s="498">
        <v>0.35</v>
      </c>
      <c r="N34" s="498">
        <v>0.35</v>
      </c>
      <c r="O34" s="311"/>
      <c r="P34" s="721"/>
      <c r="Q34" s="725"/>
    </row>
    <row r="35" spans="1:18" s="187" customFormat="1" ht="15.75" customHeight="1">
      <c r="A35" s="555" t="s">
        <v>453</v>
      </c>
      <c r="B35" s="556"/>
      <c r="C35" s="556"/>
      <c r="D35" s="556"/>
      <c r="E35" s="556"/>
      <c r="F35" s="556"/>
      <c r="G35" s="477">
        <v>0.17499999999999999</v>
      </c>
      <c r="H35" s="477">
        <v>0.17499999999999999</v>
      </c>
      <c r="I35" s="477">
        <v>0.17499999999999999</v>
      </c>
      <c r="J35" s="477">
        <v>0.17499999999999999</v>
      </c>
      <c r="K35" s="477">
        <v>0.17499999999999999</v>
      </c>
      <c r="L35" s="477">
        <v>0.17499999999999999</v>
      </c>
      <c r="M35" s="477">
        <v>0.17499999999999999</v>
      </c>
      <c r="N35" s="477">
        <v>0.17499999999999999</v>
      </c>
      <c r="O35" s="311"/>
      <c r="P35" s="721"/>
      <c r="Q35" s="725"/>
    </row>
    <row r="36" spans="1:18" s="191" customFormat="1" ht="9" customHeight="1" thickBot="1">
      <c r="A36" s="563"/>
      <c r="B36" s="310"/>
      <c r="C36" s="310"/>
      <c r="D36" s="310"/>
      <c r="E36" s="310"/>
      <c r="F36" s="310"/>
      <c r="G36" s="310"/>
      <c r="H36" s="310"/>
      <c r="I36" s="310"/>
      <c r="J36" s="310"/>
      <c r="K36" s="310"/>
      <c r="L36" s="310"/>
      <c r="M36" s="310"/>
      <c r="N36" s="310"/>
      <c r="O36" s="311"/>
      <c r="P36" s="721"/>
      <c r="Q36" s="724"/>
    </row>
    <row r="37" spans="1:18" s="82" customFormat="1" ht="20.25" customHeight="1" thickBot="1">
      <c r="A37" s="301" t="s">
        <v>1325</v>
      </c>
      <c r="B37" s="302"/>
      <c r="C37" s="302"/>
      <c r="D37" s="303"/>
      <c r="E37" s="304"/>
      <c r="F37" s="305"/>
      <c r="G37" s="306"/>
      <c r="H37" s="306"/>
      <c r="I37" s="306"/>
      <c r="J37" s="306"/>
      <c r="K37" s="306"/>
      <c r="L37" s="306"/>
      <c r="M37" s="306"/>
      <c r="N37" s="306"/>
      <c r="O37" s="307"/>
      <c r="P37" s="876"/>
      <c r="Q37" s="616" t="s">
        <v>1283</v>
      </c>
    </row>
    <row r="38" spans="1:18" s="82" customFormat="1" ht="15.75" customHeight="1">
      <c r="A38" s="555" t="s">
        <v>287</v>
      </c>
      <c r="C38" s="188"/>
      <c r="D38" s="180"/>
      <c r="E38" s="180"/>
      <c r="F38" s="188"/>
      <c r="G38" s="481">
        <f>IFERROR(VLOOKUP('Data Entry'!$B$3,'PY3 LCFF Calc'!$A:$O,MATCH("A-10",'PY3 LCFF Calc'!$A$5:$O$5,0),FALSE),0)</f>
        <v>0</v>
      </c>
      <c r="H38" s="481">
        <f>IFERROR(VLOOKUP('Data Entry'!$B$3,'PY2 LCFF Calc'!$A:$O,MATCH("A-10",'PY2 LCFF Calc'!$A$5:$O$5,0),FALSE),0)</f>
        <v>0</v>
      </c>
      <c r="I38" s="481">
        <f>IFERROR(VLOOKUP('Data Entry'!$B$3,'PY1 LCFF Calc'!$A:$O,MATCH("A-10",'PY1 LCFF Calc'!$A$5:$O$5,0),FALSE),0)</f>
        <v>0</v>
      </c>
      <c r="J38" s="481">
        <f>I38*(1+'Data Entry'!J$13)</f>
        <v>0</v>
      </c>
      <c r="K38" s="481">
        <f>J38*(1+'Data Entry'!K$13)</f>
        <v>0</v>
      </c>
      <c r="L38" s="481">
        <f>K38*(1+'Data Entry'!L$13)</f>
        <v>0</v>
      </c>
      <c r="M38" s="481">
        <f>L38*(1+'Data Entry'!M$13)</f>
        <v>0</v>
      </c>
      <c r="N38" s="481">
        <f>M38*(1+'Data Entry'!N$13)</f>
        <v>0</v>
      </c>
      <c r="O38" s="173"/>
      <c r="P38" s="867" t="s">
        <v>1485</v>
      </c>
      <c r="Q38" s="83"/>
    </row>
    <row r="39" spans="1:18" s="82" customFormat="1" ht="15.75" customHeight="1">
      <c r="A39" s="555" t="s">
        <v>316</v>
      </c>
      <c r="C39" s="188"/>
      <c r="D39" s="180"/>
      <c r="E39" s="180"/>
      <c r="F39" s="188"/>
      <c r="G39" s="482">
        <f t="shared" ref="G39:N39" si="8">+G38*G33</f>
        <v>0</v>
      </c>
      <c r="H39" s="482">
        <f t="shared" si="8"/>
        <v>0</v>
      </c>
      <c r="I39" s="482">
        <f t="shared" si="8"/>
        <v>0</v>
      </c>
      <c r="J39" s="482">
        <f t="shared" si="8"/>
        <v>0</v>
      </c>
      <c r="K39" s="482">
        <f t="shared" si="8"/>
        <v>0</v>
      </c>
      <c r="L39" s="482">
        <f t="shared" si="8"/>
        <v>0</v>
      </c>
      <c r="M39" s="482">
        <f t="shared" si="8"/>
        <v>0</v>
      </c>
      <c r="N39" s="482">
        <f t="shared" si="8"/>
        <v>0</v>
      </c>
      <c r="O39" s="173"/>
      <c r="P39" s="901" t="s">
        <v>1328</v>
      </c>
      <c r="Q39" s="83"/>
    </row>
    <row r="40" spans="1:18" s="82" customFormat="1" ht="15.75" customHeight="1">
      <c r="A40" s="555" t="s">
        <v>317</v>
      </c>
      <c r="C40" s="188"/>
      <c r="D40" s="180"/>
      <c r="E40" s="180"/>
      <c r="F40" s="188"/>
      <c r="G40" s="482">
        <f t="shared" ref="G40:N40" si="9">+G38*G34</f>
        <v>0</v>
      </c>
      <c r="H40" s="482">
        <f t="shared" si="9"/>
        <v>0</v>
      </c>
      <c r="I40" s="482">
        <f t="shared" si="9"/>
        <v>0</v>
      </c>
      <c r="J40" s="482">
        <f t="shared" si="9"/>
        <v>0</v>
      </c>
      <c r="K40" s="482">
        <f t="shared" si="9"/>
        <v>0</v>
      </c>
      <c r="L40" s="482">
        <f t="shared" si="9"/>
        <v>0</v>
      </c>
      <c r="M40" s="482">
        <f t="shared" si="9"/>
        <v>0</v>
      </c>
      <c r="N40" s="482">
        <f t="shared" si="9"/>
        <v>0</v>
      </c>
      <c r="O40" s="173"/>
      <c r="P40" s="901" t="s">
        <v>1328</v>
      </c>
      <c r="Q40" s="83"/>
    </row>
    <row r="41" spans="1:18" s="191" customFormat="1" ht="9" customHeight="1" thickBot="1">
      <c r="A41" s="563"/>
      <c r="B41" s="310"/>
      <c r="C41" s="310"/>
      <c r="D41" s="310"/>
      <c r="E41" s="310"/>
      <c r="F41" s="310"/>
      <c r="G41" s="310"/>
      <c r="H41" s="310"/>
      <c r="I41" s="310"/>
      <c r="J41" s="310"/>
      <c r="K41" s="310"/>
      <c r="L41" s="310"/>
      <c r="M41" s="310"/>
      <c r="N41" s="310"/>
      <c r="O41" s="311"/>
      <c r="P41" s="902"/>
      <c r="Q41" s="280"/>
    </row>
    <row r="42" spans="1:18" s="82" customFormat="1" ht="30" customHeight="1" thickBot="1">
      <c r="A42" s="564" t="s">
        <v>548</v>
      </c>
      <c r="B42" s="565"/>
      <c r="C42" s="566"/>
      <c r="D42" s="566"/>
      <c r="E42" s="566"/>
      <c r="F42" s="566"/>
      <c r="G42" s="567"/>
      <c r="H42" s="567"/>
      <c r="I42" s="567"/>
      <c r="J42" s="567"/>
      <c r="K42" s="567"/>
      <c r="L42" s="567"/>
      <c r="M42" s="567"/>
      <c r="N42" s="567"/>
      <c r="O42" s="568"/>
      <c r="P42" s="876"/>
      <c r="Q42" s="616" t="s">
        <v>1329</v>
      </c>
    </row>
    <row r="43" spans="1:18" ht="15.75" customHeight="1">
      <c r="A43" s="575" t="s">
        <v>573</v>
      </c>
      <c r="B43" s="495"/>
      <c r="D43" s="177"/>
      <c r="E43" s="177"/>
      <c r="F43" s="177"/>
      <c r="G43" s="503">
        <f>IFERROR(VLOOKUP($B$3,'PY3 Local Rev'!$A:$E,MATCH("A-14",'PY3 Local Rev'!$A$5:$E$5,0),FALSE),0)</f>
        <v>0</v>
      </c>
      <c r="H43" s="503">
        <f>IFERROR(VLOOKUP($B$3,'PY2 Local Rev'!$A:$E,MATCH("A-14",'PY2 Local Rev'!$A$5:$E$5,0),FALSE),0)</f>
        <v>0</v>
      </c>
      <c r="I43" s="1018">
        <f>IFERROR(VLOOKUP($B$3,'PY1 Local Rev'!$A:$E,MATCH("A-14",'PY1 Local Rev'!$A$5:$E$5,0),FALSE),0)</f>
        <v>0</v>
      </c>
      <c r="J43" s="505"/>
      <c r="K43" s="505"/>
      <c r="L43" s="505"/>
      <c r="M43" s="505"/>
      <c r="N43" s="505"/>
      <c r="O43" s="172"/>
      <c r="P43" s="722" t="s">
        <v>1557</v>
      </c>
      <c r="Q43" s="4"/>
    </row>
    <row r="44" spans="1:18" ht="15.75" customHeight="1">
      <c r="A44" s="575" t="s">
        <v>302</v>
      </c>
      <c r="B44" s="495"/>
      <c r="D44" s="177"/>
      <c r="E44" s="177"/>
      <c r="F44" s="177"/>
      <c r="G44" s="497">
        <f>IFERROR(VLOOKUP($B$3,'PY3 Local Rev'!$A:$E,MATCH("B-1",'PY3 Local Rev'!$A$5:$E$5,0),FALSE),0)</f>
        <v>0</v>
      </c>
      <c r="H44" s="497">
        <f>IFERROR(VLOOKUP($B$3,'PY2 Local Rev'!$A:$E,MATCH("B-1",'PY2 Local Rev'!$A$5:$E$5,0),FALSE),0)</f>
        <v>0</v>
      </c>
      <c r="I44" s="497">
        <f>IFERROR(VLOOKUP($B$3,'PY1 Local Rev'!$A:$E,MATCH("B-1",'PY1 Local Rev'!$A$5:$E$5,0),FALSE),0)</f>
        <v>0</v>
      </c>
      <c r="J44" s="497">
        <f>+I44</f>
        <v>0</v>
      </c>
      <c r="K44" s="497">
        <f t="shared" ref="K44:N44" si="10">+J44</f>
        <v>0</v>
      </c>
      <c r="L44" s="497">
        <f t="shared" si="10"/>
        <v>0</v>
      </c>
      <c r="M44" s="497">
        <f t="shared" si="10"/>
        <v>0</v>
      </c>
      <c r="N44" s="497">
        <f t="shared" si="10"/>
        <v>0</v>
      </c>
      <c r="O44" s="172"/>
      <c r="P44" s="722" t="s">
        <v>1558</v>
      </c>
      <c r="Q44" s="4"/>
      <c r="R44" s="17"/>
    </row>
    <row r="45" spans="1:18" ht="15.75" customHeight="1">
      <c r="A45" s="575" t="s">
        <v>304</v>
      </c>
      <c r="B45" s="495"/>
      <c r="D45" s="177"/>
      <c r="E45" s="177"/>
      <c r="F45" s="177"/>
      <c r="G45" s="503">
        <f>ROUND(+G43*G44,0)</f>
        <v>0</v>
      </c>
      <c r="H45" s="503">
        <f>ROUND(+H43*H44,0)</f>
        <v>0</v>
      </c>
      <c r="I45" s="503">
        <f>ROUND(+I43*I44,0)</f>
        <v>0</v>
      </c>
      <c r="J45" s="504">
        <f t="shared" ref="J45:N45" si="11">ROUND(+J43*J44,0)</f>
        <v>0</v>
      </c>
      <c r="K45" s="504">
        <f t="shared" si="11"/>
        <v>0</v>
      </c>
      <c r="L45" s="504">
        <f t="shared" si="11"/>
        <v>0</v>
      </c>
      <c r="M45" s="504">
        <f t="shared" si="11"/>
        <v>0</v>
      </c>
      <c r="N45" s="504">
        <f t="shared" si="11"/>
        <v>0</v>
      </c>
      <c r="O45" s="172"/>
      <c r="P45" s="799" t="s">
        <v>1328</v>
      </c>
      <c r="Q45" s="4"/>
      <c r="R45" s="17"/>
    </row>
    <row r="46" spans="1:18" ht="15.75" customHeight="1">
      <c r="A46" s="575" t="s">
        <v>303</v>
      </c>
      <c r="B46" s="495"/>
      <c r="C46" s="710"/>
      <c r="D46" s="165"/>
      <c r="E46" s="165"/>
      <c r="F46" s="177"/>
      <c r="G46" s="503">
        <f t="shared" ref="G46:N46" si="12">+G43-G45</f>
        <v>0</v>
      </c>
      <c r="H46" s="503">
        <f t="shared" si="12"/>
        <v>0</v>
      </c>
      <c r="I46" s="503">
        <f t="shared" si="12"/>
        <v>0</v>
      </c>
      <c r="J46" s="504">
        <f t="shared" si="12"/>
        <v>0</v>
      </c>
      <c r="K46" s="504">
        <f t="shared" si="12"/>
        <v>0</v>
      </c>
      <c r="L46" s="504">
        <f t="shared" si="12"/>
        <v>0</v>
      </c>
      <c r="M46" s="504">
        <f t="shared" si="12"/>
        <v>0</v>
      </c>
      <c r="N46" s="504">
        <f t="shared" si="12"/>
        <v>0</v>
      </c>
      <c r="O46" s="172"/>
      <c r="P46" s="799" t="s">
        <v>1328</v>
      </c>
      <c r="Q46" s="4"/>
    </row>
    <row r="47" spans="1:18" s="191" customFormat="1" ht="9" customHeight="1" thickBot="1">
      <c r="A47" s="579"/>
      <c r="B47" s="711"/>
      <c r="C47" s="712"/>
      <c r="D47" s="712"/>
      <c r="E47" s="712"/>
      <c r="F47" s="712"/>
      <c r="G47" s="712"/>
      <c r="H47" s="712"/>
      <c r="I47" s="712"/>
      <c r="J47" s="712"/>
      <c r="K47" s="712"/>
      <c r="L47" s="712"/>
      <c r="M47" s="712"/>
      <c r="N47" s="712"/>
      <c r="O47" s="713"/>
      <c r="P47" s="902"/>
      <c r="Q47" s="280"/>
    </row>
    <row r="48" spans="1:18" s="82" customFormat="1" ht="30" customHeight="1" thickBot="1">
      <c r="A48" s="564" t="s">
        <v>550</v>
      </c>
      <c r="B48" s="565"/>
      <c r="C48" s="566"/>
      <c r="D48" s="566"/>
      <c r="E48" s="566"/>
      <c r="F48" s="566"/>
      <c r="G48" s="567"/>
      <c r="H48" s="567"/>
      <c r="I48" s="567"/>
      <c r="J48" s="567"/>
      <c r="K48" s="567"/>
      <c r="L48" s="567"/>
      <c r="M48" s="567"/>
      <c r="N48" s="567"/>
      <c r="O48" s="568"/>
      <c r="P48" s="876"/>
      <c r="Q48" s="613" t="s">
        <v>292</v>
      </c>
    </row>
    <row r="49" spans="1:17" s="82" customFormat="1" ht="20.25" customHeight="1" thickBot="1">
      <c r="A49" s="301" t="s">
        <v>551</v>
      </c>
      <c r="B49" s="302" t="s">
        <v>1318</v>
      </c>
      <c r="C49" s="302"/>
      <c r="D49" s="303"/>
      <c r="E49" s="304"/>
      <c r="F49" s="305"/>
      <c r="G49" s="306"/>
      <c r="H49" s="306"/>
      <c r="I49" s="306"/>
      <c r="J49" s="306"/>
      <c r="K49" s="306"/>
      <c r="L49" s="306"/>
      <c r="M49" s="306"/>
      <c r="N49" s="306"/>
      <c r="O49" s="307"/>
      <c r="P49" s="867" t="s">
        <v>1332</v>
      </c>
      <c r="Q49" s="83"/>
    </row>
    <row r="50" spans="1:17" ht="15.75" customHeight="1">
      <c r="A50" s="575" t="s">
        <v>342</v>
      </c>
      <c r="B50" s="186"/>
      <c r="D50" s="174"/>
      <c r="E50" s="174"/>
      <c r="F50" s="177"/>
      <c r="G50" s="483">
        <f>IFERROR(VLOOKUP($B$3,'PY3 UPP'!$A:$BE,MATCH("A-1.2",'PY3 UPP'!$A$5:$BE$5,0),FALSE)+VLOOKUP($B$3,'PY3 UPP'!$A:$BE,MATCH("A-5.2",'PY3 UPP'!$A$5:$BE$5,0),FALSE),0)</f>
        <v>0</v>
      </c>
      <c r="H50" s="190"/>
      <c r="I50" s="190"/>
      <c r="J50" s="190"/>
      <c r="K50" s="190"/>
      <c r="L50" s="190"/>
      <c r="M50" s="190"/>
      <c r="N50" s="190"/>
      <c r="O50" s="172"/>
      <c r="P50" s="660" t="s">
        <v>1366</v>
      </c>
      <c r="Q50" s="4"/>
    </row>
    <row r="51" spans="1:17" ht="15.75" customHeight="1">
      <c r="A51" s="575" t="s">
        <v>580</v>
      </c>
      <c r="B51" s="186"/>
      <c r="D51" s="174"/>
      <c r="E51" s="174"/>
      <c r="F51" s="177"/>
      <c r="G51" s="483">
        <f>IFERROR(VLOOKUP($B$3,'PY3 UPP'!$A:$BE,MATCH("A-1.1",'PY3 UPP'!$A$5:$BE$5,0),FALSE)+VLOOKUP($B$3,'PY3 UPP'!$A:$BE,MATCH("A-5.1",'PY3 UPP'!$A$5:$BE$5,0),FALSE),0)</f>
        <v>0</v>
      </c>
      <c r="H51" s="190"/>
      <c r="I51" s="190"/>
      <c r="J51" s="190"/>
      <c r="K51" s="190"/>
      <c r="L51" s="190"/>
      <c r="M51" s="190"/>
      <c r="N51" s="190"/>
      <c r="O51" s="172"/>
      <c r="P51" s="660" t="s">
        <v>1367</v>
      </c>
      <c r="Q51" s="4"/>
    </row>
    <row r="52" spans="1:17" ht="15.75" customHeight="1">
      <c r="A52" s="575" t="s">
        <v>343</v>
      </c>
      <c r="B52" s="186"/>
      <c r="D52" s="174"/>
      <c r="E52" s="174"/>
      <c r="F52" s="177"/>
      <c r="G52" s="485">
        <f>IFERROR(VLOOKUP($B$3,'PY3 UPP'!$A:$BE,MATCH("A-1",'PY3 UPP'!$A$5:$BE$5,0),FALSE)+VLOOKUP($B$3,'PY3 UPP'!$A:$BE,MATCH("A-5",'PY3 UPP'!$A$5:$BE$5,0),FALSE),0)</f>
        <v>0</v>
      </c>
      <c r="H52" s="485">
        <f>IFERROR(VLOOKUP($B$3,'PY2 UPP'!$A:$U,MATCH("A-1",'PY2 UPP'!$A$5:$U$5,0),FALSE)+VLOOKUP($B$3,'PY2 UPP'!$A:$U,MATCH("A-5",'PY2 UPP'!$A$5:$U$5,0),FALSE),0)</f>
        <v>0</v>
      </c>
      <c r="I52" s="462">
        <f>IFERROR(VLOOKUP($B$3,'PY1 UPP'!$A:$U,MATCH("A-1",'PY1 UPP'!$A$5:$U$5,0),FALSE)+VLOOKUP($B$3,'PY1 UPP'!$A:$U,MATCH("A-5",'PY1 UPP'!$A$5:$U$5,0),FALSE),0)</f>
        <v>0</v>
      </c>
      <c r="J52" s="582"/>
      <c r="K52" s="582"/>
      <c r="L52" s="582"/>
      <c r="M52" s="582"/>
      <c r="N52" s="582"/>
      <c r="O52" s="172"/>
      <c r="P52" s="660" t="s">
        <v>1368</v>
      </c>
      <c r="Q52" s="4"/>
    </row>
    <row r="53" spans="1:17" s="191" customFormat="1" ht="9" customHeight="1">
      <c r="A53" s="554"/>
      <c r="B53" s="558"/>
      <c r="C53" s="556"/>
      <c r="D53" s="556"/>
      <c r="E53" s="556"/>
      <c r="F53" s="556"/>
      <c r="G53" s="310"/>
      <c r="H53" s="310"/>
      <c r="I53" s="180"/>
      <c r="J53" s="180"/>
      <c r="K53" s="180"/>
      <c r="L53" s="180"/>
      <c r="M53" s="180"/>
      <c r="N53" s="180"/>
      <c r="O53" s="311"/>
      <c r="P53" s="723"/>
      <c r="Q53" s="280"/>
    </row>
    <row r="54" spans="1:17" ht="15.75" customHeight="1">
      <c r="A54" s="575" t="s">
        <v>344</v>
      </c>
      <c r="B54" s="186"/>
      <c r="D54" s="174"/>
      <c r="E54" s="174"/>
      <c r="F54" s="177"/>
      <c r="G54" s="483">
        <f>IFERROR(VLOOKUP($B$3,'PY3 UPP'!$A:$BE,MATCH("B-1.2",'PY3 UPP'!$A$5:$BE$5,0),FALSE)+VLOOKUP($B$3,'PY3 UPP'!$A:$BE,MATCH("B-5.2",'PY3 UPP'!$A$5:$BE$5,0),FALSE),0)</f>
        <v>0</v>
      </c>
      <c r="H54" s="190"/>
      <c r="I54" s="190"/>
      <c r="J54" s="190"/>
      <c r="K54" s="190"/>
      <c r="L54" s="190"/>
      <c r="M54" s="190"/>
      <c r="N54" s="190"/>
      <c r="O54" s="172"/>
      <c r="P54" s="660" t="s">
        <v>1369</v>
      </c>
      <c r="Q54" s="4"/>
    </row>
    <row r="55" spans="1:17" ht="15.75" customHeight="1">
      <c r="A55" s="575" t="s">
        <v>345</v>
      </c>
      <c r="B55" s="186"/>
      <c r="D55" s="174"/>
      <c r="E55" s="174"/>
      <c r="F55" s="177"/>
      <c r="G55" s="483">
        <f>IFERROR(VLOOKUP($B$3,'PY3 UPP'!$A:$BE,MATCH("B-1.1",'PY3 UPP'!$A$5:$BE$5,0),FALSE)+VLOOKUP($B$3,'PY3 UPP'!$A:$BE,MATCH("B-5.1",'PY3 UPP'!$A$5:$BE$5,0),FALSE),0)</f>
        <v>0</v>
      </c>
      <c r="H55" s="190"/>
      <c r="I55" s="190"/>
      <c r="J55" s="190"/>
      <c r="K55" s="190"/>
      <c r="L55" s="190"/>
      <c r="M55" s="190"/>
      <c r="N55" s="190"/>
      <c r="O55" s="172"/>
      <c r="P55" s="660" t="s">
        <v>1370</v>
      </c>
      <c r="Q55" s="4"/>
    </row>
    <row r="56" spans="1:17" ht="15.75" customHeight="1">
      <c r="A56" s="575" t="s">
        <v>346</v>
      </c>
      <c r="B56" s="186"/>
      <c r="D56" s="174"/>
      <c r="E56" s="174"/>
      <c r="F56" s="177"/>
      <c r="G56" s="485">
        <f>IFERROR(VLOOKUP($B$3,'PY3 UPP'!$A:$BE,MATCH("B-1",'PY3 UPP'!$A$5:$BE$5,0),FALSE)+VLOOKUP($B$3,'PY3 UPP'!$A:$BE,MATCH("B-5",'PY3 UPP'!$A$5:$BE$5,0),FALSE),0)</f>
        <v>0</v>
      </c>
      <c r="H56" s="485">
        <f>IFERROR(VLOOKUP($B$3,'PY2 UPP'!$A:$U,MATCH("B-1",'PY2 UPP'!$A$5:$U$5,0),FALSE)+VLOOKUP($B$3,'PY2 UPP'!$A:$U,MATCH("B-5",'PY2 UPP'!$A$5:$U$5,0),FALSE),0)</f>
        <v>0</v>
      </c>
      <c r="I56" s="462">
        <f>IFERROR(VLOOKUP($B$3,'PY1 UPP'!$A:$U,MATCH("B-1",'PY1 UPP'!$A$5:$U$5,0),FALSE)+VLOOKUP($B$3,'PY1 UPP'!$A:$U,MATCH("B-5",'PY1 UPP'!$A$5:$U$5,0),FALSE),0)</f>
        <v>0</v>
      </c>
      <c r="J56" s="582"/>
      <c r="K56" s="582"/>
      <c r="L56" s="582"/>
      <c r="M56" s="582"/>
      <c r="N56" s="582"/>
      <c r="O56" s="172"/>
      <c r="P56" s="660" t="s">
        <v>1371</v>
      </c>
      <c r="Q56" s="4"/>
    </row>
    <row r="57" spans="1:17" ht="9" customHeight="1" thickBot="1">
      <c r="A57" s="507"/>
      <c r="B57" s="495"/>
      <c r="C57" s="282"/>
      <c r="D57" s="235"/>
      <c r="E57" s="179"/>
      <c r="F57" s="177"/>
      <c r="G57" s="171"/>
      <c r="H57" s="171"/>
      <c r="I57" s="171"/>
      <c r="J57" s="171"/>
      <c r="K57" s="171"/>
      <c r="L57" s="171"/>
      <c r="M57" s="171"/>
      <c r="N57" s="171"/>
      <c r="O57" s="178"/>
      <c r="P57" s="903"/>
      <c r="Q57" s="4"/>
    </row>
    <row r="58" spans="1:17" s="82" customFormat="1" ht="20.25" customHeight="1" thickBot="1">
      <c r="A58" s="301" t="s">
        <v>549</v>
      </c>
      <c r="B58" s="302" t="s">
        <v>544</v>
      </c>
      <c r="C58" s="302"/>
      <c r="D58" s="303"/>
      <c r="E58" s="304"/>
      <c r="F58" s="305"/>
      <c r="G58" s="306"/>
      <c r="H58" s="306"/>
      <c r="I58" s="306"/>
      <c r="J58" s="306"/>
      <c r="K58" s="306"/>
      <c r="L58" s="306"/>
      <c r="M58" s="306"/>
      <c r="N58" s="306"/>
      <c r="O58" s="307"/>
      <c r="P58" s="867" t="s">
        <v>1331</v>
      </c>
      <c r="Q58" s="83"/>
    </row>
    <row r="59" spans="1:17" ht="15.75" customHeight="1">
      <c r="A59" s="575" t="s">
        <v>288</v>
      </c>
      <c r="B59" s="186"/>
      <c r="D59" s="174"/>
      <c r="E59" s="174"/>
      <c r="F59" s="177"/>
      <c r="G59" s="483">
        <f>IFERROR(VLOOKUP($B$3,'PY3 UPP'!$A:$BE,MATCH("A-2.2",'PY3 UPP'!$A$5:$BE$5,0),FALSE)+VLOOKUP($B$3,'PY3 UPP'!$A:$BE,MATCH("D-3.2",'PY3 UPP'!$A$5:$BE$5,0),FALSE),0)</f>
        <v>0</v>
      </c>
      <c r="H59" s="190"/>
      <c r="I59" s="190"/>
      <c r="J59" s="190"/>
      <c r="K59" s="190"/>
      <c r="L59" s="190"/>
      <c r="M59" s="190"/>
      <c r="N59" s="190"/>
      <c r="O59" s="172"/>
      <c r="P59" s="7" t="s">
        <v>360</v>
      </c>
      <c r="Q59" s="4"/>
    </row>
    <row r="60" spans="1:17" ht="15.75" customHeight="1">
      <c r="A60" s="575" t="s">
        <v>289</v>
      </c>
      <c r="B60" s="186"/>
      <c r="D60" s="174"/>
      <c r="E60" s="174"/>
      <c r="F60" s="177"/>
      <c r="G60" s="483">
        <f>IFERROR(VLOOKUP($B$3,'PY3 UPP'!$A:$BE,MATCH("A-2.1",'PY3 UPP'!$A$5:$BE$5,0),FALSE)+VLOOKUP($B$3,'PY3 UPP'!$A:$BE,MATCH("D-3.1",'PY3 UPP'!$A$5:$BE$5,0),FALSE),0)</f>
        <v>0</v>
      </c>
      <c r="H60" s="190"/>
      <c r="I60" s="190"/>
      <c r="J60" s="190"/>
      <c r="K60" s="190"/>
      <c r="L60" s="190"/>
      <c r="M60" s="190"/>
      <c r="N60" s="190"/>
      <c r="O60" s="172"/>
      <c r="P60" s="7" t="s">
        <v>361</v>
      </c>
      <c r="Q60" s="4"/>
    </row>
    <row r="61" spans="1:17" ht="15.75" customHeight="1">
      <c r="A61" s="575" t="s">
        <v>290</v>
      </c>
      <c r="B61" s="186"/>
      <c r="D61" s="174"/>
      <c r="E61" s="174"/>
      <c r="F61" s="177"/>
      <c r="G61" s="485">
        <f>IFERROR(VLOOKUP($B$3,'PY3 UPP'!$A:$BE,MATCH("A-2",'PY3 UPP'!$A$5:$BE$5,0),FALSE)+VLOOKUP($B$3,'PY3 UPP'!$A:$BE,MATCH("D-3",'PY3 UPP'!$A$5:$BE$5,0),FALSE),0)</f>
        <v>0</v>
      </c>
      <c r="H61" s="485">
        <f>IFERROR(VLOOKUP($B$3,'PY2 UPP'!$A:$U,MATCH("A-2",'PY2 UPP'!$A$5:$U$5,0),FALSE)+VLOOKUP($B$3,'PY2 UPP'!$A:$U,MATCH("D-3",'PY2 UPP'!$A$5:$U$5,0),FALSE),0)</f>
        <v>0</v>
      </c>
      <c r="I61" s="485">
        <f>IFERROR(VLOOKUP($B$3,'PY1 UPP'!$A:$U,MATCH("A-2",'PY1 UPP'!$A$5:$U$5,0),FALSE)+VLOOKUP($B$3,'PY1 UPP'!$A:$U,MATCH("D-3",'PY1 UPP'!$A$5:$U$5,0),FALSE),0)</f>
        <v>0</v>
      </c>
      <c r="J61" s="582"/>
      <c r="K61" s="582"/>
      <c r="L61" s="582"/>
      <c r="M61" s="582"/>
      <c r="N61" s="582"/>
      <c r="O61" s="172"/>
      <c r="P61" s="7" t="s">
        <v>359</v>
      </c>
      <c r="Q61" s="4"/>
    </row>
    <row r="62" spans="1:17" s="191" customFormat="1" ht="9" customHeight="1">
      <c r="A62" s="554"/>
      <c r="B62" s="558"/>
      <c r="C62" s="556"/>
      <c r="D62" s="556"/>
      <c r="E62" s="556"/>
      <c r="F62" s="556"/>
      <c r="G62" s="310"/>
      <c r="H62" s="310"/>
      <c r="I62" s="310"/>
      <c r="J62" s="310"/>
      <c r="K62" s="310"/>
      <c r="L62" s="310"/>
      <c r="M62" s="310"/>
      <c r="N62" s="310"/>
      <c r="O62" s="311"/>
      <c r="P62" s="723"/>
      <c r="Q62" s="280"/>
    </row>
    <row r="63" spans="1:17" ht="15.75" customHeight="1">
      <c r="A63" s="575" t="s">
        <v>365</v>
      </c>
      <c r="B63" s="186"/>
      <c r="D63" s="174"/>
      <c r="E63" s="174"/>
      <c r="F63" s="177"/>
      <c r="G63" s="483">
        <f>IFERROR(VLOOKUP($B$3,'PY3 UPP'!$A:$BE,MATCH("B-2.2",'PY3 UPP'!$A$5:$BE$5,0),FALSE)+VLOOKUP($B$3,'PY3 UPP'!$A:$BE,MATCH("E-3.2",'PY3 UPP'!$A$5:$BE$5,0),FALSE),0)</f>
        <v>0</v>
      </c>
      <c r="H63" s="190"/>
      <c r="I63" s="190"/>
      <c r="J63" s="190"/>
      <c r="K63" s="190"/>
      <c r="L63" s="190"/>
      <c r="M63" s="190"/>
      <c r="N63" s="190"/>
      <c r="O63" s="172"/>
      <c r="P63" s="7" t="s">
        <v>362</v>
      </c>
      <c r="Q63" s="4"/>
    </row>
    <row r="64" spans="1:17" ht="15.75" customHeight="1">
      <c r="A64" s="575" t="s">
        <v>366</v>
      </c>
      <c r="B64" s="186"/>
      <c r="D64" s="174"/>
      <c r="E64" s="174"/>
      <c r="F64" s="177"/>
      <c r="G64" s="483">
        <f>IFERROR(VLOOKUP($B$3,'PY3 UPP'!$A:$BE,MATCH("B-2.1",'PY3 UPP'!$A$5:$BE$5,0),FALSE)+VLOOKUP($B$3,'PY3 UPP'!$A:$BE,MATCH("E-3.1",'PY3 UPP'!$A$5:$BE$5,0),FALSE),0)</f>
        <v>0</v>
      </c>
      <c r="H64" s="190"/>
      <c r="I64" s="190"/>
      <c r="J64" s="190"/>
      <c r="K64" s="190"/>
      <c r="L64" s="190"/>
      <c r="M64" s="190"/>
      <c r="N64" s="190"/>
      <c r="O64" s="172"/>
      <c r="P64" s="7" t="s">
        <v>363</v>
      </c>
      <c r="Q64" s="4"/>
    </row>
    <row r="65" spans="1:17" ht="15.75" customHeight="1">
      <c r="A65" s="575" t="s">
        <v>367</v>
      </c>
      <c r="B65" s="186"/>
      <c r="D65" s="174"/>
      <c r="E65" s="174"/>
      <c r="F65" s="177"/>
      <c r="G65" s="485">
        <f>IFERROR(VLOOKUP($B$3,'PY3 UPP'!$A:$BE,MATCH("B-2",'PY3 UPP'!$A$5:$BE$5,0),FALSE)+VLOOKUP($B$3,'PY3 UPP'!$A:$BE,MATCH("E-3",'PY3 UPP'!$A$5:$BE$5,0),FALSE),0)</f>
        <v>0</v>
      </c>
      <c r="H65" s="485">
        <f>IFERROR(VLOOKUP($B$3,'PY2 UPP'!$A:$U,MATCH("B-2",'PY2 UPP'!$A$5:$U$5,0),FALSE)+VLOOKUP($B$3,'PY2 UPP'!$A:$U,MATCH("E-3",'PY2 UPP'!$A$5:$U$5,0),FALSE),0)</f>
        <v>0</v>
      </c>
      <c r="I65" s="485">
        <f>IFERROR(VLOOKUP($B$3,'PY1 UPP'!$A:$U,MATCH("B-2",'PY1 UPP'!$A$5:$U$5,0),FALSE)+VLOOKUP($B$3,'PY1 UPP'!$A:$U,MATCH("E-3",'PY1 UPP'!$A$5:$U$5,0),FALSE),0)</f>
        <v>0</v>
      </c>
      <c r="J65" s="582"/>
      <c r="K65" s="582"/>
      <c r="L65" s="582"/>
      <c r="M65" s="582"/>
      <c r="N65" s="582"/>
      <c r="O65" s="172"/>
      <c r="P65" s="7" t="s">
        <v>364</v>
      </c>
      <c r="Q65" s="4"/>
    </row>
    <row r="66" spans="1:17" ht="9" customHeight="1" thickBot="1">
      <c r="A66" s="507"/>
      <c r="B66" s="495"/>
      <c r="C66" s="282"/>
      <c r="D66" s="235"/>
      <c r="E66" s="179"/>
      <c r="F66" s="177"/>
      <c r="G66" s="171"/>
      <c r="H66" s="171"/>
      <c r="I66" s="171"/>
      <c r="J66" s="171"/>
      <c r="K66" s="171"/>
      <c r="L66" s="171"/>
      <c r="M66" s="171"/>
      <c r="N66" s="171"/>
      <c r="O66" s="178"/>
      <c r="P66" s="903"/>
      <c r="Q66" s="4"/>
    </row>
    <row r="67" spans="1:17" s="82" customFormat="1" ht="20.25" customHeight="1" thickBot="1">
      <c r="A67" s="301" t="s">
        <v>552</v>
      </c>
      <c r="B67" s="302" t="s">
        <v>547</v>
      </c>
      <c r="C67" s="302"/>
      <c r="D67" s="303"/>
      <c r="E67" s="304"/>
      <c r="F67" s="305"/>
      <c r="G67" s="306"/>
      <c r="H67" s="306"/>
      <c r="I67" s="306"/>
      <c r="J67" s="306"/>
      <c r="K67" s="306"/>
      <c r="L67" s="306"/>
      <c r="M67" s="306"/>
      <c r="N67" s="306"/>
      <c r="O67" s="307"/>
      <c r="P67" s="867" t="s">
        <v>1331</v>
      </c>
      <c r="Q67" s="83"/>
    </row>
    <row r="68" spans="1:17" ht="15.75" customHeight="1">
      <c r="A68" s="575" t="s">
        <v>288</v>
      </c>
      <c r="B68" s="186"/>
      <c r="D68" s="174"/>
      <c r="E68" s="174"/>
      <c r="F68" s="177"/>
      <c r="G68" s="483">
        <f>IFERROR(VLOOKUP($B$3,'PY3 UPP'!$A:$BE,MATCH("D-2.2",'PY3 UPP'!$A$5:$BE$5,0),FALSE)+VLOOKUP($B$3,'PY3 UPP'!$A:$BE,MATCH("D-4.2",'PY3 UPP'!$A$5:$BE$5,0),FALSE),0)</f>
        <v>0</v>
      </c>
      <c r="H68" s="190"/>
      <c r="I68" s="190"/>
      <c r="J68" s="190"/>
      <c r="K68" s="190"/>
      <c r="L68" s="190"/>
      <c r="M68" s="190"/>
      <c r="N68" s="190"/>
      <c r="O68" s="172"/>
      <c r="P68" s="7" t="s">
        <v>368</v>
      </c>
      <c r="Q68" s="4"/>
    </row>
    <row r="69" spans="1:17" ht="15.75" customHeight="1">
      <c r="A69" s="575" t="s">
        <v>289</v>
      </c>
      <c r="B69" s="186"/>
      <c r="D69" s="174"/>
      <c r="E69" s="174"/>
      <c r="F69" s="177"/>
      <c r="G69" s="483">
        <f>IFERROR(VLOOKUP($B$3,'PY3 UPP'!$A:$BE,MATCH("D-2.1",'PY3 UPP'!$A$5:$BE$5,0),FALSE)+VLOOKUP($B$3,'PY3 UPP'!$A:$BE,MATCH("D-4.1",'PY3 UPP'!$A$5:$BE$5,0),FALSE),0)</f>
        <v>0</v>
      </c>
      <c r="H69" s="190"/>
      <c r="I69" s="190"/>
      <c r="J69" s="190"/>
      <c r="K69" s="190"/>
      <c r="L69" s="190"/>
      <c r="M69" s="190"/>
      <c r="N69" s="190"/>
      <c r="O69" s="172"/>
      <c r="P69" s="7" t="s">
        <v>369</v>
      </c>
      <c r="Q69" s="4"/>
    </row>
    <row r="70" spans="1:17" ht="15.75" customHeight="1">
      <c r="A70" s="575" t="s">
        <v>290</v>
      </c>
      <c r="B70" s="186"/>
      <c r="D70" s="174"/>
      <c r="E70" s="174"/>
      <c r="F70" s="177"/>
      <c r="G70" s="485">
        <f>IFERROR(VLOOKUP($B$3,'PY3 UPP'!$A:$BE,MATCH("D-2",'PY3 UPP'!$A$5:$BE$5,0),FALSE)+VLOOKUP($B$3,'PY3 UPP'!$A:$BE,MATCH("D-4",'PY3 UPP'!$A$5:$BE$5,0),FALSE),0)</f>
        <v>0</v>
      </c>
      <c r="H70" s="485">
        <f>IFERROR(VLOOKUP($B$3,'PY2 UPP'!$A:$U,MATCH("D-2",'PY2 UPP'!$A$5:$U$5,0),FALSE)+VLOOKUP($B$3,'PY2 UPP'!$A:$U,MATCH("D-4",'PY2 UPP'!$A$5:$U$5,0),FALSE),0)</f>
        <v>0</v>
      </c>
      <c r="I70" s="462">
        <f>IFERROR(VLOOKUP($B$3,'PY1 UPP'!$A:$U,MATCH("D-2",'PY1 UPP'!$A$5:$U$5,0),FALSE)+VLOOKUP($B$3,'PY1 UPP'!$A:$U,MATCH("D-4",'PY1 UPP'!$A$5:$U$5,0),FALSE),0)</f>
        <v>0</v>
      </c>
      <c r="J70" s="582"/>
      <c r="K70" s="582"/>
      <c r="L70" s="582"/>
      <c r="M70" s="582"/>
      <c r="N70" s="582"/>
      <c r="O70" s="172"/>
      <c r="P70" s="7" t="s">
        <v>370</v>
      </c>
      <c r="Q70" s="4"/>
    </row>
    <row r="71" spans="1:17" s="191" customFormat="1" ht="9" customHeight="1">
      <c r="A71" s="554"/>
      <c r="B71" s="558"/>
      <c r="C71" s="556"/>
      <c r="D71" s="556"/>
      <c r="E71" s="556"/>
      <c r="F71" s="556"/>
      <c r="G71" s="310"/>
      <c r="H71" s="310"/>
      <c r="I71" s="180"/>
      <c r="J71" s="180"/>
      <c r="K71" s="180"/>
      <c r="L71" s="180"/>
      <c r="M71" s="180"/>
      <c r="N71" s="180"/>
      <c r="O71" s="311"/>
      <c r="P71" s="723"/>
      <c r="Q71" s="280"/>
    </row>
    <row r="72" spans="1:17" ht="15.75" customHeight="1">
      <c r="A72" s="575" t="s">
        <v>365</v>
      </c>
      <c r="B72" s="186"/>
      <c r="D72" s="174"/>
      <c r="E72" s="174"/>
      <c r="F72" s="177"/>
      <c r="G72" s="483">
        <f>IFERROR(VLOOKUP($B$3,'PY3 UPP'!$A:$BE,MATCH("E-2.2",'PY3 UPP'!$A$5:$BE$5,0),FALSE)+VLOOKUP($B$3,'PY3 UPP'!$A:$BE,MATCH("E-4.2",'PY3 UPP'!$A$5:$BE$5,0),FALSE),0)</f>
        <v>0</v>
      </c>
      <c r="H72" s="190"/>
      <c r="I72" s="190"/>
      <c r="J72" s="190"/>
      <c r="K72" s="190"/>
      <c r="L72" s="190"/>
      <c r="M72" s="190"/>
      <c r="N72" s="190"/>
      <c r="O72" s="172"/>
      <c r="P72" s="7" t="s">
        <v>371</v>
      </c>
      <c r="Q72" s="4"/>
    </row>
    <row r="73" spans="1:17" ht="15.75" customHeight="1">
      <c r="A73" s="575" t="s">
        <v>366</v>
      </c>
      <c r="B73" s="186"/>
      <c r="D73" s="174"/>
      <c r="E73" s="174"/>
      <c r="F73" s="177"/>
      <c r="G73" s="483">
        <f>IFERROR(VLOOKUP($B$3,'PY3 UPP'!$A:$BE,MATCH("E-2.1",'PY3 UPP'!$A$5:$BE$5,0),FALSE)+VLOOKUP($B$3,'PY3 UPP'!$A:$BE,MATCH("E-4.1",'PY3 UPP'!$A$5:$BE$5,0),FALSE),0)</f>
        <v>0</v>
      </c>
      <c r="H73" s="190"/>
      <c r="I73" s="190"/>
      <c r="J73" s="190"/>
      <c r="K73" s="190"/>
      <c r="L73" s="190"/>
      <c r="M73" s="190"/>
      <c r="N73" s="190"/>
      <c r="O73" s="172"/>
      <c r="P73" s="7" t="s">
        <v>372</v>
      </c>
      <c r="Q73" s="4"/>
    </row>
    <row r="74" spans="1:17" ht="15.75" customHeight="1">
      <c r="A74" s="575" t="s">
        <v>367</v>
      </c>
      <c r="B74" s="186"/>
      <c r="D74" s="174"/>
      <c r="E74" s="174"/>
      <c r="F74" s="177"/>
      <c r="G74" s="485">
        <f>IFERROR(VLOOKUP($B$3,'PY3 UPP'!$A:$BE,MATCH("E-2",'PY3 UPP'!$A$5:$BE$5,0),FALSE)+VLOOKUP($B$3,'PY3 UPP'!$A:$BE,MATCH("E-4",'PY3 UPP'!$A$5:$BE$5,0),FALSE),0)</f>
        <v>0</v>
      </c>
      <c r="H74" s="485">
        <f>IFERROR(VLOOKUP($B$3,'PY2 UPP'!$A:$U,MATCH("E-2",'PY2 UPP'!$A$5:$U$5,0),FALSE)+VLOOKUP($B$3,'PY2 UPP'!$A:$U,MATCH("E-4",'PY2 UPP'!$A$5:$U$5,0),FALSE),0)</f>
        <v>0</v>
      </c>
      <c r="I74" s="462">
        <f>IFERROR(VLOOKUP($B$3,'PY1 UPP'!$A:$U,MATCH("E-2",'PY1 UPP'!$A$5:$U$5,0),FALSE)+VLOOKUP($B$3,'PY1 UPP'!$A:$U,MATCH("E-4",'PY1 UPP'!$A$5:$U$5,0),FALSE),0)</f>
        <v>0</v>
      </c>
      <c r="J74" s="582"/>
      <c r="K74" s="582"/>
      <c r="L74" s="582"/>
      <c r="M74" s="582"/>
      <c r="N74" s="582"/>
      <c r="O74" s="172"/>
      <c r="P74" s="7" t="s">
        <v>373</v>
      </c>
      <c r="Q74" s="4"/>
    </row>
    <row r="75" spans="1:17" ht="9" customHeight="1" thickBot="1">
      <c r="A75" s="507"/>
      <c r="B75" s="495"/>
      <c r="C75" s="282"/>
      <c r="D75" s="235"/>
      <c r="E75" s="179"/>
      <c r="F75" s="177"/>
      <c r="G75" s="171"/>
      <c r="H75" s="171"/>
      <c r="I75" s="171"/>
      <c r="J75" s="171"/>
      <c r="K75" s="171"/>
      <c r="L75" s="171"/>
      <c r="M75" s="171"/>
      <c r="N75" s="171"/>
      <c r="O75" s="178"/>
      <c r="P75" s="903"/>
      <c r="Q75" s="4"/>
    </row>
    <row r="76" spans="1:17" s="82" customFormat="1" ht="20.25" customHeight="1" thickBot="1">
      <c r="A76" s="301" t="s">
        <v>553</v>
      </c>
      <c r="B76" s="302" t="s">
        <v>515</v>
      </c>
      <c r="C76" s="302"/>
      <c r="D76" s="303"/>
      <c r="E76" s="304"/>
      <c r="F76" s="305"/>
      <c r="G76" s="306"/>
      <c r="H76" s="306"/>
      <c r="I76" s="306"/>
      <c r="J76" s="306"/>
      <c r="K76" s="306"/>
      <c r="L76" s="306"/>
      <c r="M76" s="306"/>
      <c r="N76" s="306"/>
      <c r="O76" s="307"/>
      <c r="P76" s="867"/>
      <c r="Q76" s="83"/>
    </row>
    <row r="77" spans="1:17" ht="15.75" customHeight="1">
      <c r="A77" s="575" t="s">
        <v>350</v>
      </c>
      <c r="B77" s="186"/>
      <c r="D77" s="174"/>
      <c r="E77" s="174"/>
      <c r="F77" s="177"/>
      <c r="G77" s="483">
        <f>IFERROR(VLOOKUP($B$3,'PY3 UPP'!$A:$BE,MATCH("A-3.2",'PY3 UPP'!$A$5:$BE$5,0),FALSE),0)</f>
        <v>0</v>
      </c>
      <c r="H77" s="190"/>
      <c r="I77" s="190"/>
      <c r="J77" s="190"/>
      <c r="K77" s="190"/>
      <c r="L77" s="190"/>
      <c r="M77" s="190"/>
      <c r="N77" s="190"/>
      <c r="O77" s="172"/>
      <c r="P77" s="7" t="s">
        <v>253</v>
      </c>
      <c r="Q77" s="4"/>
    </row>
    <row r="78" spans="1:17" ht="15.75" customHeight="1">
      <c r="A78" s="575" t="s">
        <v>351</v>
      </c>
      <c r="B78" s="186"/>
      <c r="D78" s="174"/>
      <c r="E78" s="174"/>
      <c r="F78" s="177"/>
      <c r="G78" s="483">
        <f>IFERROR(VLOOKUP($B$3,'PY3 UPP'!$A:$BE,MATCH("A-3.1",'PY3 UPP'!$A$5:$BE$5,0),FALSE),0)</f>
        <v>0</v>
      </c>
      <c r="H78" s="190"/>
      <c r="I78" s="190"/>
      <c r="J78" s="190"/>
      <c r="K78" s="190"/>
      <c r="L78" s="190"/>
      <c r="M78" s="190"/>
      <c r="N78" s="190"/>
      <c r="O78" s="172"/>
      <c r="P78" s="7" t="s">
        <v>254</v>
      </c>
      <c r="Q78" s="4"/>
    </row>
    <row r="79" spans="1:17" ht="15.75" customHeight="1">
      <c r="A79" s="575" t="s">
        <v>0</v>
      </c>
      <c r="B79" s="186"/>
      <c r="D79" s="174"/>
      <c r="E79" s="174"/>
      <c r="F79" s="177"/>
      <c r="G79" s="485">
        <f>IFERROR(VLOOKUP($B$3,'PY3 UPP'!$A:$BE,MATCH("A-3",'PY3 UPP'!$A$5:$BE$5,0),FALSE),0)</f>
        <v>0</v>
      </c>
      <c r="H79" s="485">
        <f>IFERROR(VLOOKUP($B$3,'PY2 UPP'!$A:$U,MATCH("A-3",'PY2 UPP'!$A$5:$U$5,0),FALSE),0)</f>
        <v>0</v>
      </c>
      <c r="I79" s="462">
        <f>IFERROR(VLOOKUP($B$3,'PY1 UPP'!$A:$U,MATCH("A-3",'PY1 UPP'!$A$5:$U$5,0),FALSE),0)</f>
        <v>0</v>
      </c>
      <c r="J79" s="582"/>
      <c r="K79" s="582"/>
      <c r="L79" s="582"/>
      <c r="M79" s="582"/>
      <c r="N79" s="582"/>
      <c r="O79" s="172"/>
      <c r="P79" s="7" t="s">
        <v>9</v>
      </c>
      <c r="Q79" s="4"/>
    </row>
    <row r="80" spans="1:17" s="191" customFormat="1" ht="9" customHeight="1">
      <c r="A80" s="554"/>
      <c r="B80" s="558"/>
      <c r="C80" s="556"/>
      <c r="D80" s="556"/>
      <c r="E80" s="556"/>
      <c r="F80" s="556"/>
      <c r="G80" s="310"/>
      <c r="H80" s="310"/>
      <c r="I80" s="180"/>
      <c r="J80" s="180"/>
      <c r="K80" s="180"/>
      <c r="L80" s="180"/>
      <c r="M80" s="180"/>
      <c r="N80" s="180"/>
      <c r="O80" s="311"/>
      <c r="P80" s="723"/>
      <c r="Q80" s="280"/>
    </row>
    <row r="81" spans="1:17" ht="15.75" customHeight="1">
      <c r="A81" s="575" t="s">
        <v>347</v>
      </c>
      <c r="B81" s="186"/>
      <c r="D81" s="174"/>
      <c r="E81" s="174"/>
      <c r="F81" s="177"/>
      <c r="G81" s="483">
        <f>IFERROR(VLOOKUP($B$3,'PY3 UPP'!$A:$BE,MATCH("B-3.2",'PY3 UPP'!$A$5:$BE$5,0),FALSE),0)</f>
        <v>0</v>
      </c>
      <c r="H81" s="190"/>
      <c r="I81" s="190"/>
      <c r="J81" s="190"/>
      <c r="K81" s="190"/>
      <c r="L81" s="190"/>
      <c r="M81" s="190"/>
      <c r="N81" s="190"/>
      <c r="O81" s="172"/>
      <c r="P81" s="7" t="s">
        <v>260</v>
      </c>
      <c r="Q81" s="4"/>
    </row>
    <row r="82" spans="1:17" ht="15.75" customHeight="1">
      <c r="A82" s="575" t="s">
        <v>348</v>
      </c>
      <c r="B82" s="186"/>
      <c r="D82" s="174"/>
      <c r="E82" s="174"/>
      <c r="F82" s="177"/>
      <c r="G82" s="483">
        <f>IFERROR(VLOOKUP($B$3,'PY3 UPP'!$A:$BE,MATCH("B-3.1",'PY3 UPP'!$A$5:$BE$5,0),FALSE),0)</f>
        <v>0</v>
      </c>
      <c r="H82" s="190"/>
      <c r="I82" s="190"/>
      <c r="J82" s="190"/>
      <c r="K82" s="190"/>
      <c r="L82" s="190"/>
      <c r="M82" s="190"/>
      <c r="N82" s="190"/>
      <c r="O82" s="172"/>
      <c r="P82" s="7" t="s">
        <v>259</v>
      </c>
      <c r="Q82" s="4"/>
    </row>
    <row r="83" spans="1:17" ht="15.75" customHeight="1">
      <c r="A83" s="575" t="s">
        <v>349</v>
      </c>
      <c r="B83" s="186"/>
      <c r="D83" s="174"/>
      <c r="E83" s="174"/>
      <c r="F83" s="177"/>
      <c r="G83" s="485">
        <f>IFERROR(VLOOKUP($B$3,'PY3 UPP'!$A:$BE,MATCH("B-3",'PY3 UPP'!$A$5:$BE$5,0),FALSE),0)</f>
        <v>0</v>
      </c>
      <c r="H83" s="485">
        <f>IFERROR(VLOOKUP($B$3,'PY2 UPP'!$A:$U,MATCH("B-3",'PY2 UPP'!$A$5:$U$5,0),FALSE),0)</f>
        <v>0</v>
      </c>
      <c r="I83" s="462">
        <f>IFERROR(VLOOKUP($B$3,'PY1 UPP'!$A:$U,MATCH("B-3",'PY1 UPP'!$A$5:$U$5,0),FALSE),0)</f>
        <v>0</v>
      </c>
      <c r="J83" s="582"/>
      <c r="K83" s="582"/>
      <c r="L83" s="582"/>
      <c r="M83" s="582"/>
      <c r="N83" s="582"/>
      <c r="O83" s="172"/>
      <c r="P83" s="7" t="s">
        <v>21</v>
      </c>
      <c r="Q83" s="4"/>
    </row>
    <row r="84" spans="1:17" ht="9" customHeight="1" thickBot="1">
      <c r="A84" s="507"/>
      <c r="B84" s="495"/>
      <c r="C84" s="282"/>
      <c r="D84" s="235"/>
      <c r="E84" s="179"/>
      <c r="F84" s="177"/>
      <c r="G84" s="171"/>
      <c r="H84" s="171"/>
      <c r="I84" s="171"/>
      <c r="J84" s="171"/>
      <c r="K84" s="171"/>
      <c r="L84" s="171"/>
      <c r="M84" s="171"/>
      <c r="N84" s="171"/>
      <c r="O84" s="178"/>
      <c r="P84" s="903"/>
      <c r="Q84" s="4"/>
    </row>
    <row r="85" spans="1:17" s="82" customFormat="1" ht="20.25" customHeight="1" thickBot="1">
      <c r="A85" s="301" t="s">
        <v>554</v>
      </c>
      <c r="B85" s="302" t="s">
        <v>514</v>
      </c>
      <c r="C85" s="302"/>
      <c r="D85" s="303"/>
      <c r="E85" s="304"/>
      <c r="F85" s="305"/>
      <c r="G85" s="306"/>
      <c r="H85" s="306"/>
      <c r="I85" s="306"/>
      <c r="J85" s="306"/>
      <c r="K85" s="306"/>
      <c r="L85" s="306"/>
      <c r="M85" s="306"/>
      <c r="N85" s="306"/>
      <c r="O85" s="307"/>
      <c r="P85" s="867" t="s">
        <v>1330</v>
      </c>
      <c r="Q85" s="83"/>
    </row>
    <row r="86" spans="1:17" ht="15.75" customHeight="1">
      <c r="A86" s="575" t="s">
        <v>288</v>
      </c>
      <c r="B86" s="186"/>
      <c r="D86" s="174"/>
      <c r="E86" s="174"/>
      <c r="F86" s="177"/>
      <c r="G86" s="483">
        <f>IFERROR(VLOOKUP($B$3,'PY3 UPP'!$A:$BE,MATCH("A-4.2",'PY3 UPP'!$A$5:$BE$5,0),FALSE)+VLOOKUP($B$3,'PY3 UPP'!$A:$BE,MATCH("A-6.2",'PY3 UPP'!$A$5:$BE$5,0),FALSE),0)</f>
        <v>0</v>
      </c>
      <c r="H86" s="190"/>
      <c r="I86" s="190"/>
      <c r="J86" s="190"/>
      <c r="K86" s="190"/>
      <c r="L86" s="190"/>
      <c r="M86" s="190"/>
      <c r="N86" s="190"/>
      <c r="O86" s="172"/>
      <c r="P86" s="7" t="s">
        <v>353</v>
      </c>
      <c r="Q86" s="4"/>
    </row>
    <row r="87" spans="1:17" ht="15.75" customHeight="1">
      <c r="A87" s="575" t="s">
        <v>289</v>
      </c>
      <c r="B87" s="186"/>
      <c r="D87" s="174"/>
      <c r="E87" s="174"/>
      <c r="F87" s="177"/>
      <c r="G87" s="483">
        <f>IFERROR(VLOOKUP($B$3,'PY3 UPP'!$A:$BE,MATCH("A-4.1",'PY3 UPP'!$A$5:$BE$5,0),FALSE)+VLOOKUP($B$3,'PY3 UPP'!$A:$BE,MATCH("A-6.1",'PY3 UPP'!$A$5:$BE$5,0),FALSE),0)</f>
        <v>0</v>
      </c>
      <c r="H87" s="190"/>
      <c r="I87" s="190"/>
      <c r="J87" s="190"/>
      <c r="K87" s="190"/>
      <c r="L87" s="190"/>
      <c r="M87" s="190"/>
      <c r="N87" s="190"/>
      <c r="O87" s="172"/>
      <c r="P87" s="7" t="s">
        <v>354</v>
      </c>
      <c r="Q87" s="4"/>
    </row>
    <row r="88" spans="1:17" ht="15.75" customHeight="1">
      <c r="A88" s="575" t="s">
        <v>290</v>
      </c>
      <c r="B88" s="186"/>
      <c r="D88" s="174"/>
      <c r="E88" s="174"/>
      <c r="F88" s="177"/>
      <c r="G88" s="485">
        <f>IFERROR(VLOOKUP($B$3,'PY3 UPP'!$A:$BE,MATCH("A-4",'PY3 UPP'!$A$5:$BE$5,0),FALSE)+VLOOKUP($B$3,'PY3 UPP'!$A:$BE,MATCH("A-6",'PY3 UPP'!$A$5:$BE$5,0),FALSE),0)</f>
        <v>0</v>
      </c>
      <c r="H88" s="485">
        <f>IFERROR(VLOOKUP($B$3,'PY2 UPP'!$A:$U,MATCH("A-4",'PY2 UPP'!$A$5:$U$5,0),FALSE)+VLOOKUP($B$3,'PY2 UPP'!$A:$U,MATCH("A-6",'PY2 UPP'!$A$5:$U$5,0),FALSE),0)</f>
        <v>0</v>
      </c>
      <c r="I88" s="462">
        <f>IFERROR(VLOOKUP($B$3,'PY1 UPP'!$A:$U,MATCH("A-4",'PY1 UPP'!$A$5:$U$5,0),FALSE)+VLOOKUP($B$3,'PY1 UPP'!$A:$U,MATCH("A-6",'PY1 UPP'!$A$5:$U$5,0),FALSE),0)</f>
        <v>0</v>
      </c>
      <c r="J88" s="582"/>
      <c r="K88" s="582"/>
      <c r="L88" s="582"/>
      <c r="M88" s="582"/>
      <c r="N88" s="582"/>
      <c r="O88" s="172"/>
      <c r="P88" s="7" t="s">
        <v>358</v>
      </c>
      <c r="Q88" s="4"/>
    </row>
    <row r="89" spans="1:17" s="191" customFormat="1" ht="9" customHeight="1">
      <c r="A89" s="554"/>
      <c r="B89" s="558"/>
      <c r="C89" s="556"/>
      <c r="D89" s="556"/>
      <c r="E89" s="556"/>
      <c r="F89" s="556"/>
      <c r="G89" s="310"/>
      <c r="H89" s="310"/>
      <c r="I89" s="180"/>
      <c r="J89" s="180"/>
      <c r="K89" s="180"/>
      <c r="L89" s="180"/>
      <c r="M89" s="180"/>
      <c r="N89" s="180"/>
      <c r="O89" s="311"/>
      <c r="P89" s="723"/>
      <c r="Q89" s="280"/>
    </row>
    <row r="90" spans="1:17" ht="15.75" customHeight="1">
      <c r="A90" s="575" t="s">
        <v>347</v>
      </c>
      <c r="B90" s="186"/>
      <c r="D90" s="174"/>
      <c r="E90" s="174"/>
      <c r="F90" s="177"/>
      <c r="G90" s="483">
        <f>IFERROR(VLOOKUP($B$3,'PY3 UPP'!$A:$BE,MATCH("B-4.2",'PY3 UPP'!$A$5:$BE$5,0),FALSE)+VLOOKUP($B$3,'PY3 UPP'!$A:$BE,MATCH("B-6.2",'PY3 UPP'!$A$5:$BE$5,0),FALSE),0)</f>
        <v>0</v>
      </c>
      <c r="H90" s="190"/>
      <c r="I90" s="190"/>
      <c r="J90" s="190"/>
      <c r="K90" s="190"/>
      <c r="L90" s="190"/>
      <c r="M90" s="190"/>
      <c r="N90" s="190"/>
      <c r="O90" s="172"/>
      <c r="P90" s="7" t="s">
        <v>355</v>
      </c>
      <c r="Q90" s="4"/>
    </row>
    <row r="91" spans="1:17" ht="15.75" customHeight="1">
      <c r="A91" s="575" t="s">
        <v>348</v>
      </c>
      <c r="B91" s="186"/>
      <c r="D91" s="174"/>
      <c r="E91" s="174"/>
      <c r="F91" s="177"/>
      <c r="G91" s="483">
        <f>IFERROR(VLOOKUP($B$3,'PY3 UPP'!$A:$BE,MATCH("B-4.1",'PY3 UPP'!$A$5:$BE$5,0),FALSE)+VLOOKUP($B$3,'PY3 UPP'!$A:$BE,MATCH("B-6.1",'PY3 UPP'!$A$5:$BE$5,0),FALSE),0)</f>
        <v>0</v>
      </c>
      <c r="H91" s="190"/>
      <c r="I91" s="190"/>
      <c r="J91" s="190"/>
      <c r="K91" s="190"/>
      <c r="L91" s="190"/>
      <c r="M91" s="190"/>
      <c r="N91" s="190"/>
      <c r="O91" s="172"/>
      <c r="P91" s="7" t="s">
        <v>356</v>
      </c>
      <c r="Q91" s="4"/>
    </row>
    <row r="92" spans="1:17" ht="15.75" customHeight="1">
      <c r="A92" s="575" t="s">
        <v>349</v>
      </c>
      <c r="B92" s="186"/>
      <c r="D92" s="174"/>
      <c r="E92" s="174"/>
      <c r="F92" s="177"/>
      <c r="G92" s="485">
        <f>IFERROR(VLOOKUP($B$3,'PY3 UPP'!$A:$BE,MATCH("B-4",'PY3 UPP'!$A$5:$BE$5,0),FALSE)+VLOOKUP($B$3,'PY3 UPP'!$A:$BE,MATCH("B-6",'PY3 UPP'!$A$5:$BE$5,0),FALSE),0)</f>
        <v>0</v>
      </c>
      <c r="H92" s="485">
        <f>IFERROR(VLOOKUP($B$3,'PY2 UPP'!$A:$U,MATCH("B-4",'PY2 UPP'!$A$5:$U$5,0),FALSE)+VLOOKUP($B$3,'PY2 UPP'!$A:$U,MATCH("B-6",'PY2 UPP'!$A$5:$U$5,0),FALSE),0)</f>
        <v>0</v>
      </c>
      <c r="I92" s="462">
        <f>IFERROR(VLOOKUP($B$3,'PY1 UPP'!$A:$U,MATCH("B-4",'PY1 UPP'!$A$5:$U$5,0),FALSE)+VLOOKUP($B$3,'PY1 UPP'!$A:$U,MATCH("B-6",'PY1 UPP'!$A$5:$U$5,0),FALSE),0)</f>
        <v>0</v>
      </c>
      <c r="J92" s="582"/>
      <c r="K92" s="582"/>
      <c r="L92" s="582"/>
      <c r="M92" s="582"/>
      <c r="N92" s="582"/>
      <c r="O92" s="172"/>
      <c r="P92" s="7" t="s">
        <v>357</v>
      </c>
      <c r="Q92" s="4"/>
    </row>
    <row r="93" spans="1:17" ht="9" customHeight="1" thickBot="1">
      <c r="A93" s="507"/>
      <c r="B93" s="714"/>
      <c r="C93" s="715"/>
      <c r="D93" s="716"/>
      <c r="E93" s="717"/>
      <c r="F93" s="718"/>
      <c r="G93" s="719"/>
      <c r="H93" s="719"/>
      <c r="I93" s="719"/>
      <c r="J93" s="719"/>
      <c r="K93" s="719"/>
      <c r="L93" s="719"/>
      <c r="M93" s="719"/>
      <c r="N93" s="719"/>
      <c r="O93" s="720"/>
      <c r="P93" s="903"/>
      <c r="Q93" s="4"/>
    </row>
    <row r="94" spans="1:17" s="82" customFormat="1" ht="30" customHeight="1" thickBot="1">
      <c r="A94" s="301" t="s">
        <v>1348</v>
      </c>
      <c r="B94" s="302"/>
      <c r="C94" s="302"/>
      <c r="D94" s="303"/>
      <c r="E94" s="304"/>
      <c r="F94" s="305"/>
      <c r="G94" s="306"/>
      <c r="H94" s="306"/>
      <c r="I94" s="306"/>
      <c r="J94" s="306"/>
      <c r="K94" s="306"/>
      <c r="L94" s="306"/>
      <c r="M94" s="306"/>
      <c r="N94" s="306"/>
      <c r="O94" s="307"/>
      <c r="Q94" s="227" t="s">
        <v>292</v>
      </c>
    </row>
    <row r="95" spans="1:17" s="82" customFormat="1" ht="20.25" customHeight="1" thickBot="1">
      <c r="A95" s="301" t="s">
        <v>555</v>
      </c>
      <c r="B95" s="302"/>
      <c r="C95" s="302"/>
      <c r="D95" s="303"/>
      <c r="E95" s="304"/>
      <c r="F95" s="305"/>
      <c r="G95" s="306"/>
      <c r="H95" s="306"/>
      <c r="I95" s="306"/>
      <c r="J95" s="306"/>
      <c r="K95" s="306"/>
      <c r="L95" s="306"/>
      <c r="M95" s="306"/>
      <c r="N95" s="306"/>
      <c r="O95" s="307"/>
      <c r="P95" s="867"/>
      <c r="Q95" s="83"/>
    </row>
    <row r="96" spans="1:17" ht="15.75" customHeight="1">
      <c r="A96" s="575" t="s">
        <v>342</v>
      </c>
      <c r="B96" s="174"/>
      <c r="E96" s="174"/>
      <c r="F96" s="177"/>
      <c r="G96" s="483">
        <f>IFERROR(+VLOOKUP($B$3,'PY3 UPP'!$A:$BE,MATCH("D-3.2",'PY3 UPP'!$A$5:$BE$5,0),FALSE),0)+(G50-G59-G77+G86)</f>
        <v>0</v>
      </c>
      <c r="H96" s="190"/>
      <c r="I96" s="190"/>
      <c r="J96" s="190"/>
      <c r="K96" s="190"/>
      <c r="L96" s="190"/>
      <c r="M96" s="190"/>
      <c r="N96" s="190"/>
      <c r="O96" s="172"/>
      <c r="P96" s="7"/>
      <c r="Q96" s="4"/>
    </row>
    <row r="97" spans="1:19" ht="15.75" customHeight="1">
      <c r="A97" s="578" t="s">
        <v>580</v>
      </c>
      <c r="B97" s="174"/>
      <c r="E97" s="174"/>
      <c r="F97" s="177"/>
      <c r="G97" s="483">
        <f>IFERROR(+VLOOKUP($B$3,'PY3 UPP'!$A:$BE,MATCH("D-3.1",'PY3 UPP'!$A$5:$BE$5,0),FALSE),0)+(+G51-G60-G78+G87)</f>
        <v>0</v>
      </c>
      <c r="H97" s="190"/>
      <c r="I97" s="190"/>
      <c r="J97" s="190"/>
      <c r="K97" s="190"/>
      <c r="L97" s="190"/>
      <c r="M97" s="190"/>
      <c r="N97" s="190"/>
      <c r="O97" s="172"/>
      <c r="P97" s="7"/>
      <c r="Q97" s="4"/>
    </row>
    <row r="98" spans="1:19" ht="15.75" customHeight="1">
      <c r="A98" s="575" t="s">
        <v>343</v>
      </c>
      <c r="B98" s="174"/>
      <c r="E98" s="174"/>
      <c r="F98" s="177"/>
      <c r="G98" s="483">
        <f>IFERROR(+VLOOKUP($B$3,'PY3 UPP'!$A:$BE,MATCH("D-3",'PY3 UPP'!$A$5:$BE$5,0),FALSE),0)+(+G52-G61-G79+G88)</f>
        <v>0</v>
      </c>
      <c r="H98" s="483">
        <f>IFERROR(+VLOOKUP($B$3,'PY2 UPP'!$A:$U,MATCH("D-3",'PY2 UPP'!$A$5:$U$5,0),FALSE),0)+(H52-H61-H79+H88)</f>
        <v>0</v>
      </c>
      <c r="I98" s="483">
        <f>IFERROR(+VLOOKUP($B$3,'PY1 UPP'!$A:$U,MATCH("D-3",'PY1 UPP'!$A$5:$U$5,0),FALSE),0)+(I52-I61-I79+I88)</f>
        <v>0</v>
      </c>
      <c r="J98" s="484">
        <f>+J52-J61-J79+J88</f>
        <v>0</v>
      </c>
      <c r="K98" s="484">
        <f>+K52-K61-K79+K88</f>
        <v>0</v>
      </c>
      <c r="L98" s="484">
        <f>+L52-L61-L79+L88</f>
        <v>0</v>
      </c>
      <c r="M98" s="484">
        <f>+M52-M61-M79+M88</f>
        <v>0</v>
      </c>
      <c r="N98" s="484">
        <f>+N52-N61-N79+N88</f>
        <v>0</v>
      </c>
      <c r="O98" s="172"/>
      <c r="P98" s="867" t="s">
        <v>1284</v>
      </c>
      <c r="Q98" s="4"/>
    </row>
    <row r="99" spans="1:19" s="191" customFormat="1" ht="9" customHeight="1">
      <c r="A99" s="554"/>
      <c r="B99" s="558"/>
      <c r="C99" s="556"/>
      <c r="D99" s="556"/>
      <c r="E99" s="556"/>
      <c r="F99" s="556"/>
      <c r="G99" s="310"/>
      <c r="H99" s="310"/>
      <c r="I99" s="310"/>
      <c r="J99" s="310"/>
      <c r="K99" s="310"/>
      <c r="L99" s="310"/>
      <c r="M99" s="310"/>
      <c r="N99" s="310"/>
      <c r="O99" s="311"/>
      <c r="P99" s="723"/>
      <c r="Q99" s="280"/>
    </row>
    <row r="100" spans="1:19" ht="15.75" customHeight="1">
      <c r="A100" s="575" t="s">
        <v>344</v>
      </c>
      <c r="B100" s="174"/>
      <c r="E100" s="174"/>
      <c r="F100" s="177"/>
      <c r="G100" s="483">
        <f>IFERROR(+VLOOKUP($B$3,'PY3 UPP'!$A:$BE,MATCH("E-3.2",'PY3 UPP'!$A$5:$BE$5,0),FALSE),0)+(G54-G63-G81+G90)</f>
        <v>0</v>
      </c>
      <c r="H100" s="190"/>
      <c r="I100" s="190"/>
      <c r="J100" s="190"/>
      <c r="K100" s="190"/>
      <c r="L100" s="190"/>
      <c r="M100" s="190"/>
      <c r="N100" s="190"/>
      <c r="O100" s="172"/>
      <c r="P100" s="878"/>
      <c r="Q100" s="728"/>
    </row>
    <row r="101" spans="1:19" ht="15.75" customHeight="1">
      <c r="A101" s="575" t="s">
        <v>345</v>
      </c>
      <c r="B101" s="174"/>
      <c r="E101" s="174"/>
      <c r="F101" s="177"/>
      <c r="G101" s="483">
        <f>IFERROR(+VLOOKUP($B$3,'PY3 UPP'!$A:$BE,MATCH("E-3.1",'PY3 UPP'!$A$5:$BE$5,0),FALSE),0)+(G55-G64-G82+G91)</f>
        <v>0</v>
      </c>
      <c r="H101" s="190"/>
      <c r="I101" s="190"/>
      <c r="J101" s="190"/>
      <c r="K101" s="190"/>
      <c r="L101" s="190"/>
      <c r="M101" s="190"/>
      <c r="N101" s="190"/>
      <c r="O101" s="172"/>
      <c r="P101" s="878"/>
      <c r="Q101" s="612"/>
    </row>
    <row r="102" spans="1:19" ht="15.75" customHeight="1">
      <c r="A102" s="575" t="s">
        <v>346</v>
      </c>
      <c r="B102" s="174"/>
      <c r="E102" s="174"/>
      <c r="F102" s="177"/>
      <c r="G102" s="483">
        <f>IFERROR(+VLOOKUP($B$3,'PY3 UPP'!$A:$BE,MATCH("E-3",'PY3 UPP'!$A$5:$BE$5,0),FALSE),0)+(G56-G65-G83+G92)</f>
        <v>0</v>
      </c>
      <c r="H102" s="483">
        <f>IFERROR(+VLOOKUP($B$3,'PY2 UPP'!$A:$U,MATCH("E-3",'PY2 UPP'!$A$5:$U$5,0),FALSE),0)+(+H56-H65-H83+H92)</f>
        <v>0</v>
      </c>
      <c r="I102" s="483">
        <f>IFERROR(+VLOOKUP($B$3,'PY1 UPP'!$A:$U,MATCH("E-3",'PY1 UPP'!$A$5:$U$5,0),FALSE),0)+(I56-I65-I83+I92)</f>
        <v>0</v>
      </c>
      <c r="J102" s="484">
        <f>+J56-J65-J83+J92</f>
        <v>0</v>
      </c>
      <c r="K102" s="484">
        <f>+K56-K65-K83+K92</f>
        <v>0</v>
      </c>
      <c r="L102" s="484">
        <f>+L56-L65-L83+L92</f>
        <v>0</v>
      </c>
      <c r="M102" s="484">
        <f>+M56-M65-M83+M92</f>
        <v>0</v>
      </c>
      <c r="N102" s="484">
        <f>+N56-N65-N83+N92</f>
        <v>0</v>
      </c>
      <c r="O102" s="172"/>
      <c r="P102" s="878"/>
      <c r="Q102" s="612"/>
    </row>
    <row r="103" spans="1:19" s="191" customFormat="1" ht="9" customHeight="1">
      <c r="A103" s="554"/>
      <c r="B103" s="558"/>
      <c r="C103" s="556"/>
      <c r="D103" s="556"/>
      <c r="E103" s="556"/>
      <c r="F103" s="556"/>
      <c r="G103" s="310"/>
      <c r="H103" s="310"/>
      <c r="I103" s="310"/>
      <c r="J103" s="310"/>
      <c r="K103" s="310"/>
      <c r="L103" s="310"/>
      <c r="M103" s="310"/>
      <c r="N103" s="310"/>
      <c r="O103" s="311"/>
      <c r="P103" s="721"/>
      <c r="Q103" s="963"/>
    </row>
    <row r="104" spans="1:19" ht="15.75" customHeight="1">
      <c r="A104" s="575"/>
      <c r="B104" s="186"/>
      <c r="C104" s="165"/>
      <c r="D104" s="165"/>
      <c r="E104" s="165"/>
      <c r="F104" s="165"/>
      <c r="G104" s="506" t="s">
        <v>1285</v>
      </c>
      <c r="H104" s="506" t="s">
        <v>1285</v>
      </c>
      <c r="I104" s="506" t="s">
        <v>1285</v>
      </c>
      <c r="J104" s="506" t="s">
        <v>1285</v>
      </c>
      <c r="K104" s="506" t="s">
        <v>1285</v>
      </c>
      <c r="L104" s="506" t="s">
        <v>1285</v>
      </c>
      <c r="M104" s="506" t="s">
        <v>1285</v>
      </c>
      <c r="N104" s="506" t="s">
        <v>1285</v>
      </c>
      <c r="O104" s="172"/>
      <c r="P104" s="878"/>
      <c r="Q104" s="612"/>
    </row>
    <row r="105" spans="1:19" ht="15.75" customHeight="1">
      <c r="A105" s="575" t="s">
        <v>103</v>
      </c>
      <c r="B105" s="186"/>
      <c r="D105" s="174"/>
      <c r="E105" s="174"/>
      <c r="F105" s="177"/>
      <c r="G105" s="175">
        <f>ROUND(IFERROR(G102/G98,0),4)</f>
        <v>0</v>
      </c>
      <c r="H105" s="175">
        <f t="shared" ref="H105:N105" si="13">ROUND(IFERROR(H102/H98,0),4)</f>
        <v>0</v>
      </c>
      <c r="I105" s="175">
        <f t="shared" si="13"/>
        <v>0</v>
      </c>
      <c r="J105" s="175">
        <f t="shared" si="13"/>
        <v>0</v>
      </c>
      <c r="K105" s="175">
        <f t="shared" si="13"/>
        <v>0</v>
      </c>
      <c r="L105" s="175">
        <f t="shared" si="13"/>
        <v>0</v>
      </c>
      <c r="M105" s="175">
        <f t="shared" si="13"/>
        <v>0</v>
      </c>
      <c r="N105" s="175">
        <f t="shared" si="13"/>
        <v>0</v>
      </c>
      <c r="O105" s="172"/>
      <c r="P105" s="878"/>
      <c r="Q105" s="612"/>
    </row>
    <row r="106" spans="1:19" ht="15.75" customHeight="1">
      <c r="A106" s="575" t="s">
        <v>80</v>
      </c>
      <c r="B106" s="186"/>
      <c r="D106" s="463"/>
      <c r="E106" s="169"/>
      <c r="F106" s="177"/>
      <c r="G106" s="175">
        <f>ROUND(IF(0,0,IFERROR(SUM(G102,G101,G100)/SUM(G98,G97,G96),0)),4)</f>
        <v>0</v>
      </c>
      <c r="H106" s="175">
        <f>ROUND(IF(0,0,IFERROR(SUM(H102,G102,G101)/SUM(H98,G98,G97),0)),4)</f>
        <v>0</v>
      </c>
      <c r="I106" s="175">
        <f t="shared" ref="I106:N106" si="14">ROUND(IF(0,0,IFERROR(SUM(I102,H102,G102)/SUM(I98,H98,G98),0)),4)</f>
        <v>0</v>
      </c>
      <c r="J106" s="175">
        <f t="shared" si="14"/>
        <v>0</v>
      </c>
      <c r="K106" s="175">
        <f t="shared" si="14"/>
        <v>0</v>
      </c>
      <c r="L106" s="175">
        <f t="shared" si="14"/>
        <v>0</v>
      </c>
      <c r="M106" s="175">
        <f t="shared" si="14"/>
        <v>0</v>
      </c>
      <c r="N106" s="175">
        <f t="shared" si="14"/>
        <v>0</v>
      </c>
      <c r="O106" s="172"/>
      <c r="P106" s="878"/>
      <c r="Q106" s="729"/>
    </row>
    <row r="107" spans="1:19" ht="9" customHeight="1" thickBot="1">
      <c r="A107" s="507"/>
      <c r="B107" s="495"/>
      <c r="C107" s="282"/>
      <c r="D107" s="235"/>
      <c r="E107" s="179"/>
      <c r="F107" s="177"/>
      <c r="G107" s="171"/>
      <c r="H107" s="171"/>
      <c r="I107" s="171"/>
      <c r="J107" s="171"/>
      <c r="K107" s="171"/>
      <c r="L107" s="171"/>
      <c r="M107" s="171"/>
      <c r="N107" s="171"/>
      <c r="O107" s="178"/>
      <c r="P107" s="726"/>
      <c r="Q107" s="727"/>
    </row>
    <row r="108" spans="1:19" s="82" customFormat="1" ht="30" customHeight="1" thickBot="1">
      <c r="A108" s="564" t="s">
        <v>1349</v>
      </c>
      <c r="B108" s="565"/>
      <c r="C108" s="566"/>
      <c r="D108" s="566"/>
      <c r="E108" s="566"/>
      <c r="F108" s="566"/>
      <c r="G108" s="567"/>
      <c r="H108" s="567"/>
      <c r="I108" s="567"/>
      <c r="J108" s="567"/>
      <c r="K108" s="567"/>
      <c r="L108" s="567"/>
      <c r="M108" s="567"/>
      <c r="N108" s="567"/>
      <c r="O108" s="568"/>
      <c r="P108" s="879"/>
      <c r="Q108" s="613" t="s">
        <v>292</v>
      </c>
    </row>
    <row r="109" spans="1:19" s="82" customFormat="1" ht="20.25" customHeight="1" thickBot="1">
      <c r="A109" s="301" t="s">
        <v>556</v>
      </c>
      <c r="B109" s="302"/>
      <c r="C109" s="302"/>
      <c r="D109" s="303"/>
      <c r="E109" s="304"/>
      <c r="F109" s="305"/>
      <c r="G109" s="306"/>
      <c r="H109" s="306"/>
      <c r="I109" s="306"/>
      <c r="J109" s="306"/>
      <c r="K109" s="306"/>
      <c r="L109" s="306"/>
      <c r="M109" s="306"/>
      <c r="N109" s="306"/>
      <c r="O109" s="307"/>
      <c r="P109" s="877"/>
      <c r="Q109" s="616" t="s">
        <v>291</v>
      </c>
    </row>
    <row r="110" spans="1:19" ht="15.75" customHeight="1">
      <c r="A110" s="577" t="s">
        <v>294</v>
      </c>
      <c r="B110" s="572"/>
      <c r="C110" s="8"/>
      <c r="D110" s="8"/>
      <c r="E110" s="177"/>
      <c r="F110" s="237"/>
      <c r="G110" s="486">
        <f>IFERROR(VLOOKUP($B$3,'PY3 COG'!$A:$AO,MATCH("A-1",'PY3 COG'!$A$5:$AO$5,0),FALSE),0)</f>
        <v>0</v>
      </c>
      <c r="H110" s="486">
        <f>IFERROR(VLOOKUP($B$3,'PY2 COG'!$A:$AO,MATCH("A-1",'PY2 COG'!$A$5:$AO$5,0),FALSE),0)</f>
        <v>0</v>
      </c>
      <c r="I110" s="486">
        <f>IFERROR(VLOOKUP($B$3,'PY1 COG'!$A:$AO,MATCH("A-1",'PY1 COG'!$A$5:$AO$5,0),FALSE),0)</f>
        <v>0</v>
      </c>
      <c r="J110" s="170"/>
      <c r="K110" s="170"/>
      <c r="L110" s="170"/>
      <c r="M110" s="170"/>
      <c r="N110" s="170"/>
      <c r="O110" s="195"/>
      <c r="P110" s="660" t="s">
        <v>1462</v>
      </c>
      <c r="Q110" s="4"/>
      <c r="S110" s="17"/>
    </row>
    <row r="111" spans="1:19" ht="15.75" customHeight="1">
      <c r="A111" s="575" t="s">
        <v>125</v>
      </c>
      <c r="B111" s="572"/>
      <c r="C111" s="8"/>
      <c r="D111" s="8"/>
      <c r="E111" s="177"/>
      <c r="F111" s="238"/>
      <c r="G111" s="486">
        <f>IFERROR(VLOOKUP($B$3,'PY3 COG'!$A:$AO,MATCH("A-2",'PY3 COG'!$A$5:$AO$5,0),FALSE),0)</f>
        <v>0</v>
      </c>
      <c r="H111" s="486">
        <f>IFERROR(VLOOKUP($B$3,'PY2 COG'!$A:$AO,MATCH("A-2",'PY2 COG'!$A$5:$AO$5,0),FALSE),0)</f>
        <v>0</v>
      </c>
      <c r="I111" s="486">
        <f>IFERROR(VLOOKUP($B$3,'PY1 COG'!$A:$AO,MATCH("A-2",'PY1 COG'!$A$5:$AO$5,0),FALSE),0)</f>
        <v>0</v>
      </c>
      <c r="J111" s="170"/>
      <c r="K111" s="170"/>
      <c r="L111" s="170"/>
      <c r="M111" s="170"/>
      <c r="N111" s="170"/>
      <c r="O111" s="195"/>
      <c r="P111" s="660" t="s">
        <v>1463</v>
      </c>
      <c r="Q111" s="4"/>
    </row>
    <row r="112" spans="1:19" ht="15.75" customHeight="1">
      <c r="A112" s="575" t="s">
        <v>295</v>
      </c>
      <c r="B112" s="572"/>
      <c r="C112" s="8"/>
      <c r="D112" s="8"/>
      <c r="E112" s="177"/>
      <c r="F112" s="238"/>
      <c r="G112" s="486">
        <f>IFERROR(VLOOKUP($B$3,'PY3 COG'!$A:$AO,MATCH("A-3",'PY3 COG'!$A$5:$AO$5,0),FALSE),0)</f>
        <v>0</v>
      </c>
      <c r="H112" s="486">
        <f>IFERROR(VLOOKUP($B$3,'PY2 COG'!$A:$AO,MATCH("A-3",'PY2 COG'!$A$5:$AO$5,0),FALSE),0)</f>
        <v>0</v>
      </c>
      <c r="I112" s="486">
        <f>IFERROR(VLOOKUP($B$3,'PY1 COG'!$A:$AO,MATCH("A-3",'PY1 COG'!$A$5:$AO$5,0),FALSE),0)</f>
        <v>0</v>
      </c>
      <c r="J112" s="170"/>
      <c r="K112" s="170"/>
      <c r="L112" s="170"/>
      <c r="M112" s="170"/>
      <c r="N112" s="170"/>
      <c r="O112" s="195"/>
      <c r="P112" s="660" t="s">
        <v>1464</v>
      </c>
      <c r="Q112" s="4"/>
    </row>
    <row r="113" spans="1:19" ht="15.75" customHeight="1">
      <c r="A113" s="575" t="s">
        <v>590</v>
      </c>
      <c r="B113" s="572"/>
      <c r="C113" s="8"/>
      <c r="D113" s="8"/>
      <c r="E113" s="177"/>
      <c r="F113" s="238"/>
      <c r="G113" s="486">
        <f>IFERROR(VLOOKUP($B$3,'PY3 COG'!$A:$AO,MATCH("A-4",'PY3 COG'!$A$5:$AO$5,0),FALSE),0)</f>
        <v>0</v>
      </c>
      <c r="H113" s="486">
        <f>IFERROR(VLOOKUP($B$3,'PY2 COG'!$A:$AO,MATCH("A-4",'PY2 COG'!$A$5:$AO$5,0),FALSE),0)</f>
        <v>0</v>
      </c>
      <c r="I113" s="486">
        <f>IFERROR(VLOOKUP($B$3,'PY1 COG'!$A:$AO,MATCH("A-4",'PY1 COG'!$A$5:$AO$5,0),FALSE),0)</f>
        <v>0</v>
      </c>
      <c r="J113" s="170"/>
      <c r="K113" s="170"/>
      <c r="L113" s="170"/>
      <c r="M113" s="170"/>
      <c r="N113" s="170"/>
      <c r="O113" s="195"/>
      <c r="P113" s="660" t="s">
        <v>1465</v>
      </c>
      <c r="Q113" s="4"/>
    </row>
    <row r="114" spans="1:19" ht="15.75" customHeight="1">
      <c r="A114" s="575" t="s">
        <v>160</v>
      </c>
      <c r="B114" s="572"/>
      <c r="C114" s="8"/>
      <c r="D114" s="8"/>
      <c r="E114" s="177"/>
      <c r="F114" s="238"/>
      <c r="G114" s="486">
        <f>IFERROR(VLOOKUP($B$3,'PY3 COG'!$A:$AO,MATCH("A-5",'PY3 COG'!$A$5:$AO$5,0),FALSE),0)</f>
        <v>0</v>
      </c>
      <c r="H114" s="486">
        <f>IFERROR(VLOOKUP($B$3,'PY2 COG'!$A:$AO,MATCH("A-5",'PY2 COG'!$A$5:$AO$5,0),FALSE),0)</f>
        <v>0</v>
      </c>
      <c r="I114" s="486">
        <f>IFERROR(VLOOKUP($B$3,'PY1 COG'!$A:$AO,MATCH("A-5",'PY1 COG'!$A$5:$AO$5,0),FALSE),0)</f>
        <v>0</v>
      </c>
      <c r="J114" s="170"/>
      <c r="K114" s="170"/>
      <c r="L114" s="170"/>
      <c r="M114" s="170"/>
      <c r="N114" s="170"/>
      <c r="O114" s="195"/>
      <c r="P114" s="660" t="s">
        <v>1466</v>
      </c>
      <c r="Q114" s="4"/>
    </row>
    <row r="115" spans="1:19" ht="15.75" customHeight="1">
      <c r="A115" s="575" t="s">
        <v>296</v>
      </c>
      <c r="B115" s="572"/>
      <c r="C115" s="8"/>
      <c r="D115" s="8"/>
      <c r="E115" s="177"/>
      <c r="F115" s="239"/>
      <c r="G115" s="486">
        <f>IFERROR(VLOOKUP($B$3,'PY3 COG'!$A:$AO,MATCH("A-6",'PY3 COG'!$A$5:$AO$5,0),FALSE),0)</f>
        <v>0</v>
      </c>
      <c r="H115" s="486">
        <f>IFERROR(VLOOKUP($B$3,'PY2 COG'!$A:$AO,MATCH("A-6",'PY2 COG'!$A$5:$AO$5,0),FALSE),0)</f>
        <v>0</v>
      </c>
      <c r="I115" s="486">
        <f>IFERROR(VLOOKUP($B$3,'PY1 COG'!$A:$AO,MATCH("A-6",'PY1 COG'!$A$5:$AO$5,0),FALSE),0)</f>
        <v>0</v>
      </c>
      <c r="J115" s="170"/>
      <c r="K115" s="170"/>
      <c r="L115" s="170"/>
      <c r="M115" s="170"/>
      <c r="N115" s="170"/>
      <c r="O115" s="178"/>
      <c r="P115" s="660" t="s">
        <v>1467</v>
      </c>
      <c r="Q115" s="4"/>
    </row>
    <row r="116" spans="1:19" ht="15.75" customHeight="1">
      <c r="A116" s="575" t="s">
        <v>297</v>
      </c>
      <c r="B116" s="572"/>
      <c r="C116" s="8"/>
      <c r="D116" s="8"/>
      <c r="E116" s="177"/>
      <c r="F116" s="239"/>
      <c r="G116" s="486">
        <f>IFERROR(VLOOKUP($B$3,'PY3 COG'!$A:$AO,MATCH("A-7",'PY3 COG'!$A$5:$AO$5,0),FALSE),0)</f>
        <v>0</v>
      </c>
      <c r="H116" s="486">
        <f>IFERROR(VLOOKUP($B$3,'PY2 COG'!$A:$AO,MATCH("A-7",'PY2 COG'!$A$5:$AO$5,0),FALSE),0)</f>
        <v>0</v>
      </c>
      <c r="I116" s="486">
        <f>IFERROR(VLOOKUP($B$3,'PY1 COG'!$A:$AO,MATCH("A-7",'PY1 COG'!$A$5:$AO$5,0),FALSE),0)</f>
        <v>0</v>
      </c>
      <c r="J116" s="170"/>
      <c r="K116" s="170"/>
      <c r="L116" s="170"/>
      <c r="M116" s="170"/>
      <c r="N116" s="170"/>
      <c r="O116" s="178"/>
      <c r="P116" s="660" t="s">
        <v>1468</v>
      </c>
      <c r="Q116" s="4"/>
    </row>
    <row r="117" spans="1:19" ht="15.75" customHeight="1">
      <c r="A117" s="575" t="s">
        <v>298</v>
      </c>
      <c r="B117" s="572"/>
      <c r="C117" s="8"/>
      <c r="D117" s="8"/>
      <c r="E117" s="177"/>
      <c r="F117" s="239"/>
      <c r="G117" s="486">
        <f>IFERROR(VLOOKUP($B$3,'PY3 COG'!$A:$AO,MATCH("A-8",'PY3 COG'!$A$5:$AO$5,0),FALSE),0)</f>
        <v>0</v>
      </c>
      <c r="H117" s="486">
        <f>IFERROR(VLOOKUP($B$3,'PY2 COG'!$A:$AO,MATCH("A-8",'PY2 COG'!$A$5:$AO$5,0),FALSE),0)</f>
        <v>0</v>
      </c>
      <c r="I117" s="486">
        <f>IFERROR(VLOOKUP($B$3,'PY1 COG'!$A:$AO,MATCH("A-8",'PY1 COG'!$A$5:$AO$5,0),FALSE),0)</f>
        <v>0</v>
      </c>
      <c r="J117" s="170"/>
      <c r="K117" s="170"/>
      <c r="L117" s="170"/>
      <c r="M117" s="170"/>
      <c r="N117" s="170"/>
      <c r="O117" s="178"/>
      <c r="P117" s="660" t="s">
        <v>1469</v>
      </c>
      <c r="Q117" s="4"/>
    </row>
    <row r="118" spans="1:19" ht="15.75" customHeight="1">
      <c r="A118" s="575" t="s">
        <v>299</v>
      </c>
      <c r="B118" s="572"/>
      <c r="C118" s="8"/>
      <c r="D118" s="8"/>
      <c r="E118" s="177"/>
      <c r="F118" s="239"/>
      <c r="G118" s="486">
        <f>IFERROR(VLOOKUP($B$3,'PY3 COG'!$A:$AO,MATCH("A-9",'PY3 COG'!$A$5:$AO$5,0),FALSE),0)</f>
        <v>0</v>
      </c>
      <c r="H118" s="486">
        <f>IFERROR(VLOOKUP($B$3,'PY2 COG'!$A:$AO,MATCH("A-9",'PY2 COG'!$A$5:$AO$5,0),FALSE),0)</f>
        <v>0</v>
      </c>
      <c r="I118" s="486">
        <f>IFERROR(VLOOKUP($B$3,'PY1 COG'!$A:$AO,MATCH("A-9",'PY1 COG'!$A$5:$AO$5,0),FALSE),0)</f>
        <v>0</v>
      </c>
      <c r="J118" s="170"/>
      <c r="K118" s="170"/>
      <c r="L118" s="170"/>
      <c r="M118" s="170"/>
      <c r="N118" s="170"/>
      <c r="O118" s="178"/>
      <c r="P118" s="660" t="s">
        <v>1470</v>
      </c>
      <c r="Q118" s="4"/>
    </row>
    <row r="119" spans="1:19" ht="15.75" customHeight="1">
      <c r="A119" s="574" t="s">
        <v>300</v>
      </c>
      <c r="B119" s="573"/>
      <c r="C119" s="8"/>
      <c r="D119" s="8"/>
      <c r="E119" s="179"/>
      <c r="F119" s="177"/>
      <c r="G119" s="171">
        <f t="shared" ref="G119:N119" si="15">SUM(G110:G118)</f>
        <v>0</v>
      </c>
      <c r="H119" s="171">
        <f t="shared" si="15"/>
        <v>0</v>
      </c>
      <c r="I119" s="171">
        <f t="shared" si="15"/>
        <v>0</v>
      </c>
      <c r="J119" s="171">
        <f t="shared" si="15"/>
        <v>0</v>
      </c>
      <c r="K119" s="171">
        <f t="shared" si="15"/>
        <v>0</v>
      </c>
      <c r="L119" s="171">
        <f t="shared" si="15"/>
        <v>0</v>
      </c>
      <c r="M119" s="171">
        <f t="shared" si="15"/>
        <v>0</v>
      </c>
      <c r="N119" s="171">
        <f t="shared" si="15"/>
        <v>0</v>
      </c>
      <c r="O119" s="178"/>
      <c r="P119" s="726"/>
      <c r="Q119" s="727"/>
    </row>
    <row r="120" spans="1:19" ht="9" customHeight="1" thickBot="1">
      <c r="A120" s="507"/>
      <c r="B120" s="495"/>
      <c r="C120" s="282"/>
      <c r="D120" s="235"/>
      <c r="E120" s="179"/>
      <c r="F120" s="177"/>
      <c r="G120" s="171"/>
      <c r="H120" s="171"/>
      <c r="I120" s="171"/>
      <c r="J120" s="171"/>
      <c r="K120" s="171"/>
      <c r="L120" s="171"/>
      <c r="M120" s="171"/>
      <c r="N120" s="171"/>
      <c r="O120" s="178"/>
      <c r="P120" s="726"/>
      <c r="Q120" s="727"/>
    </row>
    <row r="121" spans="1:19" s="82" customFormat="1" ht="20.25" customHeight="1" thickBot="1">
      <c r="A121" s="301" t="s">
        <v>557</v>
      </c>
      <c r="B121" s="302"/>
      <c r="C121" s="302"/>
      <c r="D121" s="303"/>
      <c r="E121" s="304"/>
      <c r="F121" s="305"/>
      <c r="G121" s="306"/>
      <c r="H121" s="306"/>
      <c r="I121" s="306"/>
      <c r="J121" s="306"/>
      <c r="K121" s="306"/>
      <c r="L121" s="306"/>
      <c r="M121" s="306"/>
      <c r="N121" s="306"/>
      <c r="O121" s="307"/>
      <c r="P121" s="877"/>
      <c r="Q121" s="616" t="s">
        <v>307</v>
      </c>
    </row>
    <row r="122" spans="1:19" ht="15.75" customHeight="1">
      <c r="A122" s="575" t="s">
        <v>278</v>
      </c>
      <c r="B122" s="495"/>
      <c r="C122" s="8"/>
      <c r="D122" s="177"/>
      <c r="E122" s="177"/>
      <c r="F122" s="237"/>
      <c r="G122" s="486">
        <f>IFERROR(VLOOKUP($B$3,'PY3 LCFF Calc'!$A:$X,MATCH("A-2",'PY3 LCFF Calc'!$A$5:$W$5,0),FALSE),0)</f>
        <v>0</v>
      </c>
      <c r="H122" s="486">
        <f>IFERROR(VLOOKUP($B$3,'PY2 LCFF Calc'!$A:$W,MATCH("A-2",'PY2 LCFF Calc'!$A$5:$W$5,0),FALSE),0)</f>
        <v>0</v>
      </c>
      <c r="I122" s="1041">
        <f>IFERROR(VLOOKUP($B$3,'PY1 LCFF Calc'!$A:$W,MATCH("A-2",'PY1 LCFF Calc'!$A$5:$W$5,0),FALSE),0)</f>
        <v>0</v>
      </c>
      <c r="J122" s="170"/>
      <c r="K122" s="170"/>
      <c r="L122" s="170"/>
      <c r="M122" s="170"/>
      <c r="N122" s="170"/>
      <c r="O122" s="195"/>
      <c r="P122" s="660" t="s">
        <v>1471</v>
      </c>
      <c r="Q122" s="4"/>
      <c r="S122" s="17"/>
    </row>
    <row r="123" spans="1:19" ht="15.75" customHeight="1">
      <c r="A123" s="575" t="s">
        <v>308</v>
      </c>
      <c r="B123" s="495"/>
      <c r="C123" s="8"/>
      <c r="D123" s="177"/>
      <c r="E123" s="177"/>
      <c r="F123" s="238"/>
      <c r="G123" s="486">
        <f>IFERROR(VLOOKUP($B$3,'PY3 LCFF Calc'!$A:$X,MATCH("A-3",'PY3 LCFF Calc'!$A$5:$W$5,0),FALSE),0)</f>
        <v>0</v>
      </c>
      <c r="H123" s="486">
        <f>IFERROR(VLOOKUP($B$3,'PY2 LCFF Calc'!$A:$W,MATCH("A-3",'PY2 LCFF Calc'!$A$5:$W$5,0),FALSE),0)</f>
        <v>0</v>
      </c>
      <c r="I123" s="486">
        <f>IFERROR(VLOOKUP($B$3,'PY1 LCFF Calc'!$A:$W,MATCH("A-3",'PY1 LCFF Calc'!$A$5:$W$5,0),FALSE),0)</f>
        <v>0</v>
      </c>
      <c r="J123" s="170"/>
      <c r="K123" s="170"/>
      <c r="L123" s="170"/>
      <c r="M123" s="170"/>
      <c r="N123" s="170"/>
      <c r="O123" s="195"/>
      <c r="P123" s="660" t="s">
        <v>1472</v>
      </c>
      <c r="Q123" s="4"/>
    </row>
    <row r="124" spans="1:19" s="82" customFormat="1" ht="15.75" customHeight="1">
      <c r="A124" s="555" t="s">
        <v>309</v>
      </c>
      <c r="B124" s="576"/>
      <c r="D124" s="508"/>
      <c r="E124" s="508"/>
      <c r="F124" s="238"/>
      <c r="G124" s="1013">
        <f>SUM(G122:G123)</f>
        <v>0</v>
      </c>
      <c r="H124" s="1013">
        <f t="shared" ref="H124:N124" si="16">SUM(H122:H123)</f>
        <v>0</v>
      </c>
      <c r="I124" s="1013">
        <f t="shared" si="16"/>
        <v>0</v>
      </c>
      <c r="J124" s="1013">
        <f t="shared" si="16"/>
        <v>0</v>
      </c>
      <c r="K124" s="1013">
        <f t="shared" si="16"/>
        <v>0</v>
      </c>
      <c r="L124" s="1013">
        <f t="shared" si="16"/>
        <v>0</v>
      </c>
      <c r="M124" s="1013">
        <f t="shared" si="16"/>
        <v>0</v>
      </c>
      <c r="N124" s="1013">
        <f t="shared" si="16"/>
        <v>0</v>
      </c>
      <c r="O124" s="509"/>
      <c r="P124" s="660"/>
      <c r="Q124" s="83"/>
    </row>
    <row r="125" spans="1:19" ht="15.75" customHeight="1">
      <c r="A125" s="575" t="s">
        <v>281</v>
      </c>
      <c r="B125" s="495"/>
      <c r="C125" s="8"/>
      <c r="D125" s="177"/>
      <c r="E125" s="177"/>
      <c r="F125" s="237"/>
      <c r="G125" s="486">
        <f>IFERROR(VLOOKUP($B$3,'PY3 LCFF Calc'!$A:$X,MATCH("A-5",'PY3 LCFF Calc'!$A$5:$W$5,0),FALSE),0)</f>
        <v>0</v>
      </c>
      <c r="H125" s="486">
        <f>IFERROR(VLOOKUP($B$3,'PY2 LCFF Calc'!$A:$W,MATCH("A-5",'PY2 LCFF Calc'!$A$5:$W$5,0),FALSE),0)</f>
        <v>0</v>
      </c>
      <c r="I125" s="486">
        <f>IFERROR(VLOOKUP($B$3,'PY1 LCFF Calc'!$A:$W,MATCH("A-5",'PY1 LCFF Calc'!$A$5:$W$5,0),FALSE),0)</f>
        <v>0</v>
      </c>
      <c r="J125" s="170"/>
      <c r="K125" s="170"/>
      <c r="L125" s="170"/>
      <c r="M125" s="170"/>
      <c r="N125" s="170"/>
      <c r="O125" s="195"/>
      <c r="P125" s="660" t="s">
        <v>1473</v>
      </c>
      <c r="Q125" s="4"/>
      <c r="S125" s="17"/>
    </row>
    <row r="126" spans="1:19" ht="15.75" customHeight="1">
      <c r="A126" s="575" t="s">
        <v>282</v>
      </c>
      <c r="B126" s="495"/>
      <c r="C126" s="8"/>
      <c r="D126" s="177"/>
      <c r="E126" s="177"/>
      <c r="F126" s="238"/>
      <c r="G126" s="486">
        <f>IFERROR(VLOOKUP($B$3,'PY3 LCFF Calc'!$A:$X,MATCH("A-6",'PY3 LCFF Calc'!$A$5:$W$5,0),FALSE),0)</f>
        <v>0</v>
      </c>
      <c r="H126" s="486">
        <f>IFERROR(VLOOKUP($B$3,'PY2 LCFF Calc'!$A:$W,MATCH("A-6",'PY2 LCFF Calc'!$A$5:$W$5,0),FALSE),0)</f>
        <v>0</v>
      </c>
      <c r="I126" s="486">
        <f>IFERROR(VLOOKUP($B$3,'PY1 LCFF Calc'!$A:$W,MATCH("A-6",'PY1 LCFF Calc'!$A$5:$W$5,0),FALSE),0)</f>
        <v>0</v>
      </c>
      <c r="J126" s="170"/>
      <c r="K126" s="170"/>
      <c r="L126" s="170"/>
      <c r="M126" s="170"/>
      <c r="N126" s="170"/>
      <c r="O126" s="195"/>
      <c r="P126" s="660" t="s">
        <v>1474</v>
      </c>
      <c r="Q126" s="4"/>
    </row>
    <row r="127" spans="1:19" s="82" customFormat="1" ht="15.75" customHeight="1">
      <c r="A127" s="555" t="s">
        <v>310</v>
      </c>
      <c r="B127" s="495"/>
      <c r="D127" s="508"/>
      <c r="E127" s="508"/>
      <c r="F127" s="238"/>
      <c r="G127" s="1013">
        <f>SUM(G125:G126)</f>
        <v>0</v>
      </c>
      <c r="H127" s="1013">
        <f t="shared" ref="H127:N127" si="17">SUM(H125:H126)</f>
        <v>0</v>
      </c>
      <c r="I127" s="1013">
        <f t="shared" si="17"/>
        <v>0</v>
      </c>
      <c r="J127" s="1013">
        <f t="shared" si="17"/>
        <v>0</v>
      </c>
      <c r="K127" s="1013">
        <f t="shared" si="17"/>
        <v>0</v>
      </c>
      <c r="L127" s="1013">
        <f t="shared" si="17"/>
        <v>0</v>
      </c>
      <c r="M127" s="1013">
        <f t="shared" si="17"/>
        <v>0</v>
      </c>
      <c r="N127" s="1013">
        <f t="shared" si="17"/>
        <v>0</v>
      </c>
      <c r="O127" s="509"/>
      <c r="P127" s="730"/>
      <c r="Q127" s="284"/>
    </row>
    <row r="128" spans="1:19" s="82" customFormat="1" ht="7.5" customHeight="1">
      <c r="A128" s="555"/>
      <c r="B128" s="495"/>
      <c r="D128" s="508"/>
      <c r="E128" s="508"/>
      <c r="F128" s="238"/>
      <c r="G128" s="1013"/>
      <c r="H128" s="1013"/>
      <c r="I128" s="1013"/>
      <c r="J128" s="1013"/>
      <c r="K128" s="1013"/>
      <c r="L128" s="1013"/>
      <c r="M128" s="1013"/>
      <c r="N128" s="1013"/>
      <c r="O128" s="509"/>
      <c r="P128" s="730"/>
      <c r="Q128" s="284"/>
    </row>
    <row r="129" spans="1:17" s="82" customFormat="1" ht="15.75" customHeight="1">
      <c r="A129" s="555" t="s">
        <v>1713</v>
      </c>
      <c r="B129" s="495"/>
      <c r="D129" s="508"/>
      <c r="E129" s="508"/>
      <c r="F129" s="238"/>
      <c r="G129" s="520">
        <f>+G127+G124</f>
        <v>0</v>
      </c>
      <c r="H129" s="520">
        <f t="shared" ref="H129:N129" si="18">+H127+H124</f>
        <v>0</v>
      </c>
      <c r="I129" s="520">
        <f t="shared" si="18"/>
        <v>0</v>
      </c>
      <c r="J129" s="520">
        <f t="shared" si="18"/>
        <v>0</v>
      </c>
      <c r="K129" s="520">
        <f t="shared" si="18"/>
        <v>0</v>
      </c>
      <c r="L129" s="520">
        <f t="shared" si="18"/>
        <v>0</v>
      </c>
      <c r="M129" s="520">
        <f t="shared" si="18"/>
        <v>0</v>
      </c>
      <c r="N129" s="520">
        <f t="shared" si="18"/>
        <v>0</v>
      </c>
      <c r="O129" s="509"/>
      <c r="P129" s="730"/>
      <c r="Q129" s="284"/>
    </row>
    <row r="130" spans="1:17" ht="9" customHeight="1" thickBot="1">
      <c r="A130" s="1003"/>
      <c r="B130" s="495"/>
      <c r="C130" s="282"/>
      <c r="D130" s="235"/>
      <c r="E130" s="179"/>
      <c r="F130" s="177"/>
      <c r="G130" s="171"/>
      <c r="H130" s="171"/>
      <c r="I130" s="171"/>
      <c r="J130" s="171"/>
      <c r="K130" s="171"/>
      <c r="L130" s="171"/>
      <c r="M130" s="171"/>
      <c r="N130" s="171"/>
      <c r="O130" s="178"/>
      <c r="P130" s="726"/>
      <c r="Q130" s="727"/>
    </row>
    <row r="131" spans="1:17" s="82" customFormat="1" ht="30" customHeight="1" thickBot="1">
      <c r="A131" s="564" t="s">
        <v>1600</v>
      </c>
      <c r="B131" s="565"/>
      <c r="C131" s="566"/>
      <c r="D131" s="566"/>
      <c r="E131" s="566"/>
      <c r="F131" s="566"/>
      <c r="G131" s="567"/>
      <c r="H131" s="567"/>
      <c r="I131" s="567"/>
      <c r="J131" s="567"/>
      <c r="K131" s="567"/>
      <c r="L131" s="567"/>
      <c r="M131" s="567"/>
      <c r="N131" s="567"/>
      <c r="O131" s="568"/>
      <c r="P131" s="879"/>
      <c r="Q131" s="613"/>
    </row>
    <row r="132" spans="1:17" s="82" customFormat="1" ht="20.25" customHeight="1" thickBot="1">
      <c r="A132" s="301" t="s">
        <v>1350</v>
      </c>
      <c r="B132" s="302"/>
      <c r="C132" s="302"/>
      <c r="D132" s="303"/>
      <c r="E132" s="304"/>
      <c r="F132" s="305"/>
      <c r="G132" s="306"/>
      <c r="H132" s="306"/>
      <c r="I132" s="306"/>
      <c r="J132" s="306"/>
      <c r="K132" s="306"/>
      <c r="L132" s="306"/>
      <c r="M132" s="306"/>
      <c r="N132" s="306"/>
      <c r="O132" s="307"/>
      <c r="P132" s="877"/>
      <c r="Q132" s="616" t="s">
        <v>1660</v>
      </c>
    </row>
    <row r="133" spans="1:17" s="876" customFormat="1" ht="7.5" customHeight="1">
      <c r="A133" s="984"/>
      <c r="B133" s="985"/>
      <c r="C133" s="985"/>
      <c r="D133" s="985"/>
      <c r="E133" s="180"/>
      <c r="F133" s="310"/>
      <c r="G133" s="986"/>
      <c r="H133" s="986"/>
      <c r="I133" s="986"/>
      <c r="J133" s="986"/>
      <c r="K133" s="986"/>
      <c r="L133" s="986"/>
      <c r="M133" s="986"/>
      <c r="N133" s="986"/>
      <c r="O133" s="987"/>
      <c r="P133" s="180"/>
      <c r="Q133" s="988"/>
    </row>
    <row r="134" spans="1:17" s="876" customFormat="1" ht="15.75" customHeight="1">
      <c r="A134" s="984" t="s">
        <v>1732</v>
      </c>
      <c r="B134" s="985"/>
      <c r="C134" s="985"/>
      <c r="D134" s="985"/>
      <c r="E134" s="180"/>
      <c r="F134" s="310"/>
      <c r="G134" s="986"/>
      <c r="H134" s="995" t="s">
        <v>1696</v>
      </c>
      <c r="I134" s="998" t="s">
        <v>1764</v>
      </c>
      <c r="J134" s="998" t="s">
        <v>1856</v>
      </c>
      <c r="K134" s="998" t="s">
        <v>1856</v>
      </c>
      <c r="L134" s="998" t="s">
        <v>1856</v>
      </c>
      <c r="M134" s="998" t="s">
        <v>1856</v>
      </c>
      <c r="N134" s="998" t="s">
        <v>1856</v>
      </c>
      <c r="O134" s="987"/>
      <c r="P134" s="180"/>
      <c r="Q134" s="988"/>
    </row>
    <row r="135" spans="1:17" s="876" customFormat="1" ht="20.25" customHeight="1">
      <c r="A135" s="984" t="s">
        <v>1731</v>
      </c>
      <c r="B135" s="985"/>
      <c r="C135" s="985"/>
      <c r="D135" s="985"/>
      <c r="E135" s="180"/>
      <c r="F135" s="310"/>
      <c r="G135" s="986"/>
      <c r="H135" s="986"/>
      <c r="I135" s="986"/>
      <c r="J135" s="986"/>
      <c r="K135" s="986"/>
      <c r="L135" s="986"/>
      <c r="M135" s="986"/>
      <c r="N135" s="986"/>
      <c r="O135" s="987"/>
      <c r="P135" s="180"/>
      <c r="Q135" s="988"/>
    </row>
    <row r="136" spans="1:17" s="82" customFormat="1" ht="15.75" customHeight="1">
      <c r="A136" s="989" t="s">
        <v>1334</v>
      </c>
      <c r="B136" s="190"/>
      <c r="G136" s="1132">
        <f>IFERROR(VLOOKUP($B$3,'PY1 Diff Asst'!$A:$K,MATCH("D-1.2",'PY1 Diff Asst'!$A$5:$K$5,0),FALSE),0)</f>
        <v>0</v>
      </c>
      <c r="H136" s="1132">
        <f>IFERROR(VLOOKUP($B$3,'PY1 Diff Asst'!$A:$K,MATCH("D-1.1",'PY1 Diff Asst'!$A$5:$K$5,0),FALSE),0)</f>
        <v>0</v>
      </c>
      <c r="I136" s="1132">
        <f>IFERROR(VLOOKUP($B$3,'PY1 Diff Asst'!$A:$K,MATCH("D-1",'PY1 Diff Asst'!$A$5:$K$5,0),FALSE),0)</f>
        <v>0</v>
      </c>
      <c r="J136" s="1133"/>
      <c r="K136" s="1133"/>
      <c r="L136" s="1133"/>
      <c r="M136" s="1133"/>
      <c r="N136" s="1133"/>
      <c r="O136" s="195"/>
      <c r="P136" s="876" t="s">
        <v>1475</v>
      </c>
      <c r="Q136" s="83"/>
    </row>
    <row r="137" spans="1:17" s="82" customFormat="1" ht="15.75" customHeight="1">
      <c r="A137" s="989" t="s">
        <v>1335</v>
      </c>
      <c r="B137" s="190"/>
      <c r="G137" s="1132">
        <f>IFERROR(VLOOKUP($B$3,'PY1 Diff Asst'!$A:$K,MATCH("D-2.2",'PY1 Diff Asst'!$A$5:$K$5,0),FALSE),0)</f>
        <v>0</v>
      </c>
      <c r="H137" s="1132">
        <f>IFERROR(VLOOKUP($B$3,'PY1 Diff Asst'!$A:$K,MATCH("D-2.1",'PY1 Diff Asst'!$A$5:$K$5,0),FALSE),0)</f>
        <v>0</v>
      </c>
      <c r="I137" s="1132">
        <f>IFERROR(VLOOKUP($B$3,'PY1 Diff Asst'!$A:$K,MATCH("D-2",'PY1 Diff Asst'!$A$5:$K$5,0),FALSE),0)</f>
        <v>0</v>
      </c>
      <c r="J137" s="1133"/>
      <c r="K137" s="1133"/>
      <c r="L137" s="1133"/>
      <c r="M137" s="1133"/>
      <c r="N137" s="1133"/>
      <c r="O137" s="195"/>
      <c r="P137" s="876" t="s">
        <v>1476</v>
      </c>
      <c r="Q137" s="83"/>
    </row>
    <row r="138" spans="1:17" s="82" customFormat="1" ht="15.75" customHeight="1">
      <c r="A138" s="989" t="s">
        <v>1336</v>
      </c>
      <c r="B138" s="190"/>
      <c r="G138" s="1132">
        <f>IFERROR(VLOOKUP($B$3,'PY1 Diff Asst'!$A:$K,MATCH("D-3.2",'PY1 Diff Asst'!$A$5:$K$5,0),FALSE),0)</f>
        <v>0</v>
      </c>
      <c r="H138" s="1132">
        <f>IFERROR(VLOOKUP($B$3,'PY1 Diff Asst'!$A:$K,MATCH("D-3.1",'PY1 Diff Asst'!$A$5:$K$5,0),FALSE),0)</f>
        <v>0</v>
      </c>
      <c r="I138" s="1132">
        <f>IFERROR(VLOOKUP($B$3,'PY1 Diff Asst'!$A:$K,MATCH("D-3",'PY1 Diff Asst'!$A$5:$K$5,0),FALSE),0)</f>
        <v>0</v>
      </c>
      <c r="J138" s="1133"/>
      <c r="K138" s="1133"/>
      <c r="L138" s="1133"/>
      <c r="M138" s="1133"/>
      <c r="N138" s="1133"/>
      <c r="O138" s="509"/>
      <c r="P138" s="876" t="s">
        <v>1477</v>
      </c>
      <c r="Q138" s="83"/>
    </row>
    <row r="139" spans="1:17" s="1" customFormat="1" ht="6.75" customHeight="1">
      <c r="A139" s="1005"/>
      <c r="B139" s="1004"/>
      <c r="C139" s="1004"/>
      <c r="G139" s="1134"/>
      <c r="H139" s="1134"/>
      <c r="I139" s="1134"/>
      <c r="J139" s="1135"/>
      <c r="K139" s="1134"/>
      <c r="L139" s="1136"/>
      <c r="M139" s="1136"/>
      <c r="N139" s="1136"/>
      <c r="O139" s="1002"/>
    </row>
    <row r="140" spans="1:17" s="82" customFormat="1" ht="15.75" customHeight="1">
      <c r="A140" s="1028" t="s">
        <v>1852</v>
      </c>
      <c r="B140" s="188"/>
      <c r="C140" s="876"/>
      <c r="D140" s="876"/>
      <c r="G140" s="1132">
        <v>0</v>
      </c>
      <c r="H140" s="1132">
        <v>0</v>
      </c>
      <c r="I140" s="1133"/>
      <c r="J140" s="1133"/>
      <c r="K140" s="1133"/>
      <c r="L140" s="1133"/>
      <c r="M140" s="1133"/>
      <c r="N140" s="1133"/>
      <c r="O140" s="509"/>
      <c r="P140" s="876"/>
      <c r="Q140" s="83"/>
    </row>
    <row r="141" spans="1:17" ht="9" customHeight="1" thickBot="1">
      <c r="A141" s="507">
        <v>2</v>
      </c>
      <c r="B141" s="957"/>
      <c r="C141" s="958"/>
      <c r="D141" s="959"/>
      <c r="E141" s="960"/>
      <c r="F141" s="961"/>
      <c r="G141" s="962"/>
      <c r="H141" s="962"/>
      <c r="I141" s="962"/>
      <c r="J141" s="962"/>
      <c r="K141" s="962"/>
      <c r="L141" s="962"/>
      <c r="M141" s="962"/>
      <c r="N141" s="962"/>
      <c r="O141" s="720"/>
      <c r="P141" s="726"/>
      <c r="Q141" s="727"/>
    </row>
  </sheetData>
  <sheetProtection algorithmName="SHA-512" hashValue="W5NHkJkSuT/U97Xps60T00h3p5aLl7BMqVqCI+Qn+agIN9IpKypVATtZ6NAA2eauoeMl6ROIc6HGWD6vo5LTtg==" saltValue="xiZ4S5DB6vacnIB1Jwv8GQ==" spinCount="100000" sheet="1" formatCells="0" formatColumns="0" formatRows="0"/>
  <dataConsolidate/>
  <mergeCells count="4">
    <mergeCell ref="B3:D3"/>
    <mergeCell ref="B7:D7"/>
    <mergeCell ref="A13:F13"/>
    <mergeCell ref="I3:N3"/>
  </mergeCells>
  <phoneticPr fontId="51" type="noConversion"/>
  <dataValidations count="2">
    <dataValidation errorStyle="warning" allowBlank="1" showInputMessage="1" showErrorMessage="1" errorTitle="LEA  Type" error="You MUST select or type 'District' or 'Charter'" promptTitle="LEA TYPE" prompt="District or Charter" sqref="F8" xr:uid="{00000000-0002-0000-0700-000000000000}"/>
    <dataValidation type="list" allowBlank="1" showInputMessage="1" showErrorMessage="1" sqref="I134:N134" xr:uid="{31ED5947-6C0F-4936-A545-8503573D1D51}">
      <formula1>"YES/NO, YES, NO"</formula1>
    </dataValidation>
  </dataValidations>
  <hyperlinks>
    <hyperlink ref="Q3" r:id="rId1" xr:uid="{00000000-0004-0000-0700-000000000000}"/>
    <hyperlink ref="Q16" r:id="rId2" xr:uid="{2865EFAE-A6F2-4466-9B02-81603D27D77F}"/>
  </hyperlinks>
  <printOptions horizontalCentered="1"/>
  <pageMargins left="0.25" right="0.25" top="0.8" bottom="0.3" header="0.3" footer="0.3"/>
  <pageSetup scale="70" fitToWidth="0" fitToHeight="0" orientation="landscape" r:id="rId3"/>
  <headerFooter>
    <oddHeader>&amp;L&amp;A&amp;R&amp;G</oddHeader>
    <oddFooter>&amp;L&amp;D&amp;T&amp;R&amp;F / &amp;A - page &amp;P of &amp;N</oddFooter>
  </headerFooter>
  <rowBreaks count="2" manualBreakCount="2">
    <brk id="47" max="14" man="1"/>
    <brk id="93" max="14" man="1"/>
  </rowBreaks>
  <legacyDrawingHF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8F76C-7E92-47B9-82D1-BF2BBE26C1F9}">
  <dimension ref="A1:E66"/>
  <sheetViews>
    <sheetView zoomScaleNormal="100" workbookViewId="0">
      <pane ySplit="5" topLeftCell="A53" activePane="bottomLeft" state="frozen"/>
      <selection activeCell="A2" sqref="A2"/>
      <selection pane="bottomLeft" activeCell="A3" sqref="A3"/>
    </sheetView>
  </sheetViews>
  <sheetFormatPr defaultColWidth="16.44140625" defaultRowHeight="13.2"/>
  <cols>
    <col min="1" max="1" width="10.33203125" style="24" customWidth="1"/>
    <col min="2" max="2" width="10.6640625" style="24" customWidth="1"/>
    <col min="3" max="3" width="48.5546875" style="5" customWidth="1"/>
    <col min="4" max="4" width="18.109375" style="5" customWidth="1"/>
    <col min="5" max="5" width="13.6640625" style="5" customWidth="1"/>
    <col min="6" max="16384" width="16.44140625" style="5"/>
  </cols>
  <sheetData>
    <row r="1" spans="1:5" ht="20.399999999999999" thickBot="1">
      <c r="A1" s="363" t="s">
        <v>570</v>
      </c>
      <c r="D1" s="1073" t="s">
        <v>1803</v>
      </c>
    </row>
    <row r="2" spans="1:5" ht="20.25" customHeight="1" thickTop="1">
      <c r="A2" s="393" t="str">
        <f>+'Data Entry'!I10</f>
        <v>2022-23</v>
      </c>
      <c r="C2" s="24"/>
    </row>
    <row r="3" spans="1:5" ht="20.25" customHeight="1">
      <c r="A3" s="760" t="s">
        <v>1773</v>
      </c>
      <c r="B3" s="758"/>
      <c r="C3" s="759"/>
    </row>
    <row r="4" spans="1:5" s="391" customFormat="1" ht="104.85" customHeight="1">
      <c r="A4" s="389" t="s">
        <v>16</v>
      </c>
      <c r="B4" s="389" t="s">
        <v>17</v>
      </c>
      <c r="C4" s="389" t="s">
        <v>20</v>
      </c>
      <c r="D4" s="916" t="s">
        <v>1631</v>
      </c>
      <c r="E4" s="390" t="s">
        <v>571</v>
      </c>
    </row>
    <row r="5" spans="1:5" s="391" customFormat="1" ht="22.5" customHeight="1">
      <c r="A5" s="389"/>
      <c r="B5" s="389"/>
      <c r="C5" s="389"/>
      <c r="D5" s="915" t="s">
        <v>1630</v>
      </c>
      <c r="E5" s="396" t="s">
        <v>100</v>
      </c>
    </row>
    <row r="6" spans="1:5" ht="15">
      <c r="A6" s="1074">
        <v>1</v>
      </c>
      <c r="B6" s="1074">
        <v>10017</v>
      </c>
      <c r="C6" s="392" t="s">
        <v>49</v>
      </c>
      <c r="D6" s="936">
        <v>32654030</v>
      </c>
      <c r="E6" s="917">
        <v>0.43846499999999999</v>
      </c>
    </row>
    <row r="7" spans="1:5" ht="15">
      <c r="A7" s="1074">
        <v>2</v>
      </c>
      <c r="B7" s="1074">
        <v>10025</v>
      </c>
      <c r="C7" s="392" t="s">
        <v>51</v>
      </c>
      <c r="D7" s="938">
        <v>0</v>
      </c>
      <c r="E7" s="917">
        <v>0</v>
      </c>
    </row>
    <row r="8" spans="1:5" ht="15">
      <c r="A8" s="1074">
        <v>3</v>
      </c>
      <c r="B8" s="1074">
        <v>10033</v>
      </c>
      <c r="C8" s="392" t="s">
        <v>52</v>
      </c>
      <c r="D8" s="938">
        <v>1481698</v>
      </c>
      <c r="E8" s="917">
        <v>0.33527899999999999</v>
      </c>
    </row>
    <row r="9" spans="1:5" ht="15">
      <c r="A9" s="1074">
        <v>4</v>
      </c>
      <c r="B9" s="1074">
        <v>10041</v>
      </c>
      <c r="C9" s="392" t="s">
        <v>53</v>
      </c>
      <c r="D9" s="938">
        <v>12345967</v>
      </c>
      <c r="E9" s="917">
        <v>0.81229700000000005</v>
      </c>
    </row>
    <row r="10" spans="1:5" ht="15">
      <c r="A10" s="1074">
        <v>5</v>
      </c>
      <c r="B10" s="1074">
        <v>10058</v>
      </c>
      <c r="C10" s="392" t="s">
        <v>54</v>
      </c>
      <c r="D10" s="938">
        <v>1525854</v>
      </c>
      <c r="E10" s="917">
        <v>0.503274</v>
      </c>
    </row>
    <row r="11" spans="1:5" ht="15">
      <c r="A11" s="1074">
        <v>6</v>
      </c>
      <c r="B11" s="1074">
        <v>10066</v>
      </c>
      <c r="C11" s="392" t="s">
        <v>55</v>
      </c>
      <c r="D11" s="938">
        <v>548639</v>
      </c>
      <c r="E11" s="917">
        <v>0.81697799999999998</v>
      </c>
    </row>
    <row r="12" spans="1:5" ht="15">
      <c r="A12" s="1074">
        <v>7</v>
      </c>
      <c r="B12" s="1074">
        <v>10074</v>
      </c>
      <c r="C12" s="392" t="s">
        <v>109</v>
      </c>
      <c r="D12" s="938">
        <v>42734723</v>
      </c>
      <c r="E12" s="917">
        <v>0.56153399999999998</v>
      </c>
    </row>
    <row r="13" spans="1:5" ht="15">
      <c r="A13" s="1074">
        <v>8</v>
      </c>
      <c r="B13" s="1074">
        <v>10082</v>
      </c>
      <c r="C13" s="392" t="s">
        <v>56</v>
      </c>
      <c r="D13" s="938">
        <v>45058</v>
      </c>
      <c r="E13" s="917">
        <v>0</v>
      </c>
    </row>
    <row r="14" spans="1:5" ht="15">
      <c r="A14" s="1074">
        <v>9</v>
      </c>
      <c r="B14" s="1074">
        <v>10090</v>
      </c>
      <c r="C14" s="392" t="s">
        <v>37</v>
      </c>
      <c r="D14" s="938">
        <v>9487443</v>
      </c>
      <c r="E14" s="917">
        <v>0.29268100000000002</v>
      </c>
    </row>
    <row r="15" spans="1:5" ht="15">
      <c r="A15" s="1074">
        <v>10</v>
      </c>
      <c r="B15" s="1074">
        <v>10108</v>
      </c>
      <c r="C15" s="392" t="s">
        <v>48</v>
      </c>
      <c r="D15" s="938">
        <v>33990807</v>
      </c>
      <c r="E15" s="917">
        <v>0.475657</v>
      </c>
    </row>
    <row r="16" spans="1:5" ht="15">
      <c r="A16" s="1074">
        <v>11</v>
      </c>
      <c r="B16" s="1074">
        <v>10116</v>
      </c>
      <c r="C16" s="392" t="s">
        <v>47</v>
      </c>
      <c r="D16" s="938">
        <v>2069279</v>
      </c>
      <c r="E16" s="917">
        <v>0.83526800000000001</v>
      </c>
    </row>
    <row r="17" spans="1:5" ht="15">
      <c r="A17" s="1074">
        <v>12</v>
      </c>
      <c r="B17" s="1074">
        <v>10124</v>
      </c>
      <c r="C17" s="392" t="s">
        <v>57</v>
      </c>
      <c r="D17" s="938">
        <v>2444974</v>
      </c>
      <c r="E17" s="917">
        <v>0.44148700000000002</v>
      </c>
    </row>
    <row r="18" spans="1:5" ht="15">
      <c r="A18" s="1074">
        <v>13</v>
      </c>
      <c r="B18" s="1074">
        <v>10132</v>
      </c>
      <c r="C18" s="392" t="s">
        <v>58</v>
      </c>
      <c r="D18" s="938">
        <v>2778423</v>
      </c>
      <c r="E18" s="917">
        <v>0.76000100000000004</v>
      </c>
    </row>
    <row r="19" spans="1:5" ht="15">
      <c r="A19" s="1074">
        <v>14</v>
      </c>
      <c r="B19" s="1074">
        <v>10140</v>
      </c>
      <c r="C19" s="392" t="s">
        <v>36</v>
      </c>
      <c r="D19" s="938">
        <v>3018194</v>
      </c>
      <c r="E19" s="917">
        <v>0</v>
      </c>
    </row>
    <row r="20" spans="1:5" ht="15">
      <c r="A20" s="1074">
        <v>15</v>
      </c>
      <c r="B20" s="1074">
        <v>10157</v>
      </c>
      <c r="C20" s="392" t="s">
        <v>46</v>
      </c>
      <c r="D20" s="938">
        <v>25690057</v>
      </c>
      <c r="E20" s="917">
        <v>0.36963499999999999</v>
      </c>
    </row>
    <row r="21" spans="1:5" ht="15">
      <c r="A21" s="1074">
        <v>16</v>
      </c>
      <c r="B21" s="1074">
        <v>10165</v>
      </c>
      <c r="C21" s="392" t="s">
        <v>59</v>
      </c>
      <c r="D21" s="938">
        <v>3673371</v>
      </c>
      <c r="E21" s="917">
        <v>0.38678099999999999</v>
      </c>
    </row>
    <row r="22" spans="1:5" ht="15">
      <c r="A22" s="1074">
        <v>17</v>
      </c>
      <c r="B22" s="1074">
        <v>10173</v>
      </c>
      <c r="C22" s="392" t="s">
        <v>60</v>
      </c>
      <c r="D22" s="938">
        <v>2907819</v>
      </c>
      <c r="E22" s="917">
        <v>0.243259</v>
      </c>
    </row>
    <row r="23" spans="1:5" ht="15">
      <c r="A23" s="1074">
        <v>18</v>
      </c>
      <c r="B23" s="1074">
        <v>10181</v>
      </c>
      <c r="C23" s="392" t="s">
        <v>61</v>
      </c>
      <c r="D23" s="938">
        <v>1393384</v>
      </c>
      <c r="E23" s="917">
        <v>0.69718000000000002</v>
      </c>
    </row>
    <row r="24" spans="1:5" ht="15">
      <c r="A24" s="1074">
        <v>19</v>
      </c>
      <c r="B24" s="1074">
        <v>10199</v>
      </c>
      <c r="C24" s="392" t="s">
        <v>45</v>
      </c>
      <c r="D24" s="938">
        <v>163576998</v>
      </c>
      <c r="E24" s="917">
        <v>0.466696</v>
      </c>
    </row>
    <row r="25" spans="1:5" ht="15">
      <c r="A25" s="1074">
        <v>20</v>
      </c>
      <c r="B25" s="1074">
        <v>10207</v>
      </c>
      <c r="C25" s="392" t="s">
        <v>124</v>
      </c>
      <c r="D25" s="938">
        <v>10880410</v>
      </c>
      <c r="E25" s="917">
        <v>0.63883800000000002</v>
      </c>
    </row>
    <row r="26" spans="1:5" ht="15">
      <c r="A26" s="1074">
        <v>21</v>
      </c>
      <c r="B26" s="1074">
        <v>10215</v>
      </c>
      <c r="C26" s="392" t="s">
        <v>62</v>
      </c>
      <c r="D26" s="938">
        <v>24306217</v>
      </c>
      <c r="E26" s="917">
        <v>0.55998499999999996</v>
      </c>
    </row>
    <row r="27" spans="1:5" ht="15">
      <c r="A27" s="1074">
        <v>22</v>
      </c>
      <c r="B27" s="1074">
        <v>10223</v>
      </c>
      <c r="C27" s="392" t="s">
        <v>63</v>
      </c>
      <c r="D27" s="938">
        <v>0</v>
      </c>
      <c r="E27" s="917">
        <v>0</v>
      </c>
    </row>
    <row r="28" spans="1:5" ht="15">
      <c r="A28" s="1074">
        <v>23</v>
      </c>
      <c r="B28" s="1074">
        <v>10231</v>
      </c>
      <c r="C28" s="392" t="s">
        <v>64</v>
      </c>
      <c r="D28" s="938">
        <v>6149629</v>
      </c>
      <c r="E28" s="917">
        <v>0.37170500000000001</v>
      </c>
    </row>
    <row r="29" spans="1:5" ht="15">
      <c r="A29" s="1074">
        <v>24</v>
      </c>
      <c r="B29" s="1074">
        <v>10249</v>
      </c>
      <c r="C29" s="392" t="s">
        <v>65</v>
      </c>
      <c r="D29" s="938">
        <v>16453603</v>
      </c>
      <c r="E29" s="917">
        <v>0.37930999999999998</v>
      </c>
    </row>
    <row r="30" spans="1:5" ht="15">
      <c r="A30" s="1074">
        <v>25</v>
      </c>
      <c r="B30" s="1074">
        <v>10256</v>
      </c>
      <c r="C30" s="392" t="s">
        <v>66</v>
      </c>
      <c r="D30" s="938">
        <v>941159</v>
      </c>
      <c r="E30" s="917">
        <v>0.14316100000000001</v>
      </c>
    </row>
    <row r="31" spans="1:5" ht="15">
      <c r="A31" s="1074">
        <v>26</v>
      </c>
      <c r="B31" s="1074">
        <v>10264</v>
      </c>
      <c r="C31" s="392" t="s">
        <v>35</v>
      </c>
      <c r="D31" s="938">
        <v>2503012</v>
      </c>
      <c r="E31" s="917">
        <v>0</v>
      </c>
    </row>
    <row r="32" spans="1:5" ht="15">
      <c r="A32" s="1074">
        <v>27</v>
      </c>
      <c r="B32" s="1074">
        <v>10272</v>
      </c>
      <c r="C32" s="392" t="s">
        <v>44</v>
      </c>
      <c r="D32" s="938">
        <v>25015999</v>
      </c>
      <c r="E32" s="917">
        <v>0.27712799999999999</v>
      </c>
    </row>
    <row r="33" spans="1:5" ht="15">
      <c r="A33" s="1074">
        <v>28</v>
      </c>
      <c r="B33" s="1074">
        <v>10280</v>
      </c>
      <c r="C33" s="392" t="s">
        <v>67</v>
      </c>
      <c r="D33" s="938">
        <v>15245697</v>
      </c>
      <c r="E33" s="917">
        <v>0.39336500000000002</v>
      </c>
    </row>
    <row r="34" spans="1:5" ht="15">
      <c r="A34" s="1074">
        <v>29</v>
      </c>
      <c r="B34" s="1074">
        <v>10298</v>
      </c>
      <c r="C34" s="392" t="s">
        <v>34</v>
      </c>
      <c r="D34" s="938">
        <v>2128060</v>
      </c>
      <c r="E34" s="917">
        <v>0.39983400000000002</v>
      </c>
    </row>
    <row r="35" spans="1:5" ht="15">
      <c r="A35" s="1074">
        <v>30</v>
      </c>
      <c r="B35" s="1074">
        <v>10306</v>
      </c>
      <c r="C35" s="392" t="s">
        <v>68</v>
      </c>
      <c r="D35" s="938">
        <v>136200807</v>
      </c>
      <c r="E35" s="917">
        <v>0.35692400000000002</v>
      </c>
    </row>
    <row r="36" spans="1:5" ht="15">
      <c r="A36" s="1074">
        <v>31</v>
      </c>
      <c r="B36" s="1074">
        <v>10314</v>
      </c>
      <c r="C36" s="392" t="s">
        <v>33</v>
      </c>
      <c r="D36" s="938">
        <v>43533437</v>
      </c>
      <c r="E36" s="917">
        <v>0.40800999999999998</v>
      </c>
    </row>
    <row r="37" spans="1:5" ht="15">
      <c r="A37" s="1074">
        <v>32</v>
      </c>
      <c r="B37" s="1074">
        <v>10322</v>
      </c>
      <c r="C37" s="392" t="s">
        <v>69</v>
      </c>
      <c r="D37" s="938">
        <v>75696</v>
      </c>
      <c r="E37" s="917">
        <v>0</v>
      </c>
    </row>
    <row r="38" spans="1:5" ht="15">
      <c r="A38" s="1074">
        <v>33</v>
      </c>
      <c r="B38" s="1074">
        <v>10330</v>
      </c>
      <c r="C38" s="392" t="s">
        <v>32</v>
      </c>
      <c r="D38" s="938">
        <v>98407672</v>
      </c>
      <c r="E38" s="917">
        <v>0.36376799999999998</v>
      </c>
    </row>
    <row r="39" spans="1:5" ht="15">
      <c r="A39" s="1074">
        <v>34</v>
      </c>
      <c r="B39" s="1074">
        <v>10348</v>
      </c>
      <c r="C39" s="392" t="s">
        <v>43</v>
      </c>
      <c r="D39" s="938">
        <v>30700462</v>
      </c>
      <c r="E39" s="917">
        <v>0.75356999999999996</v>
      </c>
    </row>
    <row r="40" spans="1:5" ht="15">
      <c r="A40" s="1074">
        <v>35</v>
      </c>
      <c r="B40" s="1074">
        <v>10355</v>
      </c>
      <c r="C40" s="392" t="s">
        <v>70</v>
      </c>
      <c r="D40" s="938">
        <v>3489970</v>
      </c>
      <c r="E40" s="917">
        <v>0.356678</v>
      </c>
    </row>
    <row r="41" spans="1:5" ht="15">
      <c r="A41" s="1074">
        <v>36</v>
      </c>
      <c r="B41" s="1074">
        <v>10363</v>
      </c>
      <c r="C41" s="392" t="s">
        <v>110</v>
      </c>
      <c r="D41" s="938">
        <v>23964279</v>
      </c>
      <c r="E41" s="917">
        <v>0.62177199999999999</v>
      </c>
    </row>
    <row r="42" spans="1:5" ht="15">
      <c r="A42" s="1074">
        <v>37</v>
      </c>
      <c r="B42" s="1074">
        <v>10371</v>
      </c>
      <c r="C42" s="392" t="s">
        <v>71</v>
      </c>
      <c r="D42" s="938">
        <v>133783203</v>
      </c>
      <c r="E42" s="917">
        <v>0.247751</v>
      </c>
    </row>
    <row r="43" spans="1:5" ht="15">
      <c r="A43" s="1074">
        <v>38</v>
      </c>
      <c r="B43" s="1074">
        <v>10389</v>
      </c>
      <c r="C43" s="392" t="s">
        <v>111</v>
      </c>
      <c r="D43" s="938">
        <v>2991113</v>
      </c>
      <c r="E43" s="917">
        <v>0</v>
      </c>
    </row>
    <row r="44" spans="1:5" ht="15">
      <c r="A44" s="1074">
        <v>39</v>
      </c>
      <c r="B44" s="1074">
        <v>10397</v>
      </c>
      <c r="C44" s="392" t="s">
        <v>112</v>
      </c>
      <c r="D44" s="938">
        <v>18290158</v>
      </c>
      <c r="E44" s="917">
        <v>0.26467099999999999</v>
      </c>
    </row>
    <row r="45" spans="1:5" ht="15">
      <c r="A45" s="1074">
        <v>40</v>
      </c>
      <c r="B45" s="1074">
        <v>10405</v>
      </c>
      <c r="C45" s="392" t="s">
        <v>113</v>
      </c>
      <c r="D45" s="938">
        <v>28329241</v>
      </c>
      <c r="E45" s="917">
        <v>0.521706</v>
      </c>
    </row>
    <row r="46" spans="1:5" ht="15">
      <c r="A46" s="1074">
        <v>41</v>
      </c>
      <c r="B46" s="1074">
        <v>10413</v>
      </c>
      <c r="C46" s="392" t="s">
        <v>114</v>
      </c>
      <c r="D46" s="938">
        <v>103260375</v>
      </c>
      <c r="E46" s="917">
        <v>0.45572400000000002</v>
      </c>
    </row>
    <row r="47" spans="1:5" ht="15">
      <c r="A47" s="1074">
        <v>42</v>
      </c>
      <c r="B47" s="1074">
        <v>10421</v>
      </c>
      <c r="C47" s="392" t="s">
        <v>115</v>
      </c>
      <c r="D47" s="938">
        <v>40928734</v>
      </c>
      <c r="E47" s="917">
        <v>0.45759699999999998</v>
      </c>
    </row>
    <row r="48" spans="1:5" ht="15">
      <c r="A48" s="1074">
        <v>43</v>
      </c>
      <c r="B48" s="1074">
        <v>10439</v>
      </c>
      <c r="C48" s="392" t="s">
        <v>116</v>
      </c>
      <c r="D48" s="938">
        <v>210135479</v>
      </c>
      <c r="E48" s="917">
        <v>0.62144200000000005</v>
      </c>
    </row>
    <row r="49" spans="1:5" ht="15">
      <c r="A49" s="1074">
        <v>44</v>
      </c>
      <c r="B49" s="1074">
        <v>10447</v>
      </c>
      <c r="C49" s="392" t="s">
        <v>117</v>
      </c>
      <c r="D49" s="938">
        <v>13599815</v>
      </c>
      <c r="E49" s="917">
        <v>0.58984300000000001</v>
      </c>
    </row>
    <row r="50" spans="1:5" ht="15">
      <c r="A50" s="1074">
        <v>45</v>
      </c>
      <c r="B50" s="1074">
        <v>10454</v>
      </c>
      <c r="C50" s="392" t="s">
        <v>72</v>
      </c>
      <c r="D50" s="938">
        <v>6770747</v>
      </c>
      <c r="E50" s="917">
        <v>0.40310699999999999</v>
      </c>
    </row>
    <row r="51" spans="1:5" ht="15">
      <c r="A51" s="1074">
        <v>46</v>
      </c>
      <c r="B51" s="1074">
        <v>10462</v>
      </c>
      <c r="C51" s="392" t="s">
        <v>73</v>
      </c>
      <c r="D51" s="938">
        <v>68769</v>
      </c>
      <c r="E51" s="917">
        <v>0</v>
      </c>
    </row>
    <row r="52" spans="1:5" ht="15">
      <c r="A52" s="1074">
        <v>47</v>
      </c>
      <c r="B52" s="1074">
        <v>10470</v>
      </c>
      <c r="C52" s="392" t="s">
        <v>42</v>
      </c>
      <c r="D52" s="938">
        <v>1302898</v>
      </c>
      <c r="E52" s="917">
        <v>0.13914299999999999</v>
      </c>
    </row>
    <row r="53" spans="1:5" ht="15">
      <c r="A53" s="1074">
        <v>48</v>
      </c>
      <c r="B53" s="1074">
        <v>10488</v>
      </c>
      <c r="C53" s="392" t="s">
        <v>74</v>
      </c>
      <c r="D53" s="938">
        <v>13399721</v>
      </c>
      <c r="E53" s="917">
        <v>0.50108399999999997</v>
      </c>
    </row>
    <row r="54" spans="1:5" ht="15">
      <c r="A54" s="1074">
        <v>49</v>
      </c>
      <c r="B54" s="1074">
        <v>10496</v>
      </c>
      <c r="C54" s="392" t="s">
        <v>75</v>
      </c>
      <c r="D54" s="938">
        <v>25991679</v>
      </c>
      <c r="E54" s="917">
        <v>0.44541900000000001</v>
      </c>
    </row>
    <row r="55" spans="1:5" ht="15">
      <c r="A55" s="1074">
        <v>50</v>
      </c>
      <c r="B55" s="1074">
        <v>10504</v>
      </c>
      <c r="C55" s="392" t="s">
        <v>41</v>
      </c>
      <c r="D55" s="938">
        <v>36976684</v>
      </c>
      <c r="E55" s="917">
        <v>0.490207</v>
      </c>
    </row>
    <row r="56" spans="1:5" ht="15">
      <c r="A56" s="1074">
        <v>51</v>
      </c>
      <c r="B56" s="1074">
        <v>10512</v>
      </c>
      <c r="C56" s="392" t="s">
        <v>76</v>
      </c>
      <c r="D56" s="938">
        <v>1689850</v>
      </c>
      <c r="E56" s="917">
        <v>0.39159300000000002</v>
      </c>
    </row>
    <row r="57" spans="1:5" ht="15">
      <c r="A57" s="1074">
        <v>52</v>
      </c>
      <c r="B57" s="1074">
        <v>10520</v>
      </c>
      <c r="C57" s="392" t="s">
        <v>77</v>
      </c>
      <c r="D57" s="938">
        <v>4594812</v>
      </c>
      <c r="E57" s="917">
        <v>0.62522999999999995</v>
      </c>
    </row>
    <row r="58" spans="1:5" ht="15">
      <c r="A58" s="1074">
        <v>53</v>
      </c>
      <c r="B58" s="1074">
        <v>10538</v>
      </c>
      <c r="C58" s="392" t="s">
        <v>78</v>
      </c>
      <c r="D58" s="938">
        <v>942618</v>
      </c>
      <c r="E58" s="917">
        <v>0.27220800000000001</v>
      </c>
    </row>
    <row r="59" spans="1:5" ht="15">
      <c r="A59" s="1074">
        <v>54</v>
      </c>
      <c r="B59" s="1074">
        <v>10546</v>
      </c>
      <c r="C59" s="392" t="s">
        <v>31</v>
      </c>
      <c r="D59" s="938">
        <v>10781308</v>
      </c>
      <c r="E59" s="917">
        <v>0.54015899999999994</v>
      </c>
    </row>
    <row r="60" spans="1:5" ht="15">
      <c r="A60" s="1074">
        <v>55</v>
      </c>
      <c r="B60" s="1074">
        <v>10553</v>
      </c>
      <c r="C60" s="392" t="s">
        <v>40</v>
      </c>
      <c r="D60" s="938">
        <v>1563304</v>
      </c>
      <c r="E60" s="917">
        <v>0.57528000000000001</v>
      </c>
    </row>
    <row r="61" spans="1:5" ht="15">
      <c r="A61" s="1074">
        <v>56</v>
      </c>
      <c r="B61" s="1074">
        <v>10561</v>
      </c>
      <c r="C61" s="392" t="s">
        <v>39</v>
      </c>
      <c r="D61" s="938">
        <v>27115565</v>
      </c>
      <c r="E61" s="917">
        <v>0.43624400000000002</v>
      </c>
    </row>
    <row r="62" spans="1:5" ht="15">
      <c r="A62" s="1074">
        <v>57</v>
      </c>
      <c r="B62" s="1074">
        <v>10579</v>
      </c>
      <c r="C62" s="392" t="s">
        <v>38</v>
      </c>
      <c r="D62" s="938">
        <v>10139255</v>
      </c>
      <c r="E62" s="917">
        <v>0.75221099999999996</v>
      </c>
    </row>
    <row r="63" spans="1:5" ht="15">
      <c r="A63" s="1074">
        <v>58</v>
      </c>
      <c r="B63" s="1074">
        <v>10587</v>
      </c>
      <c r="C63" s="392" t="s">
        <v>79</v>
      </c>
      <c r="D63" s="938">
        <v>4276885</v>
      </c>
      <c r="E63" s="917">
        <v>0.47647800000000001</v>
      </c>
    </row>
    <row r="64" spans="1:5">
      <c r="D64" s="918">
        <f>SUM(D6:D63)</f>
        <v>1479295040</v>
      </c>
      <c r="E64" s="28"/>
    </row>
    <row r="65" spans="3:4" ht="15">
      <c r="D65" s="403" t="s">
        <v>162</v>
      </c>
    </row>
    <row r="66" spans="3:4">
      <c r="C66" s="404"/>
    </row>
  </sheetData>
  <pageMargins left="0.7" right="0.7" top="0.75" bottom="0.75" header="0.3" footer="0.3"/>
  <pageSetup paperSize="5" scale="82" orientation="portrait" horizontalDpi="4294967295" verticalDpi="4294967295" r:id="rId1"/>
  <headerFooter>
    <oddFooter>&amp;R&amp;F
&amp;A</oddFoot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4BC51-DACF-410E-9F5B-AAA3EBDBD05B}">
  <dimension ref="A1:E65"/>
  <sheetViews>
    <sheetView zoomScaleNormal="100" workbookViewId="0">
      <pane ySplit="5" topLeftCell="A54" activePane="bottomLeft" state="frozen"/>
      <selection activeCell="A2" sqref="A2"/>
      <selection pane="bottomLeft" activeCell="D69" sqref="D69"/>
    </sheetView>
  </sheetViews>
  <sheetFormatPr defaultColWidth="16.44140625" defaultRowHeight="13.2"/>
  <cols>
    <col min="1" max="1" width="10.33203125" style="24" customWidth="1"/>
    <col min="2" max="2" width="10.6640625" style="24" customWidth="1"/>
    <col min="3" max="3" width="48.5546875" style="5" customWidth="1"/>
    <col min="4" max="4" width="18.109375" style="5" customWidth="1"/>
    <col min="5" max="5" width="13.6640625" style="5" customWidth="1"/>
    <col min="6" max="16384" width="16.44140625" style="5"/>
  </cols>
  <sheetData>
    <row r="1" spans="1:5" ht="20.399999999999999" thickBot="1">
      <c r="A1" s="363" t="s">
        <v>570</v>
      </c>
      <c r="D1" s="23"/>
    </row>
    <row r="2" spans="1:5" ht="20.25" customHeight="1" thickTop="1">
      <c r="A2" s="393" t="str">
        <f>+'Data Entry'!H10</f>
        <v>2021-22</v>
      </c>
    </row>
    <row r="3" spans="1:5" ht="23.25" customHeight="1">
      <c r="A3" s="760" t="s">
        <v>1805</v>
      </c>
      <c r="B3" s="333"/>
      <c r="C3" s="402"/>
      <c r="D3" s="919" t="s">
        <v>1632</v>
      </c>
    </row>
    <row r="4" spans="1:5" s="391" customFormat="1" ht="104.85" customHeight="1">
      <c r="A4" s="389" t="s">
        <v>16</v>
      </c>
      <c r="B4" s="389" t="s">
        <v>17</v>
      </c>
      <c r="C4" s="389" t="s">
        <v>20</v>
      </c>
      <c r="D4" s="1075" t="s">
        <v>1804</v>
      </c>
      <c r="E4" s="390" t="s">
        <v>571</v>
      </c>
    </row>
    <row r="5" spans="1:5" s="391" customFormat="1" ht="22.5" customHeight="1">
      <c r="A5" s="389"/>
      <c r="B5" s="389"/>
      <c r="C5" s="389"/>
      <c r="D5" s="1076" t="s">
        <v>1630</v>
      </c>
      <c r="E5" s="396" t="s">
        <v>100</v>
      </c>
    </row>
    <row r="6" spans="1:5" ht="15">
      <c r="A6" s="1074">
        <v>1</v>
      </c>
      <c r="B6" s="1074">
        <v>10017</v>
      </c>
      <c r="C6" s="392" t="s">
        <v>49</v>
      </c>
      <c r="D6" s="936">
        <v>29982999</v>
      </c>
      <c r="E6" s="917">
        <v>0.43846499999999999</v>
      </c>
    </row>
    <row r="7" spans="1:5" ht="15">
      <c r="A7" s="1074">
        <v>2</v>
      </c>
      <c r="B7" s="1074">
        <v>10025</v>
      </c>
      <c r="C7" s="392" t="s">
        <v>51</v>
      </c>
      <c r="D7" s="938">
        <v>0</v>
      </c>
      <c r="E7" s="917">
        <v>0</v>
      </c>
    </row>
    <row r="8" spans="1:5" ht="15">
      <c r="A8" s="1074">
        <v>3</v>
      </c>
      <c r="B8" s="1074">
        <v>10033</v>
      </c>
      <c r="C8" s="392" t="s">
        <v>52</v>
      </c>
      <c r="D8" s="938">
        <v>1403803</v>
      </c>
      <c r="E8" s="917">
        <v>0.33527899999999999</v>
      </c>
    </row>
    <row r="9" spans="1:5" ht="15">
      <c r="A9" s="1074">
        <v>4</v>
      </c>
      <c r="B9" s="1074">
        <v>10041</v>
      </c>
      <c r="C9" s="392" t="s">
        <v>53</v>
      </c>
      <c r="D9" s="938">
        <v>11277494</v>
      </c>
      <c r="E9" s="917">
        <v>0.81229700000000005</v>
      </c>
    </row>
    <row r="10" spans="1:5" ht="15">
      <c r="A10" s="1074">
        <v>5</v>
      </c>
      <c r="B10" s="1074">
        <v>10058</v>
      </c>
      <c r="C10" s="392" t="s">
        <v>54</v>
      </c>
      <c r="D10" s="938">
        <v>1476765</v>
      </c>
      <c r="E10" s="917">
        <v>0.503274</v>
      </c>
    </row>
    <row r="11" spans="1:5" ht="15">
      <c r="A11" s="1074">
        <v>6</v>
      </c>
      <c r="B11" s="1074">
        <v>10066</v>
      </c>
      <c r="C11" s="392" t="s">
        <v>55</v>
      </c>
      <c r="D11" s="938">
        <v>524234</v>
      </c>
      <c r="E11" s="917">
        <v>0.81697799999999998</v>
      </c>
    </row>
    <row r="12" spans="1:5" ht="15">
      <c r="A12" s="1074">
        <v>7</v>
      </c>
      <c r="B12" s="1074">
        <v>10074</v>
      </c>
      <c r="C12" s="392" t="s">
        <v>109</v>
      </c>
      <c r="D12" s="938">
        <v>38823836</v>
      </c>
      <c r="E12" s="917">
        <v>0.56153399999999998</v>
      </c>
    </row>
    <row r="13" spans="1:5" ht="15">
      <c r="A13" s="1074">
        <v>8</v>
      </c>
      <c r="B13" s="1074">
        <v>10082</v>
      </c>
      <c r="C13" s="392" t="s">
        <v>56</v>
      </c>
      <c r="D13" s="938">
        <v>45058</v>
      </c>
      <c r="E13" s="917">
        <v>0</v>
      </c>
    </row>
    <row r="14" spans="1:5" ht="15">
      <c r="A14" s="1074">
        <v>9</v>
      </c>
      <c r="B14" s="1074">
        <v>10090</v>
      </c>
      <c r="C14" s="392" t="s">
        <v>37</v>
      </c>
      <c r="D14" s="938">
        <v>9028586</v>
      </c>
      <c r="E14" s="917">
        <v>0.29268100000000002</v>
      </c>
    </row>
    <row r="15" spans="1:5" ht="15">
      <c r="A15" s="1074">
        <v>10</v>
      </c>
      <c r="B15" s="1074">
        <v>10108</v>
      </c>
      <c r="C15" s="392" t="s">
        <v>48</v>
      </c>
      <c r="D15" s="938">
        <v>31860646</v>
      </c>
      <c r="E15" s="917">
        <v>0.475657</v>
      </c>
    </row>
    <row r="16" spans="1:5" ht="15">
      <c r="A16" s="1074">
        <v>11</v>
      </c>
      <c r="B16" s="1074">
        <v>10116</v>
      </c>
      <c r="C16" s="392" t="s">
        <v>47</v>
      </c>
      <c r="D16" s="938">
        <v>1997962</v>
      </c>
      <c r="E16" s="917">
        <v>0.83526800000000001</v>
      </c>
    </row>
    <row r="17" spans="1:5" ht="15">
      <c r="A17" s="1074">
        <v>12</v>
      </c>
      <c r="B17" s="1074">
        <v>10124</v>
      </c>
      <c r="C17" s="392" t="s">
        <v>57</v>
      </c>
      <c r="D17" s="938">
        <v>2383056</v>
      </c>
      <c r="E17" s="917">
        <v>0.44148700000000002</v>
      </c>
    </row>
    <row r="18" spans="1:5" ht="15">
      <c r="A18" s="1074">
        <v>13</v>
      </c>
      <c r="B18" s="1074">
        <v>10132</v>
      </c>
      <c r="C18" s="392" t="s">
        <v>58</v>
      </c>
      <c r="D18" s="938">
        <v>2626229</v>
      </c>
      <c r="E18" s="917">
        <v>0.76000100000000004</v>
      </c>
    </row>
    <row r="19" spans="1:5" ht="15">
      <c r="A19" s="1074">
        <v>14</v>
      </c>
      <c r="B19" s="1074">
        <v>10140</v>
      </c>
      <c r="C19" s="392" t="s">
        <v>36</v>
      </c>
      <c r="D19" s="938">
        <v>2798860</v>
      </c>
      <c r="E19" s="917">
        <v>0</v>
      </c>
    </row>
    <row r="20" spans="1:5" ht="15">
      <c r="A20" s="1074">
        <v>15</v>
      </c>
      <c r="B20" s="1074">
        <v>10157</v>
      </c>
      <c r="C20" s="392" t="s">
        <v>46</v>
      </c>
      <c r="D20" s="938">
        <v>22932277</v>
      </c>
      <c r="E20" s="917">
        <v>0.36963499999999999</v>
      </c>
    </row>
    <row r="21" spans="1:5" ht="15">
      <c r="A21" s="1074">
        <v>16</v>
      </c>
      <c r="B21" s="1074">
        <v>10165</v>
      </c>
      <c r="C21" s="392" t="s">
        <v>59</v>
      </c>
      <c r="D21" s="938">
        <v>3613614</v>
      </c>
      <c r="E21" s="917">
        <v>0.38678099999999999</v>
      </c>
    </row>
    <row r="22" spans="1:5" ht="15">
      <c r="A22" s="1074">
        <v>17</v>
      </c>
      <c r="B22" s="1074">
        <v>10173</v>
      </c>
      <c r="C22" s="392" t="s">
        <v>60</v>
      </c>
      <c r="D22" s="938">
        <v>2740015</v>
      </c>
      <c r="E22" s="917">
        <v>0.243259</v>
      </c>
    </row>
    <row r="23" spans="1:5" ht="15">
      <c r="A23" s="1074">
        <v>18</v>
      </c>
      <c r="B23" s="1074">
        <v>10181</v>
      </c>
      <c r="C23" s="392" t="s">
        <v>61</v>
      </c>
      <c r="D23" s="938">
        <v>1372578</v>
      </c>
      <c r="E23" s="917">
        <v>0.69718000000000002</v>
      </c>
    </row>
    <row r="24" spans="1:5" ht="15">
      <c r="A24" s="1074">
        <v>19</v>
      </c>
      <c r="B24" s="1074">
        <v>10199</v>
      </c>
      <c r="C24" s="392" t="s">
        <v>45</v>
      </c>
      <c r="D24" s="938">
        <v>158282531</v>
      </c>
      <c r="E24" s="917">
        <v>0.466696</v>
      </c>
    </row>
    <row r="25" spans="1:5" ht="15">
      <c r="A25" s="1074">
        <v>20</v>
      </c>
      <c r="B25" s="1074">
        <v>10207</v>
      </c>
      <c r="C25" s="392" t="s">
        <v>124</v>
      </c>
      <c r="D25" s="938">
        <v>10657319</v>
      </c>
      <c r="E25" s="917">
        <v>0.63883800000000002</v>
      </c>
    </row>
    <row r="26" spans="1:5" ht="15">
      <c r="A26" s="1074">
        <v>21</v>
      </c>
      <c r="B26" s="1074">
        <v>10215</v>
      </c>
      <c r="C26" s="392" t="s">
        <v>62</v>
      </c>
      <c r="D26" s="938">
        <v>23033600</v>
      </c>
      <c r="E26" s="917">
        <v>0.55998499999999996</v>
      </c>
    </row>
    <row r="27" spans="1:5" ht="15">
      <c r="A27" s="1074">
        <v>22</v>
      </c>
      <c r="B27" s="1074">
        <v>10223</v>
      </c>
      <c r="C27" s="392" t="s">
        <v>63</v>
      </c>
      <c r="D27" s="938">
        <v>0</v>
      </c>
      <c r="E27" s="917">
        <v>0</v>
      </c>
    </row>
    <row r="28" spans="1:5" ht="15">
      <c r="A28" s="1074">
        <v>23</v>
      </c>
      <c r="B28" s="1074">
        <v>10231</v>
      </c>
      <c r="C28" s="392" t="s">
        <v>64</v>
      </c>
      <c r="D28" s="938">
        <v>5951484</v>
      </c>
      <c r="E28" s="917">
        <v>0.37170500000000001</v>
      </c>
    </row>
    <row r="29" spans="1:5" ht="15">
      <c r="A29" s="1074">
        <v>24</v>
      </c>
      <c r="B29" s="1074">
        <v>10249</v>
      </c>
      <c r="C29" s="392" t="s">
        <v>65</v>
      </c>
      <c r="D29" s="938">
        <v>15488107</v>
      </c>
      <c r="E29" s="917">
        <v>0.37930999999999998</v>
      </c>
    </row>
    <row r="30" spans="1:5" ht="15">
      <c r="A30" s="1074">
        <v>25</v>
      </c>
      <c r="B30" s="1074">
        <v>10256</v>
      </c>
      <c r="C30" s="392" t="s">
        <v>66</v>
      </c>
      <c r="D30" s="938">
        <v>933355</v>
      </c>
      <c r="E30" s="917">
        <v>0.14316100000000001</v>
      </c>
    </row>
    <row r="31" spans="1:5" ht="15">
      <c r="A31" s="1074">
        <v>26</v>
      </c>
      <c r="B31" s="1074">
        <v>10264</v>
      </c>
      <c r="C31" s="392" t="s">
        <v>35</v>
      </c>
      <c r="D31" s="938">
        <v>2484982</v>
      </c>
      <c r="E31" s="917">
        <v>0</v>
      </c>
    </row>
    <row r="32" spans="1:5" ht="15">
      <c r="A32" s="1074">
        <v>27</v>
      </c>
      <c r="B32" s="1074">
        <v>10272</v>
      </c>
      <c r="C32" s="392" t="s">
        <v>44</v>
      </c>
      <c r="D32" s="938">
        <v>23099747</v>
      </c>
      <c r="E32" s="917">
        <v>0.27712799999999999</v>
      </c>
    </row>
    <row r="33" spans="1:5" ht="15">
      <c r="A33" s="1074">
        <v>28</v>
      </c>
      <c r="B33" s="1074">
        <v>10280</v>
      </c>
      <c r="C33" s="392" t="s">
        <v>67</v>
      </c>
      <c r="D33" s="938">
        <v>14641658</v>
      </c>
      <c r="E33" s="917">
        <v>0.39336500000000002</v>
      </c>
    </row>
    <row r="34" spans="1:5" ht="15">
      <c r="A34" s="1074">
        <v>29</v>
      </c>
      <c r="B34" s="1074">
        <v>10298</v>
      </c>
      <c r="C34" s="392" t="s">
        <v>34</v>
      </c>
      <c r="D34" s="938">
        <v>2054099</v>
      </c>
      <c r="E34" s="917">
        <v>0.39983400000000002</v>
      </c>
    </row>
    <row r="35" spans="1:5" ht="15">
      <c r="A35" s="1074">
        <v>30</v>
      </c>
      <c r="B35" s="1074">
        <v>10306</v>
      </c>
      <c r="C35" s="392" t="s">
        <v>68</v>
      </c>
      <c r="D35" s="938">
        <v>128009715</v>
      </c>
      <c r="E35" s="917">
        <v>0.35692400000000002</v>
      </c>
    </row>
    <row r="36" spans="1:5" ht="15">
      <c r="A36" s="1074">
        <v>31</v>
      </c>
      <c r="B36" s="1074">
        <v>10314</v>
      </c>
      <c r="C36" s="392" t="s">
        <v>33</v>
      </c>
      <c r="D36" s="938">
        <v>41514335</v>
      </c>
      <c r="E36" s="917">
        <v>0.40800999999999998</v>
      </c>
    </row>
    <row r="37" spans="1:5" ht="15">
      <c r="A37" s="1074">
        <v>32</v>
      </c>
      <c r="B37" s="1074">
        <v>10322</v>
      </c>
      <c r="C37" s="392" t="s">
        <v>69</v>
      </c>
      <c r="D37" s="938">
        <v>71785</v>
      </c>
      <c r="E37" s="917">
        <v>0</v>
      </c>
    </row>
    <row r="38" spans="1:5" ht="15">
      <c r="A38" s="1074">
        <v>33</v>
      </c>
      <c r="B38" s="1074">
        <v>10330</v>
      </c>
      <c r="C38" s="392" t="s">
        <v>32</v>
      </c>
      <c r="D38" s="938">
        <v>113979950</v>
      </c>
      <c r="E38" s="917">
        <v>0.36376799999999998</v>
      </c>
    </row>
    <row r="39" spans="1:5" ht="15">
      <c r="A39" s="1074">
        <v>34</v>
      </c>
      <c r="B39" s="1074">
        <v>10348</v>
      </c>
      <c r="C39" s="392" t="s">
        <v>43</v>
      </c>
      <c r="D39" s="938">
        <v>29581111</v>
      </c>
      <c r="E39" s="917">
        <v>0.75356999999999996</v>
      </c>
    </row>
    <row r="40" spans="1:5" ht="15">
      <c r="A40" s="1074">
        <v>35</v>
      </c>
      <c r="B40" s="1074">
        <v>10355</v>
      </c>
      <c r="C40" s="392" t="s">
        <v>70</v>
      </c>
      <c r="D40" s="938">
        <v>3595351</v>
      </c>
      <c r="E40" s="917">
        <v>0.356678</v>
      </c>
    </row>
    <row r="41" spans="1:5" ht="15">
      <c r="A41" s="1074">
        <v>36</v>
      </c>
      <c r="B41" s="1074">
        <v>10363</v>
      </c>
      <c r="C41" s="392" t="s">
        <v>110</v>
      </c>
      <c r="D41" s="938">
        <v>23172852</v>
      </c>
      <c r="E41" s="917">
        <v>0.62177199999999999</v>
      </c>
    </row>
    <row r="42" spans="1:5" ht="15">
      <c r="A42" s="1074">
        <v>37</v>
      </c>
      <c r="B42" s="1074">
        <v>10371</v>
      </c>
      <c r="C42" s="392" t="s">
        <v>71</v>
      </c>
      <c r="D42" s="938">
        <v>125384616</v>
      </c>
      <c r="E42" s="917">
        <v>0.247751</v>
      </c>
    </row>
    <row r="43" spans="1:5" ht="15">
      <c r="A43" s="1074">
        <v>38</v>
      </c>
      <c r="B43" s="1074">
        <v>10389</v>
      </c>
      <c r="C43" s="392" t="s">
        <v>111</v>
      </c>
      <c r="D43" s="938">
        <v>2811997</v>
      </c>
      <c r="E43" s="917">
        <v>0</v>
      </c>
    </row>
    <row r="44" spans="1:5" ht="15">
      <c r="A44" s="1074">
        <v>39</v>
      </c>
      <c r="B44" s="1074">
        <v>10397</v>
      </c>
      <c r="C44" s="392" t="s">
        <v>112</v>
      </c>
      <c r="D44" s="938">
        <v>18217548</v>
      </c>
      <c r="E44" s="917">
        <v>0.26467099999999999</v>
      </c>
    </row>
    <row r="45" spans="1:5" ht="15">
      <c r="A45" s="1074">
        <v>40</v>
      </c>
      <c r="B45" s="1074">
        <v>10405</v>
      </c>
      <c r="C45" s="392" t="s">
        <v>113</v>
      </c>
      <c r="D45" s="938">
        <v>26622747</v>
      </c>
      <c r="E45" s="917">
        <v>0.521706</v>
      </c>
    </row>
    <row r="46" spans="1:5" ht="15">
      <c r="A46" s="1074">
        <v>41</v>
      </c>
      <c r="B46" s="1074">
        <v>10413</v>
      </c>
      <c r="C46" s="392" t="s">
        <v>114</v>
      </c>
      <c r="D46" s="938">
        <v>95623264</v>
      </c>
      <c r="E46" s="917">
        <v>0.45572400000000002</v>
      </c>
    </row>
    <row r="47" spans="1:5" ht="15">
      <c r="A47" s="1074">
        <v>42</v>
      </c>
      <c r="B47" s="1074">
        <v>10421</v>
      </c>
      <c r="C47" s="392" t="s">
        <v>115</v>
      </c>
      <c r="D47" s="938">
        <v>38063851</v>
      </c>
      <c r="E47" s="917">
        <v>0.45759699999999998</v>
      </c>
    </row>
    <row r="48" spans="1:5" ht="15">
      <c r="A48" s="1074">
        <v>43</v>
      </c>
      <c r="B48" s="1074">
        <v>10439</v>
      </c>
      <c r="C48" s="392" t="s">
        <v>116</v>
      </c>
      <c r="D48" s="938">
        <v>195775459</v>
      </c>
      <c r="E48" s="917">
        <v>0.62144200000000005</v>
      </c>
    </row>
    <row r="49" spans="1:5" ht="15">
      <c r="A49" s="1074">
        <v>44</v>
      </c>
      <c r="B49" s="1074">
        <v>10447</v>
      </c>
      <c r="C49" s="392" t="s">
        <v>117</v>
      </c>
      <c r="D49" s="938">
        <v>14294188</v>
      </c>
      <c r="E49" s="917">
        <v>0.58984300000000001</v>
      </c>
    </row>
    <row r="50" spans="1:5" ht="15">
      <c r="A50" s="1074">
        <v>45</v>
      </c>
      <c r="B50" s="1074">
        <v>10454</v>
      </c>
      <c r="C50" s="392" t="s">
        <v>72</v>
      </c>
      <c r="D50" s="938">
        <v>6358929</v>
      </c>
      <c r="E50" s="917">
        <v>0.40310699999999999</v>
      </c>
    </row>
    <row r="51" spans="1:5" ht="15">
      <c r="A51" s="1074">
        <v>46</v>
      </c>
      <c r="B51" s="1074">
        <v>10462</v>
      </c>
      <c r="C51" s="392" t="s">
        <v>73</v>
      </c>
      <c r="D51" s="938">
        <v>80838</v>
      </c>
      <c r="E51" s="917">
        <v>0</v>
      </c>
    </row>
    <row r="52" spans="1:5" ht="15">
      <c r="A52" s="1074">
        <v>47</v>
      </c>
      <c r="B52" s="1074">
        <v>10470</v>
      </c>
      <c r="C52" s="392" t="s">
        <v>42</v>
      </c>
      <c r="D52" s="938">
        <v>1302898</v>
      </c>
      <c r="E52" s="917">
        <v>0.13914299999999999</v>
      </c>
    </row>
    <row r="53" spans="1:5" ht="15">
      <c r="A53" s="1074">
        <v>48</v>
      </c>
      <c r="B53" s="1074">
        <v>10488</v>
      </c>
      <c r="C53" s="392" t="s">
        <v>74</v>
      </c>
      <c r="D53" s="938">
        <v>13172823</v>
      </c>
      <c r="E53" s="917">
        <v>0.50108399999999997</v>
      </c>
    </row>
    <row r="54" spans="1:5" ht="15">
      <c r="A54" s="1074">
        <v>49</v>
      </c>
      <c r="B54" s="1074">
        <v>10496</v>
      </c>
      <c r="C54" s="392" t="s">
        <v>75</v>
      </c>
      <c r="D54" s="938">
        <v>26343783</v>
      </c>
      <c r="E54" s="917">
        <v>0.44541900000000001</v>
      </c>
    </row>
    <row r="55" spans="1:5" ht="15">
      <c r="A55" s="1074">
        <v>50</v>
      </c>
      <c r="B55" s="1074">
        <v>10504</v>
      </c>
      <c r="C55" s="392" t="s">
        <v>41</v>
      </c>
      <c r="D55" s="938">
        <v>36591773</v>
      </c>
      <c r="E55" s="917">
        <v>0.490207</v>
      </c>
    </row>
    <row r="56" spans="1:5" ht="15">
      <c r="A56" s="1074">
        <v>51</v>
      </c>
      <c r="B56" s="1074">
        <v>10512</v>
      </c>
      <c r="C56" s="392" t="s">
        <v>76</v>
      </c>
      <c r="D56" s="938">
        <v>1767492</v>
      </c>
      <c r="E56" s="917">
        <v>0.39159300000000002</v>
      </c>
    </row>
    <row r="57" spans="1:5" ht="15">
      <c r="A57" s="1074">
        <v>52</v>
      </c>
      <c r="B57" s="1074">
        <v>10520</v>
      </c>
      <c r="C57" s="392" t="s">
        <v>77</v>
      </c>
      <c r="D57" s="938">
        <v>4289103</v>
      </c>
      <c r="E57" s="917">
        <v>0.62522999999999995</v>
      </c>
    </row>
    <row r="58" spans="1:5" ht="15">
      <c r="A58" s="1074">
        <v>53</v>
      </c>
      <c r="B58" s="1074">
        <v>10538</v>
      </c>
      <c r="C58" s="392" t="s">
        <v>78</v>
      </c>
      <c r="D58" s="938">
        <v>898190</v>
      </c>
      <c r="E58" s="917">
        <v>0.27220800000000001</v>
      </c>
    </row>
    <row r="59" spans="1:5" ht="15">
      <c r="A59" s="1074">
        <v>54</v>
      </c>
      <c r="B59" s="1074">
        <v>10546</v>
      </c>
      <c r="C59" s="392" t="s">
        <v>31</v>
      </c>
      <c r="D59" s="938">
        <v>10485170</v>
      </c>
      <c r="E59" s="917">
        <v>0.54015899999999994</v>
      </c>
    </row>
    <row r="60" spans="1:5" ht="15">
      <c r="A60" s="1074">
        <v>55</v>
      </c>
      <c r="B60" s="1074">
        <v>10553</v>
      </c>
      <c r="C60" s="392" t="s">
        <v>40</v>
      </c>
      <c r="D60" s="938">
        <v>1471785</v>
      </c>
      <c r="E60" s="917">
        <v>0.57528000000000001</v>
      </c>
    </row>
    <row r="61" spans="1:5" ht="15">
      <c r="A61" s="1074">
        <v>56</v>
      </c>
      <c r="B61" s="1074">
        <v>10561</v>
      </c>
      <c r="C61" s="392" t="s">
        <v>39</v>
      </c>
      <c r="D61" s="938">
        <v>26800645</v>
      </c>
      <c r="E61" s="917">
        <v>0.43624400000000002</v>
      </c>
    </row>
    <row r="62" spans="1:5" ht="15">
      <c r="A62" s="1074">
        <v>57</v>
      </c>
      <c r="B62" s="1074">
        <v>10579</v>
      </c>
      <c r="C62" s="392" t="s">
        <v>38</v>
      </c>
      <c r="D62" s="938">
        <v>9334775</v>
      </c>
      <c r="E62" s="917">
        <v>0.75221099999999996</v>
      </c>
    </row>
    <row r="63" spans="1:5" ht="15">
      <c r="A63" s="1074">
        <v>58</v>
      </c>
      <c r="B63" s="1074">
        <v>10587</v>
      </c>
      <c r="C63" s="392" t="s">
        <v>79</v>
      </c>
      <c r="D63" s="938">
        <v>4038551</v>
      </c>
      <c r="E63" s="917">
        <v>0.47647800000000001</v>
      </c>
    </row>
    <row r="64" spans="1:5">
      <c r="D64" s="918">
        <f>SUM(D6:D63)</f>
        <v>1421170418</v>
      </c>
      <c r="E64" s="28"/>
    </row>
    <row r="65" spans="3:4" ht="15">
      <c r="C65" s="397"/>
      <c r="D65" s="403" t="s">
        <v>162</v>
      </c>
    </row>
  </sheetData>
  <pageMargins left="0.25" right="0.25" top="0.75" bottom="0.75" header="0.3" footer="0.3"/>
  <pageSetup paperSize="5" scale="80" orientation="portrait" horizontalDpi="4294967295" verticalDpi="4294967295" r:id="rId1"/>
  <headerFooter>
    <oddFooter>&amp;R&amp;F
&amp;A</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p:properties xmlns:p="http://schemas.microsoft.com/office/2006/metadata/properties" xmlns:xsi="http://www.w3.org/2001/XMLSchema-instance" xmlns:pc="http://schemas.microsoft.com/office/infopath/2007/PartnerControls">
  <documentManagement>
    <Sub_x0020_Category xmlns="1836095c-a8e1-4e39-a688-07b849484023">Fiscal Tools</Sub_x0020_Category>
    <Posted_x0020_Date xmlns="1836095c-a8e1-4e39-a688-07b849484023">2023-03-22T07:00:00+00:00</Posted_x0020_Date>
    <File_x0020_Name xmlns="1836095c-a8e1-4e39-a688-07b849484023">COE LCFF Calculator</File_x0020_Name>
    <URL xmlns="1836095c-a8e1-4e39-a688-07b849484023" xsi:nil="true"/>
    <Category xmlns="1836095c-a8e1-4e39-a688-07b849484023">Other Resources</Category>
    <Year xmlns="1836095c-a8e1-4e39-a688-07b849484023">2023</Year>
    <TaxKeywordTaxHTField xmlns="2764f696-ee76-49e1-8758-169b4b8d5a2f">
      <Terms xmlns="http://schemas.microsoft.com/office/infopath/2007/PartnerControls"/>
    </TaxKeywordTaxHTField>
    <File_x0020_Content xmlns="1836095c-a8e1-4e39-a688-07b849484023">COE LCFF Calculator</File_x0020_Content>
    <Plan xmlns="1836095c-a8e1-4e39-a688-07b849484023" xsi:nil="true"/>
    <TaxCatchAll xmlns="2764f696-ee76-49e1-8758-169b4b8d5a2f" xsi:nil="true"/>
    <_dlc_DocId xmlns="2764f696-ee76-49e1-8758-169b4b8d5a2f">D2A6QJZ574UD-1676105008-4337</_dlc_DocId>
    <_dlc_DocIdUrl xmlns="2764f696-ee76-49e1-8758-169b4b8d5a2f">
      <Url>https://fcmat2.sharepoint.com/sites/fcmat/_layouts/15/DocIdRedir.aspx?ID=D2A6QJZ574UD-1676105008-4337</Url>
      <Description>D2A6QJZ574UD-1676105008-4337</Description>
    </_dlc_DocIdUrl>
  </documentManagement>
</p:properties>
</file>

<file path=customXml/item2.xml>��< ? x m l   v e r s i o n = " 1 . 0 "   e n c o d i n g = " u t f - 1 6 " ? > < D a t a M a s h u p   x m l n s = " h t t p : / / s c h e m a s . m i c r o s o f t . c o m / D a t a M a s h u p " > A A A A A B I D A A B Q S w M E F A A C A A g A e F 5 a U m x F J Z 2 i A A A A 9 Q A A A B I A H A B D b 2 5 m a W c v U G F j a 2 F n Z S 5 4 b W w g o h g A K K A U A A A A A A A A A A A A A A A A A A A A A A A A A A A A h Y + x D o I w F E V / h X S n L e i g 5 F E G V 0 l M i M a 1 K R U a 4 W G g W P 7 N w U / y F 4 Q o 6 u Z 4 7 z n D v Y / b H Z K h r r y r b j v T Y E w C y o m n U T W 5 w S I m v T 3 5 K 5 I I 2 E l 1 l o X 2 R h m 7 a O j y m J T W X i L G n H P U L W j T F i z k P G D H d J u p U t e S f G T z X / Y N d l a i 0 k T A 4 T V G h H T N 6 T I c J w G b O 0 g N f v n E J v p T w q a v b N 9 q o d H f Z 8 D m C O x 9 Q T w B U E s D B B Q A A g A I A H h e W l 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4 X l p S K I p H u A 4 A A A A R A A A A E w A c A E Z v c m 1 1 b G F z L 1 N l Y 3 R p b 2 4 x L m 0 g o h g A K K A U A A A A A A A A A A A A A A A A A A A A A A A A A A A A K 0 5 N L s n M z 1 M I h t C G 1 g B Q S w E C L Q A U A A I A C A B 4 X l p S b E U l n a I A A A D 1 A A A A E g A A A A A A A A A A A A A A A A A A A A A A Q 2 9 u Z m l n L 1 B h Y 2 t h Z 2 U u e G 1 s U E s B A i 0 A F A A C A A g A e F 5 a U g / K 6 a u k A A A A 6 Q A A A B M A A A A A A A A A A A A A A A A A 7 g A A A F t D b 2 5 0 Z W 5 0 X 1 R 5 c G V z X S 5 4 b W x Q S w E C L Q A U A A I A C A B 4 X l p S K I p H u A 4 A A A A R A A A A E w A A A A A A A A A A A A A A A A D f A Q A A R m 9 y b X V s Y X M v U 2 V j d G l v b j E u b V B L B Q Y A A A A A A w A D A M I A A A A 6 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T E k f S B C P / U S / y 7 b l V I H v V w A A A A A C A A A A A A A Q Z g A A A A E A A C A A A A D V Z q B / I K d d r O 9 Z 8 6 b q K E 3 q I V F 4 9 y K V K 4 e W v n m 1 c k 3 r N Q A A A A A O g A A A A A I A A C A A A A B d S Q 9 u W c C U A C N J F Z B t p j Y u W P Q E m B m Q F s D f R S M O / R u 1 A V A A A A B W z o + z o J O s x 1 r E D q e h b u h 9 q k O q q x l 7 X f F r M 6 Y 2 F o 2 3 F L v Z N V O z D n T C 2 a L Y x / C y I 4 Q 9 C q Q 1 a l u n X C 5 W 0 d X 5 g h F p M S J P / j L m 7 H G z i 5 r f g r t k z U A A A A A c H E b A R o 3 R + U E f S D K c h c V h 2 Q / l t L C i U k I 1 f 7 k a V z V 0 G 2 L h e n m 5 Q V B x T J m U 7 h / z 5 s M M o 1 T y R p R L w 8 m b 4 0 q 4 l g 4 / < / D a t a M a s h u p > 
</file>

<file path=customXml/item3.xml><?xml version="1.0" encoding="utf-8"?>
<ct:contentTypeSchema xmlns:ct="http://schemas.microsoft.com/office/2006/metadata/contentType" xmlns:ma="http://schemas.microsoft.com/office/2006/metadata/properties/metaAttributes" ct:_="" ma:_="" ma:contentTypeName="Document" ma:contentTypeID="0x010100FADBEFB1D77F884597487478E3A3DB2F" ma:contentTypeVersion="65" ma:contentTypeDescription="Create a new document." ma:contentTypeScope="" ma:versionID="ab5de79d2411beff157395c7f24f6b41">
  <xsd:schema xmlns:xsd="http://www.w3.org/2001/XMLSchema" xmlns:xs="http://www.w3.org/2001/XMLSchema" xmlns:p="http://schemas.microsoft.com/office/2006/metadata/properties" xmlns:ns1="1836095c-a8e1-4e39-a688-07b849484023" xmlns:ns3="2764f696-ee76-49e1-8758-169b4b8d5a2f" targetNamespace="http://schemas.microsoft.com/office/2006/metadata/properties" ma:root="true" ma:fieldsID="5e7f5fa6770bad5d3c8dbc9aa617a5c3" ns1:_="" ns3:_="">
    <xsd:import namespace="1836095c-a8e1-4e39-a688-07b849484023"/>
    <xsd:import namespace="2764f696-ee76-49e1-8758-169b4b8d5a2f"/>
    <xsd:element name="properties">
      <xsd:complexType>
        <xsd:sequence>
          <xsd:element name="documentManagement">
            <xsd:complexType>
              <xsd:all>
                <xsd:element ref="ns1:Posted_x0020_Date" minOccurs="0"/>
                <xsd:element ref="ns1:File_x0020_Name" minOccurs="0"/>
                <xsd:element ref="ns1:File_x0020_Content" minOccurs="0"/>
                <xsd:element ref="ns1:Category"/>
                <xsd:element ref="ns1:Sub_x0020_Category" minOccurs="0"/>
                <xsd:element ref="ns1:Year" minOccurs="0"/>
                <xsd:element ref="ns1:Plan" minOccurs="0"/>
                <xsd:element ref="ns1:MediaServiceMetadata" minOccurs="0"/>
                <xsd:element ref="ns1:MediaServiceFastMetadata" minOccurs="0"/>
                <xsd:element ref="ns1:MediaServiceAutoTags" minOccurs="0"/>
                <xsd:element ref="ns1:MediaServiceOCR" minOccurs="0"/>
                <xsd:element ref="ns1:MediaServiceGenerationTime" minOccurs="0"/>
                <xsd:element ref="ns1:MediaServiceEventHashCode" minOccurs="0"/>
                <xsd:element ref="ns3:TaxCatchAll" minOccurs="0"/>
                <xsd:element ref="ns1:MediaServiceAutoKeyPoints" minOccurs="0"/>
                <xsd:element ref="ns1:MediaServiceKeyPoints" minOccurs="0"/>
                <xsd:element ref="ns3:_dlc_DocId" minOccurs="0"/>
                <xsd:element ref="ns3:_dlc_DocIdUrl" minOccurs="0"/>
                <xsd:element ref="ns3:_dlc_DocIdPersistId" minOccurs="0"/>
                <xsd:element ref="ns3:TaxKeywordTaxHTField" minOccurs="0"/>
                <xsd:element ref="ns1:URL" minOccurs="0"/>
                <xsd:element ref="ns3:SharedWithUsers" minOccurs="0"/>
                <xsd:element ref="ns3:SharedWithDetails" minOccurs="0"/>
                <xsd:element ref="ns1: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36095c-a8e1-4e39-a688-07b849484023" elementFormDefault="qualified">
    <xsd:import namespace="http://schemas.microsoft.com/office/2006/documentManagement/types"/>
    <xsd:import namespace="http://schemas.microsoft.com/office/infopath/2007/PartnerControls"/>
    <xsd:element name="Posted_x0020_Date" ma:index="0" nillable="true" ma:displayName="Posted Date" ma:default="[today]" ma:format="DateOnly" ma:internalName="Posted_x0020_Date">
      <xsd:simpleType>
        <xsd:restriction base="dms:DateTime"/>
      </xsd:simpleType>
    </xsd:element>
    <xsd:element name="File_x0020_Name" ma:index="2" nillable="true" ma:displayName="Title Of Document" ma:indexed="true" ma:internalName="File_x0020_Name">
      <xsd:simpleType>
        <xsd:restriction base="dms:Text">
          <xsd:maxLength value="255"/>
        </xsd:restriction>
      </xsd:simpleType>
    </xsd:element>
    <xsd:element name="File_x0020_Content" ma:index="3" nillable="true" ma:displayName="Content Of Document" ma:indexed="true" ma:internalName="File_x0020_Content">
      <xsd:simpleType>
        <xsd:restriction base="dms:Text">
          <xsd:maxLength value="255"/>
        </xsd:restriction>
      </xsd:simpleType>
    </xsd:element>
    <xsd:element name="Category" ma:index="4" ma:displayName="Category" ma:format="Dropdown" ma:indexed="true" ma:internalName="Category">
      <xsd:simpleType>
        <xsd:restriction base="dms:Choice">
          <xsd:enumeration value="Fiscal Documents"/>
          <xsd:enumeration value="Manuals"/>
          <xsd:enumeration value="FCMAT Reports"/>
          <xsd:enumeration value="Other Resources"/>
        </xsd:restriction>
      </xsd:simpleType>
    </xsd:element>
    <xsd:element name="Sub_x0020_Category" ma:index="5" nillable="true" ma:displayName="Sub Category" ma:format="Dropdown" ma:indexed="true" ma:internalName="Sub_x0020_Category">
      <xsd:simpleType>
        <xsd:restriction base="dms:Choice">
          <xsd:enumeration value="Certification of Budget Charts"/>
          <xsd:enumeration value="County Office Of Education(COE) Reimbursement Information"/>
          <xsd:enumeration value="Disclosure of Proposed Collective Bargaining Agreement"/>
          <xsd:enumeration value="FCMAT Alerts"/>
          <xsd:enumeration value="Annual Reports 2004 – Current"/>
          <xsd:enumeration value="Non-Voter-Approved Debt"/>
          <xsd:enumeration value="Standards for Comprehensive Reviews"/>
          <xsd:enumeration value="State Emergency Allocations to School Districts"/>
          <xsd:enumeration value="County Office Of Education(COE) Fiscal Procedural Manual"/>
          <xsd:enumeration value="ASB Accounting Manual, Fraud Prevention Guide and Desk Reference"/>
          <xsd:enumeration value="Fiscal Oversight Guide"/>
          <xsd:enumeration value="CCSESA Local Control and Accountability(LCAP) Appoval Manual"/>
          <xsd:enumeration value="California Charter School Accounting and Best Practices Manual"/>
          <xsd:enumeration value="K-12 Management Assistance Reports"/>
          <xsd:enumeration value="Extraordinary Audits"/>
          <xsd:enumeration value="Comprehensive Assessments Recovery Plans and Special Legislative Assignments"/>
          <xsd:enumeration value="Community College District Reports"/>
          <xsd:enumeration value="About FCMAT"/>
          <xsd:enumeration value="Annual Reports"/>
          <xsd:enumeration value="CBO Mentor Program"/>
          <xsd:enumeration value="FCMAT Featured Presentations"/>
          <xsd:enumeration value="FCMAT Workshops"/>
          <xsd:enumeration value="Fiscal Oversight Training"/>
          <xsd:enumeration value="Fiscal Tools"/>
          <xsd:enumeration value="Miscellaneous"/>
        </xsd:restriction>
      </xsd:simpleType>
    </xsd:element>
    <xsd:element name="Year" ma:index="6" nillable="true" ma:displayName="Year" ma:default="2022" ma:format="Dropdown" ma:indexed="true" ma:internalName="Year">
      <xsd:simpleType>
        <xsd:restriction base="dms:Choice">
          <xsd:enumeration value="2005"/>
          <xsd:enumeration value="2006"/>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2024"/>
          <xsd:enumeration value="2025"/>
        </xsd:restriction>
      </xsd:simpleType>
    </xsd:element>
    <xsd:element name="Plan" ma:index="7" nillable="true" ma:displayName="Plan" ma:format="Dropdown" ma:indexed="true" ma:internalName="Plan">
      <xsd:simpleType>
        <xsd:union memberTypes="dms:Text">
          <xsd:simpleType>
            <xsd:restriction base="dms:Choice">
              <xsd:enumeration value="Berkeley USD Comprehensive Improvement Plan"/>
              <xsd:enumeration value="City College of San Francisco Comprehensive Fiscal Assessment"/>
              <xsd:enumeration value="Compton Community College Comprehensive Assessment"/>
              <xsd:enumeration value="Compton USD AB52 Assessment and Recovery Plans"/>
              <xsd:enumeration value="Emery USD Comprehensive Fiscal Assessment"/>
              <xsd:enumeration value="Oakland USD Comprehensive Assessment and Recovery Plans"/>
              <xsd:enumeration value="SFUSD Comprehensive Fiscal Assessment"/>
              <xsd:enumeration value="South Monterey County-King City Joint Union HSD Comprehensive Assessment"/>
              <xsd:enumeration value="Vallejo USD Comprehensive Assessment"/>
              <xsd:enumeration value="West Contra Costa USD Comprehensive Assessment"/>
              <xsd:enumeration value="West Fresno ESD Comprehensive Assessment"/>
              <xsd:enumeration value="Inglewood USD Comprehensive Assessment"/>
            </xsd:restriction>
          </xsd:simpleType>
        </xsd:union>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description="" ma:indexed="true"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URL" ma:index="30" nillable="true" ma:displayName="URL" ma:internalName="URL">
      <xsd:simpleType>
        <xsd:restriction base="dms:Text">
          <xsd:maxLength value="255"/>
        </xsd:restriction>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64f696-ee76-49e1-8758-169b4b8d5a2f"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d6c45a01-2305-439b-93c5-38d7745d7b02}" ma:internalName="TaxCatchAll" ma:showField="CatchAllData" ma:web="2764f696-ee76-49e1-8758-169b4b8d5a2f">
      <xsd:complexType>
        <xsd:complexContent>
          <xsd:extension base="dms:MultiChoiceLookup">
            <xsd:sequence>
              <xsd:element name="Value" type="dms:Lookup" maxOccurs="unbounded" minOccurs="0" nillable="true"/>
            </xsd:sequence>
          </xsd:extension>
        </xsd:complexContent>
      </xsd:complexType>
    </xsd:element>
    <xsd:element name="_dlc_DocId" ma:index="20" nillable="true" ma:displayName="Document ID Value" ma:description="The value of the document ID assigned to this item." ma:indexed="true"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TaxKeywordTaxHTField" ma:index="29" nillable="true" ma:taxonomy="true" ma:internalName="TaxKeywordTaxHTField" ma:taxonomyFieldName="TaxKeyword" ma:displayName="Enterprise Keywords" ma:fieldId="{23f27201-bee3-471e-b2e7-b64fd8b7ca38}" ma:taxonomyMulti="true" ma:sspId="1b82fea1-4d98-495d-a884-8664ed378d29" ma:termSetId="00000000-0000-0000-0000-000000000000" ma:anchorId="00000000-0000-0000-0000-000000000000" ma:open="true" ma:isKeyword="true">
      <xsd:complexType>
        <xsd:sequence>
          <xsd:element ref="pc:Terms" minOccurs="0" maxOccurs="1"/>
        </xsd:sequence>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3"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customXsn xmlns="http://schemas.microsoft.com/office/2006/metadata/customXsn">
  <xsnLocation/>
  <cached>True</cached>
  <openByDefault>True</openByDefault>
  <xsnScope/>
</customXsn>
</file>

<file path=customXml/item6.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E0C402CD-392C-4F8A-9256-0FAA27CC4C5A}">
  <ds:schemaRefs>
    <ds:schemaRef ds:uri="http://schemas.microsoft.com/office/2006/metadata/properties"/>
    <ds:schemaRef ds:uri="07554ada-5ec1-4fcd-8b38-8a051b13b556"/>
    <ds:schemaRef ds:uri="http://schemas.microsoft.com/office/infopath/2007/PartnerControls"/>
    <ds:schemaRef ds:uri="http://purl.org/dc/dcmitype/"/>
    <ds:schemaRef ds:uri="http://purl.org/dc/terms/"/>
    <ds:schemaRef ds:uri="http://schemas.openxmlformats.org/package/2006/metadata/core-properties"/>
    <ds:schemaRef ds:uri="b8d0db87-58c1-4236-a7c3-9bf2ee1b7f0b"/>
    <ds:schemaRef ds:uri="http://schemas.microsoft.com/office/2006/documentManagement/types"/>
    <ds:schemaRef ds:uri="http://purl.org/dc/elements/1.1/"/>
    <ds:schemaRef ds:uri="http://www.w3.org/XML/1998/namespace"/>
  </ds:schemaRefs>
</ds:datastoreItem>
</file>

<file path=customXml/itemProps2.xml><?xml version="1.0" encoding="utf-8"?>
<ds:datastoreItem xmlns:ds="http://schemas.openxmlformats.org/officeDocument/2006/customXml" ds:itemID="{C8BA8DD1-1D60-4FA5-9AC6-FCBCE61A5CA7}">
  <ds:schemaRefs>
    <ds:schemaRef ds:uri="http://schemas.microsoft.com/DataMashup"/>
  </ds:schemaRefs>
</ds:datastoreItem>
</file>

<file path=customXml/itemProps3.xml><?xml version="1.0" encoding="utf-8"?>
<ds:datastoreItem xmlns:ds="http://schemas.openxmlformats.org/officeDocument/2006/customXml" ds:itemID="{15945AF9-736E-4F3A-979D-D061DBD87AC0}"/>
</file>

<file path=customXml/itemProps4.xml><?xml version="1.0" encoding="utf-8"?>
<ds:datastoreItem xmlns:ds="http://schemas.openxmlformats.org/officeDocument/2006/customXml" ds:itemID="{D9CB01FB-D0CD-4CAC-910A-C97CD034B0DB}">
  <ds:schemaRefs>
    <ds:schemaRef ds:uri="http://schemas.microsoft.com/sharepoint/v3/contenttype/forms"/>
  </ds:schemaRefs>
</ds:datastoreItem>
</file>

<file path=customXml/itemProps5.xml><?xml version="1.0" encoding="utf-8"?>
<ds:datastoreItem xmlns:ds="http://schemas.openxmlformats.org/officeDocument/2006/customXml" ds:itemID="{03D086DD-D81B-447A-A715-38CE63BE7AE2}"/>
</file>

<file path=customXml/itemProps6.xml><?xml version="1.0" encoding="utf-8"?>
<ds:datastoreItem xmlns:ds="http://schemas.openxmlformats.org/officeDocument/2006/customXml" ds:itemID="{298F8733-A501-4FFB-9E37-03D1F3B0C01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27</vt:i4>
      </vt:variant>
    </vt:vector>
  </HeadingPairs>
  <TitlesOfParts>
    <vt:vector size="61" baseType="lpstr">
      <vt:lpstr>Tab Links</vt:lpstr>
      <vt:lpstr>Version</vt:lpstr>
      <vt:lpstr>FY Control</vt:lpstr>
      <vt:lpstr>Caveats</vt:lpstr>
      <vt:lpstr>Instructions</vt:lpstr>
      <vt:lpstr>COE CDS</vt:lpstr>
      <vt:lpstr>Data Entry</vt:lpstr>
      <vt:lpstr>PY1 Local Rev</vt:lpstr>
      <vt:lpstr>PY2 Local Rev</vt:lpstr>
      <vt:lpstr>PY3 Local Rev</vt:lpstr>
      <vt:lpstr>PY1 UPP</vt:lpstr>
      <vt:lpstr>PY2 UPP</vt:lpstr>
      <vt:lpstr>PY3 UPP</vt:lpstr>
      <vt:lpstr>PY1 COG</vt:lpstr>
      <vt:lpstr>PY2 COG</vt:lpstr>
      <vt:lpstr>PY3 COG</vt:lpstr>
      <vt:lpstr>PY1 LCFF Calc</vt:lpstr>
      <vt:lpstr>PY2 LCFF Calc</vt:lpstr>
      <vt:lpstr>PY3 LCFF Calc</vt:lpstr>
      <vt:lpstr>Calculator</vt:lpstr>
      <vt:lpstr>Differentiated Assistance</vt:lpstr>
      <vt:lpstr>PY1 Diff Asst</vt:lpstr>
      <vt:lpstr>EPA</vt:lpstr>
      <vt:lpstr>PY1 EPA</vt:lpstr>
      <vt:lpstr>PY2 EPA</vt:lpstr>
      <vt:lpstr>PY3 EPA</vt:lpstr>
      <vt:lpstr>Summary</vt:lpstr>
      <vt:lpstr>COE Transfers</vt:lpstr>
      <vt:lpstr>PY1 TFR ADA</vt:lpstr>
      <vt:lpstr>Local 1</vt:lpstr>
      <vt:lpstr>Local 2</vt:lpstr>
      <vt:lpstr>Local 3</vt:lpstr>
      <vt:lpstr>Local 4</vt:lpstr>
      <vt:lpstr>Local 5</vt:lpstr>
      <vt:lpstr>Calculator!Print_Area</vt:lpstr>
      <vt:lpstr>Caveats!Print_Area</vt:lpstr>
      <vt:lpstr>'COE Transfers'!Print_Area</vt:lpstr>
      <vt:lpstr>'Data Entry'!Print_Area</vt:lpstr>
      <vt:lpstr>'Differentiated Assistance'!Print_Area</vt:lpstr>
      <vt:lpstr>EPA!Print_Area</vt:lpstr>
      <vt:lpstr>Instructions!Print_Area</vt:lpstr>
      <vt:lpstr>'PY1 Diff Asst'!Print_Area</vt:lpstr>
      <vt:lpstr>'PY1 LCFF Calc'!Print_Area</vt:lpstr>
      <vt:lpstr>'PY1 TFR ADA'!Print_Area</vt:lpstr>
      <vt:lpstr>'PY2 LCFF Calc'!Print_Area</vt:lpstr>
      <vt:lpstr>'PY2 UPP'!Print_Area</vt:lpstr>
      <vt:lpstr>'PY3 LCFF Calc'!Print_Area</vt:lpstr>
      <vt:lpstr>'PY3 UPP'!Print_Area</vt:lpstr>
      <vt:lpstr>Summary!Print_Area</vt:lpstr>
      <vt:lpstr>Version!Print_Area</vt:lpstr>
      <vt:lpstr>Calculator!Print_Titles</vt:lpstr>
      <vt:lpstr>Caveats!Print_Titles</vt:lpstr>
      <vt:lpstr>'COE CDS'!Print_Titles</vt:lpstr>
      <vt:lpstr>'COE Transfers'!Print_Titles</vt:lpstr>
      <vt:lpstr>'Data Entry'!Print_Titles</vt:lpstr>
      <vt:lpstr>'Differentiated Assistance'!Print_Titles</vt:lpstr>
      <vt:lpstr>EPA!Print_Titles</vt:lpstr>
      <vt:lpstr>Instructions!Print_Titles</vt:lpstr>
      <vt:lpstr>'PY1 TFR ADA'!Print_Titles</vt:lpstr>
      <vt:lpstr>Summary!Print_Titles</vt:lpstr>
      <vt:lpstr>'Tab Links'!Print_Titles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mploog@fcmat.org</dc:creator>
  <cp:keywords/>
  <cp:lastModifiedBy>Robbie Montalbano</cp:lastModifiedBy>
  <cp:lastPrinted>2023-03-02T17:01:10Z</cp:lastPrinted>
  <dcterms:created xsi:type="dcterms:W3CDTF">2013-03-13T20:56:36Z</dcterms:created>
  <dcterms:modified xsi:type="dcterms:W3CDTF">2023-03-22T16:55:02Z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0x010100FADBEFB1D77F884597487478E3A3DB2F</vt:lpwstr>
  </property>
  <property fmtid="{D5CDD505-2E9C-101B-9397-08002B2CF9AE}" pid="4" name="_dlc_DocIdItemGuid">
    <vt:lpwstr>670ac861-4a71-497d-ad14-81fe54949c2e</vt:lpwstr>
  </property>
  <property fmtid="{D5CDD505-2E9C-101B-9397-08002B2CF9AE}" pid="5" name="TaxKeyword">
    <vt:lpwstr/>
  </property>
</Properties>
</file>